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K:\Trans\Grant Applications\2022 Grants\RAISE\Three Rivers Park District\BCA\"/>
    </mc:Choice>
  </mc:AlternateContent>
  <xr:revisionPtr revIDLastSave="0" documentId="13_ncr:1_{E7664B32-32C2-4D7D-8313-2E3F9406B558}" xr6:coauthVersionLast="47" xr6:coauthVersionMax="47" xr10:uidLastSave="{00000000-0000-0000-0000-000000000000}"/>
  <bookViews>
    <workbookView xWindow="-25320" yWindow="210" windowWidth="25440" windowHeight="15540" tabRatio="895" activeTab="2" xr2:uid="{00000000-000D-0000-FFFF-FFFF00000000}"/>
  </bookViews>
  <sheets>
    <sheet name="Project Data and Assumptions" sheetId="53" r:id="rId1"/>
    <sheet name="Trail Project Summary" sheetId="60" r:id="rId2"/>
    <sheet name="BCA Summary" sheetId="12" r:id="rId3"/>
    <sheet name="QoL Benefits - BCRT" sheetId="59" r:id="rId4"/>
    <sheet name="QoL Benefits - Bryant RT" sheetId="80" r:id="rId5"/>
    <sheet name="QoL Benefits - CP RT" sheetId="82" r:id="rId6"/>
    <sheet name="QoL Benefits -Eagle RT" sheetId="81" r:id="rId7"/>
    <sheet name="QoL Benefits - Med Lake RT" sheetId="73" r:id="rId8"/>
    <sheet name="QoL Benefits - 9Mi RT" sheetId="75" r:id="rId9"/>
    <sheet name="QoL Benefits - Rush Crk RT" sheetId="76" r:id="rId10"/>
    <sheet name="QoL Benefits - Shingle Crk BCR" sheetId="77" r:id="rId11"/>
    <sheet name="QoL Benefits - Shingle Crk NAR" sheetId="78" r:id="rId12"/>
    <sheet name="Air Quality" sheetId="83" r:id="rId13"/>
    <sheet name="Operating Cost Savings" sheetId="86" r:id="rId14"/>
    <sheet name="Operation and Maintenance" sheetId="48" r:id="rId15"/>
    <sheet name="Capital Costs" sheetId="8" r:id="rId16"/>
    <sheet name="VMT Change" sheetId="85" r:id="rId17"/>
    <sheet name="Project Costs" sheetId="61" r:id="rId18"/>
    <sheet name="Original Build Years" sheetId="70" r:id="rId19"/>
    <sheet name="Trail Lengths" sheetId="72" r:id="rId20"/>
    <sheet name="TRPD RT Forecated Growth" sheetId="62" r:id="rId21"/>
    <sheet name="Users per Mile" sheetId="79" r:id="rId22"/>
    <sheet name="Bassett Creek" sheetId="63" r:id="rId23"/>
    <sheet name="Lake Independence" sheetId="64" r:id="rId24"/>
    <sheet name="Med Lake" sheetId="65" r:id="rId25"/>
    <sheet name="Nine Mile Creek" sheetId="66" r:id="rId26"/>
    <sheet name="Rush Creek" sheetId="67" r:id="rId27"/>
    <sheet name="Shingle Creek" sheetId="68" r:id="rId28"/>
    <sheet name="District" sheetId="69" r:id="rId29"/>
  </sheets>
  <externalReferences>
    <externalReference r:id="rId30"/>
    <externalReference r:id="rId31"/>
    <externalReference r:id="rId32"/>
    <externalReference r:id="rId33"/>
  </externalReferences>
  <definedNames>
    <definedName name="BCAnalysisPeriod" localSheetId="12">[1]Assumptions!#REF!</definedName>
    <definedName name="BCAnalysisPeriod" localSheetId="13">[2]Assumptions!#REF!</definedName>
    <definedName name="BCAnalysisPeriod" localSheetId="14">[3]Assumptions!#REF!</definedName>
    <definedName name="BCAnalysisPeriod">[3]Assumptions!#REF!</definedName>
    <definedName name="_xlnm.Print_Area" localSheetId="12">'Air Quality'!$A$1:$AE$55</definedName>
    <definedName name="_xlnm.Print_Area" localSheetId="2">'BCA Summary'!$A$1:$T$69</definedName>
    <definedName name="_xlnm.Print_Area" localSheetId="15">'Capital Costs'!$A$2:$N$52</definedName>
    <definedName name="_xlnm.Print_Area" localSheetId="23">'Lake Independence'!$A$1:$G$60</definedName>
    <definedName name="_xlnm.Print_Area" localSheetId="13">'Operating Cost Savings'!$A$2:$J$39</definedName>
    <definedName name="_xlnm.Print_Area" localSheetId="14">'Operation and Maintenance'!$A$2:$AB$41</definedName>
    <definedName name="_xlnm.Print_Area" localSheetId="0">'Project Data and Assumptions'!$A$1:$E$10</definedName>
    <definedName name="_xlnm.Print_Area" localSheetId="8">'QoL Benefits - 9Mi RT'!$A$1:$AT$66</definedName>
    <definedName name="_xlnm.Print_Area" localSheetId="3">'QoL Benefits - BCRT'!$A$1:$AT$66</definedName>
    <definedName name="_xlnm.Print_Area" localSheetId="4">'QoL Benefits - Bryant RT'!$A$1:$AT$66</definedName>
    <definedName name="_xlnm.Print_Area" localSheetId="5">'QoL Benefits - CP RT'!$A$1:$AT$66</definedName>
    <definedName name="_xlnm.Print_Area" localSheetId="7">'QoL Benefits - Med Lake RT'!$A$1:$AT$66</definedName>
    <definedName name="_xlnm.Print_Area" localSheetId="9">'QoL Benefits - Rush Crk RT'!$A$1:$AT$66</definedName>
    <definedName name="_xlnm.Print_Area" localSheetId="10">'QoL Benefits - Shingle Crk BCR'!$A$1:$AT$66</definedName>
    <definedName name="_xlnm.Print_Area" localSheetId="11">'QoL Benefits - Shingle Crk NAR'!$A$1:$AT$66</definedName>
    <definedName name="_xlnm.Print_Area" localSheetId="6">'QoL Benefits -Eagle RT'!$A$1:$AT$66</definedName>
    <definedName name="_xlnm.Print_Area" localSheetId="16">'VMT Change'!$A$1:$M$36</definedName>
    <definedName name="TruckCost" localSheetId="12">[1]Assumptions!#REF!</definedName>
    <definedName name="TruckCost" localSheetId="13">[2]Assumptions!#REF!</definedName>
    <definedName name="TruckCost" localSheetId="14">[3]Assumptions!#REF!</definedName>
    <definedName name="TruckCost">[3]Assumptions!#REF!</definedName>
    <definedName name="yrofanalysis">[4]Assumptions!#REF!</definedName>
    <definedName name="yrofcurrentdollars">[4]Assumptions!#REF!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60" l="1"/>
  <c r="F48" i="60"/>
  <c r="F47" i="60"/>
  <c r="F46" i="60"/>
  <c r="F45" i="60"/>
  <c r="F44" i="60"/>
  <c r="F43" i="60"/>
  <c r="F42" i="60"/>
  <c r="F49" i="60" s="1"/>
  <c r="F41" i="60"/>
  <c r="G49" i="60"/>
  <c r="D49" i="60"/>
  <c r="E49" i="60"/>
  <c r="C49" i="60"/>
  <c r="E48" i="60"/>
  <c r="D48" i="60"/>
  <c r="C48" i="60"/>
  <c r="E47" i="60"/>
  <c r="E46" i="60"/>
  <c r="E45" i="60"/>
  <c r="E44" i="60"/>
  <c r="E43" i="60"/>
  <c r="E42" i="60"/>
  <c r="E41" i="60"/>
  <c r="E40" i="60"/>
  <c r="D47" i="60"/>
  <c r="D46" i="60"/>
  <c r="D45" i="60"/>
  <c r="D44" i="60"/>
  <c r="D43" i="60"/>
  <c r="D42" i="60"/>
  <c r="D41" i="60"/>
  <c r="D40" i="60"/>
  <c r="C47" i="60"/>
  <c r="C46" i="60"/>
  <c r="C45" i="60"/>
  <c r="C44" i="60"/>
  <c r="C43" i="60"/>
  <c r="C42" i="60"/>
  <c r="C41" i="60"/>
  <c r="C40" i="60"/>
  <c r="B20" i="48"/>
  <c r="B21" i="48"/>
  <c r="C6" i="53"/>
  <c r="K29" i="60"/>
  <c r="K28" i="60"/>
  <c r="K25" i="60"/>
  <c r="K22" i="60"/>
  <c r="K18" i="60"/>
  <c r="K15" i="60"/>
  <c r="K11" i="60"/>
  <c r="K8" i="60"/>
  <c r="K3" i="60"/>
  <c r="F7" i="83"/>
  <c r="F6" i="83"/>
  <c r="F5" i="83"/>
  <c r="B17" i="12"/>
  <c r="B18" i="12"/>
  <c r="M36" i="60"/>
  <c r="M37" i="60"/>
  <c r="M35" i="60"/>
  <c r="B22" i="48" l="1"/>
  <c r="B19" i="12"/>
  <c r="F11" i="60"/>
  <c r="F8" i="60"/>
  <c r="F3" i="60"/>
  <c r="F29" i="60"/>
  <c r="Z6" i="48" s="1"/>
  <c r="F28" i="60"/>
  <c r="F22" i="60"/>
  <c r="F18" i="60"/>
  <c r="F15" i="60"/>
  <c r="F25" i="60"/>
  <c r="F23" i="60"/>
  <c r="N6" i="48" l="1"/>
  <c r="Q6" i="48"/>
  <c r="T6" i="48"/>
  <c r="W6" i="48"/>
  <c r="Y20" i="48"/>
  <c r="Y21" i="48"/>
  <c r="E6" i="48"/>
  <c r="H6" i="48"/>
  <c r="K6" i="48"/>
  <c r="P22" i="48"/>
  <c r="Y22" i="48"/>
  <c r="B20" i="12"/>
  <c r="AA6" i="48"/>
  <c r="Z59" i="82"/>
  <c r="Z59" i="81"/>
  <c r="Z59" i="73"/>
  <c r="Z59" i="75"/>
  <c r="Z59" i="76"/>
  <c r="Z59" i="77"/>
  <c r="Z59" i="78"/>
  <c r="Z59" i="80"/>
  <c r="Z59" i="59"/>
  <c r="P20" i="48" l="1"/>
  <c r="P21" i="48"/>
  <c r="I14" i="86"/>
  <c r="C1" i="86"/>
  <c r="D1" i="86" s="1"/>
  <c r="E1" i="86" s="1"/>
  <c r="F1" i="86" s="1"/>
  <c r="G1" i="86" s="1"/>
  <c r="B7" i="86" l="1"/>
  <c r="B8" i="86" l="1"/>
  <c r="B9" i="86" l="1"/>
  <c r="B10" i="86" l="1"/>
  <c r="B11" i="86" l="1"/>
  <c r="B12" i="86" l="1"/>
  <c r="B13" i="86" l="1"/>
  <c r="B14" i="86" l="1"/>
  <c r="B15" i="86" l="1"/>
  <c r="B16" i="86" l="1"/>
  <c r="B17" i="86" l="1"/>
  <c r="B18" i="86" l="1"/>
  <c r="B19" i="86" l="1"/>
  <c r="B20" i="86" l="1"/>
  <c r="B21" i="86" l="1"/>
  <c r="B22" i="86" l="1"/>
  <c r="B23" i="86" l="1"/>
  <c r="B24" i="86" l="1"/>
  <c r="B25" i="86" l="1"/>
  <c r="B26" i="86" l="1"/>
  <c r="B27" i="86" l="1"/>
  <c r="B28" i="86" l="1"/>
  <c r="B29" i="86" l="1"/>
  <c r="B30" i="86" l="1"/>
  <c r="B31" i="86" l="1"/>
  <c r="B32" i="86" l="1"/>
  <c r="W2" i="48" l="1"/>
  <c r="B7" i="85"/>
  <c r="AE28" i="83"/>
  <c r="AD28" i="83"/>
  <c r="AC28" i="83"/>
  <c r="AB28" i="83"/>
  <c r="AE27" i="83"/>
  <c r="AD27" i="83"/>
  <c r="AC27" i="83"/>
  <c r="AB27" i="83"/>
  <c r="V10" i="83"/>
  <c r="U10" i="83"/>
  <c r="T10" i="83"/>
  <c r="S10" i="83"/>
  <c r="V9" i="83"/>
  <c r="U9" i="83"/>
  <c r="T9" i="83"/>
  <c r="S9" i="83"/>
  <c r="B8" i="83" l="1"/>
  <c r="B9" i="83" s="1"/>
  <c r="B10" i="83" s="1"/>
  <c r="B11" i="83" s="1"/>
  <c r="B12" i="83" s="1"/>
  <c r="B13" i="83" s="1"/>
  <c r="B14" i="83" s="1"/>
  <c r="B15" i="83" s="1"/>
  <c r="B16" i="83" s="1"/>
  <c r="B17" i="83" s="1"/>
  <c r="B18" i="83" s="1"/>
  <c r="B19" i="83" s="1"/>
  <c r="B20" i="83" s="1"/>
  <c r="B21" i="83" s="1"/>
  <c r="B22" i="83" s="1"/>
  <c r="B23" i="83" s="1"/>
  <c r="B24" i="83" s="1"/>
  <c r="B25" i="83" s="1"/>
  <c r="B26" i="83" s="1"/>
  <c r="B27" i="83" s="1"/>
  <c r="B28" i="83" s="1"/>
  <c r="B29" i="83" s="1"/>
  <c r="B30" i="83" s="1"/>
  <c r="B31" i="83" s="1"/>
  <c r="B32" i="83" s="1"/>
  <c r="B8" i="85"/>
  <c r="B9" i="85" l="1"/>
  <c r="B10" i="85" l="1"/>
  <c r="B11" i="85" l="1"/>
  <c r="B12" i="85" l="1"/>
  <c r="B13" i="85" l="1"/>
  <c r="B14" i="85" l="1"/>
  <c r="B15" i="85" l="1"/>
  <c r="B16" i="85" l="1"/>
  <c r="B17" i="85" l="1"/>
  <c r="B18" i="85" l="1"/>
  <c r="B19" i="85" l="1"/>
  <c r="B20" i="85" l="1"/>
  <c r="B21" i="85" l="1"/>
  <c r="B22" i="85" l="1"/>
  <c r="B23" i="85" l="1"/>
  <c r="B24" i="85" l="1"/>
  <c r="B25" i="85" l="1"/>
  <c r="B26" i="85" l="1"/>
  <c r="B27" i="85" l="1"/>
  <c r="B28" i="85" l="1"/>
  <c r="B29" i="85" l="1"/>
  <c r="B30" i="85" l="1"/>
  <c r="B31" i="85" l="1"/>
  <c r="B32" i="85" l="1"/>
  <c r="B33" i="85" l="1"/>
  <c r="B34" i="85" l="1"/>
  <c r="B7" i="8" l="1"/>
  <c r="N29" i="76"/>
  <c r="L29" i="76"/>
  <c r="K29" i="76"/>
  <c r="J29" i="76"/>
  <c r="I29" i="76"/>
  <c r="E16" i="61"/>
  <c r="F16" i="61"/>
  <c r="G16" i="61"/>
  <c r="H16" i="61"/>
  <c r="I16" i="61"/>
  <c r="J16" i="61"/>
  <c r="K16" i="61"/>
  <c r="L16" i="61"/>
  <c r="D16" i="61"/>
  <c r="L3" i="61"/>
  <c r="K3" i="61"/>
  <c r="J3" i="61"/>
  <c r="I3" i="61"/>
  <c r="H3" i="61"/>
  <c r="G3" i="61"/>
  <c r="F3" i="61"/>
  <c r="E3" i="61"/>
  <c r="D3" i="61"/>
  <c r="J6" i="8" s="1"/>
  <c r="I7" i="8"/>
  <c r="J7" i="8" s="1"/>
  <c r="Y7" i="82"/>
  <c r="Z25" i="82"/>
  <c r="Z24" i="82"/>
  <c r="AA48" i="82"/>
  <c r="AA39" i="82"/>
  <c r="Y10" i="82"/>
  <c r="Y9" i="82"/>
  <c r="Y8" i="82"/>
  <c r="AA17" i="82"/>
  <c r="AC18" i="82" s="1"/>
  <c r="AA53" i="82" s="1"/>
  <c r="B10" i="48"/>
  <c r="B11" i="48" s="1"/>
  <c r="B12" i="48" s="1"/>
  <c r="B13" i="48" s="1"/>
  <c r="Z25" i="81"/>
  <c r="Z24" i="81"/>
  <c r="AA48" i="81"/>
  <c r="AA39" i="81"/>
  <c r="Y10" i="81"/>
  <c r="Y9" i="81"/>
  <c r="Y8" i="81"/>
  <c r="Y6" i="81"/>
  <c r="Z25" i="80"/>
  <c r="Z24" i="80"/>
  <c r="AA51" i="76"/>
  <c r="AA25" i="80"/>
  <c r="AA48" i="80"/>
  <c r="AA39" i="80"/>
  <c r="Y10" i="80"/>
  <c r="Y9" i="80"/>
  <c r="Y8" i="80"/>
  <c r="Y6" i="80"/>
  <c r="D10" i="79"/>
  <c r="G11" i="79"/>
  <c r="G8" i="79"/>
  <c r="G7" i="79"/>
  <c r="G6" i="79"/>
  <c r="G5" i="79"/>
  <c r="G10" i="79" s="1"/>
  <c r="H10" i="79" s="1"/>
  <c r="G4" i="79"/>
  <c r="F11" i="79"/>
  <c r="F8" i="79"/>
  <c r="F7" i="79"/>
  <c r="F6" i="79"/>
  <c r="F5" i="79"/>
  <c r="F4" i="79"/>
  <c r="F9" i="79" s="1"/>
  <c r="E11" i="79"/>
  <c r="E8" i="79"/>
  <c r="E7" i="79"/>
  <c r="E6" i="79"/>
  <c r="E5" i="79"/>
  <c r="E4" i="79"/>
  <c r="E9" i="79" s="1"/>
  <c r="D11" i="79"/>
  <c r="H11" i="79" s="1"/>
  <c r="D8" i="79"/>
  <c r="H8" i="79" s="1"/>
  <c r="D7" i="79"/>
  <c r="H7" i="79" s="1"/>
  <c r="D6" i="79"/>
  <c r="H6" i="79" s="1"/>
  <c r="D5" i="79"/>
  <c r="H5" i="79" s="1"/>
  <c r="D4" i="79"/>
  <c r="D9" i="79" s="1"/>
  <c r="AA48" i="78"/>
  <c r="AA39" i="78"/>
  <c r="Z25" i="78"/>
  <c r="Z24" i="78"/>
  <c r="Y10" i="78"/>
  <c r="Y9" i="78"/>
  <c r="Y8" i="78"/>
  <c r="Y6" i="78"/>
  <c r="Z25" i="77"/>
  <c r="AA25" i="77" s="1"/>
  <c r="Z24" i="77"/>
  <c r="AA48" i="77"/>
  <c r="AA39" i="77"/>
  <c r="Y10" i="77"/>
  <c r="Y9" i="77"/>
  <c r="Y8" i="77"/>
  <c r="Y6" i="77"/>
  <c r="Z25" i="76"/>
  <c r="AA25" i="76" s="1"/>
  <c r="Z24" i="76"/>
  <c r="AA48" i="76"/>
  <c r="AA39" i="76"/>
  <c r="Y10" i="76"/>
  <c r="Y8" i="76"/>
  <c r="Y6" i="76"/>
  <c r="Z25" i="75"/>
  <c r="AA25" i="75" s="1"/>
  <c r="Z24" i="75"/>
  <c r="AA48" i="75"/>
  <c r="AA39" i="75"/>
  <c r="Y10" i="75"/>
  <c r="Y9" i="75"/>
  <c r="Y8" i="75"/>
  <c r="Y6" i="75"/>
  <c r="Z25" i="73"/>
  <c r="AA25" i="73" s="1"/>
  <c r="Z24" i="73"/>
  <c r="Y6" i="73"/>
  <c r="Y8" i="73"/>
  <c r="AA48" i="73"/>
  <c r="AA39" i="73"/>
  <c r="Y10" i="73"/>
  <c r="Y9" i="73"/>
  <c r="I29" i="60"/>
  <c r="Y7" i="78" s="1"/>
  <c r="AA17" i="78" s="1"/>
  <c r="AC18" i="78" s="1"/>
  <c r="AA53" i="78" s="1"/>
  <c r="I28" i="60"/>
  <c r="Y7" i="77" s="1"/>
  <c r="AA17" i="77" s="1"/>
  <c r="AC18" i="77" s="1"/>
  <c r="AA53" i="77" s="1"/>
  <c r="I25" i="60"/>
  <c r="Y7" i="76" s="1"/>
  <c r="AA17" i="76" s="1"/>
  <c r="AC18" i="76" s="1"/>
  <c r="AA53" i="76" s="1"/>
  <c r="I22" i="60"/>
  <c r="Y7" i="75" s="1"/>
  <c r="AA17" i="75" s="1"/>
  <c r="I18" i="60"/>
  <c r="Y7" i="73" s="1"/>
  <c r="I15" i="60"/>
  <c r="Y7" i="81" s="1"/>
  <c r="AA17" i="81" s="1"/>
  <c r="AC18" i="81" s="1"/>
  <c r="AA53" i="81" s="1"/>
  <c r="I8" i="60"/>
  <c r="Y7" i="80" s="1"/>
  <c r="AA17" i="80" s="1"/>
  <c r="AC18" i="80" s="1"/>
  <c r="AA53" i="80" s="1"/>
  <c r="I3" i="60"/>
  <c r="Y6" i="59"/>
  <c r="Y6" i="82"/>
  <c r="L29" i="60"/>
  <c r="Y5" i="78" s="1"/>
  <c r="L28" i="60"/>
  <c r="Y5" i="77" s="1"/>
  <c r="L25" i="60"/>
  <c r="Y5" i="76" s="1"/>
  <c r="B7" i="76" s="1"/>
  <c r="L22" i="60"/>
  <c r="Y5" i="75" s="1"/>
  <c r="L18" i="60"/>
  <c r="Y5" i="73" s="1"/>
  <c r="L15" i="60"/>
  <c r="Y5" i="81" s="1"/>
  <c r="L11" i="60"/>
  <c r="Y5" i="82" s="1"/>
  <c r="L8" i="60"/>
  <c r="Y5" i="80" s="1"/>
  <c r="L3" i="60"/>
  <c r="Y5" i="59" s="1"/>
  <c r="D20" i="48" l="1"/>
  <c r="D21" i="48"/>
  <c r="D22" i="48"/>
  <c r="G20" i="48"/>
  <c r="G21" i="48"/>
  <c r="G22" i="48"/>
  <c r="J20" i="48"/>
  <c r="J21" i="48"/>
  <c r="J22" i="48"/>
  <c r="M20" i="48"/>
  <c r="M21" i="48"/>
  <c r="M22" i="48"/>
  <c r="S20" i="48"/>
  <c r="S21" i="48"/>
  <c r="S22" i="48"/>
  <c r="V20" i="48"/>
  <c r="V21" i="48"/>
  <c r="V22" i="48"/>
  <c r="D9" i="48"/>
  <c r="C9" i="48" s="1"/>
  <c r="E9" i="48" s="1"/>
  <c r="AC18" i="75"/>
  <c r="AA53" i="75" s="1"/>
  <c r="G9" i="79"/>
  <c r="G9" i="48"/>
  <c r="G10" i="48"/>
  <c r="G11" i="48"/>
  <c r="F11" i="48" s="1"/>
  <c r="H11" i="48" s="1"/>
  <c r="G13" i="48"/>
  <c r="G12" i="48"/>
  <c r="F12" i="48" s="1"/>
  <c r="H12" i="48" s="1"/>
  <c r="B7" i="82"/>
  <c r="J10" i="48"/>
  <c r="I10" i="48" s="1"/>
  <c r="K10" i="48" s="1"/>
  <c r="J11" i="48"/>
  <c r="J12" i="48"/>
  <c r="J13" i="48"/>
  <c r="J9" i="48"/>
  <c r="I9" i="48" s="1"/>
  <c r="K9" i="48" s="1"/>
  <c r="J20" i="8"/>
  <c r="D4" i="61"/>
  <c r="J21" i="8"/>
  <c r="K21" i="8" s="1"/>
  <c r="E4" i="61"/>
  <c r="J22" i="8"/>
  <c r="K22" i="8" s="1"/>
  <c r="F4" i="61"/>
  <c r="J23" i="8"/>
  <c r="K23" i="8" s="1"/>
  <c r="G4" i="61"/>
  <c r="J24" i="8"/>
  <c r="K24" i="8" s="1"/>
  <c r="H4" i="61"/>
  <c r="J25" i="8"/>
  <c r="K25" i="8" s="1"/>
  <c r="I4" i="61"/>
  <c r="J26" i="8"/>
  <c r="K26" i="8" s="1"/>
  <c r="J4" i="61"/>
  <c r="J27" i="8"/>
  <c r="K27" i="8" s="1"/>
  <c r="K4" i="61"/>
  <c r="J28" i="8"/>
  <c r="K28" i="8" s="1"/>
  <c r="L4" i="61"/>
  <c r="D10" i="48"/>
  <c r="C10" i="48" s="1"/>
  <c r="E10" i="48" s="1"/>
  <c r="B7" i="80"/>
  <c r="F9" i="48"/>
  <c r="H9" i="48" s="1"/>
  <c r="B7" i="81"/>
  <c r="M9" i="48"/>
  <c r="L9" i="48" s="1"/>
  <c r="N9" i="48" s="1"/>
  <c r="B7" i="73"/>
  <c r="P9" i="48"/>
  <c r="O9" i="48" s="1"/>
  <c r="Q9" i="48" s="1"/>
  <c r="AB24" i="73"/>
  <c r="AA24" i="73"/>
  <c r="B7" i="75"/>
  <c r="S9" i="48"/>
  <c r="R9" i="48" s="1"/>
  <c r="T9" i="48" s="1"/>
  <c r="AB24" i="76"/>
  <c r="AA24" i="76"/>
  <c r="B7" i="77"/>
  <c r="V9" i="48"/>
  <c r="U9" i="48" s="1"/>
  <c r="W9" i="48" s="1"/>
  <c r="B7" i="78"/>
  <c r="Y9" i="48"/>
  <c r="X9" i="48" s="1"/>
  <c r="Z9" i="48" s="1"/>
  <c r="I8" i="8"/>
  <c r="J8" i="8" s="1"/>
  <c r="D13" i="48"/>
  <c r="D12" i="48"/>
  <c r="D11" i="48"/>
  <c r="B8" i="82"/>
  <c r="Z30" i="82"/>
  <c r="Z29" i="82"/>
  <c r="AB18" i="82"/>
  <c r="Z35" i="82"/>
  <c r="Z34" i="82"/>
  <c r="AC19" i="82"/>
  <c r="AA52" i="82" s="1"/>
  <c r="AB19" i="82"/>
  <c r="AB24" i="82"/>
  <c r="AC24" i="82" s="1"/>
  <c r="AA24" i="82"/>
  <c r="AD24" i="82" s="1"/>
  <c r="AC25" i="82"/>
  <c r="AA25" i="82"/>
  <c r="AD25" i="82" s="1"/>
  <c r="F13" i="48"/>
  <c r="H13" i="48" s="1"/>
  <c r="Y13" i="48"/>
  <c r="V13" i="48"/>
  <c r="S13" i="48"/>
  <c r="P13" i="48"/>
  <c r="M13" i="48"/>
  <c r="Y12" i="48"/>
  <c r="V12" i="48"/>
  <c r="S12" i="48"/>
  <c r="P12" i="48"/>
  <c r="M12" i="48"/>
  <c r="Y11" i="48"/>
  <c r="V11" i="48"/>
  <c r="S11" i="48"/>
  <c r="P11" i="48"/>
  <c r="M11" i="48"/>
  <c r="L11" i="48" s="1"/>
  <c r="N11" i="48" s="1"/>
  <c r="F10" i="48"/>
  <c r="H10" i="48" s="1"/>
  <c r="Y10" i="48"/>
  <c r="X10" i="48" s="1"/>
  <c r="V10" i="48"/>
  <c r="S10" i="48"/>
  <c r="R10" i="48" s="1"/>
  <c r="T10" i="48" s="1"/>
  <c r="P10" i="48"/>
  <c r="M10" i="48"/>
  <c r="B8" i="81"/>
  <c r="Z30" i="81"/>
  <c r="Z29" i="81"/>
  <c r="AB18" i="81"/>
  <c r="Z35" i="81"/>
  <c r="Z34" i="81"/>
  <c r="AC19" i="81"/>
  <c r="AA52" i="81" s="1"/>
  <c r="AB19" i="81"/>
  <c r="AB24" i="81"/>
  <c r="AC24" i="81" s="1"/>
  <c r="AA24" i="81"/>
  <c r="AD24" i="81" s="1"/>
  <c r="AC25" i="81"/>
  <c r="AA25" i="81"/>
  <c r="AD25" i="81" s="1"/>
  <c r="AC19" i="76"/>
  <c r="AA52" i="76" s="1"/>
  <c r="AB24" i="80"/>
  <c r="AA24" i="80"/>
  <c r="Z30" i="80"/>
  <c r="AA30" i="80" s="1"/>
  <c r="Z29" i="80"/>
  <c r="AB18" i="80"/>
  <c r="Z35" i="80"/>
  <c r="AA35" i="80" s="1"/>
  <c r="Z34" i="80"/>
  <c r="AC19" i="80"/>
  <c r="AA52" i="80" s="1"/>
  <c r="AB19" i="80"/>
  <c r="AC24" i="80"/>
  <c r="AD24" i="80"/>
  <c r="AC25" i="80"/>
  <c r="AD25" i="80"/>
  <c r="H4" i="79"/>
  <c r="H9" i="79" s="1"/>
  <c r="Z30" i="78"/>
  <c r="Z29" i="78"/>
  <c r="AB18" i="78"/>
  <c r="Z35" i="78"/>
  <c r="Z34" i="78"/>
  <c r="AC19" i="78"/>
  <c r="AA52" i="78" s="1"/>
  <c r="AB19" i="78"/>
  <c r="AB24" i="78"/>
  <c r="AC24" i="78" s="1"/>
  <c r="AA24" i="78"/>
  <c r="AD24" i="78" s="1"/>
  <c r="AC25" i="78"/>
  <c r="AA25" i="78"/>
  <c r="AD25" i="78" s="1"/>
  <c r="Z29" i="76"/>
  <c r="AA29" i="76" s="1"/>
  <c r="AB24" i="77"/>
  <c r="AA24" i="77"/>
  <c r="Z30" i="77"/>
  <c r="AA30" i="77" s="1"/>
  <c r="Z29" i="77"/>
  <c r="AB18" i="77"/>
  <c r="Z35" i="77"/>
  <c r="AA35" i="77" s="1"/>
  <c r="Z34" i="77"/>
  <c r="AC19" i="77"/>
  <c r="AA52" i="77" s="1"/>
  <c r="AB19" i="77"/>
  <c r="AC24" i="77"/>
  <c r="AD24" i="77"/>
  <c r="AC25" i="77"/>
  <c r="AD25" i="77"/>
  <c r="Z29" i="75"/>
  <c r="B8" i="76"/>
  <c r="Z30" i="76"/>
  <c r="AA30" i="76" s="1"/>
  <c r="AB18" i="76"/>
  <c r="Z35" i="76"/>
  <c r="AA35" i="76" s="1"/>
  <c r="AD35" i="76" s="1"/>
  <c r="Z34" i="76"/>
  <c r="AA34" i="76" s="1"/>
  <c r="AD34" i="76" s="1"/>
  <c r="AB19" i="76"/>
  <c r="AC24" i="76"/>
  <c r="AD24" i="76"/>
  <c r="AC25" i="76"/>
  <c r="AD25" i="76"/>
  <c r="AB24" i="75"/>
  <c r="AA24" i="75"/>
  <c r="Z30" i="75"/>
  <c r="AA30" i="75" s="1"/>
  <c r="AB18" i="75"/>
  <c r="Z35" i="75"/>
  <c r="AA35" i="75" s="1"/>
  <c r="Z34" i="75"/>
  <c r="AC19" i="75"/>
  <c r="AA52" i="75" s="1"/>
  <c r="AB19" i="75"/>
  <c r="AC24" i="75"/>
  <c r="AD24" i="75"/>
  <c r="AC25" i="75"/>
  <c r="AD25" i="75"/>
  <c r="AA17" i="73"/>
  <c r="AC18" i="73" s="1"/>
  <c r="AA53" i="73" s="1"/>
  <c r="Z29" i="73"/>
  <c r="AA29" i="73"/>
  <c r="AD29" i="73" s="1"/>
  <c r="Z30" i="73"/>
  <c r="AB18" i="73"/>
  <c r="Z35" i="73"/>
  <c r="AA35" i="73" s="1"/>
  <c r="Z34" i="73"/>
  <c r="AC19" i="73"/>
  <c r="AA52" i="73" s="1"/>
  <c r="AB19" i="73"/>
  <c r="AC24" i="73"/>
  <c r="AD24" i="73"/>
  <c r="AC25" i="73"/>
  <c r="AD25" i="73"/>
  <c r="B7" i="59"/>
  <c r="P5" i="8"/>
  <c r="J14" i="8" l="1"/>
  <c r="K20" i="8"/>
  <c r="U10" i="48"/>
  <c r="W10" i="48" s="1"/>
  <c r="L12" i="48"/>
  <c r="N12" i="48" s="1"/>
  <c r="I11" i="48"/>
  <c r="K11" i="48" s="1"/>
  <c r="R11" i="48"/>
  <c r="T11" i="48" s="1"/>
  <c r="U11" i="48"/>
  <c r="W11" i="48" s="1"/>
  <c r="B8" i="78"/>
  <c r="B8" i="77"/>
  <c r="B8" i="75"/>
  <c r="B8" i="73"/>
  <c r="B8" i="80"/>
  <c r="O10" i="48"/>
  <c r="Q10" i="48" s="1"/>
  <c r="C11" i="48"/>
  <c r="E11" i="48" s="1"/>
  <c r="AA9" i="48"/>
  <c r="AB9" i="48" s="1"/>
  <c r="K6" i="8"/>
  <c r="E19" i="61"/>
  <c r="M21" i="8" s="1"/>
  <c r="F19" i="61"/>
  <c r="M22" i="8" s="1"/>
  <c r="G19" i="61"/>
  <c r="M23" i="8" s="1"/>
  <c r="H19" i="61"/>
  <c r="M24" i="8" s="1"/>
  <c r="I19" i="61"/>
  <c r="M25" i="8" s="1"/>
  <c r="J19" i="61"/>
  <c r="M26" i="8" s="1"/>
  <c r="K19" i="61"/>
  <c r="M27" i="8" s="1"/>
  <c r="L19" i="61"/>
  <c r="M28" i="8" s="1"/>
  <c r="D19" i="61"/>
  <c r="M20" i="8" s="1"/>
  <c r="K7" i="8"/>
  <c r="I9" i="8"/>
  <c r="J9" i="8" s="1"/>
  <c r="K8" i="8"/>
  <c r="O11" i="48"/>
  <c r="X11" i="48"/>
  <c r="Z10" i="48"/>
  <c r="AB34" i="82"/>
  <c r="AA34" i="82"/>
  <c r="AD34" i="82" s="1"/>
  <c r="AC35" i="82"/>
  <c r="AA35" i="82"/>
  <c r="AD35" i="82" s="1"/>
  <c r="AB30" i="82"/>
  <c r="AC30" i="82" s="1"/>
  <c r="AB29" i="82"/>
  <c r="AA29" i="82"/>
  <c r="AD29" i="82" s="1"/>
  <c r="AA30" i="82"/>
  <c r="AD30" i="82" s="1"/>
  <c r="B9" i="82"/>
  <c r="L10" i="48"/>
  <c r="N10" i="48" s="1"/>
  <c r="C12" i="48"/>
  <c r="E12" i="48" s="1"/>
  <c r="AB34" i="81"/>
  <c r="AA34" i="81"/>
  <c r="AD34" i="81" s="1"/>
  <c r="AC35" i="81"/>
  <c r="AA35" i="81"/>
  <c r="AD35" i="81" s="1"/>
  <c r="AB30" i="81"/>
  <c r="AC30" i="81" s="1"/>
  <c r="AB29" i="81"/>
  <c r="AA29" i="81"/>
  <c r="AD29" i="81" s="1"/>
  <c r="AA30" i="81"/>
  <c r="AD30" i="81" s="1"/>
  <c r="B9" i="81"/>
  <c r="AB34" i="80"/>
  <c r="AA34" i="80"/>
  <c r="AB30" i="80"/>
  <c r="AB29" i="80"/>
  <c r="AA29" i="80"/>
  <c r="AD34" i="80"/>
  <c r="AC35" i="80"/>
  <c r="AD35" i="80"/>
  <c r="AD29" i="80"/>
  <c r="AC30" i="80"/>
  <c r="AD30" i="80"/>
  <c r="B9" i="80"/>
  <c r="AB34" i="78"/>
  <c r="AA34" i="78"/>
  <c r="AD34" i="78" s="1"/>
  <c r="AC35" i="78"/>
  <c r="AA35" i="78"/>
  <c r="AD35" i="78" s="1"/>
  <c r="AB30" i="78"/>
  <c r="AB29" i="78"/>
  <c r="AA29" i="78"/>
  <c r="AD29" i="78" s="1"/>
  <c r="AC30" i="78"/>
  <c r="AA30" i="78"/>
  <c r="AD30" i="78" s="1"/>
  <c r="B9" i="78"/>
  <c r="AB34" i="77"/>
  <c r="AA34" i="77"/>
  <c r="AB30" i="77"/>
  <c r="AC30" i="77" s="1"/>
  <c r="AB29" i="77"/>
  <c r="AA29" i="77"/>
  <c r="AD34" i="77"/>
  <c r="AC35" i="77"/>
  <c r="AD35" i="77"/>
  <c r="AD29" i="77"/>
  <c r="AD30" i="77"/>
  <c r="B9" i="77"/>
  <c r="AB34" i="76"/>
  <c r="AB30" i="76"/>
  <c r="AC30" i="76" s="1"/>
  <c r="AB29" i="76"/>
  <c r="AC35" i="76"/>
  <c r="AD29" i="76"/>
  <c r="AD30" i="76"/>
  <c r="B9" i="76"/>
  <c r="AB34" i="75"/>
  <c r="AA34" i="75"/>
  <c r="AD34" i="75" s="1"/>
  <c r="AB30" i="75"/>
  <c r="AB29" i="75"/>
  <c r="AA29" i="75"/>
  <c r="AC35" i="75"/>
  <c r="AD35" i="75"/>
  <c r="AD29" i="75"/>
  <c r="AC30" i="75"/>
  <c r="AD30" i="75"/>
  <c r="B9" i="75"/>
  <c r="AA30" i="73"/>
  <c r="AD30" i="73" s="1"/>
  <c r="AB30" i="73"/>
  <c r="AB29" i="73"/>
  <c r="AB34" i="73"/>
  <c r="AA34" i="73"/>
  <c r="AD34" i="73" s="1"/>
  <c r="AC35" i="73"/>
  <c r="AD35" i="73"/>
  <c r="AC30" i="73"/>
  <c r="B9" i="73"/>
  <c r="Y10" i="59"/>
  <c r="Y9" i="59"/>
  <c r="Y8" i="59"/>
  <c r="Y7" i="59"/>
  <c r="AA17" i="59" s="1"/>
  <c r="Z25" i="59"/>
  <c r="AA25" i="59" s="1"/>
  <c r="AD25" i="59" s="1"/>
  <c r="Z24" i="59"/>
  <c r="AA24" i="59" s="1"/>
  <c r="AD24" i="59" s="1"/>
  <c r="AA48" i="59"/>
  <c r="E7" i="8" l="1"/>
  <c r="L21" i="8"/>
  <c r="N21" i="8" s="1"/>
  <c r="L22" i="8"/>
  <c r="N22" i="8" s="1"/>
  <c r="L23" i="8"/>
  <c r="N23" i="8" s="1"/>
  <c r="L24" i="8"/>
  <c r="N24" i="8" s="1"/>
  <c r="L25" i="8"/>
  <c r="N25" i="8" s="1"/>
  <c r="L26" i="8"/>
  <c r="N26" i="8" s="1"/>
  <c r="L27" i="8"/>
  <c r="N27" i="8" s="1"/>
  <c r="L28" i="8"/>
  <c r="N28" i="8" s="1"/>
  <c r="L20" i="8"/>
  <c r="N20" i="8" s="1"/>
  <c r="R12" i="48"/>
  <c r="T12" i="48" s="1"/>
  <c r="L13" i="48"/>
  <c r="N13" i="48" s="1"/>
  <c r="I12" i="48"/>
  <c r="U12" i="48"/>
  <c r="AA10" i="48"/>
  <c r="AB10" i="48" s="1"/>
  <c r="C13" i="48"/>
  <c r="E13" i="48" s="1"/>
  <c r="Z29" i="59"/>
  <c r="I10" i="8"/>
  <c r="J10" i="8" s="1"/>
  <c r="K9" i="8"/>
  <c r="X12" i="48"/>
  <c r="Z11" i="48"/>
  <c r="O12" i="48"/>
  <c r="Q11" i="48"/>
  <c r="AC34" i="82"/>
  <c r="B10" i="82"/>
  <c r="AC29" i="82"/>
  <c r="AC34" i="81"/>
  <c r="B10" i="81"/>
  <c r="AC29" i="81"/>
  <c r="AB18" i="59"/>
  <c r="B10" i="80"/>
  <c r="AC29" i="80"/>
  <c r="AC34" i="80"/>
  <c r="B10" i="78"/>
  <c r="AC29" i="78"/>
  <c r="AC34" i="78"/>
  <c r="B10" i="77"/>
  <c r="AC29" i="77"/>
  <c r="AC34" i="77"/>
  <c r="B10" i="76"/>
  <c r="AC29" i="76"/>
  <c r="AC34" i="76"/>
  <c r="B10" i="75"/>
  <c r="AC29" i="75"/>
  <c r="AC34" i="75"/>
  <c r="AC34" i="73"/>
  <c r="B10" i="73"/>
  <c r="AC29" i="73"/>
  <c r="AB19" i="59"/>
  <c r="AC19" i="59"/>
  <c r="C8" i="53"/>
  <c r="Z30" i="59"/>
  <c r="AC30" i="59" s="1"/>
  <c r="Z35" i="59"/>
  <c r="AA35" i="59" s="1"/>
  <c r="AD35" i="59" s="1"/>
  <c r="Z34" i="59"/>
  <c r="AC25" i="59"/>
  <c r="AB24" i="59"/>
  <c r="AC24" i="59" s="1"/>
  <c r="R13" i="48" l="1"/>
  <c r="T13" i="48" s="1"/>
  <c r="K12" i="48"/>
  <c r="I13" i="48"/>
  <c r="K13" i="48" s="1"/>
  <c r="W12" i="48"/>
  <c r="U13" i="48"/>
  <c r="W13" i="48" s="1"/>
  <c r="H7" i="76"/>
  <c r="D7" i="76"/>
  <c r="E7" i="76"/>
  <c r="F7" i="76"/>
  <c r="G7" i="76"/>
  <c r="C7" i="76"/>
  <c r="H8" i="76"/>
  <c r="D8" i="76"/>
  <c r="E8" i="76"/>
  <c r="D7" i="59"/>
  <c r="G8" i="81"/>
  <c r="C8" i="81"/>
  <c r="I8" i="81" s="1"/>
  <c r="F8" i="81"/>
  <c r="G8" i="82"/>
  <c r="C8" i="82"/>
  <c r="I8" i="82" s="1"/>
  <c r="F8" i="82"/>
  <c r="E7" i="78"/>
  <c r="H7" i="78"/>
  <c r="D7" i="78"/>
  <c r="G7" i="77"/>
  <c r="C7" i="77"/>
  <c r="I7" i="77" s="1"/>
  <c r="F7" i="77"/>
  <c r="F7" i="75"/>
  <c r="G7" i="75"/>
  <c r="C7" i="75"/>
  <c r="I7" i="75" s="1"/>
  <c r="G7" i="73"/>
  <c r="C7" i="73"/>
  <c r="I7" i="73" s="1"/>
  <c r="F7" i="73"/>
  <c r="G7" i="81"/>
  <c r="C7" i="81"/>
  <c r="I7" i="81" s="1"/>
  <c r="F7" i="81"/>
  <c r="F7" i="80"/>
  <c r="G7" i="80"/>
  <c r="C7" i="80"/>
  <c r="I7" i="80" s="1"/>
  <c r="E7" i="82"/>
  <c r="H7" i="82"/>
  <c r="D7" i="82"/>
  <c r="H7" i="80"/>
  <c r="E7" i="80"/>
  <c r="G7" i="82"/>
  <c r="F7" i="82"/>
  <c r="F8" i="76"/>
  <c r="G8" i="76"/>
  <c r="A8" i="76" s="1"/>
  <c r="C8" i="76"/>
  <c r="F7" i="59"/>
  <c r="E7" i="59"/>
  <c r="C7" i="59"/>
  <c r="E8" i="81"/>
  <c r="H8" i="81"/>
  <c r="D8" i="81"/>
  <c r="E8" i="82"/>
  <c r="H8" i="82"/>
  <c r="D8" i="82"/>
  <c r="G7" i="78"/>
  <c r="C7" i="78"/>
  <c r="I7" i="78" s="1"/>
  <c r="F7" i="78"/>
  <c r="E7" i="77"/>
  <c r="H7" i="77"/>
  <c r="D7" i="77"/>
  <c r="H7" i="75"/>
  <c r="D7" i="75"/>
  <c r="E7" i="75"/>
  <c r="E7" i="73"/>
  <c r="H7" i="73"/>
  <c r="D7" i="73"/>
  <c r="E7" i="81"/>
  <c r="H7" i="81"/>
  <c r="D7" i="81"/>
  <c r="D7" i="80"/>
  <c r="C7" i="82"/>
  <c r="I7" i="82" s="1"/>
  <c r="D8" i="78"/>
  <c r="A8" i="78" s="1"/>
  <c r="H8" i="78"/>
  <c r="E8" i="78"/>
  <c r="C8" i="75"/>
  <c r="I8" i="75" s="1"/>
  <c r="G8" i="75"/>
  <c r="F8" i="75"/>
  <c r="C8" i="80"/>
  <c r="I8" i="80" s="1"/>
  <c r="G8" i="80"/>
  <c r="F8" i="80"/>
  <c r="F9" i="81"/>
  <c r="C9" i="81"/>
  <c r="G9" i="81"/>
  <c r="E9" i="80"/>
  <c r="D9" i="80"/>
  <c r="H9" i="80"/>
  <c r="F9" i="78"/>
  <c r="C9" i="78"/>
  <c r="G9" i="78"/>
  <c r="E9" i="76"/>
  <c r="D9" i="76"/>
  <c r="H9" i="76"/>
  <c r="F9" i="73"/>
  <c r="E9" i="73"/>
  <c r="L9" i="73" s="1"/>
  <c r="H9" i="73"/>
  <c r="F9" i="82"/>
  <c r="C9" i="82"/>
  <c r="G9" i="82"/>
  <c r="F9" i="77"/>
  <c r="C9" i="77"/>
  <c r="G9" i="77"/>
  <c r="E9" i="75"/>
  <c r="D9" i="75"/>
  <c r="H9" i="75"/>
  <c r="F8" i="77"/>
  <c r="C8" i="77"/>
  <c r="I8" i="77" s="1"/>
  <c r="G8" i="77"/>
  <c r="F8" i="73"/>
  <c r="C8" i="73"/>
  <c r="I8" i="73" s="1"/>
  <c r="G8" i="73"/>
  <c r="F8" i="78"/>
  <c r="C8" i="78"/>
  <c r="I8" i="78" s="1"/>
  <c r="G8" i="78"/>
  <c r="E8" i="75"/>
  <c r="D8" i="75"/>
  <c r="H8" i="75"/>
  <c r="E8" i="80"/>
  <c r="D8" i="80"/>
  <c r="H8" i="80"/>
  <c r="D9" i="81"/>
  <c r="H9" i="81"/>
  <c r="E9" i="81"/>
  <c r="L9" i="81" s="1"/>
  <c r="C9" i="80"/>
  <c r="G9" i="80"/>
  <c r="F9" i="80"/>
  <c r="D9" i="78"/>
  <c r="H9" i="78"/>
  <c r="E9" i="78"/>
  <c r="C9" i="76"/>
  <c r="G9" i="76"/>
  <c r="F9" i="76"/>
  <c r="D9" i="73"/>
  <c r="C9" i="73"/>
  <c r="G9" i="73"/>
  <c r="D9" i="82"/>
  <c r="H9" i="82"/>
  <c r="E9" i="82"/>
  <c r="L9" i="82" s="1"/>
  <c r="D9" i="77"/>
  <c r="H9" i="77"/>
  <c r="E9" i="77"/>
  <c r="C9" i="75"/>
  <c r="G9" i="75"/>
  <c r="F9" i="75"/>
  <c r="D8" i="77"/>
  <c r="H8" i="77"/>
  <c r="E8" i="77"/>
  <c r="D8" i="73"/>
  <c r="H8" i="73"/>
  <c r="E8" i="73"/>
  <c r="A8" i="75"/>
  <c r="AA11" i="48"/>
  <c r="AB11" i="48" s="1"/>
  <c r="A8" i="80"/>
  <c r="H10" i="75"/>
  <c r="F10" i="75"/>
  <c r="D10" i="75"/>
  <c r="G10" i="75"/>
  <c r="E10" i="75"/>
  <c r="C10" i="75"/>
  <c r="G10" i="77"/>
  <c r="E10" i="77"/>
  <c r="C10" i="77"/>
  <c r="H10" i="77"/>
  <c r="F10" i="77"/>
  <c r="D10" i="77"/>
  <c r="G10" i="78"/>
  <c r="E10" i="78"/>
  <c r="C10" i="78"/>
  <c r="H10" i="78"/>
  <c r="F10" i="78"/>
  <c r="D10" i="78"/>
  <c r="H10" i="73"/>
  <c r="F10" i="73"/>
  <c r="D10" i="73"/>
  <c r="E10" i="73"/>
  <c r="G10" i="73"/>
  <c r="C10" i="73"/>
  <c r="H10" i="76"/>
  <c r="F10" i="76"/>
  <c r="D10" i="76"/>
  <c r="G10" i="76"/>
  <c r="E10" i="76"/>
  <c r="C10" i="76"/>
  <c r="H10" i="80"/>
  <c r="F10" i="80"/>
  <c r="D10" i="80"/>
  <c r="G10" i="80"/>
  <c r="E10" i="80"/>
  <c r="C10" i="80"/>
  <c r="G10" i="81"/>
  <c r="E10" i="81"/>
  <c r="C10" i="81"/>
  <c r="H10" i="81"/>
  <c r="F10" i="81"/>
  <c r="D10" i="81"/>
  <c r="G10" i="82"/>
  <c r="T10" i="82" s="1"/>
  <c r="E10" i="82"/>
  <c r="C10" i="82"/>
  <c r="H10" i="82"/>
  <c r="F10" i="82"/>
  <c r="O10" i="82" s="1"/>
  <c r="D10" i="82"/>
  <c r="T10" i="80"/>
  <c r="AA30" i="59"/>
  <c r="AD30" i="59" s="1"/>
  <c r="A9" i="73"/>
  <c r="A9" i="76"/>
  <c r="A9" i="77"/>
  <c r="A9" i="78"/>
  <c r="A9" i="80"/>
  <c r="A7" i="81"/>
  <c r="A9" i="81"/>
  <c r="A7" i="82"/>
  <c r="A9" i="82"/>
  <c r="A7" i="75"/>
  <c r="A7" i="76"/>
  <c r="A9" i="75"/>
  <c r="A7" i="77"/>
  <c r="A7" i="78"/>
  <c r="A7" i="80"/>
  <c r="A7" i="73"/>
  <c r="I11" i="8"/>
  <c r="J11" i="8" s="1"/>
  <c r="K10" i="8"/>
  <c r="O13" i="48"/>
  <c r="Q13" i="48" s="1"/>
  <c r="Q12" i="48"/>
  <c r="X13" i="48"/>
  <c r="Z12" i="48"/>
  <c r="N7" i="82"/>
  <c r="J7" i="82"/>
  <c r="R10" i="82"/>
  <c r="R9" i="82"/>
  <c r="R8" i="82"/>
  <c r="R7" i="82"/>
  <c r="T7" i="82"/>
  <c r="S7" i="82"/>
  <c r="P7" i="82"/>
  <c r="T8" i="82"/>
  <c r="S8" i="82"/>
  <c r="P8" i="82"/>
  <c r="T9" i="82"/>
  <c r="S9" i="82"/>
  <c r="P9" i="82"/>
  <c r="O7" i="82"/>
  <c r="O8" i="82"/>
  <c r="O9" i="82"/>
  <c r="K9" i="82"/>
  <c r="I9" i="82"/>
  <c r="N9" i="82"/>
  <c r="M9" i="82"/>
  <c r="J9" i="82"/>
  <c r="B11" i="82"/>
  <c r="L10" i="82"/>
  <c r="N7" i="81"/>
  <c r="J7" i="81"/>
  <c r="R10" i="81"/>
  <c r="R9" i="81"/>
  <c r="R8" i="81"/>
  <c r="R7" i="81"/>
  <c r="T7" i="81"/>
  <c r="S7" i="81"/>
  <c r="P7" i="81"/>
  <c r="T8" i="81"/>
  <c r="S8" i="81"/>
  <c r="P8" i="81"/>
  <c r="T9" i="81"/>
  <c r="S9" i="81"/>
  <c r="P9" i="81"/>
  <c r="T10" i="81"/>
  <c r="S10" i="81"/>
  <c r="P10" i="81"/>
  <c r="O7" i="81"/>
  <c r="O8" i="81"/>
  <c r="O9" i="81"/>
  <c r="O10" i="81"/>
  <c r="K9" i="81"/>
  <c r="I9" i="81"/>
  <c r="N9" i="81"/>
  <c r="M9" i="81"/>
  <c r="J9" i="81"/>
  <c r="B11" i="81"/>
  <c r="L10" i="81"/>
  <c r="A10" i="81"/>
  <c r="L7" i="80"/>
  <c r="L9" i="80"/>
  <c r="N7" i="80"/>
  <c r="M7" i="80"/>
  <c r="J7" i="80"/>
  <c r="K7" i="80"/>
  <c r="R10" i="80"/>
  <c r="R9" i="80"/>
  <c r="R8" i="80"/>
  <c r="R7" i="80"/>
  <c r="T7" i="80"/>
  <c r="S7" i="80"/>
  <c r="P7" i="80"/>
  <c r="T8" i="80"/>
  <c r="S8" i="80"/>
  <c r="P8" i="80"/>
  <c r="T9" i="80"/>
  <c r="S9" i="80"/>
  <c r="P9" i="80"/>
  <c r="O7" i="80"/>
  <c r="O8" i="80"/>
  <c r="O9" i="80"/>
  <c r="O10" i="80"/>
  <c r="I9" i="80"/>
  <c r="N9" i="80"/>
  <c r="J9" i="80"/>
  <c r="B11" i="80"/>
  <c r="L10" i="80"/>
  <c r="L7" i="78"/>
  <c r="L9" i="78"/>
  <c r="N7" i="78"/>
  <c r="M7" i="78"/>
  <c r="J7" i="78"/>
  <c r="K7" i="78"/>
  <c r="R10" i="78"/>
  <c r="R9" i="78"/>
  <c r="R8" i="78"/>
  <c r="R7" i="78"/>
  <c r="T7" i="78"/>
  <c r="S7" i="78"/>
  <c r="P7" i="78"/>
  <c r="T8" i="78"/>
  <c r="S8" i="78"/>
  <c r="P8" i="78"/>
  <c r="T9" i="78"/>
  <c r="S9" i="78"/>
  <c r="P9" i="78"/>
  <c r="T10" i="78"/>
  <c r="S10" i="78"/>
  <c r="P10" i="78"/>
  <c r="O7" i="78"/>
  <c r="O8" i="78"/>
  <c r="O9" i="78"/>
  <c r="O10" i="78"/>
  <c r="I9" i="78"/>
  <c r="N9" i="78"/>
  <c r="J9" i="78"/>
  <c r="B11" i="78"/>
  <c r="L10" i="78"/>
  <c r="A10" i="78"/>
  <c r="L7" i="77"/>
  <c r="L9" i="77"/>
  <c r="N7" i="77"/>
  <c r="M7" i="77"/>
  <c r="J7" i="77"/>
  <c r="K7" i="77"/>
  <c r="R10" i="77"/>
  <c r="R9" i="77"/>
  <c r="R8" i="77"/>
  <c r="R7" i="77"/>
  <c r="T7" i="77"/>
  <c r="S7" i="77"/>
  <c r="P7" i="77"/>
  <c r="T8" i="77"/>
  <c r="S8" i="77"/>
  <c r="P8" i="77"/>
  <c r="T9" i="77"/>
  <c r="S9" i="77"/>
  <c r="P9" i="77"/>
  <c r="T10" i="77"/>
  <c r="S10" i="77"/>
  <c r="P10" i="77"/>
  <c r="O7" i="77"/>
  <c r="O8" i="77"/>
  <c r="O9" i="77"/>
  <c r="O10" i="77"/>
  <c r="I9" i="77"/>
  <c r="N9" i="77"/>
  <c r="J9" i="77"/>
  <c r="B11" i="77"/>
  <c r="L10" i="77"/>
  <c r="A10" i="77"/>
  <c r="M9" i="76"/>
  <c r="M7" i="76"/>
  <c r="R10" i="76"/>
  <c r="R9" i="76"/>
  <c r="R8" i="76"/>
  <c r="R7" i="76"/>
  <c r="T7" i="76"/>
  <c r="S7" i="76"/>
  <c r="P7" i="76"/>
  <c r="T8" i="76"/>
  <c r="S8" i="76"/>
  <c r="P8" i="76"/>
  <c r="T9" i="76"/>
  <c r="S9" i="76"/>
  <c r="P9" i="76"/>
  <c r="T10" i="76"/>
  <c r="S10" i="76"/>
  <c r="P10" i="76"/>
  <c r="O7" i="76"/>
  <c r="O8" i="76"/>
  <c r="O9" i="76"/>
  <c r="O10" i="76"/>
  <c r="B11" i="76"/>
  <c r="A10" i="76"/>
  <c r="L7" i="75"/>
  <c r="L9" i="75"/>
  <c r="N7" i="75"/>
  <c r="J7" i="75"/>
  <c r="R10" i="75"/>
  <c r="R9" i="75"/>
  <c r="R8" i="75"/>
  <c r="R7" i="75"/>
  <c r="T7" i="75"/>
  <c r="P7" i="75"/>
  <c r="T8" i="75"/>
  <c r="S8" i="75"/>
  <c r="P8" i="75"/>
  <c r="T9" i="75"/>
  <c r="S9" i="75"/>
  <c r="P9" i="75"/>
  <c r="T10" i="75"/>
  <c r="S10" i="75"/>
  <c r="P10" i="75"/>
  <c r="O7" i="75"/>
  <c r="O8" i="75"/>
  <c r="O9" i="75"/>
  <c r="O10" i="75"/>
  <c r="I9" i="75"/>
  <c r="N9" i="75"/>
  <c r="J9" i="75"/>
  <c r="B11" i="75"/>
  <c r="L10" i="75"/>
  <c r="A10" i="75"/>
  <c r="N7" i="73"/>
  <c r="J7" i="73"/>
  <c r="R10" i="73"/>
  <c r="R9" i="73"/>
  <c r="R8" i="73"/>
  <c r="R7" i="73"/>
  <c r="T7" i="73"/>
  <c r="P7" i="73"/>
  <c r="T8" i="73"/>
  <c r="P8" i="73"/>
  <c r="T9" i="73"/>
  <c r="S9" i="73"/>
  <c r="P9" i="73"/>
  <c r="T10" i="73"/>
  <c r="P10" i="73"/>
  <c r="O7" i="73"/>
  <c r="Q8" i="73"/>
  <c r="O8" i="73"/>
  <c r="O9" i="73"/>
  <c r="O10" i="73"/>
  <c r="K9" i="73"/>
  <c r="I9" i="73"/>
  <c r="N9" i="73"/>
  <c r="M9" i="73"/>
  <c r="J9" i="73"/>
  <c r="B11" i="73"/>
  <c r="L10" i="73"/>
  <c r="A10" i="73"/>
  <c r="AA52" i="59"/>
  <c r="AC18" i="59"/>
  <c r="AA53" i="59" s="1"/>
  <c r="AC35" i="59"/>
  <c r="AB29" i="59"/>
  <c r="G7" i="59" s="1"/>
  <c r="AA29" i="59"/>
  <c r="AD29" i="59" s="1"/>
  <c r="AB34" i="59"/>
  <c r="AA34" i="59"/>
  <c r="AD34" i="59" s="1"/>
  <c r="J8" i="73" l="1"/>
  <c r="N8" i="73"/>
  <c r="N8" i="75"/>
  <c r="J8" i="75"/>
  <c r="A8" i="77"/>
  <c r="J8" i="81"/>
  <c r="N8" i="81"/>
  <c r="A8" i="82"/>
  <c r="N8" i="77"/>
  <c r="J8" i="77"/>
  <c r="J8" i="80"/>
  <c r="N8" i="80"/>
  <c r="A8" i="73"/>
  <c r="J8" i="78"/>
  <c r="N8" i="78"/>
  <c r="N8" i="82"/>
  <c r="J8" i="82"/>
  <c r="A8" i="81"/>
  <c r="S10" i="82"/>
  <c r="A10" i="82"/>
  <c r="P10" i="82"/>
  <c r="H11" i="73"/>
  <c r="F11" i="73"/>
  <c r="D11" i="73"/>
  <c r="G11" i="73"/>
  <c r="C11" i="73"/>
  <c r="E11" i="73"/>
  <c r="H11" i="75"/>
  <c r="F11" i="75"/>
  <c r="D11" i="75"/>
  <c r="G11" i="75"/>
  <c r="E11" i="75"/>
  <c r="C11" i="75"/>
  <c r="H11" i="76"/>
  <c r="F11" i="76"/>
  <c r="D11" i="76"/>
  <c r="G11" i="76"/>
  <c r="E11" i="76"/>
  <c r="C11" i="76"/>
  <c r="G11" i="77"/>
  <c r="E11" i="77"/>
  <c r="C11" i="77"/>
  <c r="H11" i="77"/>
  <c r="F11" i="77"/>
  <c r="D11" i="77"/>
  <c r="G11" i="78"/>
  <c r="E11" i="78"/>
  <c r="C11" i="78"/>
  <c r="H11" i="78"/>
  <c r="F11" i="78"/>
  <c r="D11" i="78"/>
  <c r="G11" i="81"/>
  <c r="E11" i="81"/>
  <c r="C11" i="81"/>
  <c r="H11" i="81"/>
  <c r="F11" i="81"/>
  <c r="D11" i="81"/>
  <c r="G11" i="82"/>
  <c r="E11" i="82"/>
  <c r="C11" i="82"/>
  <c r="H11" i="82"/>
  <c r="F11" i="82"/>
  <c r="D11" i="82"/>
  <c r="H11" i="80"/>
  <c r="F11" i="80"/>
  <c r="D11" i="80"/>
  <c r="G11" i="80"/>
  <c r="E11" i="80"/>
  <c r="C11" i="80"/>
  <c r="C7" i="8"/>
  <c r="D7" i="8" s="1"/>
  <c r="S7" i="75"/>
  <c r="S10" i="80"/>
  <c r="K7" i="75"/>
  <c r="A10" i="80"/>
  <c r="P10" i="80"/>
  <c r="Q10" i="80"/>
  <c r="M7" i="75"/>
  <c r="Q10" i="73"/>
  <c r="Q9" i="82"/>
  <c r="S10" i="73"/>
  <c r="S8" i="73"/>
  <c r="Q10" i="75"/>
  <c r="Q10" i="77"/>
  <c r="S7" i="73"/>
  <c r="Q10" i="81"/>
  <c r="Q10" i="76"/>
  <c r="Q10" i="78"/>
  <c r="Q9" i="73"/>
  <c r="Q7" i="73"/>
  <c r="Q8" i="75"/>
  <c r="Q8" i="76"/>
  <c r="Q8" i="77"/>
  <c r="Q8" i="78"/>
  <c r="Q8" i="80"/>
  <c r="Q8" i="81"/>
  <c r="Q10" i="82"/>
  <c r="Q8" i="82"/>
  <c r="Q9" i="75"/>
  <c r="Q7" i="75"/>
  <c r="U7" i="75" s="1"/>
  <c r="Q9" i="76"/>
  <c r="Q7" i="76"/>
  <c r="Q9" i="77"/>
  <c r="Q7" i="77"/>
  <c r="U7" i="77" s="1"/>
  <c r="Q9" i="78"/>
  <c r="Q7" i="78"/>
  <c r="Q9" i="80"/>
  <c r="Q7" i="80"/>
  <c r="U7" i="80" s="1"/>
  <c r="Q9" i="81"/>
  <c r="U9" i="81" s="1"/>
  <c r="V9" i="81" s="1"/>
  <c r="Q7" i="81"/>
  <c r="Q7" i="82"/>
  <c r="M9" i="77"/>
  <c r="M9" i="80"/>
  <c r="M9" i="75"/>
  <c r="M9" i="78"/>
  <c r="K9" i="75"/>
  <c r="K9" i="77"/>
  <c r="K9" i="78"/>
  <c r="K9" i="80"/>
  <c r="U9" i="80" s="1"/>
  <c r="V9" i="80" s="1"/>
  <c r="K11" i="8"/>
  <c r="L8" i="82"/>
  <c r="K8" i="82"/>
  <c r="M8" i="82"/>
  <c r="L7" i="82"/>
  <c r="K7" i="82"/>
  <c r="M7" i="82"/>
  <c r="AA12" i="48"/>
  <c r="AB12" i="48" s="1"/>
  <c r="Z13" i="48"/>
  <c r="AA13" i="48" s="1"/>
  <c r="AB13" i="48" s="1"/>
  <c r="K10" i="82"/>
  <c r="I10" i="82"/>
  <c r="N10" i="82"/>
  <c r="M10" i="82"/>
  <c r="J10" i="82"/>
  <c r="B12" i="82"/>
  <c r="L11" i="82"/>
  <c r="R11" i="82"/>
  <c r="U9" i="82"/>
  <c r="V9" i="82" s="1"/>
  <c r="L8" i="81"/>
  <c r="K8" i="81"/>
  <c r="M8" i="81"/>
  <c r="L7" i="81"/>
  <c r="K7" i="81"/>
  <c r="M7" i="81"/>
  <c r="K10" i="81"/>
  <c r="I10" i="81"/>
  <c r="N10" i="81"/>
  <c r="M10" i="81"/>
  <c r="J10" i="81"/>
  <c r="B12" i="81"/>
  <c r="L11" i="81"/>
  <c r="R11" i="81"/>
  <c r="K10" i="80"/>
  <c r="I10" i="80"/>
  <c r="N10" i="80"/>
  <c r="M10" i="80"/>
  <c r="J10" i="80"/>
  <c r="B12" i="80"/>
  <c r="L11" i="80"/>
  <c r="R11" i="80"/>
  <c r="L8" i="80"/>
  <c r="K8" i="80"/>
  <c r="M8" i="80"/>
  <c r="K10" i="78"/>
  <c r="I10" i="78"/>
  <c r="N10" i="78"/>
  <c r="M10" i="78"/>
  <c r="J10" i="78"/>
  <c r="B12" i="78"/>
  <c r="L11" i="78"/>
  <c r="R11" i="78"/>
  <c r="U7" i="78"/>
  <c r="L8" i="78"/>
  <c r="K8" i="78"/>
  <c r="M8" i="78"/>
  <c r="K10" i="77"/>
  <c r="I10" i="77"/>
  <c r="N10" i="77"/>
  <c r="M10" i="77"/>
  <c r="J10" i="77"/>
  <c r="B12" i="77"/>
  <c r="L11" i="77"/>
  <c r="R11" i="77"/>
  <c r="U9" i="77"/>
  <c r="V9" i="77" s="1"/>
  <c r="L8" i="77"/>
  <c r="K8" i="77"/>
  <c r="M8" i="77"/>
  <c r="M10" i="76"/>
  <c r="B12" i="76"/>
  <c r="R11" i="76"/>
  <c r="U9" i="76"/>
  <c r="V9" i="76" s="1"/>
  <c r="U7" i="76"/>
  <c r="M8" i="76"/>
  <c r="K10" i="75"/>
  <c r="I10" i="75"/>
  <c r="N10" i="75"/>
  <c r="M10" i="75"/>
  <c r="J10" i="75"/>
  <c r="B12" i="75"/>
  <c r="L11" i="75"/>
  <c r="R11" i="75"/>
  <c r="L8" i="75"/>
  <c r="K8" i="75"/>
  <c r="M8" i="75"/>
  <c r="L8" i="73"/>
  <c r="K8" i="73"/>
  <c r="M8" i="73"/>
  <c r="L7" i="73"/>
  <c r="K7" i="73"/>
  <c r="M7" i="73"/>
  <c r="K10" i="73"/>
  <c r="I10" i="73"/>
  <c r="N10" i="73"/>
  <c r="M10" i="73"/>
  <c r="J10" i="73"/>
  <c r="B12" i="73"/>
  <c r="L11" i="73"/>
  <c r="R11" i="73"/>
  <c r="U9" i="73"/>
  <c r="V9" i="73" s="1"/>
  <c r="O7" i="59"/>
  <c r="AC34" i="59"/>
  <c r="N7" i="59"/>
  <c r="AC29" i="59"/>
  <c r="H7" i="59" s="1"/>
  <c r="A7" i="59"/>
  <c r="G12" i="82" l="1"/>
  <c r="E12" i="82"/>
  <c r="C12" i="82"/>
  <c r="H12" i="82"/>
  <c r="F12" i="82"/>
  <c r="D12" i="82"/>
  <c r="H12" i="73"/>
  <c r="F12" i="73"/>
  <c r="D12" i="73"/>
  <c r="E12" i="73"/>
  <c r="G12" i="73"/>
  <c r="C12" i="73"/>
  <c r="H12" i="75"/>
  <c r="F12" i="75"/>
  <c r="D12" i="75"/>
  <c r="G12" i="75"/>
  <c r="E12" i="75"/>
  <c r="C12" i="75"/>
  <c r="H12" i="76"/>
  <c r="F12" i="76"/>
  <c r="D12" i="76"/>
  <c r="G12" i="76"/>
  <c r="E12" i="76"/>
  <c r="C12" i="76"/>
  <c r="G12" i="77"/>
  <c r="E12" i="77"/>
  <c r="C12" i="77"/>
  <c r="H12" i="77"/>
  <c r="F12" i="77"/>
  <c r="D12" i="77"/>
  <c r="G12" i="78"/>
  <c r="E12" i="78"/>
  <c r="C12" i="78"/>
  <c r="H12" i="78"/>
  <c r="R12" i="78" s="1"/>
  <c r="F12" i="78"/>
  <c r="D12" i="78"/>
  <c r="H12" i="80"/>
  <c r="F12" i="80"/>
  <c r="D12" i="80"/>
  <c r="G12" i="80"/>
  <c r="E12" i="80"/>
  <c r="C12" i="80"/>
  <c r="G12" i="81"/>
  <c r="E12" i="81"/>
  <c r="C12" i="81"/>
  <c r="H12" i="81"/>
  <c r="R12" i="81" s="1"/>
  <c r="F12" i="81"/>
  <c r="D12" i="81"/>
  <c r="U9" i="75"/>
  <c r="V9" i="75" s="1"/>
  <c r="U7" i="82"/>
  <c r="U9" i="78"/>
  <c r="V9" i="78" s="1"/>
  <c r="U7" i="81"/>
  <c r="A11" i="73"/>
  <c r="U7" i="73"/>
  <c r="V7" i="73" s="1"/>
  <c r="A11" i="76"/>
  <c r="A11" i="78"/>
  <c r="A11" i="75"/>
  <c r="A11" i="77"/>
  <c r="A11" i="80"/>
  <c r="A11" i="81"/>
  <c r="A11" i="82"/>
  <c r="J12" i="8"/>
  <c r="U8" i="82"/>
  <c r="V7" i="82"/>
  <c r="T11" i="82"/>
  <c r="S11" i="82"/>
  <c r="P11" i="82"/>
  <c r="Q11" i="82"/>
  <c r="O11" i="82"/>
  <c r="K11" i="82"/>
  <c r="I11" i="82"/>
  <c r="N11" i="82"/>
  <c r="M11" i="82"/>
  <c r="J11" i="82"/>
  <c r="B13" i="82"/>
  <c r="L12" i="82"/>
  <c r="R12" i="82"/>
  <c r="U10" i="82"/>
  <c r="U8" i="81"/>
  <c r="V7" i="81"/>
  <c r="T11" i="81"/>
  <c r="S11" i="81"/>
  <c r="P11" i="81"/>
  <c r="Q11" i="81"/>
  <c r="O11" i="81"/>
  <c r="K11" i="81"/>
  <c r="I11" i="81"/>
  <c r="N11" i="81"/>
  <c r="M11" i="81"/>
  <c r="J11" i="81"/>
  <c r="B13" i="81"/>
  <c r="L12" i="81"/>
  <c r="U10" i="81"/>
  <c r="U8" i="80"/>
  <c r="V7" i="80"/>
  <c r="T11" i="80"/>
  <c r="S11" i="80"/>
  <c r="P11" i="80"/>
  <c r="Q11" i="80"/>
  <c r="O11" i="80"/>
  <c r="K11" i="80"/>
  <c r="I11" i="80"/>
  <c r="N11" i="80"/>
  <c r="M11" i="80"/>
  <c r="J11" i="80"/>
  <c r="B13" i="80"/>
  <c r="L12" i="80"/>
  <c r="R12" i="80"/>
  <c r="U10" i="80"/>
  <c r="U8" i="78"/>
  <c r="V7" i="78"/>
  <c r="T11" i="78"/>
  <c r="S11" i="78"/>
  <c r="P11" i="78"/>
  <c r="Q11" i="78"/>
  <c r="O11" i="78"/>
  <c r="K11" i="78"/>
  <c r="I11" i="78"/>
  <c r="N11" i="78"/>
  <c r="M11" i="78"/>
  <c r="J11" i="78"/>
  <c r="B13" i="78"/>
  <c r="L12" i="78"/>
  <c r="U10" i="78"/>
  <c r="U8" i="77"/>
  <c r="V7" i="77"/>
  <c r="T11" i="77"/>
  <c r="S11" i="77"/>
  <c r="P11" i="77"/>
  <c r="Q11" i="77"/>
  <c r="O11" i="77"/>
  <c r="K11" i="77"/>
  <c r="I11" i="77"/>
  <c r="N11" i="77"/>
  <c r="M11" i="77"/>
  <c r="J11" i="77"/>
  <c r="B13" i="77"/>
  <c r="L12" i="77"/>
  <c r="R12" i="77"/>
  <c r="U10" i="77"/>
  <c r="U8" i="76"/>
  <c r="V7" i="76"/>
  <c r="T11" i="76"/>
  <c r="S11" i="76"/>
  <c r="P11" i="76"/>
  <c r="Q11" i="76"/>
  <c r="O11" i="76"/>
  <c r="M11" i="76"/>
  <c r="B13" i="76"/>
  <c r="R12" i="76"/>
  <c r="U10" i="76"/>
  <c r="U8" i="75"/>
  <c r="V7" i="75"/>
  <c r="T11" i="75"/>
  <c r="S11" i="75"/>
  <c r="P11" i="75"/>
  <c r="Q11" i="75"/>
  <c r="O11" i="75"/>
  <c r="K11" i="75"/>
  <c r="I11" i="75"/>
  <c r="N11" i="75"/>
  <c r="M11" i="75"/>
  <c r="J11" i="75"/>
  <c r="B13" i="75"/>
  <c r="L12" i="75"/>
  <c r="R12" i="75"/>
  <c r="U10" i="75"/>
  <c r="U8" i="73"/>
  <c r="T11" i="73"/>
  <c r="S11" i="73"/>
  <c r="P11" i="73"/>
  <c r="Q11" i="73"/>
  <c r="O11" i="73"/>
  <c r="K11" i="73"/>
  <c r="I11" i="73"/>
  <c r="N11" i="73"/>
  <c r="M11" i="73"/>
  <c r="J11" i="73"/>
  <c r="B13" i="73"/>
  <c r="L12" i="73"/>
  <c r="R12" i="73"/>
  <c r="U10" i="73"/>
  <c r="T7" i="59"/>
  <c r="I7" i="59"/>
  <c r="R7" i="59"/>
  <c r="L7" i="59"/>
  <c r="K12" i="85" l="1"/>
  <c r="J12" i="85"/>
  <c r="I13" i="85"/>
  <c r="H12" i="85"/>
  <c r="G12" i="85"/>
  <c r="F14" i="85"/>
  <c r="E13" i="85"/>
  <c r="D14" i="85"/>
  <c r="H13" i="73"/>
  <c r="F13" i="73"/>
  <c r="D13" i="73"/>
  <c r="G13" i="73"/>
  <c r="C13" i="73"/>
  <c r="E13" i="73"/>
  <c r="H13" i="75"/>
  <c r="F13" i="75"/>
  <c r="D13" i="75"/>
  <c r="G13" i="75"/>
  <c r="E13" i="75"/>
  <c r="C13" i="75"/>
  <c r="H13" i="76"/>
  <c r="F13" i="76"/>
  <c r="D13" i="76"/>
  <c r="G13" i="76"/>
  <c r="E13" i="76"/>
  <c r="C13" i="76"/>
  <c r="G13" i="77"/>
  <c r="E13" i="77"/>
  <c r="C13" i="77"/>
  <c r="H13" i="77"/>
  <c r="F13" i="77"/>
  <c r="D13" i="77"/>
  <c r="G13" i="78"/>
  <c r="E13" i="78"/>
  <c r="C13" i="78"/>
  <c r="H13" i="78"/>
  <c r="F13" i="78"/>
  <c r="D13" i="78"/>
  <c r="G13" i="80"/>
  <c r="E13" i="80"/>
  <c r="H13" i="80"/>
  <c r="D13" i="80"/>
  <c r="F13" i="80"/>
  <c r="C13" i="80"/>
  <c r="G13" i="81"/>
  <c r="E13" i="81"/>
  <c r="C13" i="81"/>
  <c r="H13" i="81"/>
  <c r="F13" i="81"/>
  <c r="D13" i="81"/>
  <c r="G13" i="82"/>
  <c r="E13" i="82"/>
  <c r="L13" i="82" s="1"/>
  <c r="C13" i="82"/>
  <c r="H13" i="82"/>
  <c r="F13" i="82"/>
  <c r="D13" i="82"/>
  <c r="A12" i="75"/>
  <c r="A12" i="77"/>
  <c r="A12" i="76"/>
  <c r="A12" i="73"/>
  <c r="A12" i="78"/>
  <c r="A12" i="80"/>
  <c r="A12" i="81"/>
  <c r="A12" i="82"/>
  <c r="V8" i="73"/>
  <c r="V8" i="75"/>
  <c r="V8" i="77"/>
  <c r="V8" i="78"/>
  <c r="V8" i="80"/>
  <c r="V8" i="81"/>
  <c r="V8" i="82"/>
  <c r="V8" i="76"/>
  <c r="V10" i="82"/>
  <c r="T12" i="82"/>
  <c r="S12" i="82"/>
  <c r="P12" i="82"/>
  <c r="Q12" i="82"/>
  <c r="O12" i="82"/>
  <c r="K12" i="82"/>
  <c r="I12" i="82"/>
  <c r="N12" i="82"/>
  <c r="M12" i="82"/>
  <c r="J12" i="82"/>
  <c r="B14" i="82"/>
  <c r="R13" i="82"/>
  <c r="U11" i="82"/>
  <c r="V10" i="81"/>
  <c r="T12" i="81"/>
  <c r="S12" i="81"/>
  <c r="P12" i="81"/>
  <c r="Q12" i="81"/>
  <c r="O12" i="81"/>
  <c r="K12" i="81"/>
  <c r="I12" i="81"/>
  <c r="N12" i="81"/>
  <c r="M12" i="81"/>
  <c r="J12" i="81"/>
  <c r="B14" i="81"/>
  <c r="L13" i="81"/>
  <c r="R13" i="81"/>
  <c r="U11" i="81"/>
  <c r="V10" i="80"/>
  <c r="T12" i="80"/>
  <c r="S12" i="80"/>
  <c r="P12" i="80"/>
  <c r="Q12" i="80"/>
  <c r="O12" i="80"/>
  <c r="K12" i="80"/>
  <c r="I12" i="80"/>
  <c r="N12" i="80"/>
  <c r="M12" i="80"/>
  <c r="J12" i="80"/>
  <c r="B14" i="80"/>
  <c r="L13" i="80"/>
  <c r="R13" i="80"/>
  <c r="U11" i="80"/>
  <c r="V10" i="78"/>
  <c r="T12" i="78"/>
  <c r="S12" i="78"/>
  <c r="P12" i="78"/>
  <c r="Q12" i="78"/>
  <c r="O12" i="78"/>
  <c r="K12" i="78"/>
  <c r="I12" i="78"/>
  <c r="N12" i="78"/>
  <c r="M12" i="78"/>
  <c r="J12" i="78"/>
  <c r="B14" i="78"/>
  <c r="L13" i="78"/>
  <c r="R13" i="78"/>
  <c r="U11" i="78"/>
  <c r="V10" i="77"/>
  <c r="T12" i="77"/>
  <c r="S12" i="77"/>
  <c r="P12" i="77"/>
  <c r="Q12" i="77"/>
  <c r="O12" i="77"/>
  <c r="K12" i="77"/>
  <c r="I12" i="77"/>
  <c r="N12" i="77"/>
  <c r="M12" i="77"/>
  <c r="J12" i="77"/>
  <c r="B14" i="77"/>
  <c r="L13" i="77"/>
  <c r="R13" i="77"/>
  <c r="U11" i="77"/>
  <c r="V10" i="76"/>
  <c r="T12" i="76"/>
  <c r="S12" i="76"/>
  <c r="P12" i="76"/>
  <c r="Q12" i="76"/>
  <c r="O12" i="76"/>
  <c r="M12" i="76"/>
  <c r="B14" i="76"/>
  <c r="R13" i="76"/>
  <c r="U11" i="76"/>
  <c r="V10" i="75"/>
  <c r="T12" i="75"/>
  <c r="S12" i="75"/>
  <c r="P12" i="75"/>
  <c r="Q12" i="75"/>
  <c r="O12" i="75"/>
  <c r="K12" i="75"/>
  <c r="I12" i="75"/>
  <c r="N12" i="75"/>
  <c r="M12" i="75"/>
  <c r="J12" i="75"/>
  <c r="B14" i="75"/>
  <c r="L13" i="75"/>
  <c r="R13" i="75"/>
  <c r="U11" i="75"/>
  <c r="V10" i="73"/>
  <c r="T12" i="73"/>
  <c r="S12" i="73"/>
  <c r="P12" i="73"/>
  <c r="Q12" i="73"/>
  <c r="O12" i="73"/>
  <c r="K12" i="73"/>
  <c r="I12" i="73"/>
  <c r="N12" i="73"/>
  <c r="M12" i="73"/>
  <c r="J12" i="73"/>
  <c r="B14" i="73"/>
  <c r="L13" i="73"/>
  <c r="R13" i="73"/>
  <c r="U11" i="73"/>
  <c r="Q7" i="59"/>
  <c r="K7" i="59"/>
  <c r="S7" i="59"/>
  <c r="M7" i="59"/>
  <c r="K13" i="85" l="1"/>
  <c r="J13" i="85"/>
  <c r="I14" i="85"/>
  <c r="H13" i="85"/>
  <c r="G13" i="85"/>
  <c r="F15" i="85"/>
  <c r="E14" i="85"/>
  <c r="D15" i="85"/>
  <c r="H14" i="73"/>
  <c r="F14" i="73"/>
  <c r="D14" i="73"/>
  <c r="E14" i="73"/>
  <c r="G14" i="73"/>
  <c r="C14" i="73"/>
  <c r="G14" i="77"/>
  <c r="E14" i="77"/>
  <c r="C14" i="77"/>
  <c r="H14" i="77"/>
  <c r="R14" i="77" s="1"/>
  <c r="F14" i="77"/>
  <c r="D14" i="77"/>
  <c r="G14" i="80"/>
  <c r="E14" i="80"/>
  <c r="C14" i="80"/>
  <c r="F14" i="80"/>
  <c r="H14" i="80"/>
  <c r="D14" i="80"/>
  <c r="G14" i="82"/>
  <c r="E14" i="82"/>
  <c r="L14" i="82" s="1"/>
  <c r="C14" i="82"/>
  <c r="H14" i="82"/>
  <c r="F14" i="82"/>
  <c r="D14" i="82"/>
  <c r="H14" i="75"/>
  <c r="F14" i="75"/>
  <c r="D14" i="75"/>
  <c r="G14" i="75"/>
  <c r="E14" i="75"/>
  <c r="C14" i="75"/>
  <c r="H14" i="76"/>
  <c r="F14" i="76"/>
  <c r="D14" i="76"/>
  <c r="G14" i="76"/>
  <c r="E14" i="76"/>
  <c r="C14" i="76"/>
  <c r="G14" i="78"/>
  <c r="E14" i="78"/>
  <c r="L14" i="78" s="1"/>
  <c r="C14" i="78"/>
  <c r="H14" i="78"/>
  <c r="R14" i="78" s="1"/>
  <c r="F14" i="78"/>
  <c r="D14" i="78"/>
  <c r="G14" i="81"/>
  <c r="E14" i="81"/>
  <c r="C14" i="81"/>
  <c r="H14" i="81"/>
  <c r="R14" i="81" s="1"/>
  <c r="F14" i="81"/>
  <c r="D14" i="81"/>
  <c r="A13" i="73"/>
  <c r="A13" i="76"/>
  <c r="A13" i="78"/>
  <c r="K14" i="85" s="1"/>
  <c r="A13" i="81"/>
  <c r="A13" i="75"/>
  <c r="H14" i="85" s="1"/>
  <c r="A13" i="77"/>
  <c r="A13" i="80"/>
  <c r="D16" i="85" s="1"/>
  <c r="A13" i="82"/>
  <c r="V11" i="82"/>
  <c r="T13" i="82"/>
  <c r="S13" i="82"/>
  <c r="P13" i="82"/>
  <c r="Q13" i="82"/>
  <c r="O13" i="82"/>
  <c r="K13" i="82"/>
  <c r="I13" i="82"/>
  <c r="N13" i="82"/>
  <c r="M13" i="82"/>
  <c r="J13" i="82"/>
  <c r="B15" i="82"/>
  <c r="R14" i="82"/>
  <c r="U12" i="82"/>
  <c r="V11" i="81"/>
  <c r="T13" i="81"/>
  <c r="S13" i="81"/>
  <c r="P13" i="81"/>
  <c r="Q13" i="81"/>
  <c r="O13" i="81"/>
  <c r="K13" i="81"/>
  <c r="I13" i="81"/>
  <c r="N13" i="81"/>
  <c r="M13" i="81"/>
  <c r="J13" i="81"/>
  <c r="B15" i="81"/>
  <c r="L14" i="81"/>
  <c r="U12" i="81"/>
  <c r="V11" i="80"/>
  <c r="T13" i="80"/>
  <c r="S13" i="80"/>
  <c r="P13" i="80"/>
  <c r="Q13" i="80"/>
  <c r="O13" i="80"/>
  <c r="K13" i="80"/>
  <c r="I13" i="80"/>
  <c r="N13" i="80"/>
  <c r="M13" i="80"/>
  <c r="J13" i="80"/>
  <c r="B15" i="80"/>
  <c r="L14" i="80"/>
  <c r="R14" i="80"/>
  <c r="U12" i="80"/>
  <c r="V11" i="78"/>
  <c r="T13" i="78"/>
  <c r="S13" i="78"/>
  <c r="P13" i="78"/>
  <c r="Q13" i="78"/>
  <c r="O13" i="78"/>
  <c r="K13" i="78"/>
  <c r="I13" i="78"/>
  <c r="N13" i="78"/>
  <c r="M13" i="78"/>
  <c r="J13" i="78"/>
  <c r="B15" i="78"/>
  <c r="U12" i="78"/>
  <c r="V11" i="77"/>
  <c r="T13" i="77"/>
  <c r="S13" i="77"/>
  <c r="P13" i="77"/>
  <c r="Q13" i="77"/>
  <c r="O13" i="77"/>
  <c r="K13" i="77"/>
  <c r="I13" i="77"/>
  <c r="N13" i="77"/>
  <c r="M13" i="77"/>
  <c r="J13" i="77"/>
  <c r="B15" i="77"/>
  <c r="L14" i="77"/>
  <c r="U12" i="77"/>
  <c r="V11" i="76"/>
  <c r="T13" i="76"/>
  <c r="S13" i="76"/>
  <c r="P13" i="76"/>
  <c r="Q13" i="76"/>
  <c r="O13" i="76"/>
  <c r="M13" i="76"/>
  <c r="B15" i="76"/>
  <c r="R14" i="76"/>
  <c r="U12" i="76"/>
  <c r="V11" i="75"/>
  <c r="T13" i="75"/>
  <c r="S13" i="75"/>
  <c r="P13" i="75"/>
  <c r="Q13" i="75"/>
  <c r="O13" i="75"/>
  <c r="K13" i="75"/>
  <c r="I13" i="75"/>
  <c r="N13" i="75"/>
  <c r="M13" i="75"/>
  <c r="J13" i="75"/>
  <c r="B15" i="75"/>
  <c r="L14" i="75"/>
  <c r="R14" i="75"/>
  <c r="U12" i="75"/>
  <c r="V11" i="73"/>
  <c r="T13" i="73"/>
  <c r="S13" i="73"/>
  <c r="P13" i="73"/>
  <c r="Q13" i="73"/>
  <c r="O13" i="73"/>
  <c r="K13" i="73"/>
  <c r="I13" i="73"/>
  <c r="N13" i="73"/>
  <c r="M13" i="73"/>
  <c r="J13" i="73"/>
  <c r="B15" i="73"/>
  <c r="L14" i="73"/>
  <c r="R14" i="73"/>
  <c r="U12" i="73"/>
  <c r="J14" i="85" l="1"/>
  <c r="I15" i="85"/>
  <c r="G14" i="85"/>
  <c r="F16" i="85"/>
  <c r="E15" i="85"/>
  <c r="H15" i="73"/>
  <c r="R15" i="73" s="1"/>
  <c r="F15" i="73"/>
  <c r="D15" i="73"/>
  <c r="G15" i="73"/>
  <c r="C15" i="73"/>
  <c r="E15" i="73"/>
  <c r="G15" i="77"/>
  <c r="E15" i="77"/>
  <c r="C15" i="77"/>
  <c r="H15" i="77"/>
  <c r="F15" i="77"/>
  <c r="D15" i="77"/>
  <c r="G15" i="80"/>
  <c r="E15" i="80"/>
  <c r="C15" i="80"/>
  <c r="H15" i="80"/>
  <c r="D15" i="80"/>
  <c r="F15" i="80"/>
  <c r="G15" i="82"/>
  <c r="E15" i="82"/>
  <c r="C15" i="82"/>
  <c r="H15" i="82"/>
  <c r="F15" i="82"/>
  <c r="D15" i="82"/>
  <c r="H15" i="75"/>
  <c r="F15" i="75"/>
  <c r="D15" i="75"/>
  <c r="G15" i="75"/>
  <c r="E15" i="75"/>
  <c r="L15" i="75" s="1"/>
  <c r="C15" i="75"/>
  <c r="G15" i="76"/>
  <c r="F15" i="76"/>
  <c r="D15" i="76"/>
  <c r="H15" i="76"/>
  <c r="E15" i="76"/>
  <c r="C15" i="76"/>
  <c r="G15" i="78"/>
  <c r="E15" i="78"/>
  <c r="C15" i="78"/>
  <c r="H15" i="78"/>
  <c r="F15" i="78"/>
  <c r="D15" i="78"/>
  <c r="G15" i="81"/>
  <c r="E15" i="81"/>
  <c r="L15" i="81" s="1"/>
  <c r="C15" i="81"/>
  <c r="H15" i="81"/>
  <c r="F15" i="81"/>
  <c r="D15" i="81"/>
  <c r="A14" i="75"/>
  <c r="A14" i="77"/>
  <c r="J15" i="85" s="1"/>
  <c r="A14" i="80"/>
  <c r="A14" i="82"/>
  <c r="A14" i="73"/>
  <c r="A14" i="76"/>
  <c r="I16" i="85" s="1"/>
  <c r="A14" i="78"/>
  <c r="K15" i="85" s="1"/>
  <c r="A14" i="81"/>
  <c r="R14" i="61"/>
  <c r="V12" i="82"/>
  <c r="T14" i="82"/>
  <c r="S14" i="82"/>
  <c r="P14" i="82"/>
  <c r="Q14" i="82"/>
  <c r="O14" i="82"/>
  <c r="K14" i="82"/>
  <c r="I14" i="82"/>
  <c r="N14" i="82"/>
  <c r="M14" i="82"/>
  <c r="J14" i="82"/>
  <c r="B16" i="82"/>
  <c r="L15" i="82"/>
  <c r="R15" i="82"/>
  <c r="U13" i="82"/>
  <c r="V12" i="81"/>
  <c r="T14" i="81"/>
  <c r="S14" i="81"/>
  <c r="P14" i="81"/>
  <c r="Q14" i="81"/>
  <c r="O14" i="81"/>
  <c r="K14" i="81"/>
  <c r="I14" i="81"/>
  <c r="N14" i="81"/>
  <c r="M14" i="81"/>
  <c r="J14" i="81"/>
  <c r="B16" i="81"/>
  <c r="R15" i="81"/>
  <c r="U13" i="81"/>
  <c r="V12" i="80"/>
  <c r="T14" i="80"/>
  <c r="S14" i="80"/>
  <c r="P14" i="80"/>
  <c r="Q14" i="80"/>
  <c r="O14" i="80"/>
  <c r="K14" i="80"/>
  <c r="I14" i="80"/>
  <c r="N14" i="80"/>
  <c r="M14" i="80"/>
  <c r="J14" i="80"/>
  <c r="B16" i="80"/>
  <c r="L15" i="80"/>
  <c r="R15" i="80"/>
  <c r="U13" i="80"/>
  <c r="V12" i="78"/>
  <c r="T14" i="78"/>
  <c r="S14" i="78"/>
  <c r="P14" i="78"/>
  <c r="Q14" i="78"/>
  <c r="O14" i="78"/>
  <c r="K14" i="78"/>
  <c r="I14" i="78"/>
  <c r="N14" i="78"/>
  <c r="M14" i="78"/>
  <c r="J14" i="78"/>
  <c r="B16" i="78"/>
  <c r="L15" i="78"/>
  <c r="R15" i="78"/>
  <c r="U13" i="78"/>
  <c r="V12" i="77"/>
  <c r="T14" i="77"/>
  <c r="S14" i="77"/>
  <c r="P14" i="77"/>
  <c r="Q14" i="77"/>
  <c r="O14" i="77"/>
  <c r="K14" i="77"/>
  <c r="I14" i="77"/>
  <c r="N14" i="77"/>
  <c r="M14" i="77"/>
  <c r="J14" i="77"/>
  <c r="B16" i="77"/>
  <c r="L15" i="77"/>
  <c r="R15" i="77"/>
  <c r="U13" i="77"/>
  <c r="V12" i="76"/>
  <c r="T14" i="76"/>
  <c r="S14" i="76"/>
  <c r="P14" i="76"/>
  <c r="Q14" i="76"/>
  <c r="O14" i="76"/>
  <c r="M14" i="76"/>
  <c r="B16" i="76"/>
  <c r="R15" i="76"/>
  <c r="U13" i="76"/>
  <c r="V12" i="75"/>
  <c r="T14" i="75"/>
  <c r="S14" i="75"/>
  <c r="P14" i="75"/>
  <c r="Q14" i="75"/>
  <c r="O14" i="75"/>
  <c r="K14" i="75"/>
  <c r="I14" i="75"/>
  <c r="N14" i="75"/>
  <c r="M14" i="75"/>
  <c r="J14" i="75"/>
  <c r="B16" i="75"/>
  <c r="R15" i="75"/>
  <c r="U13" i="75"/>
  <c r="V12" i="73"/>
  <c r="T14" i="73"/>
  <c r="S14" i="73"/>
  <c r="P14" i="73"/>
  <c r="Q14" i="73"/>
  <c r="O14" i="73"/>
  <c r="K14" i="73"/>
  <c r="I14" i="73"/>
  <c r="N14" i="73"/>
  <c r="M14" i="73"/>
  <c r="J14" i="73"/>
  <c r="B16" i="73"/>
  <c r="L15" i="73"/>
  <c r="U13" i="73"/>
  <c r="H15" i="85" l="1"/>
  <c r="G15" i="85"/>
  <c r="F17" i="85"/>
  <c r="E16" i="85"/>
  <c r="D17" i="85"/>
  <c r="H16" i="75"/>
  <c r="F16" i="75"/>
  <c r="D16" i="75"/>
  <c r="G16" i="75"/>
  <c r="E16" i="75"/>
  <c r="C16" i="75"/>
  <c r="G16" i="76"/>
  <c r="E16" i="76"/>
  <c r="C16" i="76"/>
  <c r="H16" i="76"/>
  <c r="D16" i="76"/>
  <c r="F16" i="76"/>
  <c r="G16" i="78"/>
  <c r="E16" i="78"/>
  <c r="C16" i="78"/>
  <c r="H16" i="78"/>
  <c r="F16" i="78"/>
  <c r="D16" i="78"/>
  <c r="G16" i="81"/>
  <c r="E16" i="81"/>
  <c r="C16" i="81"/>
  <c r="H16" i="81"/>
  <c r="R16" i="81" s="1"/>
  <c r="F16" i="81"/>
  <c r="D16" i="81"/>
  <c r="H16" i="73"/>
  <c r="F16" i="73"/>
  <c r="D16" i="73"/>
  <c r="E16" i="73"/>
  <c r="G16" i="73"/>
  <c r="C16" i="73"/>
  <c r="G16" i="77"/>
  <c r="E16" i="77"/>
  <c r="C16" i="77"/>
  <c r="H16" i="77"/>
  <c r="F16" i="77"/>
  <c r="D16" i="77"/>
  <c r="G16" i="80"/>
  <c r="E16" i="80"/>
  <c r="L16" i="80" s="1"/>
  <c r="C16" i="80"/>
  <c r="F16" i="80"/>
  <c r="H16" i="80"/>
  <c r="D16" i="80"/>
  <c r="G16" i="82"/>
  <c r="E16" i="82"/>
  <c r="C16" i="82"/>
  <c r="H16" i="82"/>
  <c r="R16" i="82" s="1"/>
  <c r="F16" i="82"/>
  <c r="D16" i="82"/>
  <c r="A15" i="82"/>
  <c r="E17" i="85" s="1"/>
  <c r="A15" i="75"/>
  <c r="A15" i="77"/>
  <c r="J16" i="85" s="1"/>
  <c r="A15" i="80"/>
  <c r="D18" i="85" s="1"/>
  <c r="A15" i="73"/>
  <c r="G16" i="85" s="1"/>
  <c r="A15" i="76"/>
  <c r="A15" i="78"/>
  <c r="A15" i="81"/>
  <c r="F18" i="85" s="1"/>
  <c r="K12" i="8"/>
  <c r="V13" i="82"/>
  <c r="T15" i="82"/>
  <c r="S15" i="82"/>
  <c r="P15" i="82"/>
  <c r="Q15" i="82"/>
  <c r="O15" i="82"/>
  <c r="K15" i="82"/>
  <c r="I15" i="82"/>
  <c r="N15" i="82"/>
  <c r="M15" i="82"/>
  <c r="J15" i="82"/>
  <c r="B17" i="82"/>
  <c r="L16" i="82"/>
  <c r="U14" i="82"/>
  <c r="V13" i="81"/>
  <c r="T15" i="81"/>
  <c r="S15" i="81"/>
  <c r="P15" i="81"/>
  <c r="Q15" i="81"/>
  <c r="O15" i="81"/>
  <c r="K15" i="81"/>
  <c r="I15" i="81"/>
  <c r="N15" i="81"/>
  <c r="M15" i="81"/>
  <c r="J15" i="81"/>
  <c r="B17" i="81"/>
  <c r="L16" i="81"/>
  <c r="U14" i="81"/>
  <c r="V13" i="80"/>
  <c r="T15" i="80"/>
  <c r="S15" i="80"/>
  <c r="P15" i="80"/>
  <c r="Q15" i="80"/>
  <c r="O15" i="80"/>
  <c r="K15" i="80"/>
  <c r="I15" i="80"/>
  <c r="N15" i="80"/>
  <c r="M15" i="80"/>
  <c r="J15" i="80"/>
  <c r="B17" i="80"/>
  <c r="R16" i="80"/>
  <c r="U14" i="80"/>
  <c r="V13" i="78"/>
  <c r="T15" i="78"/>
  <c r="S15" i="78"/>
  <c r="P15" i="78"/>
  <c r="Q15" i="78"/>
  <c r="O15" i="78"/>
  <c r="K15" i="78"/>
  <c r="I15" i="78"/>
  <c r="N15" i="78"/>
  <c r="M15" i="78"/>
  <c r="J15" i="78"/>
  <c r="B17" i="78"/>
  <c r="L16" i="78"/>
  <c r="R16" i="78"/>
  <c r="U14" i="78"/>
  <c r="V13" i="77"/>
  <c r="T15" i="77"/>
  <c r="S15" i="77"/>
  <c r="P15" i="77"/>
  <c r="Q15" i="77"/>
  <c r="O15" i="77"/>
  <c r="K15" i="77"/>
  <c r="I15" i="77"/>
  <c r="N15" i="77"/>
  <c r="M15" i="77"/>
  <c r="J15" i="77"/>
  <c r="B17" i="77"/>
  <c r="L16" i="77"/>
  <c r="R16" i="77"/>
  <c r="U14" i="77"/>
  <c r="V13" i="76"/>
  <c r="T15" i="76"/>
  <c r="S15" i="76"/>
  <c r="P15" i="76"/>
  <c r="Q15" i="76"/>
  <c r="O15" i="76"/>
  <c r="M15" i="76"/>
  <c r="B17" i="76"/>
  <c r="R16" i="76"/>
  <c r="U14" i="76"/>
  <c r="V13" i="75"/>
  <c r="T15" i="75"/>
  <c r="S15" i="75"/>
  <c r="P15" i="75"/>
  <c r="Q15" i="75"/>
  <c r="O15" i="75"/>
  <c r="K15" i="75"/>
  <c r="I15" i="75"/>
  <c r="N15" i="75"/>
  <c r="M15" i="75"/>
  <c r="J15" i="75"/>
  <c r="B17" i="75"/>
  <c r="L16" i="75"/>
  <c r="R16" i="75"/>
  <c r="U14" i="75"/>
  <c r="V13" i="73"/>
  <c r="T15" i="73"/>
  <c r="S15" i="73"/>
  <c r="P15" i="73"/>
  <c r="Q15" i="73"/>
  <c r="O15" i="73"/>
  <c r="K15" i="73"/>
  <c r="I15" i="73"/>
  <c r="N15" i="73"/>
  <c r="M15" i="73"/>
  <c r="J15" i="73"/>
  <c r="B17" i="73"/>
  <c r="L16" i="73"/>
  <c r="R16" i="73"/>
  <c r="U14" i="73"/>
  <c r="K16" i="85" l="1"/>
  <c r="I17" i="85"/>
  <c r="H16" i="85"/>
  <c r="F17" i="12"/>
  <c r="D17" i="12"/>
  <c r="H17" i="75"/>
  <c r="F17" i="75"/>
  <c r="D17" i="75"/>
  <c r="G17" i="75"/>
  <c r="E17" i="75"/>
  <c r="C17" i="75"/>
  <c r="G17" i="76"/>
  <c r="E17" i="76"/>
  <c r="C17" i="76"/>
  <c r="F17" i="76"/>
  <c r="H17" i="76"/>
  <c r="D17" i="76"/>
  <c r="G17" i="78"/>
  <c r="E17" i="78"/>
  <c r="C17" i="78"/>
  <c r="H17" i="78"/>
  <c r="F17" i="78"/>
  <c r="D17" i="78"/>
  <c r="G17" i="81"/>
  <c r="E17" i="81"/>
  <c r="C17" i="81"/>
  <c r="H17" i="81"/>
  <c r="F17" i="81"/>
  <c r="D17" i="81"/>
  <c r="H17" i="73"/>
  <c r="F17" i="73"/>
  <c r="D17" i="73"/>
  <c r="G17" i="73"/>
  <c r="C17" i="73"/>
  <c r="E17" i="73"/>
  <c r="G17" i="77"/>
  <c r="E17" i="77"/>
  <c r="C17" i="77"/>
  <c r="H17" i="77"/>
  <c r="R17" i="77" s="1"/>
  <c r="F17" i="77"/>
  <c r="D17" i="77"/>
  <c r="G17" i="80"/>
  <c r="E17" i="80"/>
  <c r="C17" i="80"/>
  <c r="H17" i="80"/>
  <c r="R17" i="80" s="1"/>
  <c r="D17" i="80"/>
  <c r="F17" i="80"/>
  <c r="G17" i="82"/>
  <c r="E17" i="82"/>
  <c r="L17" i="82" s="1"/>
  <c r="C17" i="82"/>
  <c r="H17" i="82"/>
  <c r="R17" i="82" s="1"/>
  <c r="F17" i="82"/>
  <c r="D17" i="82"/>
  <c r="A16" i="73"/>
  <c r="A16" i="76"/>
  <c r="I18" i="85" s="1"/>
  <c r="A16" i="78"/>
  <c r="A16" i="81"/>
  <c r="F19" i="85" s="1"/>
  <c r="A16" i="75"/>
  <c r="A16" i="77"/>
  <c r="A16" i="80"/>
  <c r="A16" i="82"/>
  <c r="V14" i="82"/>
  <c r="T16" i="82"/>
  <c r="S16" i="82"/>
  <c r="P16" i="82"/>
  <c r="Q16" i="82"/>
  <c r="O16" i="82"/>
  <c r="K16" i="82"/>
  <c r="I16" i="82"/>
  <c r="N16" i="82"/>
  <c r="M16" i="82"/>
  <c r="J16" i="82"/>
  <c r="B18" i="82"/>
  <c r="U15" i="82"/>
  <c r="V14" i="81"/>
  <c r="T16" i="81"/>
  <c r="S16" i="81"/>
  <c r="P16" i="81"/>
  <c r="Q16" i="81"/>
  <c r="O16" i="81"/>
  <c r="K16" i="81"/>
  <c r="I16" i="81"/>
  <c r="N16" i="81"/>
  <c r="M16" i="81"/>
  <c r="J16" i="81"/>
  <c r="B18" i="81"/>
  <c r="L17" i="81"/>
  <c r="R17" i="81"/>
  <c r="U15" i="81"/>
  <c r="V14" i="80"/>
  <c r="T16" i="80"/>
  <c r="S16" i="80"/>
  <c r="P16" i="80"/>
  <c r="Q16" i="80"/>
  <c r="O16" i="80"/>
  <c r="K16" i="80"/>
  <c r="I16" i="80"/>
  <c r="N16" i="80"/>
  <c r="M16" i="80"/>
  <c r="J16" i="80"/>
  <c r="B18" i="80"/>
  <c r="L17" i="80"/>
  <c r="U15" i="80"/>
  <c r="V14" i="78"/>
  <c r="T16" i="78"/>
  <c r="S16" i="78"/>
  <c r="P16" i="78"/>
  <c r="Q16" i="78"/>
  <c r="O16" i="78"/>
  <c r="K16" i="78"/>
  <c r="I16" i="78"/>
  <c r="N16" i="78"/>
  <c r="M16" i="78"/>
  <c r="J16" i="78"/>
  <c r="B18" i="78"/>
  <c r="L17" i="78"/>
  <c r="R17" i="78"/>
  <c r="U15" i="78"/>
  <c r="V14" i="77"/>
  <c r="T16" i="77"/>
  <c r="S16" i="77"/>
  <c r="P16" i="77"/>
  <c r="Q16" i="77"/>
  <c r="O16" i="77"/>
  <c r="K16" i="77"/>
  <c r="I16" i="77"/>
  <c r="N16" i="77"/>
  <c r="M16" i="77"/>
  <c r="J16" i="77"/>
  <c r="B18" i="77"/>
  <c r="L17" i="77"/>
  <c r="U15" i="77"/>
  <c r="V14" i="76"/>
  <c r="T16" i="76"/>
  <c r="S16" i="76"/>
  <c r="P16" i="76"/>
  <c r="Q16" i="76"/>
  <c r="O16" i="76"/>
  <c r="M16" i="76"/>
  <c r="B18" i="76"/>
  <c r="R17" i="76"/>
  <c r="U15" i="76"/>
  <c r="V14" i="75"/>
  <c r="T16" i="75"/>
  <c r="S16" i="75"/>
  <c r="P16" i="75"/>
  <c r="Q16" i="75"/>
  <c r="O16" i="75"/>
  <c r="K16" i="75"/>
  <c r="I16" i="75"/>
  <c r="N16" i="75"/>
  <c r="M16" i="75"/>
  <c r="J16" i="75"/>
  <c r="B18" i="75"/>
  <c r="L17" i="75"/>
  <c r="R17" i="75"/>
  <c r="U15" i="75"/>
  <c r="V14" i="73"/>
  <c r="T16" i="73"/>
  <c r="S16" i="73"/>
  <c r="P16" i="73"/>
  <c r="Q16" i="73"/>
  <c r="O16" i="73"/>
  <c r="K16" i="73"/>
  <c r="I16" i="73"/>
  <c r="N16" i="73"/>
  <c r="M16" i="73"/>
  <c r="J16" i="73"/>
  <c r="B18" i="73"/>
  <c r="L17" i="73"/>
  <c r="R17" i="73"/>
  <c r="U15" i="73"/>
  <c r="K17" i="85" l="1"/>
  <c r="J17" i="85"/>
  <c r="I17" i="12"/>
  <c r="H17" i="85"/>
  <c r="G17" i="85"/>
  <c r="F18" i="12"/>
  <c r="E18" i="85"/>
  <c r="E17" i="12"/>
  <c r="D19" i="85"/>
  <c r="D18" i="12"/>
  <c r="G18" i="80"/>
  <c r="E18" i="80"/>
  <c r="C18" i="80"/>
  <c r="F18" i="80"/>
  <c r="H18" i="80"/>
  <c r="D18" i="80"/>
  <c r="H18" i="73"/>
  <c r="F18" i="73"/>
  <c r="D18" i="73"/>
  <c r="E18" i="73"/>
  <c r="G18" i="73"/>
  <c r="C18" i="73"/>
  <c r="G18" i="77"/>
  <c r="E18" i="77"/>
  <c r="C18" i="77"/>
  <c r="H18" i="77"/>
  <c r="F18" i="77"/>
  <c r="D18" i="77"/>
  <c r="G18" i="82"/>
  <c r="E18" i="82"/>
  <c r="C18" i="82"/>
  <c r="H18" i="82"/>
  <c r="F18" i="82"/>
  <c r="D18" i="82"/>
  <c r="H18" i="75"/>
  <c r="F18" i="75"/>
  <c r="D18" i="75"/>
  <c r="G18" i="75"/>
  <c r="E18" i="75"/>
  <c r="C18" i="75"/>
  <c r="G18" i="76"/>
  <c r="E18" i="76"/>
  <c r="C18" i="76"/>
  <c r="H18" i="76"/>
  <c r="D18" i="76"/>
  <c r="F18" i="76"/>
  <c r="G18" i="78"/>
  <c r="E18" i="78"/>
  <c r="C18" i="78"/>
  <c r="H18" i="78"/>
  <c r="R18" i="78" s="1"/>
  <c r="F18" i="78"/>
  <c r="D18" i="78"/>
  <c r="G18" i="81"/>
  <c r="E18" i="81"/>
  <c r="L18" i="81" s="1"/>
  <c r="C18" i="81"/>
  <c r="H18" i="81"/>
  <c r="R18" i="81" s="1"/>
  <c r="F18" i="81"/>
  <c r="D18" i="81"/>
  <c r="A17" i="73"/>
  <c r="A17" i="76"/>
  <c r="A17" i="78"/>
  <c r="K18" i="85" s="1"/>
  <c r="A17" i="81"/>
  <c r="F20" i="85" s="1"/>
  <c r="A17" i="82"/>
  <c r="A17" i="75"/>
  <c r="H18" i="85" s="1"/>
  <c r="A17" i="77"/>
  <c r="A17" i="80"/>
  <c r="V15" i="82"/>
  <c r="T17" i="82"/>
  <c r="S17" i="82"/>
  <c r="P17" i="82"/>
  <c r="Q17" i="82"/>
  <c r="O17" i="82"/>
  <c r="K17" i="82"/>
  <c r="I17" i="82"/>
  <c r="N17" i="82"/>
  <c r="M17" i="82"/>
  <c r="J17" i="82"/>
  <c r="B19" i="82"/>
  <c r="L18" i="82"/>
  <c r="R18" i="82"/>
  <c r="U16" i="82"/>
  <c r="V15" i="81"/>
  <c r="T17" i="81"/>
  <c r="S17" i="81"/>
  <c r="P17" i="81"/>
  <c r="Q17" i="81"/>
  <c r="O17" i="81"/>
  <c r="K17" i="81"/>
  <c r="I17" i="81"/>
  <c r="N17" i="81"/>
  <c r="M17" i="81"/>
  <c r="J17" i="81"/>
  <c r="B19" i="81"/>
  <c r="U16" i="81"/>
  <c r="V15" i="80"/>
  <c r="T17" i="80"/>
  <c r="S17" i="80"/>
  <c r="P17" i="80"/>
  <c r="Q17" i="80"/>
  <c r="O17" i="80"/>
  <c r="K17" i="80"/>
  <c r="I17" i="80"/>
  <c r="N17" i="80"/>
  <c r="M17" i="80"/>
  <c r="J17" i="80"/>
  <c r="B19" i="80"/>
  <c r="L18" i="80"/>
  <c r="R18" i="80"/>
  <c r="U16" i="80"/>
  <c r="V15" i="78"/>
  <c r="T17" i="78"/>
  <c r="S17" i="78"/>
  <c r="P17" i="78"/>
  <c r="Q17" i="78"/>
  <c r="O17" i="78"/>
  <c r="K17" i="78"/>
  <c r="I17" i="78"/>
  <c r="N17" i="78"/>
  <c r="M17" i="78"/>
  <c r="J17" i="78"/>
  <c r="B19" i="78"/>
  <c r="L18" i="78"/>
  <c r="U16" i="78"/>
  <c r="V15" i="77"/>
  <c r="T17" i="77"/>
  <c r="S17" i="77"/>
  <c r="P17" i="77"/>
  <c r="Q17" i="77"/>
  <c r="O17" i="77"/>
  <c r="K17" i="77"/>
  <c r="I17" i="77"/>
  <c r="N17" i="77"/>
  <c r="M17" i="77"/>
  <c r="J17" i="77"/>
  <c r="B19" i="77"/>
  <c r="L18" i="77"/>
  <c r="R18" i="77"/>
  <c r="U16" i="77"/>
  <c r="V15" i="76"/>
  <c r="T17" i="76"/>
  <c r="S17" i="76"/>
  <c r="P17" i="76"/>
  <c r="Q17" i="76"/>
  <c r="O17" i="76"/>
  <c r="M17" i="76"/>
  <c r="B19" i="76"/>
  <c r="R18" i="76"/>
  <c r="U16" i="76"/>
  <c r="V15" i="75"/>
  <c r="T17" i="75"/>
  <c r="S17" i="75"/>
  <c r="P17" i="75"/>
  <c r="Q17" i="75"/>
  <c r="O17" i="75"/>
  <c r="K17" i="75"/>
  <c r="I17" i="75"/>
  <c r="N17" i="75"/>
  <c r="M17" i="75"/>
  <c r="J17" i="75"/>
  <c r="B19" i="75"/>
  <c r="L18" i="75"/>
  <c r="R18" i="75"/>
  <c r="U16" i="75"/>
  <c r="V15" i="73"/>
  <c r="T17" i="73"/>
  <c r="S17" i="73"/>
  <c r="P17" i="73"/>
  <c r="Q17" i="73"/>
  <c r="O17" i="73"/>
  <c r="K17" i="73"/>
  <c r="I17" i="73"/>
  <c r="N17" i="73"/>
  <c r="M17" i="73"/>
  <c r="J17" i="73"/>
  <c r="B19" i="73"/>
  <c r="L18" i="73"/>
  <c r="R18" i="73"/>
  <c r="U16" i="73"/>
  <c r="G17" i="12" s="1"/>
  <c r="K17" i="12" l="1"/>
  <c r="J18" i="85"/>
  <c r="J17" i="12"/>
  <c r="I19" i="85"/>
  <c r="I18" i="12"/>
  <c r="H17" i="12"/>
  <c r="G18" i="85"/>
  <c r="F19" i="12"/>
  <c r="E19" i="85"/>
  <c r="E18" i="12"/>
  <c r="D19" i="12"/>
  <c r="D20" i="85"/>
  <c r="G19" i="76"/>
  <c r="E19" i="76"/>
  <c r="C19" i="76"/>
  <c r="F19" i="76"/>
  <c r="H19" i="76"/>
  <c r="D19" i="76"/>
  <c r="G19" i="78"/>
  <c r="E19" i="78"/>
  <c r="C19" i="78"/>
  <c r="H19" i="78"/>
  <c r="F19" i="78"/>
  <c r="D19" i="78"/>
  <c r="G19" i="81"/>
  <c r="E19" i="81"/>
  <c r="C19" i="81"/>
  <c r="H19" i="81"/>
  <c r="F19" i="81"/>
  <c r="D19" i="81"/>
  <c r="H19" i="75"/>
  <c r="F19" i="75"/>
  <c r="D19" i="75"/>
  <c r="G19" i="75"/>
  <c r="E19" i="75"/>
  <c r="C19" i="75"/>
  <c r="H19" i="73"/>
  <c r="F19" i="73"/>
  <c r="D19" i="73"/>
  <c r="G19" i="73"/>
  <c r="C19" i="73"/>
  <c r="E19" i="73"/>
  <c r="G19" i="77"/>
  <c r="E19" i="77"/>
  <c r="C19" i="77"/>
  <c r="H19" i="77"/>
  <c r="R19" i="77" s="1"/>
  <c r="F19" i="77"/>
  <c r="D19" i="77"/>
  <c r="G19" i="80"/>
  <c r="E19" i="80"/>
  <c r="L19" i="80" s="1"/>
  <c r="C19" i="80"/>
  <c r="H19" i="80"/>
  <c r="R19" i="80" s="1"/>
  <c r="D19" i="80"/>
  <c r="F19" i="80"/>
  <c r="G19" i="82"/>
  <c r="E19" i="82"/>
  <c r="L19" i="82" s="1"/>
  <c r="C19" i="82"/>
  <c r="H19" i="82"/>
  <c r="R19" i="82" s="1"/>
  <c r="F19" i="82"/>
  <c r="D19" i="82"/>
  <c r="A18" i="73"/>
  <c r="G19" i="85" s="1"/>
  <c r="A18" i="76"/>
  <c r="I20" i="85" s="1"/>
  <c r="A18" i="78"/>
  <c r="K19" i="85" s="1"/>
  <c r="A18" i="81"/>
  <c r="A18" i="75"/>
  <c r="A18" i="77"/>
  <c r="A18" i="80"/>
  <c r="D21" i="85" s="1"/>
  <c r="A18" i="82"/>
  <c r="V16" i="82"/>
  <c r="T18" i="82"/>
  <c r="S18" i="82"/>
  <c r="P18" i="82"/>
  <c r="Q18" i="82"/>
  <c r="O18" i="82"/>
  <c r="K18" i="82"/>
  <c r="I18" i="82"/>
  <c r="N18" i="82"/>
  <c r="M18" i="82"/>
  <c r="J18" i="82"/>
  <c r="B20" i="82"/>
  <c r="U17" i="82"/>
  <c r="V16" i="81"/>
  <c r="T18" i="81"/>
  <c r="S18" i="81"/>
  <c r="P18" i="81"/>
  <c r="Q18" i="81"/>
  <c r="O18" i="81"/>
  <c r="K18" i="81"/>
  <c r="I18" i="81"/>
  <c r="N18" i="81"/>
  <c r="M18" i="81"/>
  <c r="J18" i="81"/>
  <c r="B20" i="81"/>
  <c r="L19" i="81"/>
  <c r="R19" i="81"/>
  <c r="U17" i="81"/>
  <c r="F20" i="12" s="1"/>
  <c r="V16" i="80"/>
  <c r="T18" i="80"/>
  <c r="S18" i="80"/>
  <c r="P18" i="80"/>
  <c r="Q18" i="80"/>
  <c r="O18" i="80"/>
  <c r="K18" i="80"/>
  <c r="I18" i="80"/>
  <c r="N18" i="80"/>
  <c r="M18" i="80"/>
  <c r="J18" i="80"/>
  <c r="B20" i="80"/>
  <c r="U17" i="80"/>
  <c r="D20" i="12" s="1"/>
  <c r="V16" i="78"/>
  <c r="T18" i="78"/>
  <c r="S18" i="78"/>
  <c r="P18" i="78"/>
  <c r="Q18" i="78"/>
  <c r="O18" i="78"/>
  <c r="K18" i="78"/>
  <c r="I18" i="78"/>
  <c r="N18" i="78"/>
  <c r="M18" i="78"/>
  <c r="J18" i="78"/>
  <c r="B20" i="78"/>
  <c r="L19" i="78"/>
  <c r="R19" i="78"/>
  <c r="U17" i="78"/>
  <c r="V16" i="77"/>
  <c r="T18" i="77"/>
  <c r="S18" i="77"/>
  <c r="P18" i="77"/>
  <c r="Q18" i="77"/>
  <c r="O18" i="77"/>
  <c r="K18" i="77"/>
  <c r="I18" i="77"/>
  <c r="N18" i="77"/>
  <c r="M18" i="77"/>
  <c r="J18" i="77"/>
  <c r="B20" i="77"/>
  <c r="L19" i="77"/>
  <c r="U17" i="77"/>
  <c r="V16" i="76"/>
  <c r="T18" i="76"/>
  <c r="S18" i="76"/>
  <c r="P18" i="76"/>
  <c r="Q18" i="76"/>
  <c r="O18" i="76"/>
  <c r="M18" i="76"/>
  <c r="B20" i="76"/>
  <c r="R19" i="76"/>
  <c r="U17" i="76"/>
  <c r="V16" i="75"/>
  <c r="T18" i="75"/>
  <c r="S18" i="75"/>
  <c r="P18" i="75"/>
  <c r="Q18" i="75"/>
  <c r="O18" i="75"/>
  <c r="K18" i="75"/>
  <c r="I18" i="75"/>
  <c r="N18" i="75"/>
  <c r="M18" i="75"/>
  <c r="J18" i="75"/>
  <c r="B20" i="75"/>
  <c r="L19" i="75"/>
  <c r="R19" i="75"/>
  <c r="U17" i="75"/>
  <c r="V16" i="73"/>
  <c r="T18" i="73"/>
  <c r="S18" i="73"/>
  <c r="P18" i="73"/>
  <c r="Q18" i="73"/>
  <c r="O18" i="73"/>
  <c r="K18" i="73"/>
  <c r="I18" i="73"/>
  <c r="N18" i="73"/>
  <c r="M18" i="73"/>
  <c r="J18" i="73"/>
  <c r="B20" i="73"/>
  <c r="L19" i="73"/>
  <c r="R19" i="73"/>
  <c r="U17" i="73"/>
  <c r="G18" i="12" s="1"/>
  <c r="AA39" i="59"/>
  <c r="B8" i="59"/>
  <c r="K18" i="12" l="1"/>
  <c r="J18" i="12"/>
  <c r="J19" i="85"/>
  <c r="I19" i="12"/>
  <c r="H19" i="85"/>
  <c r="H18" i="12"/>
  <c r="F21" i="85"/>
  <c r="E20" i="85"/>
  <c r="E19" i="12"/>
  <c r="H20" i="73"/>
  <c r="F20" i="73"/>
  <c r="D20" i="73"/>
  <c r="E20" i="73"/>
  <c r="G20" i="73"/>
  <c r="C20" i="73"/>
  <c r="G20" i="77"/>
  <c r="E20" i="77"/>
  <c r="C20" i="77"/>
  <c r="H20" i="77"/>
  <c r="F20" i="77"/>
  <c r="D20" i="77"/>
  <c r="G20" i="80"/>
  <c r="E20" i="80"/>
  <c r="C20" i="80"/>
  <c r="F20" i="80"/>
  <c r="H20" i="80"/>
  <c r="D20" i="80"/>
  <c r="G20" i="82"/>
  <c r="E20" i="82"/>
  <c r="C20" i="82"/>
  <c r="H20" i="82"/>
  <c r="F20" i="82"/>
  <c r="D20" i="82"/>
  <c r="F8" i="59"/>
  <c r="H8" i="59"/>
  <c r="E8" i="59"/>
  <c r="L8" i="59" s="1"/>
  <c r="C8" i="59"/>
  <c r="D8" i="59"/>
  <c r="G8" i="59"/>
  <c r="H20" i="75"/>
  <c r="R20" i="75" s="1"/>
  <c r="F20" i="75"/>
  <c r="D20" i="75"/>
  <c r="G20" i="75"/>
  <c r="E20" i="75"/>
  <c r="C20" i="75"/>
  <c r="G20" i="76"/>
  <c r="E20" i="76"/>
  <c r="C20" i="76"/>
  <c r="H20" i="76"/>
  <c r="D20" i="76"/>
  <c r="F20" i="76"/>
  <c r="G20" i="78"/>
  <c r="E20" i="78"/>
  <c r="C20" i="78"/>
  <c r="H20" i="78"/>
  <c r="R20" i="78" s="1"/>
  <c r="F20" i="78"/>
  <c r="D20" i="78"/>
  <c r="G20" i="81"/>
  <c r="E20" i="81"/>
  <c r="L20" i="81" s="1"/>
  <c r="C20" i="81"/>
  <c r="H20" i="81"/>
  <c r="R20" i="81" s="1"/>
  <c r="F20" i="81"/>
  <c r="D20" i="81"/>
  <c r="A19" i="75"/>
  <c r="H20" i="85" s="1"/>
  <c r="A19" i="77"/>
  <c r="A19" i="80"/>
  <c r="D22" i="85" s="1"/>
  <c r="A19" i="82"/>
  <c r="A19" i="73"/>
  <c r="G20" i="85" s="1"/>
  <c r="A19" i="76"/>
  <c r="A19" i="78"/>
  <c r="A19" i="81"/>
  <c r="V17" i="82"/>
  <c r="T19" i="82"/>
  <c r="S19" i="82"/>
  <c r="P19" i="82"/>
  <c r="Q19" i="82"/>
  <c r="O19" i="82"/>
  <c r="K19" i="82"/>
  <c r="I19" i="82"/>
  <c r="N19" i="82"/>
  <c r="M19" i="82"/>
  <c r="J19" i="82"/>
  <c r="B21" i="82"/>
  <c r="L20" i="82"/>
  <c r="R20" i="82"/>
  <c r="U18" i="82"/>
  <c r="E20" i="12" s="1"/>
  <c r="V17" i="81"/>
  <c r="T19" i="81"/>
  <c r="S19" i="81"/>
  <c r="P19" i="81"/>
  <c r="Q19" i="81"/>
  <c r="O19" i="81"/>
  <c r="K19" i="81"/>
  <c r="I19" i="81"/>
  <c r="N19" i="81"/>
  <c r="M19" i="81"/>
  <c r="J19" i="81"/>
  <c r="B21" i="81"/>
  <c r="U18" i="81"/>
  <c r="V17" i="80"/>
  <c r="T19" i="80"/>
  <c r="S19" i="80"/>
  <c r="P19" i="80"/>
  <c r="Q19" i="80"/>
  <c r="O19" i="80"/>
  <c r="K19" i="80"/>
  <c r="I19" i="80"/>
  <c r="N19" i="80"/>
  <c r="M19" i="80"/>
  <c r="J19" i="80"/>
  <c r="B21" i="80"/>
  <c r="L20" i="80"/>
  <c r="R20" i="80"/>
  <c r="U18" i="80"/>
  <c r="V17" i="78"/>
  <c r="T19" i="78"/>
  <c r="S19" i="78"/>
  <c r="P19" i="78"/>
  <c r="Q19" i="78"/>
  <c r="O19" i="78"/>
  <c r="K19" i="78"/>
  <c r="I19" i="78"/>
  <c r="N19" i="78"/>
  <c r="M19" i="78"/>
  <c r="J19" i="78"/>
  <c r="B21" i="78"/>
  <c r="L20" i="78"/>
  <c r="U18" i="78"/>
  <c r="V17" i="77"/>
  <c r="T19" i="77"/>
  <c r="S19" i="77"/>
  <c r="P19" i="77"/>
  <c r="Q19" i="77"/>
  <c r="O19" i="77"/>
  <c r="K19" i="77"/>
  <c r="I19" i="77"/>
  <c r="N19" i="77"/>
  <c r="M19" i="77"/>
  <c r="J19" i="77"/>
  <c r="B21" i="77"/>
  <c r="L20" i="77"/>
  <c r="R20" i="77"/>
  <c r="U18" i="77"/>
  <c r="V17" i="76"/>
  <c r="T19" i="76"/>
  <c r="S19" i="76"/>
  <c r="P19" i="76"/>
  <c r="Q19" i="76"/>
  <c r="O19" i="76"/>
  <c r="M19" i="76"/>
  <c r="B21" i="76"/>
  <c r="R20" i="76"/>
  <c r="U18" i="76"/>
  <c r="I20" i="12" s="1"/>
  <c r="V17" i="75"/>
  <c r="T19" i="75"/>
  <c r="S19" i="75"/>
  <c r="P19" i="75"/>
  <c r="Q19" i="75"/>
  <c r="O19" i="75"/>
  <c r="K19" i="75"/>
  <c r="I19" i="75"/>
  <c r="N19" i="75"/>
  <c r="M19" i="75"/>
  <c r="J19" i="75"/>
  <c r="B21" i="75"/>
  <c r="L20" i="75"/>
  <c r="U18" i="75"/>
  <c r="H19" i="12" s="1"/>
  <c r="V17" i="73"/>
  <c r="T19" i="73"/>
  <c r="S19" i="73"/>
  <c r="P19" i="73"/>
  <c r="Q19" i="73"/>
  <c r="O19" i="73"/>
  <c r="K19" i="73"/>
  <c r="I19" i="73"/>
  <c r="N19" i="73"/>
  <c r="M19" i="73"/>
  <c r="J19" i="73"/>
  <c r="B21" i="73"/>
  <c r="L20" i="73"/>
  <c r="R20" i="73"/>
  <c r="U18" i="73"/>
  <c r="J8" i="59"/>
  <c r="J7" i="59"/>
  <c r="P7" i="59"/>
  <c r="R8" i="59"/>
  <c r="B9" i="59"/>
  <c r="K20" i="85" l="1"/>
  <c r="K19" i="12"/>
  <c r="J20" i="85"/>
  <c r="J19" i="12"/>
  <c r="I21" i="85"/>
  <c r="G19" i="12"/>
  <c r="F22" i="85"/>
  <c r="E21" i="85"/>
  <c r="H21" i="73"/>
  <c r="F21" i="73"/>
  <c r="D21" i="73"/>
  <c r="G21" i="73"/>
  <c r="E21" i="73"/>
  <c r="C21" i="73"/>
  <c r="G21" i="77"/>
  <c r="E21" i="77"/>
  <c r="C21" i="77"/>
  <c r="H21" i="77"/>
  <c r="F21" i="77"/>
  <c r="D21" i="77"/>
  <c r="G21" i="80"/>
  <c r="E21" i="80"/>
  <c r="C21" i="80"/>
  <c r="H21" i="80"/>
  <c r="D21" i="80"/>
  <c r="F21" i="80"/>
  <c r="G21" i="82"/>
  <c r="E21" i="82"/>
  <c r="C21" i="82"/>
  <c r="H21" i="82"/>
  <c r="R21" i="82" s="1"/>
  <c r="F21" i="82"/>
  <c r="D21" i="82"/>
  <c r="G9" i="59"/>
  <c r="D9" i="59"/>
  <c r="C9" i="59"/>
  <c r="F9" i="59"/>
  <c r="H9" i="59"/>
  <c r="E9" i="59"/>
  <c r="H21" i="75"/>
  <c r="F21" i="75"/>
  <c r="D21" i="75"/>
  <c r="G21" i="75"/>
  <c r="E21" i="75"/>
  <c r="C21" i="75"/>
  <c r="G21" i="76"/>
  <c r="E21" i="76"/>
  <c r="C21" i="76"/>
  <c r="F21" i="76"/>
  <c r="H21" i="76"/>
  <c r="D21" i="76"/>
  <c r="G21" i="78"/>
  <c r="E21" i="78"/>
  <c r="C21" i="78"/>
  <c r="H21" i="78"/>
  <c r="R21" i="78" s="1"/>
  <c r="F21" i="78"/>
  <c r="D21" i="78"/>
  <c r="G21" i="81"/>
  <c r="E21" i="81"/>
  <c r="L21" i="81" s="1"/>
  <c r="C21" i="81"/>
  <c r="H21" i="81"/>
  <c r="R21" i="81" s="1"/>
  <c r="F21" i="81"/>
  <c r="D21" i="81"/>
  <c r="A8" i="59"/>
  <c r="N8" i="59"/>
  <c r="A20" i="75"/>
  <c r="H21" i="85" s="1"/>
  <c r="A20" i="77"/>
  <c r="A20" i="80"/>
  <c r="A20" i="82"/>
  <c r="A20" i="73"/>
  <c r="G21" i="85" s="1"/>
  <c r="A20" i="76"/>
  <c r="A20" i="78"/>
  <c r="A20" i="81"/>
  <c r="Q8" i="59"/>
  <c r="V18" i="82"/>
  <c r="T20" i="82"/>
  <c r="S20" i="82"/>
  <c r="P20" i="82"/>
  <c r="Q20" i="82"/>
  <c r="O20" i="82"/>
  <c r="K20" i="82"/>
  <c r="I20" i="82"/>
  <c r="N20" i="82"/>
  <c r="M20" i="82"/>
  <c r="J20" i="82"/>
  <c r="B22" i="82"/>
  <c r="L21" i="82"/>
  <c r="U19" i="82"/>
  <c r="V18" i="81"/>
  <c r="T20" i="81"/>
  <c r="S20" i="81"/>
  <c r="P20" i="81"/>
  <c r="Q20" i="81"/>
  <c r="O20" i="81"/>
  <c r="K20" i="81"/>
  <c r="I20" i="81"/>
  <c r="N20" i="81"/>
  <c r="M20" i="81"/>
  <c r="J20" i="81"/>
  <c r="B22" i="81"/>
  <c r="U19" i="81"/>
  <c r="V18" i="80"/>
  <c r="T20" i="80"/>
  <c r="S20" i="80"/>
  <c r="P20" i="80"/>
  <c r="Q20" i="80"/>
  <c r="O20" i="80"/>
  <c r="K20" i="80"/>
  <c r="I20" i="80"/>
  <c r="N20" i="80"/>
  <c r="M20" i="80"/>
  <c r="J20" i="80"/>
  <c r="B22" i="80"/>
  <c r="L21" i="80"/>
  <c r="R21" i="80"/>
  <c r="U19" i="80"/>
  <c r="V18" i="78"/>
  <c r="T20" i="78"/>
  <c r="S20" i="78"/>
  <c r="P20" i="78"/>
  <c r="Q20" i="78"/>
  <c r="O20" i="78"/>
  <c r="K20" i="78"/>
  <c r="I20" i="78"/>
  <c r="N20" i="78"/>
  <c r="M20" i="78"/>
  <c r="J20" i="78"/>
  <c r="B22" i="78"/>
  <c r="L21" i="78"/>
  <c r="U19" i="78"/>
  <c r="K20" i="12" s="1"/>
  <c r="V18" i="77"/>
  <c r="T20" i="77"/>
  <c r="S20" i="77"/>
  <c r="P20" i="77"/>
  <c r="Q20" i="77"/>
  <c r="O20" i="77"/>
  <c r="K20" i="77"/>
  <c r="I20" i="77"/>
  <c r="N20" i="77"/>
  <c r="M20" i="77"/>
  <c r="J20" i="77"/>
  <c r="B22" i="77"/>
  <c r="L21" i="77"/>
  <c r="R21" i="77"/>
  <c r="U19" i="77"/>
  <c r="J20" i="12" s="1"/>
  <c r="V18" i="76"/>
  <c r="T20" i="76"/>
  <c r="S20" i="76"/>
  <c r="P20" i="76"/>
  <c r="Q20" i="76"/>
  <c r="O20" i="76"/>
  <c r="M20" i="76"/>
  <c r="B22" i="76"/>
  <c r="R21" i="76"/>
  <c r="U19" i="76"/>
  <c r="V18" i="75"/>
  <c r="T20" i="75"/>
  <c r="S20" i="75"/>
  <c r="P20" i="75"/>
  <c r="Q20" i="75"/>
  <c r="O20" i="75"/>
  <c r="K20" i="75"/>
  <c r="I20" i="75"/>
  <c r="N20" i="75"/>
  <c r="M20" i="75"/>
  <c r="J20" i="75"/>
  <c r="B22" i="75"/>
  <c r="L21" i="75"/>
  <c r="R21" i="75"/>
  <c r="U19" i="75"/>
  <c r="H20" i="12" s="1"/>
  <c r="V18" i="73"/>
  <c r="T20" i="73"/>
  <c r="S20" i="73"/>
  <c r="P20" i="73"/>
  <c r="Q20" i="73"/>
  <c r="O20" i="73"/>
  <c r="K20" i="73"/>
  <c r="I20" i="73"/>
  <c r="N20" i="73"/>
  <c r="M20" i="73"/>
  <c r="J20" i="73"/>
  <c r="B22" i="73"/>
  <c r="L21" i="73"/>
  <c r="R21" i="73"/>
  <c r="U19" i="73"/>
  <c r="G20" i="12" s="1"/>
  <c r="J9" i="59"/>
  <c r="L9" i="59"/>
  <c r="U7" i="59"/>
  <c r="P8" i="59"/>
  <c r="T8" i="59"/>
  <c r="S8" i="59"/>
  <c r="O8" i="59"/>
  <c r="K8" i="59"/>
  <c r="M8" i="59"/>
  <c r="I8" i="59"/>
  <c r="R9" i="59"/>
  <c r="B10" i="59"/>
  <c r="K21" i="85" l="1"/>
  <c r="J21" i="85"/>
  <c r="I22" i="85"/>
  <c r="F23" i="85"/>
  <c r="E22" i="85"/>
  <c r="D23" i="85"/>
  <c r="F10" i="59"/>
  <c r="H10" i="59"/>
  <c r="E10" i="59"/>
  <c r="C10" i="59"/>
  <c r="D10" i="59"/>
  <c r="G10" i="59"/>
  <c r="H22" i="75"/>
  <c r="F22" i="75"/>
  <c r="D22" i="75"/>
  <c r="G22" i="75"/>
  <c r="E22" i="75"/>
  <c r="C22" i="75"/>
  <c r="G22" i="76"/>
  <c r="E22" i="76"/>
  <c r="C22" i="76"/>
  <c r="H22" i="76"/>
  <c r="D22" i="76"/>
  <c r="F22" i="76"/>
  <c r="G22" i="78"/>
  <c r="E22" i="78"/>
  <c r="C22" i="78"/>
  <c r="H22" i="78"/>
  <c r="F22" i="78"/>
  <c r="D22" i="78"/>
  <c r="G22" i="81"/>
  <c r="E22" i="81"/>
  <c r="C22" i="81"/>
  <c r="H22" i="81"/>
  <c r="F22" i="81"/>
  <c r="D22" i="81"/>
  <c r="H22" i="73"/>
  <c r="F22" i="73"/>
  <c r="D22" i="73"/>
  <c r="G22" i="73"/>
  <c r="E22" i="73"/>
  <c r="C22" i="73"/>
  <c r="G22" i="77"/>
  <c r="E22" i="77"/>
  <c r="C22" i="77"/>
  <c r="H22" i="77"/>
  <c r="F22" i="77"/>
  <c r="D22" i="77"/>
  <c r="G22" i="80"/>
  <c r="E22" i="80"/>
  <c r="L22" i="80" s="1"/>
  <c r="C22" i="80"/>
  <c r="H22" i="80"/>
  <c r="F22" i="80"/>
  <c r="D22" i="80"/>
  <c r="G22" i="82"/>
  <c r="E22" i="82"/>
  <c r="L22" i="82" s="1"/>
  <c r="C22" i="82"/>
  <c r="H22" i="82"/>
  <c r="R22" i="82" s="1"/>
  <c r="F22" i="82"/>
  <c r="D22" i="82"/>
  <c r="A9" i="59"/>
  <c r="N9" i="59"/>
  <c r="A21" i="75"/>
  <c r="H22" i="85" s="1"/>
  <c r="A21" i="77"/>
  <c r="J22" i="85" s="1"/>
  <c r="A21" i="80"/>
  <c r="A21" i="82"/>
  <c r="A21" i="73"/>
  <c r="A21" i="76"/>
  <c r="I23" i="85" s="1"/>
  <c r="A21" i="78"/>
  <c r="A21" i="81"/>
  <c r="V19" i="82"/>
  <c r="T21" i="82"/>
  <c r="S21" i="82"/>
  <c r="P21" i="82"/>
  <c r="Q21" i="82"/>
  <c r="O21" i="82"/>
  <c r="K21" i="82"/>
  <c r="I21" i="82"/>
  <c r="N21" i="82"/>
  <c r="M21" i="82"/>
  <c r="J21" i="82"/>
  <c r="B23" i="82"/>
  <c r="U20" i="82"/>
  <c r="V19" i="81"/>
  <c r="T21" i="81"/>
  <c r="S21" i="81"/>
  <c r="P21" i="81"/>
  <c r="Q21" i="81"/>
  <c r="O21" i="81"/>
  <c r="K21" i="81"/>
  <c r="I21" i="81"/>
  <c r="N21" i="81"/>
  <c r="M21" i="81"/>
  <c r="J21" i="81"/>
  <c r="B23" i="81"/>
  <c r="L22" i="81"/>
  <c r="R22" i="81"/>
  <c r="U20" i="81"/>
  <c r="V19" i="80"/>
  <c r="T21" i="80"/>
  <c r="S21" i="80"/>
  <c r="P21" i="80"/>
  <c r="Q21" i="80"/>
  <c r="O21" i="80"/>
  <c r="K21" i="80"/>
  <c r="I21" i="80"/>
  <c r="N21" i="80"/>
  <c r="M21" i="80"/>
  <c r="J21" i="80"/>
  <c r="B23" i="80"/>
  <c r="R22" i="80"/>
  <c r="U20" i="80"/>
  <c r="V19" i="78"/>
  <c r="T21" i="78"/>
  <c r="S21" i="78"/>
  <c r="P21" i="78"/>
  <c r="Q21" i="78"/>
  <c r="O21" i="78"/>
  <c r="K21" i="78"/>
  <c r="I21" i="78"/>
  <c r="N21" i="78"/>
  <c r="M21" i="78"/>
  <c r="J21" i="78"/>
  <c r="B23" i="78"/>
  <c r="L22" i="78"/>
  <c r="R22" i="78"/>
  <c r="U20" i="78"/>
  <c r="V19" i="77"/>
  <c r="T21" i="77"/>
  <c r="S21" i="77"/>
  <c r="P21" i="77"/>
  <c r="Q21" i="77"/>
  <c r="O21" i="77"/>
  <c r="K21" i="77"/>
  <c r="I21" i="77"/>
  <c r="N21" i="77"/>
  <c r="M21" i="77"/>
  <c r="J21" i="77"/>
  <c r="B23" i="77"/>
  <c r="L22" i="77"/>
  <c r="R22" i="77"/>
  <c r="U20" i="77"/>
  <c r="V19" i="76"/>
  <c r="T21" i="76"/>
  <c r="S21" i="76"/>
  <c r="P21" i="76"/>
  <c r="Q21" i="76"/>
  <c r="O21" i="76"/>
  <c r="M21" i="76"/>
  <c r="B23" i="76"/>
  <c r="R22" i="76"/>
  <c r="U20" i="76"/>
  <c r="V19" i="75"/>
  <c r="T21" i="75"/>
  <c r="S21" i="75"/>
  <c r="P21" i="75"/>
  <c r="Q21" i="75"/>
  <c r="O21" i="75"/>
  <c r="K21" i="75"/>
  <c r="I21" i="75"/>
  <c r="N21" i="75"/>
  <c r="M21" i="75"/>
  <c r="J21" i="75"/>
  <c r="B23" i="75"/>
  <c r="L22" i="75"/>
  <c r="R22" i="75"/>
  <c r="U20" i="75"/>
  <c r="V19" i="73"/>
  <c r="T21" i="73"/>
  <c r="S21" i="73"/>
  <c r="P21" i="73"/>
  <c r="Q21" i="73"/>
  <c r="O21" i="73"/>
  <c r="K21" i="73"/>
  <c r="I21" i="73"/>
  <c r="N21" i="73"/>
  <c r="M21" i="73"/>
  <c r="J21" i="73"/>
  <c r="B23" i="73"/>
  <c r="L22" i="73"/>
  <c r="R22" i="73"/>
  <c r="U20" i="73"/>
  <c r="J10" i="59"/>
  <c r="L10" i="59"/>
  <c r="P9" i="59"/>
  <c r="T9" i="59"/>
  <c r="S9" i="59"/>
  <c r="O9" i="59"/>
  <c r="Q9" i="59"/>
  <c r="U8" i="59"/>
  <c r="K9" i="59"/>
  <c r="M9" i="59"/>
  <c r="I9" i="59"/>
  <c r="R10" i="59"/>
  <c r="B11" i="59"/>
  <c r="K22" i="85" l="1"/>
  <c r="G22" i="85"/>
  <c r="F24" i="85"/>
  <c r="E23" i="85"/>
  <c r="D24" i="85"/>
  <c r="H23" i="75"/>
  <c r="F23" i="75"/>
  <c r="D23" i="75"/>
  <c r="G23" i="75"/>
  <c r="E23" i="75"/>
  <c r="C23" i="75"/>
  <c r="G23" i="78"/>
  <c r="E23" i="78"/>
  <c r="C23" i="78"/>
  <c r="H23" i="78"/>
  <c r="F23" i="78"/>
  <c r="D23" i="78"/>
  <c r="G23" i="81"/>
  <c r="E23" i="81"/>
  <c r="C23" i="81"/>
  <c r="H23" i="81"/>
  <c r="F23" i="81"/>
  <c r="D23" i="81"/>
  <c r="G11" i="59"/>
  <c r="D11" i="59"/>
  <c r="C11" i="59"/>
  <c r="F11" i="59"/>
  <c r="H11" i="59"/>
  <c r="E11" i="59"/>
  <c r="H23" i="73"/>
  <c r="F23" i="73"/>
  <c r="D23" i="73"/>
  <c r="G23" i="73"/>
  <c r="E23" i="73"/>
  <c r="C23" i="73"/>
  <c r="G23" i="77"/>
  <c r="E23" i="77"/>
  <c r="C23" i="77"/>
  <c r="H23" i="77"/>
  <c r="F23" i="77"/>
  <c r="D23" i="77"/>
  <c r="G23" i="80"/>
  <c r="E23" i="80"/>
  <c r="L23" i="80" s="1"/>
  <c r="C23" i="80"/>
  <c r="H23" i="80"/>
  <c r="F23" i="80"/>
  <c r="D23" i="80"/>
  <c r="G23" i="82"/>
  <c r="E23" i="82"/>
  <c r="L23" i="82" s="1"/>
  <c r="C23" i="82"/>
  <c r="H23" i="82"/>
  <c r="F23" i="82"/>
  <c r="D23" i="82"/>
  <c r="G23" i="76"/>
  <c r="E23" i="76"/>
  <c r="C23" i="76"/>
  <c r="H23" i="76"/>
  <c r="F23" i="76"/>
  <c r="D23" i="76"/>
  <c r="A22" i="75"/>
  <c r="A22" i="77"/>
  <c r="J23" i="85" s="1"/>
  <c r="A22" i="80"/>
  <c r="A22" i="82"/>
  <c r="A10" i="59"/>
  <c r="N10" i="59"/>
  <c r="A22" i="73"/>
  <c r="A22" i="76"/>
  <c r="I24" i="85" s="1"/>
  <c r="A22" i="78"/>
  <c r="A22" i="81"/>
  <c r="V20" i="82"/>
  <c r="T22" i="82"/>
  <c r="S22" i="82"/>
  <c r="P22" i="82"/>
  <c r="Q22" i="82"/>
  <c r="O22" i="82"/>
  <c r="K22" i="82"/>
  <c r="I22" i="82"/>
  <c r="N22" i="82"/>
  <c r="M22" i="82"/>
  <c r="J22" i="82"/>
  <c r="B24" i="82"/>
  <c r="R23" i="82"/>
  <c r="U21" i="82"/>
  <c r="V20" i="81"/>
  <c r="T22" i="81"/>
  <c r="S22" i="81"/>
  <c r="P22" i="81"/>
  <c r="Q22" i="81"/>
  <c r="O22" i="81"/>
  <c r="K22" i="81"/>
  <c r="I22" i="81"/>
  <c r="N22" i="81"/>
  <c r="M22" i="81"/>
  <c r="J22" i="81"/>
  <c r="B24" i="81"/>
  <c r="L23" i="81"/>
  <c r="R23" i="81"/>
  <c r="U21" i="81"/>
  <c r="V20" i="80"/>
  <c r="T22" i="80"/>
  <c r="S22" i="80"/>
  <c r="P22" i="80"/>
  <c r="Q22" i="80"/>
  <c r="O22" i="80"/>
  <c r="K22" i="80"/>
  <c r="I22" i="80"/>
  <c r="N22" i="80"/>
  <c r="M22" i="80"/>
  <c r="J22" i="80"/>
  <c r="B24" i="80"/>
  <c r="R23" i="80"/>
  <c r="U21" i="80"/>
  <c r="V20" i="78"/>
  <c r="T22" i="78"/>
  <c r="S22" i="78"/>
  <c r="P22" i="78"/>
  <c r="Q22" i="78"/>
  <c r="O22" i="78"/>
  <c r="K22" i="78"/>
  <c r="I22" i="78"/>
  <c r="N22" i="78"/>
  <c r="M22" i="78"/>
  <c r="J22" i="78"/>
  <c r="B24" i="78"/>
  <c r="L23" i="78"/>
  <c r="R23" i="78"/>
  <c r="U21" i="78"/>
  <c r="V20" i="77"/>
  <c r="T22" i="77"/>
  <c r="S22" i="77"/>
  <c r="P22" i="77"/>
  <c r="Q22" i="77"/>
  <c r="O22" i="77"/>
  <c r="K22" i="77"/>
  <c r="I22" i="77"/>
  <c r="N22" i="77"/>
  <c r="M22" i="77"/>
  <c r="J22" i="77"/>
  <c r="B24" i="77"/>
  <c r="L23" i="77"/>
  <c r="R23" i="77"/>
  <c r="U21" i="77"/>
  <c r="V20" i="76"/>
  <c r="T22" i="76"/>
  <c r="S22" i="76"/>
  <c r="P22" i="76"/>
  <c r="Q22" i="76"/>
  <c r="O22" i="76"/>
  <c r="M22" i="76"/>
  <c r="B24" i="76"/>
  <c r="R23" i="76"/>
  <c r="U21" i="76"/>
  <c r="V20" i="75"/>
  <c r="T22" i="75"/>
  <c r="S22" i="75"/>
  <c r="P22" i="75"/>
  <c r="Q22" i="75"/>
  <c r="O22" i="75"/>
  <c r="K22" i="75"/>
  <c r="I22" i="75"/>
  <c r="N22" i="75"/>
  <c r="M22" i="75"/>
  <c r="J22" i="75"/>
  <c r="B24" i="75"/>
  <c r="L23" i="75"/>
  <c r="R23" i="75"/>
  <c r="U21" i="75"/>
  <c r="V20" i="73"/>
  <c r="T22" i="73"/>
  <c r="S22" i="73"/>
  <c r="P22" i="73"/>
  <c r="Q22" i="73"/>
  <c r="O22" i="73"/>
  <c r="K22" i="73"/>
  <c r="I22" i="73"/>
  <c r="N22" i="73"/>
  <c r="M22" i="73"/>
  <c r="J22" i="73"/>
  <c r="B24" i="73"/>
  <c r="L23" i="73"/>
  <c r="R23" i="73"/>
  <c r="U21" i="73"/>
  <c r="J11" i="59"/>
  <c r="L11" i="59"/>
  <c r="U9" i="59"/>
  <c r="O10" i="59"/>
  <c r="Q10" i="59"/>
  <c r="P10" i="59"/>
  <c r="T10" i="59"/>
  <c r="S10" i="59"/>
  <c r="K10" i="59"/>
  <c r="M10" i="59"/>
  <c r="I10" i="59"/>
  <c r="R11" i="59"/>
  <c r="B12" i="59"/>
  <c r="K23" i="85" l="1"/>
  <c r="H23" i="85"/>
  <c r="G23" i="85"/>
  <c r="F25" i="85"/>
  <c r="E24" i="85"/>
  <c r="D25" i="85"/>
  <c r="H24" i="75"/>
  <c r="F24" i="75"/>
  <c r="D24" i="75"/>
  <c r="G24" i="75"/>
  <c r="E24" i="75"/>
  <c r="C24" i="75"/>
  <c r="G24" i="76"/>
  <c r="E24" i="76"/>
  <c r="C24" i="76"/>
  <c r="H24" i="76"/>
  <c r="F24" i="76"/>
  <c r="D24" i="76"/>
  <c r="F12" i="59"/>
  <c r="H12" i="59"/>
  <c r="E12" i="59"/>
  <c r="C12" i="59"/>
  <c r="D12" i="59"/>
  <c r="G12" i="59"/>
  <c r="H24" i="73"/>
  <c r="F24" i="73"/>
  <c r="D24" i="73"/>
  <c r="G24" i="73"/>
  <c r="E24" i="73"/>
  <c r="C24" i="73"/>
  <c r="G24" i="77"/>
  <c r="E24" i="77"/>
  <c r="C24" i="77"/>
  <c r="H24" i="77"/>
  <c r="F24" i="77"/>
  <c r="D24" i="77"/>
  <c r="G24" i="80"/>
  <c r="E24" i="80"/>
  <c r="L24" i="80" s="1"/>
  <c r="C24" i="80"/>
  <c r="H24" i="80"/>
  <c r="F24" i="80"/>
  <c r="D24" i="80"/>
  <c r="G24" i="82"/>
  <c r="E24" i="82"/>
  <c r="L24" i="82" s="1"/>
  <c r="C24" i="82"/>
  <c r="H24" i="82"/>
  <c r="R24" i="82" s="1"/>
  <c r="F24" i="82"/>
  <c r="D24" i="82"/>
  <c r="G24" i="78"/>
  <c r="E24" i="78"/>
  <c r="C24" i="78"/>
  <c r="H24" i="78"/>
  <c r="R24" i="78" s="1"/>
  <c r="F24" i="78"/>
  <c r="D24" i="78"/>
  <c r="G24" i="81"/>
  <c r="E24" i="81"/>
  <c r="L24" i="81" s="1"/>
  <c r="C24" i="81"/>
  <c r="H24" i="81"/>
  <c r="R24" i="81" s="1"/>
  <c r="F24" i="81"/>
  <c r="D24" i="81"/>
  <c r="A11" i="59"/>
  <c r="C12" i="85" s="1"/>
  <c r="A23" i="76"/>
  <c r="N11" i="59"/>
  <c r="A23" i="73"/>
  <c r="A23" i="78"/>
  <c r="A23" i="81"/>
  <c r="F26" i="85" s="1"/>
  <c r="A23" i="75"/>
  <c r="H24" i="85" s="1"/>
  <c r="A23" i="77"/>
  <c r="A23" i="80"/>
  <c r="A23" i="82"/>
  <c r="E25" i="85" s="1"/>
  <c r="V21" i="82"/>
  <c r="T23" i="82"/>
  <c r="S23" i="82"/>
  <c r="P23" i="82"/>
  <c r="Q23" i="82"/>
  <c r="O23" i="82"/>
  <c r="K23" i="82"/>
  <c r="I23" i="82"/>
  <c r="N23" i="82"/>
  <c r="M23" i="82"/>
  <c r="J23" i="82"/>
  <c r="B25" i="82"/>
  <c r="U22" i="82"/>
  <c r="V21" i="81"/>
  <c r="T23" i="81"/>
  <c r="S23" i="81"/>
  <c r="P23" i="81"/>
  <c r="Q23" i="81"/>
  <c r="O23" i="81"/>
  <c r="K23" i="81"/>
  <c r="I23" i="81"/>
  <c r="N23" i="81"/>
  <c r="M23" i="81"/>
  <c r="J23" i="81"/>
  <c r="B25" i="81"/>
  <c r="U22" i="81"/>
  <c r="V21" i="80"/>
  <c r="T23" i="80"/>
  <c r="S23" i="80"/>
  <c r="P23" i="80"/>
  <c r="Q23" i="80"/>
  <c r="O23" i="80"/>
  <c r="K23" i="80"/>
  <c r="I23" i="80"/>
  <c r="N23" i="80"/>
  <c r="M23" i="80"/>
  <c r="J23" i="80"/>
  <c r="B25" i="80"/>
  <c r="R24" i="80"/>
  <c r="U22" i="80"/>
  <c r="V21" i="78"/>
  <c r="T23" i="78"/>
  <c r="S23" i="78"/>
  <c r="P23" i="78"/>
  <c r="Q23" i="78"/>
  <c r="O23" i="78"/>
  <c r="K23" i="78"/>
  <c r="I23" i="78"/>
  <c r="N23" i="78"/>
  <c r="M23" i="78"/>
  <c r="J23" i="78"/>
  <c r="B25" i="78"/>
  <c r="L24" i="78"/>
  <c r="U22" i="78"/>
  <c r="V21" i="77"/>
  <c r="T23" i="77"/>
  <c r="S23" i="77"/>
  <c r="P23" i="77"/>
  <c r="Q23" i="77"/>
  <c r="O23" i="77"/>
  <c r="K23" i="77"/>
  <c r="I23" i="77"/>
  <c r="N23" i="77"/>
  <c r="M23" i="77"/>
  <c r="J23" i="77"/>
  <c r="B25" i="77"/>
  <c r="L24" i="77"/>
  <c r="R24" i="77"/>
  <c r="U22" i="77"/>
  <c r="V21" i="76"/>
  <c r="T23" i="76"/>
  <c r="S23" i="76"/>
  <c r="P23" i="76"/>
  <c r="Q23" i="76"/>
  <c r="O23" i="76"/>
  <c r="M23" i="76"/>
  <c r="B25" i="76"/>
  <c r="R24" i="76"/>
  <c r="U22" i="76"/>
  <c r="V21" i="75"/>
  <c r="T23" i="75"/>
  <c r="S23" i="75"/>
  <c r="P23" i="75"/>
  <c r="Q23" i="75"/>
  <c r="O23" i="75"/>
  <c r="K23" i="75"/>
  <c r="I23" i="75"/>
  <c r="N23" i="75"/>
  <c r="M23" i="75"/>
  <c r="J23" i="75"/>
  <c r="B25" i="75"/>
  <c r="L24" i="75"/>
  <c r="R24" i="75"/>
  <c r="U22" i="75"/>
  <c r="V21" i="73"/>
  <c r="T23" i="73"/>
  <c r="S23" i="73"/>
  <c r="P23" i="73"/>
  <c r="Q23" i="73"/>
  <c r="O23" i="73"/>
  <c r="K23" i="73"/>
  <c r="I23" i="73"/>
  <c r="N23" i="73"/>
  <c r="M23" i="73"/>
  <c r="J23" i="73"/>
  <c r="B25" i="73"/>
  <c r="L24" i="73"/>
  <c r="R24" i="73"/>
  <c r="U22" i="73"/>
  <c r="J12" i="59"/>
  <c r="U10" i="59"/>
  <c r="P11" i="59"/>
  <c r="T11" i="59"/>
  <c r="S11" i="59"/>
  <c r="O11" i="59"/>
  <c r="Q11" i="59"/>
  <c r="K11" i="59"/>
  <c r="M11" i="59"/>
  <c r="I11" i="59"/>
  <c r="N12" i="59"/>
  <c r="R12" i="59"/>
  <c r="L12" i="59"/>
  <c r="B13" i="59"/>
  <c r="K24" i="85" l="1"/>
  <c r="J24" i="85"/>
  <c r="I25" i="85"/>
  <c r="G24" i="85"/>
  <c r="D26" i="85"/>
  <c r="G13" i="59"/>
  <c r="D13" i="59"/>
  <c r="E13" i="59"/>
  <c r="C13" i="59"/>
  <c r="F13" i="59"/>
  <c r="H13" i="59"/>
  <c r="H25" i="75"/>
  <c r="F25" i="75"/>
  <c r="D25" i="75"/>
  <c r="G25" i="75"/>
  <c r="E25" i="75"/>
  <c r="C25" i="75"/>
  <c r="G25" i="76"/>
  <c r="E25" i="76"/>
  <c r="C25" i="76"/>
  <c r="H25" i="76"/>
  <c r="F25" i="76"/>
  <c r="D25" i="76"/>
  <c r="G25" i="81"/>
  <c r="E25" i="81"/>
  <c r="C25" i="81"/>
  <c r="H25" i="81"/>
  <c r="F25" i="81"/>
  <c r="D25" i="81"/>
  <c r="G25" i="78"/>
  <c r="E25" i="78"/>
  <c r="C25" i="78"/>
  <c r="H25" i="78"/>
  <c r="F25" i="78"/>
  <c r="D25" i="78"/>
  <c r="H25" i="73"/>
  <c r="F25" i="73"/>
  <c r="D25" i="73"/>
  <c r="G25" i="73"/>
  <c r="E25" i="73"/>
  <c r="C25" i="73"/>
  <c r="G25" i="77"/>
  <c r="E25" i="77"/>
  <c r="C25" i="77"/>
  <c r="H25" i="77"/>
  <c r="F25" i="77"/>
  <c r="D25" i="77"/>
  <c r="G25" i="80"/>
  <c r="E25" i="80"/>
  <c r="C25" i="80"/>
  <c r="H25" i="80"/>
  <c r="R25" i="80" s="1"/>
  <c r="F25" i="80"/>
  <c r="D25" i="80"/>
  <c r="G25" i="82"/>
  <c r="E25" i="82"/>
  <c r="C25" i="82"/>
  <c r="H25" i="82"/>
  <c r="R25" i="82" s="1"/>
  <c r="F25" i="82"/>
  <c r="D25" i="82"/>
  <c r="A24" i="75"/>
  <c r="A24" i="77"/>
  <c r="J25" i="85" s="1"/>
  <c r="A24" i="80"/>
  <c r="A24" i="82"/>
  <c r="A12" i="59"/>
  <c r="C13" i="85" s="1"/>
  <c r="A24" i="73"/>
  <c r="G25" i="85" s="1"/>
  <c r="A24" i="76"/>
  <c r="A24" i="78"/>
  <c r="A24" i="81"/>
  <c r="F7" i="8"/>
  <c r="V22" i="82"/>
  <c r="T24" i="82"/>
  <c r="S24" i="82"/>
  <c r="P24" i="82"/>
  <c r="Q24" i="82"/>
  <c r="O24" i="82"/>
  <c r="K24" i="82"/>
  <c r="I24" i="82"/>
  <c r="N24" i="82"/>
  <c r="M24" i="82"/>
  <c r="J24" i="82"/>
  <c r="B26" i="82"/>
  <c r="L25" i="82"/>
  <c r="U23" i="82"/>
  <c r="V22" i="81"/>
  <c r="T24" i="81"/>
  <c r="S24" i="81"/>
  <c r="P24" i="81"/>
  <c r="Q24" i="81"/>
  <c r="O24" i="81"/>
  <c r="K24" i="81"/>
  <c r="I24" i="81"/>
  <c r="N24" i="81"/>
  <c r="M24" i="81"/>
  <c r="J24" i="81"/>
  <c r="B26" i="81"/>
  <c r="L25" i="81"/>
  <c r="R25" i="81"/>
  <c r="U23" i="81"/>
  <c r="V22" i="80"/>
  <c r="T24" i="80"/>
  <c r="S24" i="80"/>
  <c r="P24" i="80"/>
  <c r="Q24" i="80"/>
  <c r="O24" i="80"/>
  <c r="K24" i="80"/>
  <c r="I24" i="80"/>
  <c r="N24" i="80"/>
  <c r="M24" i="80"/>
  <c r="J24" i="80"/>
  <c r="B26" i="80"/>
  <c r="L25" i="80"/>
  <c r="U23" i="80"/>
  <c r="V22" i="78"/>
  <c r="T24" i="78"/>
  <c r="S24" i="78"/>
  <c r="P24" i="78"/>
  <c r="Q24" i="78"/>
  <c r="O24" i="78"/>
  <c r="K24" i="78"/>
  <c r="I24" i="78"/>
  <c r="N24" i="78"/>
  <c r="M24" i="78"/>
  <c r="J24" i="78"/>
  <c r="B26" i="78"/>
  <c r="L25" i="78"/>
  <c r="R25" i="78"/>
  <c r="U23" i="78"/>
  <c r="V22" i="77"/>
  <c r="T24" i="77"/>
  <c r="S24" i="77"/>
  <c r="P24" i="77"/>
  <c r="Q24" i="77"/>
  <c r="O24" i="77"/>
  <c r="K24" i="77"/>
  <c r="I24" i="77"/>
  <c r="N24" i="77"/>
  <c r="M24" i="77"/>
  <c r="J24" i="77"/>
  <c r="B26" i="77"/>
  <c r="L25" i="77"/>
  <c r="R25" i="77"/>
  <c r="U23" i="77"/>
  <c r="V22" i="76"/>
  <c r="T24" i="76"/>
  <c r="S24" i="76"/>
  <c r="P24" i="76"/>
  <c r="Q24" i="76"/>
  <c r="O24" i="76"/>
  <c r="M24" i="76"/>
  <c r="B26" i="76"/>
  <c r="R25" i="76"/>
  <c r="U23" i="76"/>
  <c r="V22" i="75"/>
  <c r="T24" i="75"/>
  <c r="S24" i="75"/>
  <c r="P24" i="75"/>
  <c r="Q24" i="75"/>
  <c r="O24" i="75"/>
  <c r="K24" i="75"/>
  <c r="I24" i="75"/>
  <c r="N24" i="75"/>
  <c r="M24" i="75"/>
  <c r="J24" i="75"/>
  <c r="B26" i="75"/>
  <c r="L25" i="75"/>
  <c r="R25" i="75"/>
  <c r="U23" i="75"/>
  <c r="V22" i="73"/>
  <c r="T24" i="73"/>
  <c r="S24" i="73"/>
  <c r="P24" i="73"/>
  <c r="Q24" i="73"/>
  <c r="O24" i="73"/>
  <c r="K24" i="73"/>
  <c r="I24" i="73"/>
  <c r="N24" i="73"/>
  <c r="M24" i="73"/>
  <c r="J24" i="73"/>
  <c r="B26" i="73"/>
  <c r="L25" i="73"/>
  <c r="R25" i="73"/>
  <c r="U23" i="73"/>
  <c r="J13" i="59"/>
  <c r="L13" i="59"/>
  <c r="K12" i="59"/>
  <c r="U11" i="59"/>
  <c r="V11" i="59" s="1"/>
  <c r="O12" i="59"/>
  <c r="Q12" i="59"/>
  <c r="P12" i="59"/>
  <c r="T12" i="59"/>
  <c r="S12" i="59"/>
  <c r="M12" i="59"/>
  <c r="I12" i="59"/>
  <c r="R13" i="59"/>
  <c r="B14" i="59"/>
  <c r="K25" i="85" l="1"/>
  <c r="I26" i="85"/>
  <c r="H25" i="85"/>
  <c r="F27" i="85"/>
  <c r="E26" i="85"/>
  <c r="D27" i="85"/>
  <c r="G26" i="81"/>
  <c r="E26" i="81"/>
  <c r="C26" i="81"/>
  <c r="H26" i="81"/>
  <c r="F26" i="81"/>
  <c r="D26" i="81"/>
  <c r="H26" i="75"/>
  <c r="F26" i="75"/>
  <c r="D26" i="75"/>
  <c r="G26" i="75"/>
  <c r="E26" i="75"/>
  <c r="C26" i="75"/>
  <c r="G26" i="76"/>
  <c r="E26" i="76"/>
  <c r="C26" i="76"/>
  <c r="H26" i="76"/>
  <c r="F26" i="76"/>
  <c r="D26" i="76"/>
  <c r="G26" i="78"/>
  <c r="E26" i="78"/>
  <c r="C26" i="78"/>
  <c r="H26" i="78"/>
  <c r="F26" i="78"/>
  <c r="D26" i="78"/>
  <c r="F14" i="59"/>
  <c r="H14" i="59"/>
  <c r="E14" i="59"/>
  <c r="C14" i="59"/>
  <c r="G14" i="59"/>
  <c r="D14" i="59"/>
  <c r="H26" i="73"/>
  <c r="F26" i="73"/>
  <c r="D26" i="73"/>
  <c r="G26" i="73"/>
  <c r="E26" i="73"/>
  <c r="C26" i="73"/>
  <c r="G26" i="77"/>
  <c r="E26" i="77"/>
  <c r="C26" i="77"/>
  <c r="H26" i="77"/>
  <c r="F26" i="77"/>
  <c r="D26" i="77"/>
  <c r="G26" i="80"/>
  <c r="E26" i="80"/>
  <c r="C26" i="80"/>
  <c r="H26" i="80"/>
  <c r="F26" i="80"/>
  <c r="D26" i="80"/>
  <c r="G26" i="82"/>
  <c r="E26" i="82"/>
  <c r="C26" i="82"/>
  <c r="H26" i="82"/>
  <c r="R26" i="82" s="1"/>
  <c r="F26" i="82"/>
  <c r="D26" i="82"/>
  <c r="A25" i="75"/>
  <c r="H26" i="85" s="1"/>
  <c r="A25" i="77"/>
  <c r="A25" i="80"/>
  <c r="A25" i="82"/>
  <c r="E27" i="85" s="1"/>
  <c r="A13" i="59"/>
  <c r="C14" i="85" s="1"/>
  <c r="L14" i="85" s="1"/>
  <c r="F15" i="83" s="1"/>
  <c r="N13" i="59"/>
  <c r="A25" i="73"/>
  <c r="G26" i="85" s="1"/>
  <c r="A25" i="76"/>
  <c r="I27" i="85" s="1"/>
  <c r="A25" i="78"/>
  <c r="A25" i="81"/>
  <c r="B27" i="73"/>
  <c r="B27" i="75"/>
  <c r="B27" i="76"/>
  <c r="B27" i="77"/>
  <c r="B27" i="78"/>
  <c r="B27" i="80"/>
  <c r="B27" i="81"/>
  <c r="B27" i="82"/>
  <c r="V23" i="82"/>
  <c r="T25" i="82"/>
  <c r="S25" i="82"/>
  <c r="P25" i="82"/>
  <c r="Q25" i="82"/>
  <c r="O25" i="82"/>
  <c r="K25" i="82"/>
  <c r="I25" i="82"/>
  <c r="N25" i="82"/>
  <c r="M25" i="82"/>
  <c r="J25" i="82"/>
  <c r="L26" i="82"/>
  <c r="U24" i="82"/>
  <c r="V23" i="81"/>
  <c r="T25" i="81"/>
  <c r="S25" i="81"/>
  <c r="P25" i="81"/>
  <c r="Q25" i="81"/>
  <c r="O25" i="81"/>
  <c r="K25" i="81"/>
  <c r="I25" i="81"/>
  <c r="N25" i="81"/>
  <c r="M25" i="81"/>
  <c r="J25" i="81"/>
  <c r="L26" i="81"/>
  <c r="R26" i="81"/>
  <c r="U24" i="81"/>
  <c r="V23" i="80"/>
  <c r="T25" i="80"/>
  <c r="S25" i="80"/>
  <c r="P25" i="80"/>
  <c r="Q25" i="80"/>
  <c r="O25" i="80"/>
  <c r="K25" i="80"/>
  <c r="I25" i="80"/>
  <c r="N25" i="80"/>
  <c r="M25" i="80"/>
  <c r="J25" i="80"/>
  <c r="L26" i="80"/>
  <c r="R26" i="80"/>
  <c r="U24" i="80"/>
  <c r="V23" i="78"/>
  <c r="T25" i="78"/>
  <c r="S25" i="78"/>
  <c r="P25" i="78"/>
  <c r="Q25" i="78"/>
  <c r="O25" i="78"/>
  <c r="K25" i="78"/>
  <c r="I25" i="78"/>
  <c r="N25" i="78"/>
  <c r="M25" i="78"/>
  <c r="J25" i="78"/>
  <c r="L26" i="78"/>
  <c r="R26" i="78"/>
  <c r="U24" i="78"/>
  <c r="V23" i="77"/>
  <c r="T25" i="77"/>
  <c r="S25" i="77"/>
  <c r="P25" i="77"/>
  <c r="Q25" i="77"/>
  <c r="O25" i="77"/>
  <c r="K25" i="77"/>
  <c r="I25" i="77"/>
  <c r="N25" i="77"/>
  <c r="M25" i="77"/>
  <c r="J25" i="77"/>
  <c r="L26" i="77"/>
  <c r="R26" i="77"/>
  <c r="U24" i="77"/>
  <c r="V23" i="76"/>
  <c r="T25" i="76"/>
  <c r="S25" i="76"/>
  <c r="P25" i="76"/>
  <c r="Q25" i="76"/>
  <c r="O25" i="76"/>
  <c r="M25" i="76"/>
  <c r="R26" i="76"/>
  <c r="U24" i="76"/>
  <c r="V23" i="75"/>
  <c r="T25" i="75"/>
  <c r="S25" i="75"/>
  <c r="P25" i="75"/>
  <c r="Q25" i="75"/>
  <c r="O25" i="75"/>
  <c r="K25" i="75"/>
  <c r="I25" i="75"/>
  <c r="N25" i="75"/>
  <c r="M25" i="75"/>
  <c r="J25" i="75"/>
  <c r="L26" i="75"/>
  <c r="R26" i="75"/>
  <c r="U24" i="75"/>
  <c r="V23" i="73"/>
  <c r="T25" i="73"/>
  <c r="S25" i="73"/>
  <c r="P25" i="73"/>
  <c r="Q25" i="73"/>
  <c r="O25" i="73"/>
  <c r="K25" i="73"/>
  <c r="I25" i="73"/>
  <c r="N25" i="73"/>
  <c r="M25" i="73"/>
  <c r="J25" i="73"/>
  <c r="L26" i="73"/>
  <c r="R26" i="73"/>
  <c r="U24" i="73"/>
  <c r="J14" i="59"/>
  <c r="U12" i="59"/>
  <c r="P13" i="59"/>
  <c r="T13" i="59"/>
  <c r="S13" i="59"/>
  <c r="O13" i="59"/>
  <c r="Q13" i="59"/>
  <c r="K13" i="59"/>
  <c r="M13" i="59"/>
  <c r="I13" i="59"/>
  <c r="A14" i="59"/>
  <c r="L14" i="59"/>
  <c r="R14" i="59"/>
  <c r="V8" i="59"/>
  <c r="V7" i="59"/>
  <c r="V9" i="59"/>
  <c r="V10" i="59"/>
  <c r="K26" i="85" l="1"/>
  <c r="J26" i="85"/>
  <c r="F28" i="85"/>
  <c r="D28" i="85"/>
  <c r="F7" i="85"/>
  <c r="G27" i="81"/>
  <c r="E27" i="81"/>
  <c r="C27" i="81"/>
  <c r="H27" i="81"/>
  <c r="F27" i="81"/>
  <c r="D27" i="81"/>
  <c r="G27" i="78"/>
  <c r="E27" i="78"/>
  <c r="C27" i="78"/>
  <c r="H27" i="78"/>
  <c r="F27" i="78"/>
  <c r="D27" i="78"/>
  <c r="G27" i="76"/>
  <c r="E27" i="76"/>
  <c r="C27" i="76"/>
  <c r="H27" i="76"/>
  <c r="F27" i="76"/>
  <c r="D27" i="76"/>
  <c r="H27" i="73"/>
  <c r="F27" i="73"/>
  <c r="D27" i="73"/>
  <c r="G27" i="73"/>
  <c r="E27" i="73"/>
  <c r="C27" i="73"/>
  <c r="G27" i="82"/>
  <c r="E27" i="82"/>
  <c r="C27" i="82"/>
  <c r="H27" i="82"/>
  <c r="F27" i="82"/>
  <c r="D27" i="82"/>
  <c r="D7" i="85"/>
  <c r="G27" i="80"/>
  <c r="E27" i="80"/>
  <c r="C27" i="80"/>
  <c r="H27" i="80"/>
  <c r="F27" i="80"/>
  <c r="D27" i="80"/>
  <c r="G27" i="77"/>
  <c r="E27" i="77"/>
  <c r="C27" i="77"/>
  <c r="H27" i="77"/>
  <c r="F27" i="77"/>
  <c r="D27" i="77"/>
  <c r="H27" i="75"/>
  <c r="F27" i="75"/>
  <c r="D27" i="75"/>
  <c r="G27" i="75"/>
  <c r="E27" i="75"/>
  <c r="C27" i="75"/>
  <c r="A27" i="73"/>
  <c r="B28" i="73"/>
  <c r="R27" i="73"/>
  <c r="L27" i="73"/>
  <c r="F12" i="85"/>
  <c r="F10" i="85"/>
  <c r="D12" i="85"/>
  <c r="D10" i="85"/>
  <c r="F13" i="85"/>
  <c r="F11" i="85"/>
  <c r="F8" i="85"/>
  <c r="D13" i="85"/>
  <c r="D11" i="85"/>
  <c r="D8" i="85"/>
  <c r="C15" i="85"/>
  <c r="L15" i="85" s="1"/>
  <c r="F16" i="83" s="1"/>
  <c r="F9" i="85"/>
  <c r="D9" i="85"/>
  <c r="A26" i="73"/>
  <c r="G27" i="85" s="1"/>
  <c r="A26" i="75"/>
  <c r="H27" i="85" s="1"/>
  <c r="A26" i="76"/>
  <c r="I28" i="85" s="1"/>
  <c r="A26" i="77"/>
  <c r="A26" i="78"/>
  <c r="K27" i="85" s="1"/>
  <c r="A26" i="80"/>
  <c r="A26" i="81"/>
  <c r="A26" i="82"/>
  <c r="B28" i="82"/>
  <c r="L27" i="82"/>
  <c r="R27" i="82"/>
  <c r="L27" i="81"/>
  <c r="L28" i="81" s="1"/>
  <c r="R27" i="81"/>
  <c r="R28" i="81" s="1"/>
  <c r="L27" i="80"/>
  <c r="L28" i="80" s="1"/>
  <c r="R27" i="80"/>
  <c r="R28" i="80" s="1"/>
  <c r="B28" i="78"/>
  <c r="L27" i="78"/>
  <c r="R27" i="78"/>
  <c r="B28" i="77"/>
  <c r="L27" i="77"/>
  <c r="R27" i="77"/>
  <c r="B28" i="76"/>
  <c r="R27" i="76"/>
  <c r="B28" i="75"/>
  <c r="L27" i="75"/>
  <c r="R27" i="75"/>
  <c r="V12" i="59"/>
  <c r="P27" i="73"/>
  <c r="S27" i="73"/>
  <c r="T27" i="73"/>
  <c r="O27" i="73"/>
  <c r="Q27" i="73"/>
  <c r="B29" i="73"/>
  <c r="J27" i="73"/>
  <c r="M27" i="73"/>
  <c r="N27" i="73"/>
  <c r="I27" i="73"/>
  <c r="K27" i="73"/>
  <c r="V24" i="82"/>
  <c r="T26" i="82"/>
  <c r="S26" i="82"/>
  <c r="P26" i="82"/>
  <c r="Q26" i="82"/>
  <c r="O26" i="82"/>
  <c r="K26" i="82"/>
  <c r="I26" i="82"/>
  <c r="N26" i="82"/>
  <c r="M26" i="82"/>
  <c r="J26" i="82"/>
  <c r="U25" i="82"/>
  <c r="V24" i="81"/>
  <c r="T26" i="81"/>
  <c r="S26" i="81"/>
  <c r="P26" i="81"/>
  <c r="Q26" i="81"/>
  <c r="O26" i="81"/>
  <c r="K26" i="81"/>
  <c r="I26" i="81"/>
  <c r="N26" i="81"/>
  <c r="M26" i="81"/>
  <c r="J26" i="81"/>
  <c r="U25" i="81"/>
  <c r="V24" i="80"/>
  <c r="T26" i="80"/>
  <c r="S26" i="80"/>
  <c r="P26" i="80"/>
  <c r="Q26" i="80"/>
  <c r="O26" i="80"/>
  <c r="K26" i="80"/>
  <c r="I26" i="80"/>
  <c r="N26" i="80"/>
  <c r="M26" i="80"/>
  <c r="J26" i="80"/>
  <c r="U25" i="80"/>
  <c r="V24" i="78"/>
  <c r="T26" i="78"/>
  <c r="S26" i="78"/>
  <c r="P26" i="78"/>
  <c r="Q26" i="78"/>
  <c r="O26" i="78"/>
  <c r="K26" i="78"/>
  <c r="I26" i="78"/>
  <c r="N26" i="78"/>
  <c r="M26" i="78"/>
  <c r="J26" i="78"/>
  <c r="U25" i="78"/>
  <c r="V24" i="77"/>
  <c r="T26" i="77"/>
  <c r="S26" i="77"/>
  <c r="P26" i="77"/>
  <c r="Q26" i="77"/>
  <c r="O26" i="77"/>
  <c r="K26" i="77"/>
  <c r="I26" i="77"/>
  <c r="N26" i="77"/>
  <c r="M26" i="77"/>
  <c r="J26" i="77"/>
  <c r="U25" i="77"/>
  <c r="V24" i="76"/>
  <c r="T26" i="76"/>
  <c r="S26" i="76"/>
  <c r="P26" i="76"/>
  <c r="Q26" i="76"/>
  <c r="O26" i="76"/>
  <c r="M26" i="76"/>
  <c r="U25" i="76"/>
  <c r="V24" i="75"/>
  <c r="T26" i="75"/>
  <c r="S26" i="75"/>
  <c r="P26" i="75"/>
  <c r="Q26" i="75"/>
  <c r="O26" i="75"/>
  <c r="K26" i="75"/>
  <c r="I26" i="75"/>
  <c r="N26" i="75"/>
  <c r="M26" i="75"/>
  <c r="J26" i="75"/>
  <c r="U25" i="75"/>
  <c r="V24" i="73"/>
  <c r="T26" i="73"/>
  <c r="S26" i="73"/>
  <c r="P26" i="73"/>
  <c r="Q26" i="73"/>
  <c r="O26" i="73"/>
  <c r="K26" i="73"/>
  <c r="I26" i="73"/>
  <c r="N26" i="73"/>
  <c r="M26" i="73"/>
  <c r="J26" i="73"/>
  <c r="U25" i="73"/>
  <c r="U13" i="59"/>
  <c r="P14" i="59"/>
  <c r="T14" i="59"/>
  <c r="S14" i="59"/>
  <c r="O14" i="59"/>
  <c r="Q14" i="59"/>
  <c r="K14" i="59"/>
  <c r="M14" i="59"/>
  <c r="N14" i="59"/>
  <c r="I14" i="59"/>
  <c r="J27" i="85" l="1"/>
  <c r="F29" i="85"/>
  <c r="E28" i="85"/>
  <c r="D29" i="85"/>
  <c r="G28" i="77"/>
  <c r="H28" i="77"/>
  <c r="E28" i="77"/>
  <c r="C28" i="77"/>
  <c r="F28" i="77"/>
  <c r="D28" i="77"/>
  <c r="G28" i="82"/>
  <c r="E28" i="82"/>
  <c r="C28" i="82"/>
  <c r="H28" i="82"/>
  <c r="F28" i="82"/>
  <c r="D28" i="82"/>
  <c r="H29" i="73"/>
  <c r="F29" i="73"/>
  <c r="D29" i="73"/>
  <c r="G29" i="73"/>
  <c r="E29" i="73"/>
  <c r="C29" i="73"/>
  <c r="H28" i="75"/>
  <c r="F28" i="75"/>
  <c r="D28" i="75"/>
  <c r="G28" i="75"/>
  <c r="E28" i="75"/>
  <c r="C28" i="75"/>
  <c r="G28" i="76"/>
  <c r="E28" i="76"/>
  <c r="C28" i="76"/>
  <c r="H28" i="76"/>
  <c r="F28" i="76"/>
  <c r="D28" i="76"/>
  <c r="G28" i="78"/>
  <c r="E28" i="78"/>
  <c r="C28" i="78"/>
  <c r="H28" i="78"/>
  <c r="F28" i="78"/>
  <c r="D28" i="78"/>
  <c r="L13" i="85"/>
  <c r="F14" i="83" s="1"/>
  <c r="I14" i="83" s="1"/>
  <c r="L14" i="83" s="1"/>
  <c r="H28" i="73"/>
  <c r="R28" i="73" s="1"/>
  <c r="F28" i="73"/>
  <c r="D28" i="73"/>
  <c r="G28" i="73"/>
  <c r="E28" i="73"/>
  <c r="L28" i="73" s="1"/>
  <c r="C28" i="73"/>
  <c r="G28" i="85"/>
  <c r="C14" i="86"/>
  <c r="D14" i="86" s="1"/>
  <c r="E14" i="86" s="1"/>
  <c r="D32" i="85"/>
  <c r="F32" i="85"/>
  <c r="G14" i="83"/>
  <c r="J14" i="83" s="1"/>
  <c r="H14" i="83"/>
  <c r="K14" i="83" s="1"/>
  <c r="B30" i="73"/>
  <c r="A27" i="75"/>
  <c r="P27" i="75"/>
  <c r="S27" i="75"/>
  <c r="T27" i="75"/>
  <c r="O27" i="75"/>
  <c r="Q27" i="75"/>
  <c r="J27" i="75"/>
  <c r="M27" i="75"/>
  <c r="N27" i="75"/>
  <c r="I27" i="75"/>
  <c r="K27" i="75"/>
  <c r="B29" i="75"/>
  <c r="L28" i="75"/>
  <c r="R28" i="75"/>
  <c r="A27" i="76"/>
  <c r="P27" i="76"/>
  <c r="S27" i="76"/>
  <c r="T27" i="76"/>
  <c r="O27" i="76"/>
  <c r="Q27" i="76"/>
  <c r="M27" i="76"/>
  <c r="R28" i="76"/>
  <c r="R29" i="76" s="1"/>
  <c r="I7" i="85"/>
  <c r="I8" i="85"/>
  <c r="I9" i="85"/>
  <c r="I10" i="85"/>
  <c r="I11" i="85"/>
  <c r="I12" i="85"/>
  <c r="A27" i="77"/>
  <c r="P27" i="77"/>
  <c r="S27" i="77"/>
  <c r="T27" i="77"/>
  <c r="O27" i="77"/>
  <c r="Q27" i="77"/>
  <c r="J27" i="77"/>
  <c r="M27" i="77"/>
  <c r="N27" i="77"/>
  <c r="I27" i="77"/>
  <c r="K27" i="77"/>
  <c r="B29" i="77"/>
  <c r="L28" i="77"/>
  <c r="R28" i="77"/>
  <c r="A27" i="78"/>
  <c r="P27" i="78"/>
  <c r="S27" i="78"/>
  <c r="T27" i="78"/>
  <c r="O27" i="78"/>
  <c r="Q27" i="78"/>
  <c r="J27" i="78"/>
  <c r="M27" i="78"/>
  <c r="N27" i="78"/>
  <c r="I27" i="78"/>
  <c r="K27" i="78"/>
  <c r="B29" i="78"/>
  <c r="L28" i="78"/>
  <c r="R28" i="78"/>
  <c r="A27" i="80"/>
  <c r="D30" i="85" s="1"/>
  <c r="P27" i="80"/>
  <c r="P28" i="80" s="1"/>
  <c r="S27" i="80"/>
  <c r="S28" i="80" s="1"/>
  <c r="T27" i="80"/>
  <c r="T28" i="80" s="1"/>
  <c r="O27" i="80"/>
  <c r="O28" i="80" s="1"/>
  <c r="Q27" i="80"/>
  <c r="Q28" i="80" s="1"/>
  <c r="J27" i="80"/>
  <c r="J28" i="80" s="1"/>
  <c r="M27" i="80"/>
  <c r="M28" i="80" s="1"/>
  <c r="N27" i="80"/>
  <c r="N28" i="80" s="1"/>
  <c r="I27" i="80"/>
  <c r="K27" i="80"/>
  <c r="K28" i="80" s="1"/>
  <c r="A27" i="81"/>
  <c r="F30" i="85" s="1"/>
  <c r="P27" i="81"/>
  <c r="P28" i="81" s="1"/>
  <c r="S27" i="81"/>
  <c r="S28" i="81" s="1"/>
  <c r="T27" i="81"/>
  <c r="T28" i="81" s="1"/>
  <c r="O27" i="81"/>
  <c r="O28" i="81" s="1"/>
  <c r="Q27" i="81"/>
  <c r="Q28" i="81" s="1"/>
  <c r="J27" i="81"/>
  <c r="J28" i="81" s="1"/>
  <c r="M27" i="81"/>
  <c r="M28" i="81" s="1"/>
  <c r="N27" i="81"/>
  <c r="N28" i="81" s="1"/>
  <c r="I27" i="81"/>
  <c r="K27" i="81"/>
  <c r="K28" i="81" s="1"/>
  <c r="A27" i="82"/>
  <c r="P27" i="82"/>
  <c r="S27" i="82"/>
  <c r="T27" i="82"/>
  <c r="O27" i="82"/>
  <c r="Q27" i="82"/>
  <c r="J27" i="82"/>
  <c r="M27" i="82"/>
  <c r="N27" i="82"/>
  <c r="I27" i="82"/>
  <c r="K27" i="82"/>
  <c r="L28" i="82"/>
  <c r="L29" i="82" s="1"/>
  <c r="R28" i="82"/>
  <c r="R29" i="82" s="1"/>
  <c r="E7" i="85"/>
  <c r="E8" i="85"/>
  <c r="E9" i="85"/>
  <c r="E10" i="85"/>
  <c r="E11" i="85"/>
  <c r="E12" i="85"/>
  <c r="U27" i="73"/>
  <c r="V27" i="73" s="1"/>
  <c r="P28" i="73"/>
  <c r="S28" i="73"/>
  <c r="T28" i="73"/>
  <c r="O28" i="73"/>
  <c r="Q28" i="73"/>
  <c r="L29" i="73"/>
  <c r="R29" i="73"/>
  <c r="J28" i="73"/>
  <c r="M28" i="73"/>
  <c r="N28" i="73"/>
  <c r="I28" i="73"/>
  <c r="K28" i="73"/>
  <c r="V25" i="82"/>
  <c r="U26" i="82"/>
  <c r="V25" i="81"/>
  <c r="U26" i="81"/>
  <c r="V25" i="80"/>
  <c r="U26" i="80"/>
  <c r="V25" i="78"/>
  <c r="U26" i="78"/>
  <c r="V25" i="77"/>
  <c r="U26" i="77"/>
  <c r="V25" i="76"/>
  <c r="U26" i="76"/>
  <c r="V25" i="75"/>
  <c r="U26" i="75"/>
  <c r="V25" i="73"/>
  <c r="U26" i="73"/>
  <c r="U14" i="59"/>
  <c r="V13" i="59"/>
  <c r="B15" i="59"/>
  <c r="K28" i="85" l="1"/>
  <c r="J28" i="85"/>
  <c r="I29" i="85"/>
  <c r="H28" i="85"/>
  <c r="A28" i="73"/>
  <c r="C14" i="83"/>
  <c r="D14" i="83" s="1"/>
  <c r="E14" i="83" s="1"/>
  <c r="E29" i="85"/>
  <c r="K7" i="85"/>
  <c r="G29" i="78"/>
  <c r="E29" i="78"/>
  <c r="C29" i="78"/>
  <c r="H29" i="78"/>
  <c r="R29" i="78" s="1"/>
  <c r="R30" i="78" s="1"/>
  <c r="F29" i="78"/>
  <c r="D29" i="78"/>
  <c r="J7" i="85"/>
  <c r="G29" i="77"/>
  <c r="E29" i="77"/>
  <c r="C29" i="77"/>
  <c r="F29" i="77"/>
  <c r="H29" i="77"/>
  <c r="D29" i="77"/>
  <c r="H7" i="85"/>
  <c r="H29" i="75"/>
  <c r="F29" i="75"/>
  <c r="D29" i="75"/>
  <c r="G29" i="75"/>
  <c r="E29" i="75"/>
  <c r="C29" i="75"/>
  <c r="H30" i="73"/>
  <c r="F30" i="73"/>
  <c r="D30" i="73"/>
  <c r="G30" i="73"/>
  <c r="E30" i="73"/>
  <c r="C30" i="73"/>
  <c r="G15" i="59"/>
  <c r="D15" i="59"/>
  <c r="E15" i="59"/>
  <c r="C15" i="59"/>
  <c r="F15" i="59"/>
  <c r="H15" i="59"/>
  <c r="F34" i="85"/>
  <c r="F31" i="85"/>
  <c r="D34" i="85"/>
  <c r="D31" i="85"/>
  <c r="L12" i="85"/>
  <c r="G7" i="85"/>
  <c r="G11" i="85"/>
  <c r="G10" i="85"/>
  <c r="J10" i="85"/>
  <c r="H10" i="85"/>
  <c r="K10" i="85"/>
  <c r="K8" i="85"/>
  <c r="H8" i="85"/>
  <c r="G8" i="85"/>
  <c r="D33" i="85"/>
  <c r="I32" i="85"/>
  <c r="F33" i="85"/>
  <c r="E32" i="85"/>
  <c r="G9" i="85"/>
  <c r="M14" i="83"/>
  <c r="O14" i="83" s="1"/>
  <c r="K11" i="85"/>
  <c r="K9" i="85"/>
  <c r="J8" i="85"/>
  <c r="J11" i="85"/>
  <c r="J9" i="85"/>
  <c r="H11" i="85"/>
  <c r="H9" i="85"/>
  <c r="A29" i="73"/>
  <c r="A28" i="82"/>
  <c r="E30" i="85" s="1"/>
  <c r="P28" i="82"/>
  <c r="P29" i="82" s="1"/>
  <c r="S28" i="82"/>
  <c r="S29" i="82" s="1"/>
  <c r="T28" i="82"/>
  <c r="T29" i="82" s="1"/>
  <c r="O28" i="82"/>
  <c r="O29" i="82" s="1"/>
  <c r="Q28" i="82"/>
  <c r="Q29" i="82" s="1"/>
  <c r="J28" i="82"/>
  <c r="J29" i="82" s="1"/>
  <c r="M28" i="82"/>
  <c r="M29" i="82" s="1"/>
  <c r="N28" i="82"/>
  <c r="N29" i="82" s="1"/>
  <c r="I28" i="82"/>
  <c r="I29" i="82" s="1"/>
  <c r="K28" i="82"/>
  <c r="K29" i="82" s="1"/>
  <c r="U27" i="82"/>
  <c r="U27" i="81"/>
  <c r="I28" i="81"/>
  <c r="U27" i="80"/>
  <c r="I28" i="80"/>
  <c r="A28" i="78"/>
  <c r="P28" i="78"/>
  <c r="S28" i="78"/>
  <c r="T28" i="78"/>
  <c r="O28" i="78"/>
  <c r="Q28" i="78"/>
  <c r="J28" i="78"/>
  <c r="M28" i="78"/>
  <c r="N28" i="78"/>
  <c r="I28" i="78"/>
  <c r="K28" i="78"/>
  <c r="L29" i="78"/>
  <c r="L30" i="78" s="1"/>
  <c r="U27" i="78"/>
  <c r="A28" i="77"/>
  <c r="P28" i="77"/>
  <c r="S28" i="77"/>
  <c r="T28" i="77"/>
  <c r="O28" i="77"/>
  <c r="Q28" i="77"/>
  <c r="J28" i="77"/>
  <c r="M28" i="77"/>
  <c r="N28" i="77"/>
  <c r="I28" i="77"/>
  <c r="K28" i="77"/>
  <c r="L29" i="77"/>
  <c r="L30" i="77" s="1"/>
  <c r="R29" i="77"/>
  <c r="R30" i="77" s="1"/>
  <c r="U27" i="77"/>
  <c r="A28" i="76"/>
  <c r="I30" i="85" s="1"/>
  <c r="P28" i="76"/>
  <c r="P29" i="76" s="1"/>
  <c r="S28" i="76"/>
  <c r="S29" i="76" s="1"/>
  <c r="T28" i="76"/>
  <c r="O28" i="76"/>
  <c r="O29" i="76" s="1"/>
  <c r="Q28" i="76"/>
  <c r="Q29" i="76" s="1"/>
  <c r="M28" i="76"/>
  <c r="U27" i="76"/>
  <c r="M29" i="76"/>
  <c r="T29" i="76"/>
  <c r="A28" i="75"/>
  <c r="P28" i="75"/>
  <c r="S28" i="75"/>
  <c r="T28" i="75"/>
  <c r="O28" i="75"/>
  <c r="Q28" i="75"/>
  <c r="J28" i="75"/>
  <c r="M28" i="75"/>
  <c r="N28" i="75"/>
  <c r="I28" i="75"/>
  <c r="K28" i="75"/>
  <c r="L29" i="75"/>
  <c r="L30" i="75" s="1"/>
  <c r="R29" i="75"/>
  <c r="R30" i="75" s="1"/>
  <c r="U27" i="75"/>
  <c r="L30" i="73"/>
  <c r="L31" i="73" s="1"/>
  <c r="R30" i="73"/>
  <c r="R31" i="73" s="1"/>
  <c r="U28" i="73"/>
  <c r="P29" i="73"/>
  <c r="S29" i="73"/>
  <c r="T29" i="73"/>
  <c r="O29" i="73"/>
  <c r="Q29" i="73"/>
  <c r="J29" i="73"/>
  <c r="M29" i="73"/>
  <c r="N29" i="73"/>
  <c r="I29" i="73"/>
  <c r="K29" i="73"/>
  <c r="V26" i="82"/>
  <c r="V26" i="81"/>
  <c r="V26" i="80"/>
  <c r="V26" i="78"/>
  <c r="V26" i="77"/>
  <c r="V26" i="76"/>
  <c r="V26" i="75"/>
  <c r="V26" i="73"/>
  <c r="J15" i="59"/>
  <c r="L15" i="59"/>
  <c r="R15" i="59"/>
  <c r="B16" i="59"/>
  <c r="K29" i="85" l="1"/>
  <c r="J29" i="85"/>
  <c r="H29" i="85"/>
  <c r="G30" i="85"/>
  <c r="G29" i="85"/>
  <c r="F16" i="59"/>
  <c r="H16" i="59"/>
  <c r="E16" i="59"/>
  <c r="C16" i="59"/>
  <c r="D16" i="59"/>
  <c r="G16" i="59"/>
  <c r="C13" i="86"/>
  <c r="D13" i="86" s="1"/>
  <c r="E13" i="86" s="1"/>
  <c r="F13" i="83"/>
  <c r="I34" i="85"/>
  <c r="I31" i="85"/>
  <c r="E34" i="85"/>
  <c r="E31" i="85"/>
  <c r="N14" i="83"/>
  <c r="P14" i="83" s="1"/>
  <c r="J32" i="85"/>
  <c r="H32" i="85"/>
  <c r="K32" i="85"/>
  <c r="I33" i="85"/>
  <c r="E33" i="85"/>
  <c r="U28" i="76"/>
  <c r="V28" i="76" s="1"/>
  <c r="N15" i="59"/>
  <c r="A15" i="59"/>
  <c r="C16" i="85" s="1"/>
  <c r="L16" i="85" s="1"/>
  <c r="F17" i="83" s="1"/>
  <c r="A30" i="73"/>
  <c r="G34" i="85" s="1"/>
  <c r="P30" i="73"/>
  <c r="P31" i="73" s="1"/>
  <c r="S30" i="73"/>
  <c r="S31" i="73" s="1"/>
  <c r="T30" i="73"/>
  <c r="T31" i="73" s="1"/>
  <c r="O30" i="73"/>
  <c r="O31" i="73" s="1"/>
  <c r="Q30" i="73"/>
  <c r="Q31" i="73" s="1"/>
  <c r="J30" i="73"/>
  <c r="J31" i="73" s="1"/>
  <c r="M30" i="73"/>
  <c r="M31" i="73" s="1"/>
  <c r="N30" i="73"/>
  <c r="N31" i="73" s="1"/>
  <c r="I30" i="73"/>
  <c r="K30" i="73"/>
  <c r="K31" i="73" s="1"/>
  <c r="V27" i="75"/>
  <c r="A29" i="75"/>
  <c r="H30" i="85" s="1"/>
  <c r="P29" i="75"/>
  <c r="P30" i="75" s="1"/>
  <c r="S29" i="75"/>
  <c r="S30" i="75" s="1"/>
  <c r="T29" i="75"/>
  <c r="T30" i="75" s="1"/>
  <c r="O29" i="75"/>
  <c r="O30" i="75" s="1"/>
  <c r="Q29" i="75"/>
  <c r="Q30" i="75" s="1"/>
  <c r="J29" i="75"/>
  <c r="J30" i="75" s="1"/>
  <c r="M29" i="75"/>
  <c r="M30" i="75" s="1"/>
  <c r="N29" i="75"/>
  <c r="N30" i="75" s="1"/>
  <c r="I29" i="75"/>
  <c r="K29" i="75"/>
  <c r="K30" i="75" s="1"/>
  <c r="U28" i="75"/>
  <c r="V27" i="76"/>
  <c r="V29" i="76" s="1"/>
  <c r="V27" i="77"/>
  <c r="A29" i="77"/>
  <c r="J30" i="85" s="1"/>
  <c r="P29" i="77"/>
  <c r="P30" i="77" s="1"/>
  <c r="S29" i="77"/>
  <c r="S30" i="77" s="1"/>
  <c r="T29" i="77"/>
  <c r="T30" i="77" s="1"/>
  <c r="O29" i="77"/>
  <c r="O30" i="77" s="1"/>
  <c r="Q29" i="77"/>
  <c r="Q30" i="77" s="1"/>
  <c r="J29" i="77"/>
  <c r="J30" i="77" s="1"/>
  <c r="M29" i="77"/>
  <c r="M30" i="77" s="1"/>
  <c r="N29" i="77"/>
  <c r="N30" i="77" s="1"/>
  <c r="I29" i="77"/>
  <c r="K29" i="77"/>
  <c r="K30" i="77" s="1"/>
  <c r="U28" i="77"/>
  <c r="V27" i="78"/>
  <c r="A29" i="78"/>
  <c r="K30" i="85" s="1"/>
  <c r="P29" i="78"/>
  <c r="P30" i="78" s="1"/>
  <c r="S29" i="78"/>
  <c r="S30" i="78" s="1"/>
  <c r="T29" i="78"/>
  <c r="T30" i="78" s="1"/>
  <c r="O29" i="78"/>
  <c r="O30" i="78" s="1"/>
  <c r="Q29" i="78"/>
  <c r="Q30" i="78" s="1"/>
  <c r="J29" i="78"/>
  <c r="J30" i="78" s="1"/>
  <c r="M29" i="78"/>
  <c r="M30" i="78" s="1"/>
  <c r="N29" i="78"/>
  <c r="N30" i="78" s="1"/>
  <c r="I29" i="78"/>
  <c r="K29" i="78"/>
  <c r="K30" i="78" s="1"/>
  <c r="U28" i="78"/>
  <c r="V27" i="80"/>
  <c r="V28" i="80" s="1"/>
  <c r="U28" i="80"/>
  <c r="V27" i="81"/>
  <c r="V28" i="81" s="1"/>
  <c r="U28" i="81"/>
  <c r="V27" i="82"/>
  <c r="U28" i="82"/>
  <c r="V28" i="73"/>
  <c r="U29" i="73"/>
  <c r="J16" i="59"/>
  <c r="L16" i="59"/>
  <c r="K15" i="59"/>
  <c r="P15" i="59"/>
  <c r="T15" i="59"/>
  <c r="S15" i="59"/>
  <c r="O15" i="59"/>
  <c r="Q15" i="59"/>
  <c r="M15" i="59"/>
  <c r="I15" i="59"/>
  <c r="A16" i="59"/>
  <c r="R16" i="59"/>
  <c r="V14" i="59"/>
  <c r="B17" i="59"/>
  <c r="B38" i="12"/>
  <c r="B7" i="12"/>
  <c r="G31" i="85" l="1"/>
  <c r="G32" i="85"/>
  <c r="H13" i="83"/>
  <c r="K13" i="83" s="1"/>
  <c r="I13" i="83"/>
  <c r="L13" i="83" s="1"/>
  <c r="G13" i="83"/>
  <c r="J13" i="83" s="1"/>
  <c r="C13" i="83"/>
  <c r="D13" i="83" s="1"/>
  <c r="E13" i="83" s="1"/>
  <c r="G17" i="59"/>
  <c r="D17" i="59"/>
  <c r="J17" i="59" s="1"/>
  <c r="E17" i="59"/>
  <c r="F17" i="59"/>
  <c r="H17" i="59"/>
  <c r="C17" i="59"/>
  <c r="K34" i="85"/>
  <c r="K31" i="85"/>
  <c r="J34" i="85"/>
  <c r="J31" i="85"/>
  <c r="H34" i="85"/>
  <c r="H31" i="85"/>
  <c r="U29" i="76"/>
  <c r="G33" i="85"/>
  <c r="J33" i="85"/>
  <c r="K33" i="85"/>
  <c r="H33" i="85"/>
  <c r="C17" i="85"/>
  <c r="L17" i="85" s="1"/>
  <c r="F18" i="83" s="1"/>
  <c r="N16" i="59"/>
  <c r="V28" i="82"/>
  <c r="U29" i="82"/>
  <c r="V29" i="82"/>
  <c r="V28" i="78"/>
  <c r="U29" i="78"/>
  <c r="I30" i="78"/>
  <c r="V28" i="77"/>
  <c r="U29" i="77"/>
  <c r="I30" i="77"/>
  <c r="V28" i="75"/>
  <c r="U29" i="75"/>
  <c r="I30" i="75"/>
  <c r="U30" i="73"/>
  <c r="V30" i="73" s="1"/>
  <c r="I31" i="73"/>
  <c r="V29" i="73"/>
  <c r="K7" i="12"/>
  <c r="J7" i="12"/>
  <c r="I7" i="12"/>
  <c r="H7" i="12"/>
  <c r="G7" i="12"/>
  <c r="F7" i="12"/>
  <c r="E7" i="12"/>
  <c r="D7" i="12"/>
  <c r="L17" i="59"/>
  <c r="K16" i="59"/>
  <c r="U15" i="59"/>
  <c r="O16" i="59"/>
  <c r="Q16" i="59"/>
  <c r="P16" i="59"/>
  <c r="T16" i="59"/>
  <c r="S16" i="59"/>
  <c r="M16" i="59"/>
  <c r="I16" i="59"/>
  <c r="R17" i="59"/>
  <c r="B18" i="59"/>
  <c r="F18" i="59" l="1"/>
  <c r="H18" i="59"/>
  <c r="E18" i="59"/>
  <c r="C18" i="59"/>
  <c r="D18" i="59"/>
  <c r="G18" i="59"/>
  <c r="M13" i="83"/>
  <c r="I16" i="83"/>
  <c r="L16" i="83" s="1"/>
  <c r="V31" i="73"/>
  <c r="C15" i="86"/>
  <c r="D15" i="86" s="1"/>
  <c r="E15" i="86" s="1"/>
  <c r="U31" i="73"/>
  <c r="G16" i="83"/>
  <c r="J16" i="83" s="1"/>
  <c r="C16" i="83"/>
  <c r="D16" i="83" s="1"/>
  <c r="E16" i="83" s="1"/>
  <c r="H16" i="83"/>
  <c r="K16" i="83" s="1"/>
  <c r="A17" i="59"/>
  <c r="C18" i="85" s="1"/>
  <c r="L18" i="85" s="1"/>
  <c r="N17" i="59"/>
  <c r="V29" i="75"/>
  <c r="V30" i="75" s="1"/>
  <c r="U30" i="75"/>
  <c r="V29" i="77"/>
  <c r="V30" i="77" s="1"/>
  <c r="U30" i="77"/>
  <c r="V29" i="78"/>
  <c r="V30" i="78" s="1"/>
  <c r="U30" i="78"/>
  <c r="V15" i="59"/>
  <c r="J18" i="59"/>
  <c r="U16" i="59"/>
  <c r="C17" i="12" s="1"/>
  <c r="L17" i="12" s="1"/>
  <c r="P17" i="59"/>
  <c r="T17" i="59"/>
  <c r="S17" i="59"/>
  <c r="O17" i="59"/>
  <c r="Q17" i="59"/>
  <c r="K17" i="59"/>
  <c r="M17" i="59"/>
  <c r="I17" i="59"/>
  <c r="L18" i="59"/>
  <c r="R18" i="59"/>
  <c r="B19" i="59"/>
  <c r="N13" i="83" l="1"/>
  <c r="P13" i="83" s="1"/>
  <c r="O13" i="83"/>
  <c r="G19" i="59"/>
  <c r="D19" i="59"/>
  <c r="E19" i="59"/>
  <c r="F19" i="59"/>
  <c r="H19" i="59"/>
  <c r="C19" i="59"/>
  <c r="C16" i="86"/>
  <c r="D16" i="86" s="1"/>
  <c r="E16" i="86" s="1"/>
  <c r="F19" i="83"/>
  <c r="V16" i="59"/>
  <c r="C15" i="83"/>
  <c r="D15" i="83" s="1"/>
  <c r="E15" i="83" s="1"/>
  <c r="G15" i="83"/>
  <c r="J15" i="83" s="1"/>
  <c r="H15" i="83"/>
  <c r="K15" i="83" s="1"/>
  <c r="I15" i="83"/>
  <c r="L15" i="83" s="1"/>
  <c r="M16" i="83"/>
  <c r="N16" i="83" s="1"/>
  <c r="P16" i="83" s="1"/>
  <c r="A18" i="59"/>
  <c r="C19" i="85" s="1"/>
  <c r="L19" i="85" s="1"/>
  <c r="F20" i="83" s="1"/>
  <c r="J19" i="59"/>
  <c r="L19" i="59"/>
  <c r="P18" i="59"/>
  <c r="T18" i="59"/>
  <c r="S18" i="59"/>
  <c r="U17" i="59"/>
  <c r="C18" i="12" s="1"/>
  <c r="L18" i="12" s="1"/>
  <c r="O18" i="59"/>
  <c r="Q18" i="59"/>
  <c r="K18" i="59"/>
  <c r="M18" i="59"/>
  <c r="N18" i="59"/>
  <c r="I18" i="59"/>
  <c r="A19" i="59"/>
  <c r="R19" i="59"/>
  <c r="B20" i="59"/>
  <c r="F20" i="59" l="1"/>
  <c r="H20" i="59"/>
  <c r="R20" i="59" s="1"/>
  <c r="E20" i="59"/>
  <c r="C20" i="59"/>
  <c r="D20" i="59"/>
  <c r="J20" i="59" s="1"/>
  <c r="G20" i="59"/>
  <c r="V17" i="59"/>
  <c r="C17" i="86"/>
  <c r="D17" i="86" s="1"/>
  <c r="E17" i="86" s="1"/>
  <c r="M15" i="83"/>
  <c r="C20" i="85"/>
  <c r="L20" i="85" s="1"/>
  <c r="F21" i="83" s="1"/>
  <c r="O16" i="83"/>
  <c r="L20" i="59"/>
  <c r="U18" i="59"/>
  <c r="C19" i="12" s="1"/>
  <c r="L19" i="12" s="1"/>
  <c r="O19" i="59"/>
  <c r="Q19" i="59"/>
  <c r="P19" i="59"/>
  <c r="T19" i="59"/>
  <c r="S19" i="59"/>
  <c r="K19" i="59"/>
  <c r="M19" i="59"/>
  <c r="N19" i="59"/>
  <c r="I19" i="59"/>
  <c r="B21" i="59"/>
  <c r="A20" i="59" l="1"/>
  <c r="C21" i="85" s="1"/>
  <c r="L21" i="85" s="1"/>
  <c r="F22" i="83" s="1"/>
  <c r="G21" i="59"/>
  <c r="D21" i="59"/>
  <c r="J21" i="59" s="1"/>
  <c r="C21" i="59"/>
  <c r="F21" i="59"/>
  <c r="H21" i="59"/>
  <c r="E21" i="59"/>
  <c r="L21" i="59" s="1"/>
  <c r="V18" i="59"/>
  <c r="C18" i="86"/>
  <c r="D18" i="86" s="1"/>
  <c r="H17" i="83"/>
  <c r="K17" i="83" s="1"/>
  <c r="I17" i="83"/>
  <c r="L17" i="83" s="1"/>
  <c r="C17" i="83"/>
  <c r="D17" i="83" s="1"/>
  <c r="E17" i="83" s="1"/>
  <c r="G17" i="83"/>
  <c r="J17" i="83" s="1"/>
  <c r="C19" i="86"/>
  <c r="D19" i="86" s="1"/>
  <c r="N15" i="83"/>
  <c r="P15" i="83" s="1"/>
  <c r="O15" i="83"/>
  <c r="N20" i="59"/>
  <c r="O20" i="59"/>
  <c r="Q20" i="59"/>
  <c r="P20" i="59"/>
  <c r="T20" i="59"/>
  <c r="S20" i="59"/>
  <c r="U19" i="59"/>
  <c r="C20" i="12" s="1"/>
  <c r="L20" i="12" s="1"/>
  <c r="K20" i="59"/>
  <c r="M20" i="59"/>
  <c r="I20" i="59"/>
  <c r="R21" i="59"/>
  <c r="B22" i="59"/>
  <c r="F22" i="59" l="1"/>
  <c r="H22" i="59"/>
  <c r="E22" i="59"/>
  <c r="C22" i="59"/>
  <c r="D22" i="59"/>
  <c r="G22" i="59"/>
  <c r="E19" i="86"/>
  <c r="M18" i="12"/>
  <c r="E18" i="86"/>
  <c r="M17" i="12"/>
  <c r="M17" i="83"/>
  <c r="C20" i="86"/>
  <c r="D20" i="86" s="1"/>
  <c r="I18" i="83"/>
  <c r="L18" i="83" s="1"/>
  <c r="C18" i="83"/>
  <c r="D18" i="83" s="1"/>
  <c r="E18" i="83" s="1"/>
  <c r="O17" i="12" s="1"/>
  <c r="G18" i="83"/>
  <c r="J18" i="83" s="1"/>
  <c r="H18" i="83"/>
  <c r="K18" i="83" s="1"/>
  <c r="I19" i="83"/>
  <c r="L19" i="83" s="1"/>
  <c r="C19" i="83"/>
  <c r="D19" i="83" s="1"/>
  <c r="E19" i="83" s="1"/>
  <c r="O18" i="12" s="1"/>
  <c r="H19" i="83"/>
  <c r="K19" i="83" s="1"/>
  <c r="G19" i="83"/>
  <c r="J19" i="83" s="1"/>
  <c r="A21" i="59"/>
  <c r="C22" i="85" s="1"/>
  <c r="L22" i="85" s="1"/>
  <c r="F23" i="83" s="1"/>
  <c r="N21" i="59"/>
  <c r="V19" i="59"/>
  <c r="J22" i="59"/>
  <c r="L22" i="59"/>
  <c r="U20" i="59"/>
  <c r="P21" i="59"/>
  <c r="T21" i="59"/>
  <c r="S21" i="59"/>
  <c r="O21" i="59"/>
  <c r="Q21" i="59"/>
  <c r="K21" i="59"/>
  <c r="M21" i="59"/>
  <c r="I21" i="59"/>
  <c r="R22" i="59"/>
  <c r="V20" i="59"/>
  <c r="B23" i="59"/>
  <c r="G23" i="59" l="1"/>
  <c r="D23" i="59"/>
  <c r="E23" i="59"/>
  <c r="F23" i="59"/>
  <c r="H23" i="59"/>
  <c r="C23" i="59"/>
  <c r="E20" i="86"/>
  <c r="M19" i="12"/>
  <c r="M18" i="83"/>
  <c r="N18" i="83" s="1"/>
  <c r="P18" i="83" s="1"/>
  <c r="M19" i="83"/>
  <c r="N18" i="12" s="1"/>
  <c r="G20" i="83"/>
  <c r="J20" i="83" s="1"/>
  <c r="H20" i="83"/>
  <c r="K20" i="83" s="1"/>
  <c r="I20" i="83"/>
  <c r="L20" i="83" s="1"/>
  <c r="C20" i="83"/>
  <c r="D20" i="83" s="1"/>
  <c r="E20" i="83" s="1"/>
  <c r="O19" i="12" s="1"/>
  <c r="O17" i="83"/>
  <c r="N17" i="83"/>
  <c r="P17" i="83" s="1"/>
  <c r="A22" i="59"/>
  <c r="C23" i="85" s="1"/>
  <c r="L23" i="85" s="1"/>
  <c r="F24" i="83" s="1"/>
  <c r="N22" i="59"/>
  <c r="J23" i="59"/>
  <c r="L23" i="59"/>
  <c r="U21" i="59"/>
  <c r="P22" i="59"/>
  <c r="T22" i="59"/>
  <c r="S22" i="59"/>
  <c r="O22" i="59"/>
  <c r="Q22" i="59"/>
  <c r="K22" i="59"/>
  <c r="M22" i="59"/>
  <c r="I22" i="59"/>
  <c r="R23" i="59"/>
  <c r="V21" i="59"/>
  <c r="B24" i="59"/>
  <c r="F24" i="59" l="1"/>
  <c r="H24" i="59"/>
  <c r="R24" i="59" s="1"/>
  <c r="E24" i="59"/>
  <c r="C24" i="59"/>
  <c r="D24" i="59"/>
  <c r="G24" i="59"/>
  <c r="O18" i="83"/>
  <c r="N17" i="12"/>
  <c r="A23" i="59"/>
  <c r="M20" i="83"/>
  <c r="N19" i="12" s="1"/>
  <c r="C21" i="86"/>
  <c r="D21" i="86" s="1"/>
  <c r="N19" i="83"/>
  <c r="P19" i="83" s="1"/>
  <c r="O19" i="83"/>
  <c r="C24" i="85"/>
  <c r="L24" i="85" s="1"/>
  <c r="F25" i="83" s="1"/>
  <c r="N23" i="59"/>
  <c r="J24" i="59"/>
  <c r="U22" i="59"/>
  <c r="V22" i="59" s="1"/>
  <c r="P23" i="59"/>
  <c r="T23" i="59"/>
  <c r="S23" i="59"/>
  <c r="O23" i="59"/>
  <c r="Q23" i="59"/>
  <c r="K23" i="59"/>
  <c r="M23" i="59"/>
  <c r="I23" i="59"/>
  <c r="N24" i="59"/>
  <c r="L24" i="59"/>
  <c r="B25" i="59"/>
  <c r="G25" i="59" l="1"/>
  <c r="D25" i="59"/>
  <c r="C25" i="59"/>
  <c r="F25" i="59"/>
  <c r="H25" i="59"/>
  <c r="E25" i="59"/>
  <c r="L25" i="59" s="1"/>
  <c r="E21" i="86"/>
  <c r="M20" i="12"/>
  <c r="C22" i="86"/>
  <c r="D22" i="86" s="1"/>
  <c r="E22" i="86" s="1"/>
  <c r="H21" i="83"/>
  <c r="K21" i="83" s="1"/>
  <c r="I21" i="83"/>
  <c r="L21" i="83" s="1"/>
  <c r="C21" i="83"/>
  <c r="D21" i="83" s="1"/>
  <c r="E21" i="83" s="1"/>
  <c r="O20" i="12" s="1"/>
  <c r="G21" i="83"/>
  <c r="J21" i="83" s="1"/>
  <c r="C23" i="86"/>
  <c r="D23" i="86" s="1"/>
  <c r="E23" i="86" s="1"/>
  <c r="N20" i="83"/>
  <c r="P20" i="83" s="1"/>
  <c r="O20" i="83"/>
  <c r="A24" i="59"/>
  <c r="J25" i="59"/>
  <c r="K24" i="59"/>
  <c r="O24" i="59"/>
  <c r="Q24" i="59"/>
  <c r="U23" i="59"/>
  <c r="P24" i="59"/>
  <c r="T24" i="59"/>
  <c r="S24" i="59"/>
  <c r="M24" i="59"/>
  <c r="I24" i="59"/>
  <c r="R25" i="59"/>
  <c r="B26" i="59"/>
  <c r="F26" i="59" l="1"/>
  <c r="H26" i="59"/>
  <c r="R26" i="59" s="1"/>
  <c r="E26" i="59"/>
  <c r="C26" i="59"/>
  <c r="D26" i="59"/>
  <c r="G26" i="59"/>
  <c r="C25" i="85"/>
  <c r="L25" i="85" s="1"/>
  <c r="F26" i="83" s="1"/>
  <c r="M21" i="83"/>
  <c r="N20" i="12" s="1"/>
  <c r="C24" i="86"/>
  <c r="D24" i="86" s="1"/>
  <c r="E24" i="86" s="1"/>
  <c r="H23" i="83"/>
  <c r="K23" i="83" s="1"/>
  <c r="I23" i="83"/>
  <c r="L23" i="83" s="1"/>
  <c r="C23" i="83"/>
  <c r="D23" i="83" s="1"/>
  <c r="E23" i="83" s="1"/>
  <c r="G23" i="83"/>
  <c r="J23" i="83" s="1"/>
  <c r="I22" i="83"/>
  <c r="L22" i="83" s="1"/>
  <c r="C22" i="83"/>
  <c r="D22" i="83" s="1"/>
  <c r="E22" i="83" s="1"/>
  <c r="G22" i="83"/>
  <c r="J22" i="83" s="1"/>
  <c r="H22" i="83"/>
  <c r="K22" i="83" s="1"/>
  <c r="A25" i="59"/>
  <c r="C26" i="85" s="1"/>
  <c r="L26" i="85" s="1"/>
  <c r="F27" i="83" s="1"/>
  <c r="N25" i="59"/>
  <c r="B27" i="59"/>
  <c r="V23" i="59"/>
  <c r="J26" i="59"/>
  <c r="P25" i="59"/>
  <c r="T25" i="59"/>
  <c r="S25" i="59"/>
  <c r="O25" i="59"/>
  <c r="Q25" i="59"/>
  <c r="K25" i="59"/>
  <c r="U24" i="59"/>
  <c r="V24" i="59" s="1"/>
  <c r="M25" i="59"/>
  <c r="I25" i="59"/>
  <c r="L26" i="59"/>
  <c r="G27" i="59" l="1"/>
  <c r="D27" i="59"/>
  <c r="A27" i="59" s="1"/>
  <c r="C27" i="59"/>
  <c r="F27" i="59"/>
  <c r="H27" i="59"/>
  <c r="E27" i="59"/>
  <c r="L27" i="59" s="1"/>
  <c r="O21" i="83"/>
  <c r="N21" i="83"/>
  <c r="P21" i="83" s="1"/>
  <c r="R27" i="59"/>
  <c r="M23" i="83"/>
  <c r="N23" i="83" s="1"/>
  <c r="P23" i="83" s="1"/>
  <c r="B28" i="59"/>
  <c r="M22" i="83"/>
  <c r="G24" i="83"/>
  <c r="J24" i="83" s="1"/>
  <c r="H24" i="83"/>
  <c r="K24" i="83" s="1"/>
  <c r="I24" i="83"/>
  <c r="L24" i="83" s="1"/>
  <c r="C24" i="83"/>
  <c r="D24" i="83" s="1"/>
  <c r="E24" i="83" s="1"/>
  <c r="A26" i="59"/>
  <c r="C27" i="85" s="1"/>
  <c r="L27" i="85" s="1"/>
  <c r="F28" i="83" s="1"/>
  <c r="P27" i="59"/>
  <c r="T27" i="59"/>
  <c r="O27" i="59"/>
  <c r="J27" i="59"/>
  <c r="M27" i="59"/>
  <c r="N27" i="59"/>
  <c r="I27" i="59"/>
  <c r="K27" i="59"/>
  <c r="U25" i="59"/>
  <c r="V25" i="59" s="1"/>
  <c r="P26" i="59"/>
  <c r="T26" i="59"/>
  <c r="S26" i="59"/>
  <c r="O26" i="59"/>
  <c r="Q26" i="59"/>
  <c r="K26" i="59"/>
  <c r="M26" i="59"/>
  <c r="N26" i="59"/>
  <c r="I26" i="59"/>
  <c r="F28" i="59" l="1"/>
  <c r="H28" i="59"/>
  <c r="R28" i="59" s="1"/>
  <c r="E28" i="59"/>
  <c r="L28" i="59" s="1"/>
  <c r="C28" i="59"/>
  <c r="I28" i="59" s="1"/>
  <c r="D28" i="59"/>
  <c r="G28" i="59"/>
  <c r="P28" i="59" s="1"/>
  <c r="B29" i="59"/>
  <c r="Q27" i="59"/>
  <c r="O23" i="83"/>
  <c r="S27" i="59"/>
  <c r="C25" i="86"/>
  <c r="D25" i="86" s="1"/>
  <c r="E25" i="86" s="1"/>
  <c r="C28" i="85"/>
  <c r="L28" i="85" s="1"/>
  <c r="F29" i="83" s="1"/>
  <c r="M24" i="83"/>
  <c r="N22" i="83"/>
  <c r="P22" i="83" s="1"/>
  <c r="O22" i="83"/>
  <c r="A28" i="59"/>
  <c r="C29" i="85" s="1"/>
  <c r="L29" i="85" s="1"/>
  <c r="O28" i="59"/>
  <c r="J28" i="59"/>
  <c r="M28" i="59"/>
  <c r="N28" i="59"/>
  <c r="U26" i="59"/>
  <c r="B39" i="12"/>
  <c r="B8" i="12"/>
  <c r="K28" i="59" l="1"/>
  <c r="S28" i="59"/>
  <c r="U27" i="59"/>
  <c r="V27" i="59" s="1"/>
  <c r="Q28" i="59"/>
  <c r="T28" i="59"/>
  <c r="C27" i="86"/>
  <c r="D27" i="86" s="1"/>
  <c r="E27" i="86" s="1"/>
  <c r="F30" i="83"/>
  <c r="G29" i="59"/>
  <c r="D29" i="59"/>
  <c r="C29" i="59"/>
  <c r="F29" i="59"/>
  <c r="H29" i="59"/>
  <c r="R29" i="59" s="1"/>
  <c r="E29" i="59"/>
  <c r="L29" i="59" s="1"/>
  <c r="B30" i="59"/>
  <c r="B31" i="59" s="1"/>
  <c r="O24" i="83"/>
  <c r="N24" i="83"/>
  <c r="P24" i="83" s="1"/>
  <c r="C26" i="86"/>
  <c r="D26" i="86" s="1"/>
  <c r="E26" i="86" s="1"/>
  <c r="C25" i="83"/>
  <c r="D25" i="83" s="1"/>
  <c r="E25" i="83" s="1"/>
  <c r="G25" i="83"/>
  <c r="J25" i="83" s="1"/>
  <c r="H25" i="83"/>
  <c r="K25" i="83" s="1"/>
  <c r="I25" i="83"/>
  <c r="L25" i="83" s="1"/>
  <c r="H29" i="83"/>
  <c r="K29" i="83" s="1"/>
  <c r="H27" i="83"/>
  <c r="K27" i="83" s="1"/>
  <c r="I27" i="83"/>
  <c r="L27" i="83" s="1"/>
  <c r="G27" i="83"/>
  <c r="J27" i="83" s="1"/>
  <c r="C27" i="83"/>
  <c r="D27" i="83" s="1"/>
  <c r="E27" i="83" s="1"/>
  <c r="K8" i="12"/>
  <c r="J8" i="12"/>
  <c r="I8" i="12"/>
  <c r="H8" i="12"/>
  <c r="G8" i="12"/>
  <c r="F8" i="12"/>
  <c r="E8" i="12"/>
  <c r="D8" i="12"/>
  <c r="B9" i="12"/>
  <c r="U28" i="59"/>
  <c r="P29" i="59"/>
  <c r="S29" i="59"/>
  <c r="T29" i="59"/>
  <c r="O29" i="59"/>
  <c r="Q29" i="59"/>
  <c r="J29" i="59"/>
  <c r="M29" i="59"/>
  <c r="N29" i="59"/>
  <c r="I29" i="59"/>
  <c r="K29" i="59"/>
  <c r="V26" i="59"/>
  <c r="B40" i="12"/>
  <c r="B10" i="12"/>
  <c r="A29" i="59" l="1"/>
  <c r="C30" i="85" s="1"/>
  <c r="L30" i="85" s="1"/>
  <c r="F31" i="83" s="1"/>
  <c r="F30" i="59"/>
  <c r="H30" i="59"/>
  <c r="R30" i="59" s="1"/>
  <c r="E30" i="59"/>
  <c r="L30" i="59" s="1"/>
  <c r="C30" i="59"/>
  <c r="D30" i="59"/>
  <c r="G30" i="59"/>
  <c r="S30" i="59" s="1"/>
  <c r="C9" i="85"/>
  <c r="L9" i="85" s="1"/>
  <c r="G31" i="59"/>
  <c r="D31" i="59"/>
  <c r="H31" i="59"/>
  <c r="C31" i="59"/>
  <c r="F31" i="59"/>
  <c r="E31" i="59"/>
  <c r="C8" i="12"/>
  <c r="C7" i="12"/>
  <c r="L7" i="12" s="1"/>
  <c r="G29" i="83"/>
  <c r="J29" i="83" s="1"/>
  <c r="C7" i="85"/>
  <c r="L7" i="85" s="1"/>
  <c r="F8" i="83" s="1"/>
  <c r="C10" i="85"/>
  <c r="L10" i="85" s="1"/>
  <c r="C11" i="85"/>
  <c r="L11" i="85" s="1"/>
  <c r="C29" i="83"/>
  <c r="D29" i="83" s="1"/>
  <c r="E29" i="83" s="1"/>
  <c r="C8" i="85"/>
  <c r="L8" i="85" s="1"/>
  <c r="I29" i="83"/>
  <c r="L29" i="83" s="1"/>
  <c r="M25" i="83"/>
  <c r="I26" i="83"/>
  <c r="L26" i="83" s="1"/>
  <c r="H26" i="83"/>
  <c r="K26" i="83" s="1"/>
  <c r="G26" i="83"/>
  <c r="J26" i="83" s="1"/>
  <c r="C26" i="83"/>
  <c r="D26" i="83" s="1"/>
  <c r="E26" i="83" s="1"/>
  <c r="C28" i="86"/>
  <c r="D28" i="86" s="1"/>
  <c r="E28" i="86" s="1"/>
  <c r="M27" i="83"/>
  <c r="O27" i="83" s="1"/>
  <c r="A30" i="59"/>
  <c r="C31" i="85" s="1"/>
  <c r="L31" i="85" s="1"/>
  <c r="C7" i="86"/>
  <c r="D7" i="86" s="1"/>
  <c r="E7" i="86" s="1"/>
  <c r="L31" i="59"/>
  <c r="L32" i="59" s="1"/>
  <c r="R31" i="59"/>
  <c r="R32" i="59" s="1"/>
  <c r="P10" i="12"/>
  <c r="P9" i="12"/>
  <c r="V28" i="59"/>
  <c r="C10" i="12"/>
  <c r="K10" i="12"/>
  <c r="J10" i="12"/>
  <c r="I10" i="12"/>
  <c r="H10" i="12"/>
  <c r="G10" i="12"/>
  <c r="F10" i="12"/>
  <c r="E10" i="12"/>
  <c r="D10" i="12"/>
  <c r="C9" i="12"/>
  <c r="K9" i="12"/>
  <c r="J9" i="12"/>
  <c r="I9" i="12"/>
  <c r="H9" i="12"/>
  <c r="G9" i="12"/>
  <c r="F9" i="12"/>
  <c r="E9" i="12"/>
  <c r="D9" i="12"/>
  <c r="L8" i="12"/>
  <c r="U29" i="59"/>
  <c r="P30" i="59"/>
  <c r="T30" i="59"/>
  <c r="O30" i="59"/>
  <c r="Q30" i="59"/>
  <c r="J30" i="59"/>
  <c r="M30" i="59"/>
  <c r="N30" i="59"/>
  <c r="I30" i="59"/>
  <c r="B11" i="12"/>
  <c r="B41" i="12"/>
  <c r="M29" i="83" l="1"/>
  <c r="N29" i="83" s="1"/>
  <c r="P29" i="83" s="1"/>
  <c r="K30" i="59"/>
  <c r="C29" i="86"/>
  <c r="D29" i="86" s="1"/>
  <c r="E29" i="86" s="1"/>
  <c r="F32" i="83"/>
  <c r="C6" i="86"/>
  <c r="D6" i="86" s="1"/>
  <c r="F9" i="83"/>
  <c r="C12" i="86"/>
  <c r="D12" i="86" s="1"/>
  <c r="E12" i="86" s="1"/>
  <c r="F12" i="83"/>
  <c r="C11" i="86"/>
  <c r="D11" i="86" s="1"/>
  <c r="E11" i="86" s="1"/>
  <c r="F11" i="83"/>
  <c r="C10" i="86"/>
  <c r="D10" i="86" s="1"/>
  <c r="F10" i="83"/>
  <c r="C9" i="86"/>
  <c r="D9" i="86" s="1"/>
  <c r="E9" i="86" s="1"/>
  <c r="C8" i="86"/>
  <c r="D8" i="86" s="1"/>
  <c r="M7" i="12" s="1"/>
  <c r="N27" i="83"/>
  <c r="P27" i="83" s="1"/>
  <c r="M26" i="83"/>
  <c r="O26" i="83" s="1"/>
  <c r="I28" i="83"/>
  <c r="L28" i="83" s="1"/>
  <c r="C28" i="83"/>
  <c r="D28" i="83" s="1"/>
  <c r="E28" i="83" s="1"/>
  <c r="G28" i="83"/>
  <c r="J28" i="83" s="1"/>
  <c r="H28" i="83"/>
  <c r="K28" i="83" s="1"/>
  <c r="N25" i="83"/>
  <c r="P25" i="83" s="1"/>
  <c r="O25" i="83"/>
  <c r="I6" i="83"/>
  <c r="G6" i="83"/>
  <c r="J6" i="83" s="1"/>
  <c r="C6" i="83"/>
  <c r="D6" i="83" s="1"/>
  <c r="E6" i="83" s="1"/>
  <c r="H6" i="83"/>
  <c r="H7" i="83"/>
  <c r="K7" i="83" s="1"/>
  <c r="I7" i="83"/>
  <c r="L7" i="83" s="1"/>
  <c r="G7" i="83"/>
  <c r="J7" i="83" s="1"/>
  <c r="C7" i="83"/>
  <c r="D7" i="83" s="1"/>
  <c r="E7" i="83" s="1"/>
  <c r="I5" i="83"/>
  <c r="C5" i="83"/>
  <c r="H5" i="83"/>
  <c r="G5" i="83"/>
  <c r="O29" i="83"/>
  <c r="A31" i="59"/>
  <c r="C34" i="85" s="1"/>
  <c r="L34" i="85" s="1"/>
  <c r="P31" i="59"/>
  <c r="P32" i="59" s="1"/>
  <c r="S31" i="59"/>
  <c r="S32" i="59" s="1"/>
  <c r="T31" i="59"/>
  <c r="T32" i="59" s="1"/>
  <c r="O31" i="59"/>
  <c r="O32" i="59" s="1"/>
  <c r="Q31" i="59"/>
  <c r="Q32" i="59" s="1"/>
  <c r="J31" i="59"/>
  <c r="J32" i="59" s="1"/>
  <c r="M31" i="59"/>
  <c r="M32" i="59" s="1"/>
  <c r="N31" i="59"/>
  <c r="N32" i="59" s="1"/>
  <c r="I31" i="59"/>
  <c r="K31" i="59"/>
  <c r="K32" i="59" s="1"/>
  <c r="L6" i="83"/>
  <c r="K6" i="83"/>
  <c r="E6" i="86"/>
  <c r="M8" i="12"/>
  <c r="M11" i="12"/>
  <c r="V29" i="59"/>
  <c r="C11" i="12"/>
  <c r="K11" i="12"/>
  <c r="J11" i="12"/>
  <c r="I11" i="12"/>
  <c r="H11" i="12"/>
  <c r="G11" i="12"/>
  <c r="F11" i="12"/>
  <c r="E11" i="12"/>
  <c r="D11" i="12"/>
  <c r="L9" i="12"/>
  <c r="L10" i="12"/>
  <c r="U30" i="59"/>
  <c r="B12" i="12"/>
  <c r="O12" i="12" s="1"/>
  <c r="B42" i="12"/>
  <c r="N26" i="83" l="1"/>
  <c r="P26" i="83" s="1"/>
  <c r="G10" i="83"/>
  <c r="J10" i="83" s="1"/>
  <c r="H10" i="83"/>
  <c r="K10" i="83" s="1"/>
  <c r="I10" i="83"/>
  <c r="L10" i="83" s="1"/>
  <c r="C10" i="83"/>
  <c r="D10" i="83" s="1"/>
  <c r="E10" i="83" s="1"/>
  <c r="O9" i="12" s="1"/>
  <c r="H11" i="83"/>
  <c r="K11" i="83" s="1"/>
  <c r="I11" i="83"/>
  <c r="L11" i="83" s="1"/>
  <c r="G11" i="83"/>
  <c r="J11" i="83" s="1"/>
  <c r="C11" i="83"/>
  <c r="D11" i="83" s="1"/>
  <c r="E11" i="83" s="1"/>
  <c r="G12" i="83"/>
  <c r="J12" i="83" s="1"/>
  <c r="I12" i="83"/>
  <c r="L12" i="83" s="1"/>
  <c r="H12" i="83"/>
  <c r="K12" i="83" s="1"/>
  <c r="C12" i="83"/>
  <c r="D12" i="83" s="1"/>
  <c r="E12" i="83" s="1"/>
  <c r="C32" i="85"/>
  <c r="L32" i="85" s="1"/>
  <c r="E10" i="86"/>
  <c r="M9" i="12"/>
  <c r="G8" i="83"/>
  <c r="J8" i="83" s="1"/>
  <c r="H8" i="83"/>
  <c r="K8" i="83" s="1"/>
  <c r="I8" i="83"/>
  <c r="L8" i="83" s="1"/>
  <c r="C8" i="83"/>
  <c r="D8" i="83" s="1"/>
  <c r="E8" i="83" s="1"/>
  <c r="O10" i="12" s="1"/>
  <c r="C9" i="83"/>
  <c r="D9" i="83" s="1"/>
  <c r="E9" i="83" s="1"/>
  <c r="O11" i="12" s="1"/>
  <c r="H9" i="83"/>
  <c r="K9" i="83" s="1"/>
  <c r="I9" i="83"/>
  <c r="L9" i="83" s="1"/>
  <c r="G9" i="83"/>
  <c r="J9" i="83" s="1"/>
  <c r="E8" i="86"/>
  <c r="M10" i="12"/>
  <c r="M28" i="83"/>
  <c r="O28" i="83" s="1"/>
  <c r="C30" i="86"/>
  <c r="D30" i="86" s="1"/>
  <c r="E30" i="86" s="1"/>
  <c r="C33" i="85"/>
  <c r="L33" i="85" s="1"/>
  <c r="M6" i="83"/>
  <c r="N6" i="83" s="1"/>
  <c r="P6" i="83" s="1"/>
  <c r="M7" i="83"/>
  <c r="N7" i="83" s="1"/>
  <c r="P7" i="83" s="1"/>
  <c r="D5" i="83"/>
  <c r="E5" i="83" s="1"/>
  <c r="J5" i="83"/>
  <c r="K5" i="83"/>
  <c r="L5" i="83"/>
  <c r="U31" i="59"/>
  <c r="V31" i="59" s="1"/>
  <c r="I32" i="59"/>
  <c r="C32" i="86"/>
  <c r="D32" i="86" s="1"/>
  <c r="N12" i="12"/>
  <c r="M12" i="12"/>
  <c r="V30" i="59"/>
  <c r="C12" i="12"/>
  <c r="K12" i="12"/>
  <c r="J12" i="12"/>
  <c r="I12" i="12"/>
  <c r="H12" i="12"/>
  <c r="G12" i="12"/>
  <c r="F12" i="12"/>
  <c r="E12" i="12"/>
  <c r="D12" i="12"/>
  <c r="L11" i="12"/>
  <c r="B13" i="12"/>
  <c r="O13" i="12" s="1"/>
  <c r="B43" i="12"/>
  <c r="B14" i="48"/>
  <c r="V32" i="59" l="1"/>
  <c r="M11" i="83"/>
  <c r="O11" i="83" s="1"/>
  <c r="M12" i="83"/>
  <c r="N11" i="83"/>
  <c r="P11" i="83" s="1"/>
  <c r="M10" i="83"/>
  <c r="L35" i="85"/>
  <c r="N28" i="83"/>
  <c r="P28" i="83" s="1"/>
  <c r="O8" i="12"/>
  <c r="M9" i="83"/>
  <c r="N9" i="83" s="1"/>
  <c r="P9" i="83" s="1"/>
  <c r="M8" i="83"/>
  <c r="O9" i="83"/>
  <c r="N11" i="12"/>
  <c r="U32" i="59"/>
  <c r="O7" i="83"/>
  <c r="D14" i="48"/>
  <c r="G14" i="48"/>
  <c r="F14" i="48" s="1"/>
  <c r="H14" i="48" s="1"/>
  <c r="J14" i="48"/>
  <c r="I14" i="48" s="1"/>
  <c r="K14" i="48" s="1"/>
  <c r="F33" i="83"/>
  <c r="C31" i="86"/>
  <c r="D31" i="86" s="1"/>
  <c r="E31" i="86" s="1"/>
  <c r="G30" i="83"/>
  <c r="J30" i="83" s="1"/>
  <c r="H30" i="83"/>
  <c r="K30" i="83" s="1"/>
  <c r="I30" i="83"/>
  <c r="L30" i="83" s="1"/>
  <c r="C30" i="83"/>
  <c r="D30" i="83" s="1"/>
  <c r="E30" i="83" s="1"/>
  <c r="I32" i="83"/>
  <c r="G32" i="83"/>
  <c r="C32" i="83"/>
  <c r="H32" i="83"/>
  <c r="O6" i="83"/>
  <c r="N8" i="12"/>
  <c r="N9" i="12"/>
  <c r="E32" i="86"/>
  <c r="E33" i="86" s="1"/>
  <c r="M5" i="83"/>
  <c r="O7" i="12"/>
  <c r="N13" i="12"/>
  <c r="M13" i="12"/>
  <c r="C13" i="12"/>
  <c r="K13" i="12"/>
  <c r="J13" i="12"/>
  <c r="I13" i="12"/>
  <c r="H13" i="12"/>
  <c r="G13" i="12"/>
  <c r="F13" i="12"/>
  <c r="E13" i="12"/>
  <c r="D13" i="12"/>
  <c r="L12" i="12"/>
  <c r="C14" i="48"/>
  <c r="E14" i="48" s="1"/>
  <c r="Y14" i="48"/>
  <c r="X14" i="48" s="1"/>
  <c r="V14" i="48"/>
  <c r="U14" i="48" s="1"/>
  <c r="W14" i="48" s="1"/>
  <c r="S14" i="48"/>
  <c r="R14" i="48" s="1"/>
  <c r="T14" i="48" s="1"/>
  <c r="P14" i="48"/>
  <c r="O14" i="48" s="1"/>
  <c r="Q14" i="48" s="1"/>
  <c r="M14" i="48"/>
  <c r="L14" i="48" s="1"/>
  <c r="N14" i="48" s="1"/>
  <c r="B14" i="12"/>
  <c r="O14" i="12" s="1"/>
  <c r="B44" i="12"/>
  <c r="B15" i="48"/>
  <c r="N10" i="83" l="1"/>
  <c r="P10" i="83" s="1"/>
  <c r="O10" i="83"/>
  <c r="D33" i="86"/>
  <c r="N12" i="83"/>
  <c r="P12" i="83" s="1"/>
  <c r="O12" i="83"/>
  <c r="O8" i="83"/>
  <c r="N8" i="83"/>
  <c r="P8" i="83" s="1"/>
  <c r="N10" i="12"/>
  <c r="D15" i="48"/>
  <c r="G15" i="48"/>
  <c r="F15" i="48" s="1"/>
  <c r="H15" i="48" s="1"/>
  <c r="J15" i="48"/>
  <c r="I15" i="48" s="1"/>
  <c r="K15" i="48" s="1"/>
  <c r="M30" i="83"/>
  <c r="H31" i="83"/>
  <c r="K31" i="83" s="1"/>
  <c r="I31" i="83"/>
  <c r="L31" i="83" s="1"/>
  <c r="C31" i="83"/>
  <c r="D31" i="83" s="1"/>
  <c r="E31" i="83" s="1"/>
  <c r="G31" i="83"/>
  <c r="J31" i="83" s="1"/>
  <c r="N5" i="83"/>
  <c r="O5" i="83"/>
  <c r="N7" i="12"/>
  <c r="D32" i="83"/>
  <c r="E32" i="83" s="1"/>
  <c r="X58" i="83"/>
  <c r="J32" i="83"/>
  <c r="K32" i="83"/>
  <c r="L32" i="83"/>
  <c r="N14" i="12"/>
  <c r="M14" i="12"/>
  <c r="C14" i="12"/>
  <c r="K14" i="12"/>
  <c r="J14" i="12"/>
  <c r="I14" i="12"/>
  <c r="H14" i="12"/>
  <c r="G14" i="12"/>
  <c r="F14" i="12"/>
  <c r="E14" i="12"/>
  <c r="D14" i="12"/>
  <c r="L13" i="12"/>
  <c r="C15" i="48"/>
  <c r="E15" i="48" s="1"/>
  <c r="Z14" i="48"/>
  <c r="AA14" i="48" s="1"/>
  <c r="P11" i="12" s="1"/>
  <c r="Y15" i="48"/>
  <c r="X15" i="48" s="1"/>
  <c r="V15" i="48"/>
  <c r="U15" i="48" s="1"/>
  <c r="W15" i="48" s="1"/>
  <c r="S15" i="48"/>
  <c r="R15" i="48" s="1"/>
  <c r="T15" i="48" s="1"/>
  <c r="P15" i="48"/>
  <c r="O15" i="48" s="1"/>
  <c r="Q15" i="48" s="1"/>
  <c r="M15" i="48"/>
  <c r="L15" i="48" s="1"/>
  <c r="N15" i="48" s="1"/>
  <c r="B15" i="12"/>
  <c r="O15" i="12" s="1"/>
  <c r="B45" i="12"/>
  <c r="B46" i="12" s="1"/>
  <c r="B16" i="48"/>
  <c r="X60" i="83" l="1"/>
  <c r="B47" i="12"/>
  <c r="X61" i="83"/>
  <c r="X59" i="83"/>
  <c r="M31" i="83"/>
  <c r="N31" i="83" s="1"/>
  <c r="P31" i="83" s="1"/>
  <c r="D16" i="48"/>
  <c r="G16" i="48"/>
  <c r="F16" i="48" s="1"/>
  <c r="H16" i="48" s="1"/>
  <c r="J16" i="48"/>
  <c r="I16" i="48" s="1"/>
  <c r="K16" i="48" s="1"/>
  <c r="O31" i="83"/>
  <c r="N30" i="83"/>
  <c r="P30" i="83" s="1"/>
  <c r="O30" i="83"/>
  <c r="AB14" i="48"/>
  <c r="M32" i="83"/>
  <c r="E33" i="83"/>
  <c r="P5" i="83"/>
  <c r="N15" i="12"/>
  <c r="M15" i="12"/>
  <c r="C15" i="12"/>
  <c r="K15" i="12"/>
  <c r="J15" i="12"/>
  <c r="I15" i="12"/>
  <c r="H15" i="12"/>
  <c r="G15" i="12"/>
  <c r="F15" i="12"/>
  <c r="E15" i="12"/>
  <c r="D15" i="12"/>
  <c r="L14" i="12"/>
  <c r="C16" i="48"/>
  <c r="E16" i="48" s="1"/>
  <c r="Z15" i="48"/>
  <c r="AA15" i="48" s="1"/>
  <c r="P12" i="12" s="1"/>
  <c r="Y16" i="48"/>
  <c r="X16" i="48" s="1"/>
  <c r="V16" i="48"/>
  <c r="U16" i="48" s="1"/>
  <c r="W16" i="48" s="1"/>
  <c r="S16" i="48"/>
  <c r="R16" i="48" s="1"/>
  <c r="T16" i="48" s="1"/>
  <c r="P16" i="48"/>
  <c r="O16" i="48" s="1"/>
  <c r="Q16" i="48" s="1"/>
  <c r="M16" i="48"/>
  <c r="L16" i="48" s="1"/>
  <c r="N16" i="48" s="1"/>
  <c r="B16" i="12"/>
  <c r="O16" i="12" s="1"/>
  <c r="B17" i="48"/>
  <c r="B48" i="12" l="1"/>
  <c r="D17" i="48"/>
  <c r="Y17" i="48"/>
  <c r="X17" i="48" s="1"/>
  <c r="P17" i="48"/>
  <c r="G17" i="48"/>
  <c r="F17" i="48" s="1"/>
  <c r="H17" i="48" s="1"/>
  <c r="J17" i="48"/>
  <c r="I17" i="48" s="1"/>
  <c r="K17" i="48" s="1"/>
  <c r="AB15" i="48"/>
  <c r="N32" i="83"/>
  <c r="O32" i="83"/>
  <c r="O33" i="83" s="1"/>
  <c r="N16" i="12"/>
  <c r="M16" i="12"/>
  <c r="C16" i="12"/>
  <c r="K16" i="12"/>
  <c r="J16" i="12"/>
  <c r="I16" i="12"/>
  <c r="H16" i="12"/>
  <c r="G16" i="12"/>
  <c r="F16" i="12"/>
  <c r="E16" i="12"/>
  <c r="D16" i="12"/>
  <c r="L15" i="12"/>
  <c r="C17" i="48"/>
  <c r="E17" i="48" s="1"/>
  <c r="Z16" i="48"/>
  <c r="AA16" i="48" s="1"/>
  <c r="P13" i="12" s="1"/>
  <c r="V17" i="48"/>
  <c r="U17" i="48" s="1"/>
  <c r="W17" i="48" s="1"/>
  <c r="S17" i="48"/>
  <c r="R17" i="48" s="1"/>
  <c r="T17" i="48" s="1"/>
  <c r="O17" i="48"/>
  <c r="Q17" i="48" s="1"/>
  <c r="M17" i="48"/>
  <c r="L17" i="48" s="1"/>
  <c r="N17" i="48" s="1"/>
  <c r="B18" i="48"/>
  <c r="D18" i="48" l="1"/>
  <c r="P18" i="48"/>
  <c r="G18" i="48"/>
  <c r="J18" i="48"/>
  <c r="I18" i="48" s="1"/>
  <c r="K18" i="48" s="1"/>
  <c r="Y18" i="48"/>
  <c r="AB16" i="48"/>
  <c r="P32" i="83"/>
  <c r="P33" i="83" s="1"/>
  <c r="N33" i="83"/>
  <c r="L16" i="12"/>
  <c r="C18" i="48"/>
  <c r="E18" i="48" s="1"/>
  <c r="Z17" i="48"/>
  <c r="AA17" i="48" s="1"/>
  <c r="P14" i="12" s="1"/>
  <c r="F18" i="48"/>
  <c r="H18" i="48" s="1"/>
  <c r="X18" i="48"/>
  <c r="V18" i="48"/>
  <c r="U18" i="48" s="1"/>
  <c r="W18" i="48" s="1"/>
  <c r="S18" i="48"/>
  <c r="R18" i="48" s="1"/>
  <c r="T18" i="48" s="1"/>
  <c r="O18" i="48"/>
  <c r="Q18" i="48" s="1"/>
  <c r="M18" i="48"/>
  <c r="L18" i="48" s="1"/>
  <c r="N18" i="48" s="1"/>
  <c r="B19" i="48"/>
  <c r="D19" i="48" l="1"/>
  <c r="P19" i="48"/>
  <c r="Y19" i="48"/>
  <c r="G19" i="48"/>
  <c r="F19" i="48" s="1"/>
  <c r="J19" i="48"/>
  <c r="I19" i="48" s="1"/>
  <c r="AB17" i="48"/>
  <c r="C19" i="48"/>
  <c r="Z18" i="48"/>
  <c r="AA18" i="48" s="1"/>
  <c r="P15" i="12" s="1"/>
  <c r="X19" i="48"/>
  <c r="X20" i="48" s="1"/>
  <c r="V19" i="48"/>
  <c r="U19" i="48" s="1"/>
  <c r="S19" i="48"/>
  <c r="R19" i="48" s="1"/>
  <c r="O19" i="48"/>
  <c r="M19" i="48"/>
  <c r="L19" i="48" s="1"/>
  <c r="N19" i="48" l="1"/>
  <c r="L20" i="48"/>
  <c r="Q19" i="48"/>
  <c r="O20" i="48"/>
  <c r="T19" i="48"/>
  <c r="R20" i="48"/>
  <c r="W19" i="48"/>
  <c r="U20" i="48"/>
  <c r="Z20" i="48"/>
  <c r="X21" i="48"/>
  <c r="E19" i="48"/>
  <c r="C20" i="48"/>
  <c r="K19" i="48"/>
  <c r="I20" i="48"/>
  <c r="H19" i="48"/>
  <c r="F20" i="48"/>
  <c r="AB18" i="48"/>
  <c r="Z19" i="48"/>
  <c r="AA19" i="48" s="1"/>
  <c r="P16" i="12" s="1"/>
  <c r="K20" i="48" l="1"/>
  <c r="I21" i="48"/>
  <c r="E20" i="48"/>
  <c r="C21" i="48"/>
  <c r="Z21" i="48"/>
  <c r="X22" i="48"/>
  <c r="Z22" i="48" s="1"/>
  <c r="W20" i="48"/>
  <c r="U21" i="48"/>
  <c r="T20" i="48"/>
  <c r="R21" i="48"/>
  <c r="Q20" i="48"/>
  <c r="O21" i="48"/>
  <c r="N20" i="48"/>
  <c r="L21" i="48"/>
  <c r="H20" i="48"/>
  <c r="F21" i="48"/>
  <c r="AB19" i="48"/>
  <c r="AA20" i="48" l="1"/>
  <c r="AB20" i="48" s="1"/>
  <c r="N21" i="48"/>
  <c r="L22" i="48"/>
  <c r="N22" i="48" s="1"/>
  <c r="Q21" i="48"/>
  <c r="O22" i="48"/>
  <c r="Q22" i="48" s="1"/>
  <c r="T21" i="48"/>
  <c r="R22" i="48"/>
  <c r="T22" i="48" s="1"/>
  <c r="W21" i="48"/>
  <c r="U22" i="48"/>
  <c r="W22" i="48" s="1"/>
  <c r="E21" i="48"/>
  <c r="C22" i="48"/>
  <c r="E22" i="48" s="1"/>
  <c r="K21" i="48"/>
  <c r="I22" i="48"/>
  <c r="K22" i="48" s="1"/>
  <c r="H21" i="48"/>
  <c r="AA21" i="48" s="1"/>
  <c r="AB21" i="48" s="1"/>
  <c r="F22" i="48"/>
  <c r="H22" i="48" s="1"/>
  <c r="AA22" i="48" s="1"/>
  <c r="AB22" i="48" s="1"/>
  <c r="B49" i="12"/>
  <c r="B50" i="12" s="1"/>
  <c r="B51" i="12" s="1"/>
  <c r="B52" i="12" s="1"/>
  <c r="B53" i="12" s="1"/>
  <c r="B54" i="12" s="1"/>
  <c r="B55" i="12" s="1"/>
  <c r="B56" i="12" s="1"/>
  <c r="B57" i="12" s="1"/>
  <c r="B58" i="12" s="1"/>
  <c r="B59" i="12" s="1"/>
  <c r="B60" i="12" s="1"/>
  <c r="B61" i="12" s="1"/>
  <c r="B23" i="48" l="1"/>
  <c r="D23" i="48" l="1"/>
  <c r="C23" i="48" s="1"/>
  <c r="E23" i="48" s="1"/>
  <c r="Y23" i="48"/>
  <c r="X23" i="48" s="1"/>
  <c r="G23" i="48"/>
  <c r="F23" i="48" s="1"/>
  <c r="H23" i="48" s="1"/>
  <c r="J23" i="48"/>
  <c r="I23" i="48" s="1"/>
  <c r="K23" i="48" s="1"/>
  <c r="P23" i="48"/>
  <c r="B21" i="12"/>
  <c r="O21" i="12" s="1"/>
  <c r="V23" i="48"/>
  <c r="U23" i="48" s="1"/>
  <c r="W23" i="48" s="1"/>
  <c r="S23" i="48"/>
  <c r="R23" i="48" s="1"/>
  <c r="T23" i="48" s="1"/>
  <c r="O23" i="48"/>
  <c r="Q23" i="48" s="1"/>
  <c r="M23" i="48"/>
  <c r="L23" i="48" s="1"/>
  <c r="N23" i="48" s="1"/>
  <c r="B24" i="48"/>
  <c r="B25" i="48" s="1"/>
  <c r="B26" i="48" s="1"/>
  <c r="Y26" i="48" l="1"/>
  <c r="P26" i="48"/>
  <c r="B27" i="48"/>
  <c r="G26" i="48"/>
  <c r="M26" i="48"/>
  <c r="S26" i="48"/>
  <c r="J26" i="48"/>
  <c r="D26" i="48"/>
  <c r="V26" i="48"/>
  <c r="D24" i="48"/>
  <c r="C24" i="48" s="1"/>
  <c r="E24" i="48" s="1"/>
  <c r="Y24" i="48"/>
  <c r="P24" i="48"/>
  <c r="G24" i="48"/>
  <c r="J24" i="48"/>
  <c r="I24" i="48" s="1"/>
  <c r="K24" i="48" s="1"/>
  <c r="N21" i="12"/>
  <c r="M21" i="12"/>
  <c r="C21" i="12"/>
  <c r="K21" i="12"/>
  <c r="J21" i="12"/>
  <c r="I21" i="12"/>
  <c r="H21" i="12"/>
  <c r="G21" i="12"/>
  <c r="F21" i="12"/>
  <c r="E21" i="12"/>
  <c r="D21" i="12"/>
  <c r="B22" i="12"/>
  <c r="O22" i="12" s="1"/>
  <c r="Z23" i="48"/>
  <c r="AA23" i="48" s="1"/>
  <c r="F24" i="48"/>
  <c r="H24" i="48" s="1"/>
  <c r="X24" i="48"/>
  <c r="V24" i="48"/>
  <c r="U24" i="48" s="1"/>
  <c r="W24" i="48" s="1"/>
  <c r="S24" i="48"/>
  <c r="R24" i="48" s="1"/>
  <c r="T24" i="48" s="1"/>
  <c r="O24" i="48"/>
  <c r="Q24" i="48" s="1"/>
  <c r="M24" i="48"/>
  <c r="L24" i="48" s="1"/>
  <c r="N24" i="48" s="1"/>
  <c r="P27" i="48" l="1"/>
  <c r="B28" i="48"/>
  <c r="Y27" i="48"/>
  <c r="V27" i="48"/>
  <c r="D27" i="48"/>
  <c r="G27" i="48"/>
  <c r="M27" i="48"/>
  <c r="S27" i="48"/>
  <c r="J27" i="48"/>
  <c r="D25" i="48"/>
  <c r="P25" i="48"/>
  <c r="O25" i="48" s="1"/>
  <c r="G25" i="48"/>
  <c r="J25" i="48"/>
  <c r="I25" i="48" s="1"/>
  <c r="Y25" i="48"/>
  <c r="X25" i="48" s="1"/>
  <c r="X26" i="48" s="1"/>
  <c r="AB23" i="48"/>
  <c r="N22" i="12"/>
  <c r="M22" i="12"/>
  <c r="C22" i="12"/>
  <c r="K22" i="12"/>
  <c r="J22" i="12"/>
  <c r="I22" i="12"/>
  <c r="H22" i="12"/>
  <c r="G22" i="12"/>
  <c r="F22" i="12"/>
  <c r="E22" i="12"/>
  <c r="D22" i="12"/>
  <c r="L21" i="12"/>
  <c r="B23" i="12"/>
  <c r="O23" i="12" s="1"/>
  <c r="C25" i="48"/>
  <c r="Z24" i="48"/>
  <c r="AA24" i="48" s="1"/>
  <c r="F25" i="48"/>
  <c r="V25" i="48"/>
  <c r="U25" i="48" s="1"/>
  <c r="S25" i="48"/>
  <c r="R25" i="48" s="1"/>
  <c r="M25" i="48"/>
  <c r="L25" i="48" s="1"/>
  <c r="P28" i="48" l="1"/>
  <c r="Y28" i="48"/>
  <c r="B29" i="48"/>
  <c r="D28" i="48"/>
  <c r="G28" i="48"/>
  <c r="S28" i="48"/>
  <c r="J28" i="48"/>
  <c r="M28" i="48"/>
  <c r="V28" i="48"/>
  <c r="Q25" i="48"/>
  <c r="O26" i="48"/>
  <c r="K25" i="48"/>
  <c r="I26" i="48"/>
  <c r="W25" i="48"/>
  <c r="U26" i="48"/>
  <c r="H25" i="48"/>
  <c r="F26" i="48"/>
  <c r="E25" i="48"/>
  <c r="C26" i="48"/>
  <c r="N25" i="48"/>
  <c r="L26" i="48"/>
  <c r="T25" i="48"/>
  <c r="R26" i="48"/>
  <c r="Z26" i="48"/>
  <c r="X27" i="48"/>
  <c r="AB24" i="48"/>
  <c r="N23" i="12"/>
  <c r="M23" i="12"/>
  <c r="C23" i="12"/>
  <c r="K23" i="12"/>
  <c r="J23" i="12"/>
  <c r="I23" i="12"/>
  <c r="H23" i="12"/>
  <c r="G23" i="12"/>
  <c r="F23" i="12"/>
  <c r="E23" i="12"/>
  <c r="D23" i="12"/>
  <c r="L22" i="12"/>
  <c r="B24" i="12"/>
  <c r="O24" i="12" s="1"/>
  <c r="Z25" i="48"/>
  <c r="AA25" i="48" s="1"/>
  <c r="Y29" i="48" l="1"/>
  <c r="B30" i="48"/>
  <c r="P29" i="48"/>
  <c r="D29" i="48"/>
  <c r="M29" i="48"/>
  <c r="V29" i="48"/>
  <c r="G29" i="48"/>
  <c r="S29" i="48"/>
  <c r="J29" i="48"/>
  <c r="Z27" i="48"/>
  <c r="X28" i="48"/>
  <c r="T26" i="48"/>
  <c r="R27" i="48"/>
  <c r="N26" i="48"/>
  <c r="L27" i="48"/>
  <c r="E26" i="48"/>
  <c r="C27" i="48"/>
  <c r="H26" i="48"/>
  <c r="F27" i="48"/>
  <c r="W26" i="48"/>
  <c r="U27" i="48"/>
  <c r="K26" i="48"/>
  <c r="I27" i="48"/>
  <c r="Q26" i="48"/>
  <c r="O27" i="48"/>
  <c r="AB25" i="48"/>
  <c r="N24" i="12"/>
  <c r="M24" i="12"/>
  <c r="C24" i="12"/>
  <c r="K24" i="12"/>
  <c r="J24" i="12"/>
  <c r="I24" i="12"/>
  <c r="H24" i="12"/>
  <c r="G24" i="12"/>
  <c r="F24" i="12"/>
  <c r="E24" i="12"/>
  <c r="D24" i="12"/>
  <c r="L23" i="12"/>
  <c r="B25" i="12"/>
  <c r="O25" i="12" s="1"/>
  <c r="Y30" i="48" l="1"/>
  <c r="P30" i="48"/>
  <c r="G30" i="48"/>
  <c r="S30" i="48"/>
  <c r="J30" i="48"/>
  <c r="D30" i="48"/>
  <c r="M30" i="48"/>
  <c r="V30" i="48"/>
  <c r="Q27" i="48"/>
  <c r="O28" i="48"/>
  <c r="K27" i="48"/>
  <c r="I28" i="48"/>
  <c r="W27" i="48"/>
  <c r="U28" i="48"/>
  <c r="H27" i="48"/>
  <c r="F28" i="48"/>
  <c r="E27" i="48"/>
  <c r="C28" i="48"/>
  <c r="N27" i="48"/>
  <c r="L28" i="48"/>
  <c r="T27" i="48"/>
  <c r="R28" i="48"/>
  <c r="Z28" i="48"/>
  <c r="X29" i="48"/>
  <c r="AA26" i="48"/>
  <c r="AB26" i="48" s="1"/>
  <c r="N25" i="12"/>
  <c r="M25" i="12"/>
  <c r="C25" i="12"/>
  <c r="K25" i="12"/>
  <c r="J25" i="12"/>
  <c r="I25" i="12"/>
  <c r="H25" i="12"/>
  <c r="G25" i="12"/>
  <c r="F25" i="12"/>
  <c r="E25" i="12"/>
  <c r="D25" i="12"/>
  <c r="L24" i="12"/>
  <c r="B26" i="12"/>
  <c r="O26" i="12" s="1"/>
  <c r="Z29" i="48" l="1"/>
  <c r="X30" i="48"/>
  <c r="Z30" i="48" s="1"/>
  <c r="T28" i="48"/>
  <c r="R29" i="48"/>
  <c r="N28" i="48"/>
  <c r="L29" i="48"/>
  <c r="E28" i="48"/>
  <c r="C29" i="48"/>
  <c r="H28" i="48"/>
  <c r="F29" i="48"/>
  <c r="W28" i="48"/>
  <c r="U29" i="48"/>
  <c r="K28" i="48"/>
  <c r="I29" i="48"/>
  <c r="Q28" i="48"/>
  <c r="O29" i="48"/>
  <c r="AA27" i="48"/>
  <c r="AB27" i="48" s="1"/>
  <c r="N26" i="12"/>
  <c r="M26" i="12"/>
  <c r="C26" i="12"/>
  <c r="K26" i="12"/>
  <c r="J26" i="12"/>
  <c r="I26" i="12"/>
  <c r="H26" i="12"/>
  <c r="G26" i="12"/>
  <c r="F26" i="12"/>
  <c r="E26" i="12"/>
  <c r="D26" i="12"/>
  <c r="L25" i="12"/>
  <c r="B27" i="12"/>
  <c r="O27" i="12" s="1"/>
  <c r="Q29" i="48" l="1"/>
  <c r="O30" i="48"/>
  <c r="Q30" i="48" s="1"/>
  <c r="K29" i="48"/>
  <c r="I30" i="48"/>
  <c r="K30" i="48" s="1"/>
  <c r="W29" i="48"/>
  <c r="U30" i="48"/>
  <c r="W30" i="48" s="1"/>
  <c r="H29" i="48"/>
  <c r="F30" i="48"/>
  <c r="H30" i="48" s="1"/>
  <c r="E29" i="48"/>
  <c r="C30" i="48"/>
  <c r="E30" i="48" s="1"/>
  <c r="N29" i="48"/>
  <c r="L30" i="48"/>
  <c r="N30" i="48" s="1"/>
  <c r="T29" i="48"/>
  <c r="R30" i="48"/>
  <c r="T30" i="48" s="1"/>
  <c r="AA28" i="48"/>
  <c r="AB28" i="48" s="1"/>
  <c r="N27" i="12"/>
  <c r="M27" i="12"/>
  <c r="C27" i="12"/>
  <c r="K27" i="12"/>
  <c r="J27" i="12"/>
  <c r="I27" i="12"/>
  <c r="H27" i="12"/>
  <c r="G27" i="12"/>
  <c r="F27" i="12"/>
  <c r="E27" i="12"/>
  <c r="D27" i="12"/>
  <c r="L26" i="12"/>
  <c r="B28" i="12"/>
  <c r="O28" i="12" s="1"/>
  <c r="AA30" i="48" l="1"/>
  <c r="AB30" i="48" s="1"/>
  <c r="AA29" i="48"/>
  <c r="AB29" i="48" s="1"/>
  <c r="B31" i="48"/>
  <c r="N28" i="12"/>
  <c r="M28" i="12"/>
  <c r="C28" i="12"/>
  <c r="K28" i="12"/>
  <c r="J28" i="12"/>
  <c r="I28" i="12"/>
  <c r="H28" i="12"/>
  <c r="G28" i="12"/>
  <c r="F28" i="12"/>
  <c r="E28" i="12"/>
  <c r="D28" i="12"/>
  <c r="L27" i="12"/>
  <c r="B29" i="12"/>
  <c r="O29" i="12" s="1"/>
  <c r="V31" i="48"/>
  <c r="S31" i="48"/>
  <c r="M31" i="48"/>
  <c r="B32" i="48"/>
  <c r="B8" i="8"/>
  <c r="E8" i="8" l="1"/>
  <c r="P17" i="12"/>
  <c r="P18" i="12"/>
  <c r="P19" i="12"/>
  <c r="P20" i="12"/>
  <c r="D31" i="48"/>
  <c r="P21" i="12"/>
  <c r="P23" i="12"/>
  <c r="P22" i="12"/>
  <c r="P24" i="12"/>
  <c r="P25" i="12"/>
  <c r="P26" i="12"/>
  <c r="P27" i="12"/>
  <c r="Y31" i="48"/>
  <c r="X31" i="48" s="1"/>
  <c r="G31" i="48"/>
  <c r="F31" i="48" s="1"/>
  <c r="H31" i="48" s="1"/>
  <c r="J31" i="48"/>
  <c r="I31" i="48" s="1"/>
  <c r="K31" i="48" s="1"/>
  <c r="P31" i="48"/>
  <c r="O31" i="48" s="1"/>
  <c r="Q31" i="48" s="1"/>
  <c r="Y32" i="48"/>
  <c r="P32" i="48"/>
  <c r="G32" i="48"/>
  <c r="J32" i="48"/>
  <c r="P7" i="12"/>
  <c r="P8" i="12"/>
  <c r="N29" i="12"/>
  <c r="M29" i="12"/>
  <c r="C29" i="12"/>
  <c r="K29" i="12"/>
  <c r="J29" i="12"/>
  <c r="I29" i="12"/>
  <c r="H29" i="12"/>
  <c r="G29" i="12"/>
  <c r="F29" i="12"/>
  <c r="E29" i="12"/>
  <c r="D29" i="12"/>
  <c r="L28" i="12"/>
  <c r="B30" i="12"/>
  <c r="O30" i="12" s="1"/>
  <c r="F8" i="8"/>
  <c r="C8" i="8"/>
  <c r="D8" i="8" s="1"/>
  <c r="R31" i="48"/>
  <c r="T31" i="48" s="1"/>
  <c r="U31" i="48"/>
  <c r="W31" i="48" s="1"/>
  <c r="D32" i="48"/>
  <c r="C31" i="48"/>
  <c r="E31" i="48" s="1"/>
  <c r="V32" i="48"/>
  <c r="S32" i="48"/>
  <c r="M32" i="48"/>
  <c r="B9" i="8"/>
  <c r="E9" i="8" l="1"/>
  <c r="O32" i="48"/>
  <c r="Q32" i="48" s="1"/>
  <c r="U32" i="48"/>
  <c r="W32" i="48" s="1"/>
  <c r="I32" i="48"/>
  <c r="K32" i="48" s="1"/>
  <c r="F32" i="48"/>
  <c r="H32" i="48" s="1"/>
  <c r="R32" i="48"/>
  <c r="T32" i="48" s="1"/>
  <c r="N30" i="12"/>
  <c r="M30" i="12"/>
  <c r="C30" i="12"/>
  <c r="K30" i="12"/>
  <c r="J30" i="12"/>
  <c r="I30" i="12"/>
  <c r="H30" i="12"/>
  <c r="G30" i="12"/>
  <c r="F30" i="12"/>
  <c r="E30" i="12"/>
  <c r="D30" i="12"/>
  <c r="L29" i="12"/>
  <c r="F9" i="8"/>
  <c r="C9" i="8"/>
  <c r="D9" i="8" s="1"/>
  <c r="L31" i="48"/>
  <c r="N31" i="48" s="1"/>
  <c r="C32" i="48"/>
  <c r="E32" i="48" s="1"/>
  <c r="X32" i="48"/>
  <c r="Z32" i="48" s="1"/>
  <c r="Z31" i="48"/>
  <c r="AA31" i="48" s="1"/>
  <c r="P28" i="12" s="1"/>
  <c r="B10" i="8"/>
  <c r="B11" i="8" l="1"/>
  <c r="E11" i="8" s="1"/>
  <c r="E10" i="8"/>
  <c r="L32" i="48"/>
  <c r="N32" i="48" s="1"/>
  <c r="AB31" i="48"/>
  <c r="L30" i="12"/>
  <c r="F11" i="8"/>
  <c r="C11" i="8"/>
  <c r="D11" i="8" s="1"/>
  <c r="F10" i="8"/>
  <c r="C10" i="8"/>
  <c r="D10" i="8" s="1"/>
  <c r="AA32" i="48"/>
  <c r="P30" i="12" s="1"/>
  <c r="B12" i="8"/>
  <c r="E12" i="8" l="1"/>
  <c r="P29" i="12"/>
  <c r="AB32" i="48"/>
  <c r="F12" i="8"/>
  <c r="C12" i="8"/>
  <c r="B13" i="8"/>
  <c r="E13" i="8" l="1"/>
  <c r="D12" i="8"/>
  <c r="AB33" i="48"/>
  <c r="F13" i="8"/>
  <c r="C13" i="8"/>
  <c r="B14" i="8"/>
  <c r="B15" i="8" l="1"/>
  <c r="E15" i="8" s="1"/>
  <c r="E14" i="8"/>
  <c r="Q7" i="12"/>
  <c r="R7" i="12" s="1"/>
  <c r="S7" i="12" s="1"/>
  <c r="D13" i="8"/>
  <c r="F15" i="8"/>
  <c r="C15" i="8"/>
  <c r="C38" i="12" s="1"/>
  <c r="F14" i="8"/>
  <c r="C14" i="8"/>
  <c r="D14" i="8" s="1"/>
  <c r="B16" i="8"/>
  <c r="E16" i="8" l="1"/>
  <c r="Q8" i="12"/>
  <c r="R8" i="12" s="1"/>
  <c r="S8" i="12" s="1"/>
  <c r="D15" i="8"/>
  <c r="F16" i="8"/>
  <c r="C16" i="8"/>
  <c r="C39" i="12" s="1"/>
  <c r="D39" i="12" s="1"/>
  <c r="E39" i="12" s="1"/>
  <c r="B17" i="8"/>
  <c r="E17" i="8" l="1"/>
  <c r="Q9" i="12"/>
  <c r="R9" i="12" s="1"/>
  <c r="S9" i="12" s="1"/>
  <c r="D16" i="8"/>
  <c r="F17" i="8"/>
  <c r="C17" i="8"/>
  <c r="C40" i="12" s="1"/>
  <c r="D40" i="12" s="1"/>
  <c r="E40" i="12" s="1"/>
  <c r="B18" i="8"/>
  <c r="E18" i="8" l="1"/>
  <c r="Q10" i="12"/>
  <c r="R10" i="12" s="1"/>
  <c r="S10" i="12" s="1"/>
  <c r="D17" i="8"/>
  <c r="F18" i="8"/>
  <c r="C18" i="8"/>
  <c r="C41" i="12" s="1"/>
  <c r="D41" i="12" s="1"/>
  <c r="E41" i="12" s="1"/>
  <c r="B19" i="8"/>
  <c r="E19" i="8" l="1"/>
  <c r="Q11" i="12"/>
  <c r="R11" i="12" s="1"/>
  <c r="S11" i="12" s="1"/>
  <c r="D18" i="8"/>
  <c r="F19" i="8"/>
  <c r="C19" i="8"/>
  <c r="C42" i="12" s="1"/>
  <c r="D42" i="12" s="1"/>
  <c r="E42" i="12" s="1"/>
  <c r="B20" i="8"/>
  <c r="E20" i="8" l="1"/>
  <c r="Q12" i="12"/>
  <c r="R12" i="12" s="1"/>
  <c r="S12" i="12" s="1"/>
  <c r="D19" i="8"/>
  <c r="F20" i="8"/>
  <c r="C20" i="8"/>
  <c r="C43" i="12" s="1"/>
  <c r="D43" i="12" s="1"/>
  <c r="E43" i="12" s="1"/>
  <c r="B21" i="8"/>
  <c r="E21" i="8" l="1"/>
  <c r="Q13" i="12"/>
  <c r="R13" i="12" s="1"/>
  <c r="S13" i="12" s="1"/>
  <c r="D20" i="8"/>
  <c r="F21" i="8"/>
  <c r="C21" i="8"/>
  <c r="C44" i="12" s="1"/>
  <c r="D44" i="12" s="1"/>
  <c r="E44" i="12" s="1"/>
  <c r="B22" i="8"/>
  <c r="E22" i="8" l="1"/>
  <c r="Q14" i="12"/>
  <c r="R14" i="12" s="1"/>
  <c r="S14" i="12" s="1"/>
  <c r="D21" i="8"/>
  <c r="F22" i="8"/>
  <c r="C22" i="8"/>
  <c r="C45" i="12" s="1"/>
  <c r="D45" i="12" s="1"/>
  <c r="E45" i="12" s="1"/>
  <c r="B23" i="8"/>
  <c r="E23" i="8" l="1"/>
  <c r="Q15" i="12"/>
  <c r="R15" i="12" s="1"/>
  <c r="S15" i="12" s="1"/>
  <c r="D22" i="8"/>
  <c r="F23" i="8"/>
  <c r="C23" i="8"/>
  <c r="C46" i="12" s="1"/>
  <c r="D46" i="12" s="1"/>
  <c r="E46" i="12" s="1"/>
  <c r="B24" i="8"/>
  <c r="E24" i="8" l="1"/>
  <c r="Q16" i="12"/>
  <c r="R16" i="12" s="1"/>
  <c r="S16" i="12" s="1"/>
  <c r="D23" i="8"/>
  <c r="F24" i="8"/>
  <c r="C24" i="8"/>
  <c r="C47" i="12" s="1"/>
  <c r="D47" i="12" s="1"/>
  <c r="E47" i="12" s="1"/>
  <c r="B25" i="8"/>
  <c r="E25" i="8" l="1"/>
  <c r="Q17" i="12"/>
  <c r="R17" i="12" s="1"/>
  <c r="S17" i="12" s="1"/>
  <c r="D24" i="8"/>
  <c r="F25" i="8"/>
  <c r="C25" i="8"/>
  <c r="C48" i="12" s="1"/>
  <c r="D48" i="12" s="1"/>
  <c r="E48" i="12" s="1"/>
  <c r="B26" i="8"/>
  <c r="B27" i="8" l="1"/>
  <c r="E26" i="8"/>
  <c r="Q18" i="12"/>
  <c r="R18" i="12" s="1"/>
  <c r="S18" i="12" s="1"/>
  <c r="D25" i="8"/>
  <c r="F26" i="8"/>
  <c r="C26" i="8"/>
  <c r="B28" i="8" l="1"/>
  <c r="E27" i="8"/>
  <c r="Q19" i="12" s="1"/>
  <c r="R19" i="12" s="1"/>
  <c r="S19" i="12" s="1"/>
  <c r="C49" i="12"/>
  <c r="D49" i="12" s="1"/>
  <c r="E49" i="12" s="1"/>
  <c r="D26" i="8"/>
  <c r="F27" i="8"/>
  <c r="C27" i="8"/>
  <c r="C28" i="8"/>
  <c r="B29" i="8" l="1"/>
  <c r="E28" i="8"/>
  <c r="Q20" i="12"/>
  <c r="R20" i="12" s="1"/>
  <c r="S20" i="12" s="1"/>
  <c r="C51" i="12"/>
  <c r="D51" i="12" s="1"/>
  <c r="E51" i="12" s="1"/>
  <c r="D28" i="8"/>
  <c r="C50" i="12"/>
  <c r="D50" i="12" s="1"/>
  <c r="E50" i="12" s="1"/>
  <c r="D27" i="8"/>
  <c r="F28" i="8"/>
  <c r="B30" i="8" l="1"/>
  <c r="E29" i="8"/>
  <c r="C30" i="8"/>
  <c r="C53" i="12" s="1"/>
  <c r="D53" i="12" s="1"/>
  <c r="E53" i="12" s="1"/>
  <c r="C29" i="8"/>
  <c r="C52" i="12" s="1"/>
  <c r="D52" i="12" s="1"/>
  <c r="E52" i="12" s="1"/>
  <c r="Q21" i="12" l="1"/>
  <c r="R21" i="12" s="1"/>
  <c r="S21" i="12" s="1"/>
  <c r="F29" i="8"/>
  <c r="B31" i="8"/>
  <c r="E30" i="8"/>
  <c r="F30" i="8" s="1"/>
  <c r="Q22" i="12"/>
  <c r="R22" i="12" s="1"/>
  <c r="S22" i="12" s="1"/>
  <c r="D29" i="8"/>
  <c r="D30" i="8"/>
  <c r="C31" i="8"/>
  <c r="C54" i="12" s="1"/>
  <c r="D54" i="12" s="1"/>
  <c r="E54" i="12" s="1"/>
  <c r="B32" i="8" l="1"/>
  <c r="E31" i="8"/>
  <c r="D31" i="8"/>
  <c r="C32" i="8"/>
  <c r="Q23" i="12" l="1"/>
  <c r="R23" i="12" s="1"/>
  <c r="S23" i="12" s="1"/>
  <c r="F31" i="8"/>
  <c r="B33" i="8"/>
  <c r="E32" i="8"/>
  <c r="F32" i="8" s="1"/>
  <c r="Q24" i="12"/>
  <c r="R24" i="12" s="1"/>
  <c r="S24" i="12" s="1"/>
  <c r="D32" i="8"/>
  <c r="C55" i="12"/>
  <c r="D55" i="12" s="1"/>
  <c r="E55" i="12" s="1"/>
  <c r="C33" i="8"/>
  <c r="B34" i="8" l="1"/>
  <c r="E33" i="8"/>
  <c r="D33" i="8"/>
  <c r="C56" i="12"/>
  <c r="D56" i="12" s="1"/>
  <c r="E56" i="12" s="1"/>
  <c r="C34" i="8"/>
  <c r="Q25" i="12" l="1"/>
  <c r="R25" i="12" s="1"/>
  <c r="S25" i="12" s="1"/>
  <c r="F33" i="8"/>
  <c r="B35" i="8"/>
  <c r="E35" i="8" s="1"/>
  <c r="E34" i="8"/>
  <c r="F34" i="8" s="1"/>
  <c r="Q26" i="12"/>
  <c r="R26" i="12" s="1"/>
  <c r="S26" i="12" s="1"/>
  <c r="Q27" i="12"/>
  <c r="R27" i="12" s="1"/>
  <c r="S27" i="12" s="1"/>
  <c r="D34" i="8"/>
  <c r="C57" i="12"/>
  <c r="D57" i="12" s="1"/>
  <c r="E57" i="12" s="1"/>
  <c r="F35" i="8"/>
  <c r="C35" i="8" l="1"/>
  <c r="B36" i="8"/>
  <c r="E36" i="8" l="1"/>
  <c r="F36" i="8" s="1"/>
  <c r="Q28" i="12"/>
  <c r="R28" i="12" s="1"/>
  <c r="S28" i="12" s="1"/>
  <c r="D35" i="8"/>
  <c r="C58" i="12"/>
  <c r="D58" i="12" s="1"/>
  <c r="E58" i="12" s="1"/>
  <c r="C36" i="8"/>
  <c r="B37" i="8"/>
  <c r="E37" i="8" l="1"/>
  <c r="Q29" i="12"/>
  <c r="R29" i="12" s="1"/>
  <c r="S29" i="12" s="1"/>
  <c r="D36" i="8"/>
  <c r="C59" i="12"/>
  <c r="D59" i="12" s="1"/>
  <c r="E59" i="12" s="1"/>
  <c r="F37" i="8"/>
  <c r="C37" i="8"/>
  <c r="B38" i="8"/>
  <c r="E38" i="8" l="1"/>
  <c r="Q30" i="12"/>
  <c r="R30" i="12" s="1"/>
  <c r="S30" i="12" s="1"/>
  <c r="S31" i="12" s="1"/>
  <c r="D37" i="8"/>
  <c r="C60" i="12"/>
  <c r="D60" i="12" s="1"/>
  <c r="E60" i="12" s="1"/>
  <c r="C38" i="8"/>
  <c r="F38" i="8"/>
  <c r="F39" i="8" s="1"/>
  <c r="S32" i="12" s="1"/>
  <c r="D38" i="8" l="1"/>
  <c r="C61" i="12"/>
  <c r="D61" i="12" s="1"/>
  <c r="E61" i="12" s="1"/>
  <c r="D39" i="8"/>
  <c r="D38" i="12" l="1"/>
  <c r="E38" i="12" s="1"/>
  <c r="E63" i="12"/>
  <c r="C66" i="12" l="1"/>
  <c r="C72" i="12" s="1"/>
  <c r="E62" i="12"/>
  <c r="C67" i="12" s="1"/>
  <c r="C73" i="12" s="1"/>
  <c r="C75" i="12" l="1"/>
  <c r="C74" i="12"/>
  <c r="C68" i="12"/>
  <c r="C6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tc={3FDDB274-B2C3-4364-8154-4C5F6237AB69}</author>
  </authors>
  <commentList>
    <comment ref="Z24" authorId="0" shapeId="0" xr:uid="{3FDDB274-B2C3-4364-8154-4C5F6237AB69}">
      <text>
        <t>[Threaded comment]
Your version of Excel allows you to read this threaded comment; however, any edits to it will get removed if the file is opened in a newer version of Excel. Learn more: https://go.microsoft.com/fwlink/?linkid=870924
Comment:
    District total ratioed to project length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tc={F3CB637C-A1BA-43E1-B44E-08F5A12F399F}</author>
  </authors>
  <commentList>
    <comment ref="Z24" authorId="0" shapeId="0" xr:uid="{F3CB637C-A1BA-43E1-B44E-08F5A12F399F}">
      <text>
        <t>[Threaded comment]
Your version of Excel allows you to read this threaded comment; however, any edits to it will get removed if the file is opened in a newer version of Excel. Learn more: https://go.microsoft.com/fwlink/?linkid=870924
Comment:
    District total ratioed to project length</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tc={3526A5F4-73BE-4E5D-B234-8E2CE47369D0}</author>
  </authors>
  <commentList>
    <comment ref="Z24" authorId="0" shapeId="0" xr:uid="{3526A5F4-73BE-4E5D-B234-8E2CE47369D0}">
      <text>
        <t>[Threaded comment]
Your version of Excel allows you to read this threaded comment; however, any edits to it will get removed if the file is opened in a newer version of Excel. Learn more: https://go.microsoft.com/fwlink/?linkid=870924
Comment:
    District total ratioed to project length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Thompson, Tyler</author>
  </authors>
  <commentList>
    <comment ref="B52" authorId="0" shapeId="0" xr:uid="{CDF54B77-9BDB-4C9D-A5C7-AB09F702C000}">
      <text>
        <r>
          <rPr>
            <b/>
            <sz val="9"/>
            <color indexed="81"/>
            <rFont val="Tahoma"/>
            <family val="2"/>
          </rPr>
          <t>Thompson, Tyler:</t>
        </r>
        <r>
          <rPr>
            <sz val="9"/>
            <color indexed="81"/>
            <rFont val="Tahoma"/>
            <family val="2"/>
          </rPr>
          <t xml:space="preserve">
No data for 2014</t>
        </r>
      </text>
    </comment>
  </commentList>
</comments>
</file>

<file path=xl/sharedStrings.xml><?xml version="1.0" encoding="utf-8"?>
<sst xmlns="http://schemas.openxmlformats.org/spreadsheetml/2006/main" count="3114" uniqueCount="692">
  <si>
    <t>Analysis Year</t>
  </si>
  <si>
    <t>7% Discount</t>
  </si>
  <si>
    <t>Total Benefit</t>
  </si>
  <si>
    <t>NOTES:</t>
  </si>
  <si>
    <t>Total Cost</t>
  </si>
  <si>
    <t>N/A</t>
  </si>
  <si>
    <t>BENEFITS</t>
  </si>
  <si>
    <t>COSTS</t>
  </si>
  <si>
    <t>Capital Costs</t>
  </si>
  <si>
    <t>Benefits</t>
  </si>
  <si>
    <t>Costs</t>
  </si>
  <si>
    <t>B/C Ratio</t>
  </si>
  <si>
    <t>ENVIRONMENTAL SUSTAINABILITY - AIR QUALITY</t>
  </si>
  <si>
    <t>Mode</t>
  </si>
  <si>
    <t>SUMMARY</t>
  </si>
  <si>
    <t>n/a</t>
  </si>
  <si>
    <t>Remaining Capital Value</t>
  </si>
  <si>
    <t>2)</t>
  </si>
  <si>
    <t>1)</t>
  </si>
  <si>
    <t>3)</t>
  </si>
  <si>
    <t>4)</t>
  </si>
  <si>
    <t xml:space="preserve">Capital Cost </t>
  </si>
  <si>
    <t>CAPITAL COST AND RESIDUAL PROJECT VALUE</t>
  </si>
  <si>
    <t>Total</t>
  </si>
  <si>
    <t>Years of Construction</t>
  </si>
  <si>
    <t>Construction Year</t>
  </si>
  <si>
    <t>B</t>
  </si>
  <si>
    <t>Remaining Capital Value (7%)</t>
  </si>
  <si>
    <t>Auto Vehicle Operating Cost</t>
  </si>
  <si>
    <t>Truck Vehicle Operating Cost</t>
  </si>
  <si>
    <t>Auto Percentage</t>
  </si>
  <si>
    <t>Truck Percentage</t>
  </si>
  <si>
    <t>Table 3 - Per-mile Operating Cost</t>
  </si>
  <si>
    <t>Aggregate Vehicle Operating Cost</t>
  </si>
  <si>
    <t>Automobile</t>
  </si>
  <si>
    <t>Trucks</t>
  </si>
  <si>
    <t>Travel Time Cost Savings</t>
  </si>
  <si>
    <t>ECONOMIC COMPETITIVENESS - OPERATIONAL BENEFITS</t>
  </si>
  <si>
    <t>STATE OF GOOD REPAIR - OPERATION AND MAINTENANCE COSTS</t>
  </si>
  <si>
    <r>
      <t>Annual Operation and Maintenance Cost ($)</t>
    </r>
    <r>
      <rPr>
        <vertAlign val="superscript"/>
        <sz val="9"/>
        <color theme="1"/>
        <rFont val="Calibri"/>
        <family val="2"/>
        <scheme val="minor"/>
      </rPr>
      <t>1</t>
    </r>
    <r>
      <rPr>
        <sz val="11"/>
        <color theme="1"/>
        <rFont val="Calibri"/>
        <family val="2"/>
        <scheme val="minor"/>
      </rPr>
      <t/>
    </r>
  </si>
  <si>
    <t>Operation and Maintenance Costs</t>
  </si>
  <si>
    <r>
      <t>Base RCV in (7%)</t>
    </r>
    <r>
      <rPr>
        <vertAlign val="superscript"/>
        <sz val="9"/>
        <color theme="1"/>
        <rFont val="Calibri"/>
        <family val="2"/>
        <scheme val="minor"/>
      </rPr>
      <t>2</t>
    </r>
  </si>
  <si>
    <t>SubTotal (7% RCV)</t>
  </si>
  <si>
    <t>Subtotal</t>
  </si>
  <si>
    <t>TOTAL</t>
  </si>
  <si>
    <t>Length (mi)</t>
  </si>
  <si>
    <t>New Daily Walkers - Recreational</t>
  </si>
  <si>
    <t>New Daily Cyclists - Commuter</t>
  </si>
  <si>
    <t>New Daily Cyclists - Recreational</t>
  </si>
  <si>
    <t>Mobility</t>
  </si>
  <si>
    <t>Health Cost Savings</t>
  </si>
  <si>
    <t>Reduced Auto Use (Congestion)</t>
  </si>
  <si>
    <t>Base year</t>
  </si>
  <si>
    <t>Commuters</t>
  </si>
  <si>
    <r>
      <t xml:space="preserve">Willingness to travel (minutes) </t>
    </r>
    <r>
      <rPr>
        <vertAlign val="superscript"/>
        <sz val="11"/>
        <color theme="1"/>
        <rFont val="Calibri"/>
        <family val="2"/>
        <scheme val="minor"/>
      </rPr>
      <t>5</t>
    </r>
  </si>
  <si>
    <t>NCHRP 552 Logit model (page# D-11 Table 24): Facility D to A improvement is worth 21.6 min; B to A: 5.2 min; E to A: 30.5 min; and E to C: 16.4 min.</t>
  </si>
  <si>
    <r>
      <t xml:space="preserve">Mobility adjustment factor </t>
    </r>
    <r>
      <rPr>
        <vertAlign val="superscript"/>
        <sz val="11"/>
        <color theme="1"/>
        <rFont val="Calibri"/>
        <family val="2"/>
        <scheme val="minor"/>
      </rPr>
      <t>8</t>
    </r>
  </si>
  <si>
    <t>5)</t>
  </si>
  <si>
    <t xml:space="preserve">Annual Recreational Days </t>
  </si>
  <si>
    <t>Savings per mile (2006$)</t>
  </si>
  <si>
    <t>New daily walkers</t>
  </si>
  <si>
    <t>Average walk time (hour)</t>
  </si>
  <si>
    <t>9 months out of 12 assumed to be recreational</t>
  </si>
  <si>
    <t>Quality of Life</t>
  </si>
  <si>
    <t>Rpt 552, page# 38</t>
  </si>
  <si>
    <t>Project length or average trip length, whichever is smaller.</t>
  </si>
  <si>
    <t>Rpt 552, page# 39</t>
  </si>
  <si>
    <t>Rpt 552, page# 36</t>
  </si>
  <si>
    <t>Fraction of riders accounted for mobility benefits</t>
  </si>
  <si>
    <t>Rpt 552, page# 39, E-1</t>
  </si>
  <si>
    <t>Rpt 552, page# 39, G-1</t>
  </si>
  <si>
    <t>Page# 39 uses 365 days. 3 months were excluded to acount for the local weather conditions</t>
  </si>
  <si>
    <r>
      <t xml:space="preserve">Page# 39: 3.5₵ </t>
    </r>
    <r>
      <rPr>
        <i/>
        <sz val="9.35"/>
        <color theme="0" tint="-0.499984740745262"/>
        <rFont val="Calibri"/>
        <family val="2"/>
      </rPr>
      <t>for Congestion, 4₵ for pollution, and 3₵ for user cost savings assuming the average between central city and suburban land uses.</t>
    </r>
  </si>
  <si>
    <t>Community Livability</t>
  </si>
  <si>
    <t xml:space="preserve">COMMUNITY LIVABILITY (QUALITY OF LIFE) BENEFITS OF BIKE/PED FACILITIES </t>
  </si>
  <si>
    <t xml:space="preserve"> Convert 2006$ to 2018$</t>
  </si>
  <si>
    <t xml:space="preserve"> Convert 2000$ to 2018$</t>
  </si>
  <si>
    <t>Quality of Life Benefits</t>
  </si>
  <si>
    <r>
      <t>Value of time (2018 Dollars per minute)</t>
    </r>
    <r>
      <rPr>
        <vertAlign val="superscript"/>
        <sz val="11"/>
        <color theme="1"/>
        <rFont val="Calibri"/>
        <family val="2"/>
        <scheme val="minor"/>
      </rPr>
      <t>9</t>
    </r>
  </si>
  <si>
    <t>Net Present Value</t>
  </si>
  <si>
    <t>Year</t>
  </si>
  <si>
    <t>It was assumed that project construction would take two years from 2021 to 2022, with the project opening in year 2023. Capital costs were distributed evenly amongst the two construction years of 2021 and 2022. Initial capital cost were brought back to 2018 dollars to determine present value.</t>
  </si>
  <si>
    <t>BCRT</t>
  </si>
  <si>
    <t>Table 2 - Relevent Population Characteristics</t>
  </si>
  <si>
    <r>
      <t>Project Title</t>
    </r>
    <r>
      <rPr>
        <sz val="11"/>
        <color rgb="FF000000"/>
        <rFont val="Calibri"/>
        <family val="2"/>
      </rPr>
      <t> </t>
    </r>
  </si>
  <si>
    <r>
      <t>Construct New Trail</t>
    </r>
    <r>
      <rPr>
        <sz val="11"/>
        <color rgb="FF000000"/>
        <rFont val="Calibri"/>
        <family val="2"/>
      </rPr>
      <t> </t>
    </r>
  </si>
  <si>
    <r>
      <t>Reconstruct Existing Sidewalk/Trail</t>
    </r>
    <r>
      <rPr>
        <sz val="11"/>
        <color rgb="FF000000"/>
        <rFont val="Calibri"/>
        <family val="2"/>
      </rPr>
      <t> </t>
    </r>
  </si>
  <si>
    <r>
      <t>Improve Existing, Recently Designated Regional Trails</t>
    </r>
    <r>
      <rPr>
        <sz val="11"/>
        <color rgb="FF000000"/>
        <rFont val="Calibri"/>
        <family val="2"/>
      </rPr>
      <t> </t>
    </r>
  </si>
  <si>
    <r>
      <t>Total</t>
    </r>
    <r>
      <rPr>
        <sz val="11"/>
        <color rgb="FF000000"/>
        <rFont val="Calibri"/>
        <family val="2"/>
      </rPr>
      <t> </t>
    </r>
  </si>
  <si>
    <r>
      <t xml:space="preserve">Improved Crossings </t>
    </r>
    <r>
      <rPr>
        <sz val="11"/>
        <color rgb="FF000000"/>
        <rFont val="Calibri"/>
        <family val="2"/>
      </rPr>
      <t> </t>
    </r>
  </si>
  <si>
    <r>
      <t>(note: advanced signage may be needed at all crossings; *may be more challenging)</t>
    </r>
    <r>
      <rPr>
        <sz val="11"/>
        <color rgb="FF000000"/>
        <rFont val="Calibri"/>
        <family val="2"/>
      </rPr>
      <t> </t>
    </r>
  </si>
  <si>
    <t>Bassett Creek Regional Trail: Golden Valley Reconstruction and Expansion  </t>
  </si>
  <si>
    <t>  </t>
  </si>
  <si>
    <t>Westbend Road (curb cuts/truncated domes not ADA) </t>
  </si>
  <si>
    <t>Golden Valley/Duluth Street/CR66 and Regent (crosses 2 legs of 4 way stop condition, curb cuts/truncated domes not ADA, possibly advanced warning signage) </t>
  </si>
  <si>
    <t>Total: 3 Crossings </t>
  </si>
  <si>
    <t>Bryant Lake Regional Trail Construction </t>
  </si>
  <si>
    <t>Minnetonka Drive; Inverness Road; Dahlgren Road; Orchard Road; Smith Drive; Lake Street Extension; Shadydale Road; Deerwood Drive; Baker Road; Excelsior Boulevard*; Carleton Road; Jane Lane; Maywood Lane; Rogers Drive; Joriseen Road; and Rowland Road (*tunnel exists but access is difficult) (curb cuts/truncated domes not ADA) </t>
  </si>
  <si>
    <t>Total: 16 Crossings            </t>
  </si>
  <si>
    <t>CP Rail Regional Trail: Bloomington/Edina Construction  </t>
  </si>
  <si>
    <r>
      <t>East Bush Lake Road and associated porkchop/right turn lane from 84</t>
    </r>
    <r>
      <rPr>
        <vertAlign val="superscript"/>
        <sz val="8.5"/>
        <color rgb="FF000000"/>
        <rFont val="Calibri"/>
        <family val="2"/>
      </rPr>
      <t>th</t>
    </r>
    <r>
      <rPr>
        <sz val="11"/>
        <color rgb="FF000000"/>
        <rFont val="Calibri"/>
        <family val="2"/>
      </rPr>
      <t xml:space="preserve"> Street; American Boulevard; 494 Off Ramp (north side); 78</t>
    </r>
    <r>
      <rPr>
        <vertAlign val="superscript"/>
        <sz val="8.5"/>
        <color rgb="FF000000"/>
        <rFont val="Calibri"/>
        <family val="2"/>
      </rPr>
      <t>th</t>
    </r>
    <r>
      <rPr>
        <sz val="11"/>
        <color rgb="FF000000"/>
        <rFont val="Calibri"/>
        <family val="2"/>
      </rPr>
      <t xml:space="preserve"> Street; East Bush Lake </t>
    </r>
  </si>
  <si>
    <r>
      <t>Road; 76</t>
    </r>
    <r>
      <rPr>
        <vertAlign val="superscript"/>
        <sz val="8.5"/>
        <color rgb="FF000000"/>
        <rFont val="Calibri"/>
        <family val="2"/>
      </rPr>
      <t>th</t>
    </r>
    <r>
      <rPr>
        <sz val="11"/>
        <color rgb="FF000000"/>
        <rFont val="Calibri"/>
        <family val="2"/>
      </rPr>
      <t xml:space="preserve"> Street (depending on side of street); 74</t>
    </r>
    <r>
      <rPr>
        <vertAlign val="superscript"/>
        <sz val="8.5"/>
        <color rgb="FF000000"/>
        <rFont val="Calibri"/>
        <family val="2"/>
      </rPr>
      <t>th</t>
    </r>
    <r>
      <rPr>
        <sz val="11"/>
        <color rgb="FF000000"/>
        <rFont val="Calibri"/>
        <family val="2"/>
      </rPr>
      <t xml:space="preserve"> Street (depending on side of street); Bush Lake Road, CP Rail*; and Amundson Avenue (curb cuts/truncated domes not ADA) </t>
    </r>
  </si>
  <si>
    <t>Total: 8-10 Crossings      </t>
  </si>
  <si>
    <r>
      <t xml:space="preserve">Eagle Lake Regional Trail: </t>
    </r>
    <r>
      <rPr>
        <sz val="11"/>
        <color theme="1"/>
        <rFont val="Calibri"/>
        <family val="2"/>
      </rPr>
      <t>Luce Line Regional Trail to Lake Minnetonka Regional Trail  </t>
    </r>
  </si>
  <si>
    <r>
      <t>Railroad*; 11</t>
    </r>
    <r>
      <rPr>
        <vertAlign val="superscript"/>
        <sz val="8.5"/>
        <color rgb="FF000000"/>
        <rFont val="Calibri"/>
        <family val="2"/>
      </rPr>
      <t>th</t>
    </r>
    <r>
      <rPr>
        <sz val="11"/>
        <color rgb="FF000000"/>
        <rFont val="Calibri"/>
        <family val="2"/>
      </rPr>
      <t xml:space="preserve"> Avenue; 10</t>
    </r>
    <r>
      <rPr>
        <vertAlign val="superscript"/>
        <sz val="8.5"/>
        <color rgb="FF000000"/>
        <rFont val="Calibri"/>
        <family val="2"/>
      </rPr>
      <t>th</t>
    </r>
    <r>
      <rPr>
        <sz val="11"/>
        <color rgb="FF000000"/>
        <rFont val="Calibri"/>
        <family val="2"/>
      </rPr>
      <t xml:space="preserve"> Avenue; Frontage Road; TH 55; Old County Road 15; 1</t>
    </r>
    <r>
      <rPr>
        <vertAlign val="superscript"/>
        <sz val="8.5"/>
        <color rgb="FF000000"/>
        <rFont val="Calibri"/>
        <family val="2"/>
      </rPr>
      <t>st</t>
    </r>
    <r>
      <rPr>
        <sz val="11"/>
        <color rgb="FF000000"/>
        <rFont val="Calibri"/>
        <family val="2"/>
      </rPr>
      <t xml:space="preserve"> Avenue; Lorry Lane; Fairfield Road; Hopkins Crossroad/CR 73; Sherwood Place; and Minnetonka Boulevard* (curb cuts/truncated domes not ADA) </t>
    </r>
  </si>
  <si>
    <t>Total: 12 Crossings  </t>
  </si>
  <si>
    <t>Medicine Lake Regional Trail: Reconstruct 3.75 miles in Plymouth </t>
  </si>
  <si>
    <r>
      <t>42</t>
    </r>
    <r>
      <rPr>
        <vertAlign val="superscript"/>
        <sz val="8.5"/>
        <color rgb="FF000000"/>
        <rFont val="Calibri"/>
        <family val="2"/>
      </rPr>
      <t>nd</t>
    </r>
    <r>
      <rPr>
        <sz val="11"/>
        <color rgb="FF000000"/>
        <rFont val="Calibri"/>
        <family val="2"/>
      </rPr>
      <t xml:space="preserve"> Place; 44</t>
    </r>
    <r>
      <rPr>
        <vertAlign val="superscript"/>
        <sz val="8.5"/>
        <color rgb="FF000000"/>
        <rFont val="Calibri"/>
        <family val="2"/>
      </rPr>
      <t>th</t>
    </r>
    <r>
      <rPr>
        <sz val="11"/>
        <color rgb="FF000000"/>
        <rFont val="Calibri"/>
        <family val="2"/>
      </rPr>
      <t xml:space="preserve"> Avenue; 45</t>
    </r>
    <r>
      <rPr>
        <vertAlign val="superscript"/>
        <sz val="8.5"/>
        <color rgb="FF000000"/>
        <rFont val="Calibri"/>
        <family val="2"/>
      </rPr>
      <t>th</t>
    </r>
    <r>
      <rPr>
        <sz val="11"/>
        <color rgb="FF000000"/>
        <rFont val="Calibri"/>
        <family val="2"/>
      </rPr>
      <t xml:space="preserve"> Avenue; and 47</t>
    </r>
    <r>
      <rPr>
        <vertAlign val="superscript"/>
        <sz val="8.5"/>
        <color rgb="FF000000"/>
        <rFont val="Calibri"/>
        <family val="2"/>
      </rPr>
      <t>th</t>
    </r>
    <r>
      <rPr>
        <sz val="11"/>
        <color rgb="FF000000"/>
        <rFont val="Calibri"/>
        <family val="2"/>
      </rPr>
      <t xml:space="preserve"> Avenue (curb cuts/truncated domes not ADA) </t>
    </r>
  </si>
  <si>
    <t>Schmidt Lake Road and Northwest Boulevard/CR 61 (crossed 2 legs of signalized crossing, curb cuts/truncated domes not ADA, possibly advanced signage) </t>
  </si>
  <si>
    <t>Total: 6 Crossings  </t>
  </si>
  <si>
    <t>Nine Mile Creek Regional Trail: 11th Avenue Reconstruction </t>
  </si>
  <si>
    <r>
      <t>6</t>
    </r>
    <r>
      <rPr>
        <vertAlign val="superscript"/>
        <sz val="8.5"/>
        <color rgb="FF000000"/>
        <rFont val="Calibri"/>
        <family val="2"/>
      </rPr>
      <t>th</t>
    </r>
    <r>
      <rPr>
        <sz val="11"/>
        <color rgb="FF000000"/>
        <rFont val="Calibri"/>
        <family val="2"/>
      </rPr>
      <t xml:space="preserve"> Avenue (curb cuts/truncated domes not ADA) </t>
    </r>
  </si>
  <si>
    <t>Total: 1 Crossing  </t>
  </si>
  <si>
    <t>Rush Creek Regional Trail: Winnetka Avenue Safe Crossing </t>
  </si>
  <si>
    <t>Grade-separated crossing of Winnetka/CSAH 103 </t>
  </si>
  <si>
    <t>Total: 1 Crossing </t>
  </si>
  <si>
    <t>Shingle Creek Regional Trail – Brooklyn Center Reconstruction and Flooding Mitigation   </t>
  </si>
  <si>
    <t>Not Anticipated. </t>
  </si>
  <si>
    <t>Shingle Creek Regional Trail: Noble Avenue Reconstruction </t>
  </si>
  <si>
    <r>
      <t>Kilbirnie Terrace; Edinbrook Parkway; 93</t>
    </r>
    <r>
      <rPr>
        <vertAlign val="superscript"/>
        <sz val="8.5"/>
        <color rgb="FF000000"/>
        <rFont val="Calibri"/>
        <family val="2"/>
      </rPr>
      <t>rd</t>
    </r>
    <r>
      <rPr>
        <sz val="11"/>
        <color rgb="FF000000"/>
        <rFont val="Calibri"/>
        <family val="2"/>
      </rPr>
      <t xml:space="preserve"> Avenue; and 95</t>
    </r>
    <r>
      <rPr>
        <vertAlign val="superscript"/>
        <sz val="8.5"/>
        <color rgb="FF000000"/>
        <rFont val="Calibri"/>
        <family val="2"/>
      </rPr>
      <t>th</t>
    </r>
    <r>
      <rPr>
        <sz val="11"/>
        <color rgb="FF000000"/>
        <rFont val="Calibri"/>
        <family val="2"/>
      </rPr>
      <t xml:space="preserve"> Avenue (curb cuts/truncated domes not ADA) </t>
    </r>
  </si>
  <si>
    <t>Total: 4 Crossings </t>
  </si>
  <si>
    <t>Questions</t>
  </si>
  <si>
    <t>Avg trip lengths (walking and biking)</t>
  </si>
  <si>
    <t>For reconstructs - years existing trails would be closed if no preservation occurs</t>
  </si>
  <si>
    <t>Life of project (until we have to reconstruct again)</t>
  </si>
  <si>
    <t>Growth rate of trail usage</t>
  </si>
  <si>
    <t>RAISE COSTS</t>
  </si>
  <si>
    <t>Bassett Creek RT</t>
  </si>
  <si>
    <t xml:space="preserve">Bryant Lake RT </t>
  </si>
  <si>
    <t>CP Rail RT</t>
  </si>
  <si>
    <t>Eagle Lake RT</t>
  </si>
  <si>
    <t>Med Lake RT</t>
  </si>
  <si>
    <t>9 Mile Ck RT</t>
  </si>
  <si>
    <t>Rush Creek RT</t>
  </si>
  <si>
    <t xml:space="preserve">Shingle Creek BP </t>
  </si>
  <si>
    <t>Shingle Creek BC</t>
  </si>
  <si>
    <t>% of total project cost</t>
  </si>
  <si>
    <t>Fed Share</t>
  </si>
  <si>
    <t>TRPD Share</t>
  </si>
  <si>
    <t>TPRD %</t>
  </si>
  <si>
    <t>Total cost with Design</t>
  </si>
  <si>
    <t>Construction with contingency</t>
  </si>
  <si>
    <t>Base Contruction (Less 10 % contingency)</t>
  </si>
  <si>
    <t>Contruction contingency</t>
  </si>
  <si>
    <t xml:space="preserve">Design </t>
  </si>
  <si>
    <t>Share of ineligible design costs</t>
  </si>
  <si>
    <t>Eligible Design</t>
  </si>
  <si>
    <t>Acquisition (Assume no contingency)</t>
  </si>
  <si>
    <t>Total subproject Cost</t>
  </si>
  <si>
    <t>Total eligible cost</t>
  </si>
  <si>
    <t>Maintenance for no build and build</t>
  </si>
  <si>
    <t xml:space="preserve">6-8 years </t>
  </si>
  <si>
    <t xml:space="preserve">Microsurfacing </t>
  </si>
  <si>
    <t xml:space="preserve">13-15 years </t>
  </si>
  <si>
    <t xml:space="preserve">20-22 years </t>
  </si>
  <si>
    <t xml:space="preserve">27-30 years </t>
  </si>
  <si>
    <t xml:space="preserve">Total Reconstruction </t>
  </si>
  <si>
    <t xml:space="preserve">Cycling Recreation </t>
  </si>
  <si>
    <t>Value per Cycling Mile</t>
  </si>
  <si>
    <t>regression spreadsheet</t>
  </si>
  <si>
    <t>met council - 3.3 miles for cyclists and 0.8 miles for peds</t>
  </si>
  <si>
    <t>getting year built for each existing project</t>
  </si>
  <si>
    <t>avg cost per mile for maintenance (routine and preventative)</t>
  </si>
  <si>
    <t>costs per mile for microsurfacing/rehab</t>
  </si>
  <si>
    <t>Walking per trip</t>
  </si>
  <si>
    <t>Cycling per trip</t>
  </si>
  <si>
    <t>TRPD Regional Trail Annual Visits</t>
  </si>
  <si>
    <t xml:space="preserve">Estimating the Average Percent of Annual Visitation Growth on TRPD Regional Trails in the Next 10 Years if Current Visitation Patterns Continue </t>
  </si>
  <si>
    <t>Step 1</t>
  </si>
  <si>
    <t>Enter known annual visitation into spreadsheet</t>
  </si>
  <si>
    <t>Step 2</t>
  </si>
  <si>
    <t>Create scatterplot</t>
  </si>
  <si>
    <t>Step 3</t>
  </si>
  <si>
    <t>Extend the X and Y axis out</t>
  </si>
  <si>
    <t>Step 4</t>
  </si>
  <si>
    <t>Insert a linear trendline</t>
  </si>
  <si>
    <t>Step 5</t>
  </si>
  <si>
    <t>In trendline options insert the number of "periods" you want to forecast forward</t>
  </si>
  <si>
    <t>Step 6</t>
  </si>
  <si>
    <t>Change numeric values to extend to 10 decimals to increase accuracy</t>
  </si>
  <si>
    <t>Step 7</t>
  </si>
  <si>
    <t>Insert the year/number 2029 for "X" in the equation</t>
  </si>
  <si>
    <t xml:space="preserve">Step 8 </t>
  </si>
  <si>
    <t>When you do the math when X=2029, Y or Annual Visits = 8,315,596</t>
  </si>
  <si>
    <t>Step 9</t>
  </si>
  <si>
    <t>8,315,596 - 5,540,100 (2019 visits) = 2,775,496 visits</t>
  </si>
  <si>
    <t>Step 10</t>
  </si>
  <si>
    <t>2,775,496 / 5,540,100 = 0.500983014 percent increase over 10 years</t>
  </si>
  <si>
    <t>Step 11</t>
  </si>
  <si>
    <t>0.500983014 / 10 years = an average of 5.0% increase per year</t>
  </si>
  <si>
    <t>Annual number of walkers</t>
  </si>
  <si>
    <t>Annual number cyclists</t>
  </si>
  <si>
    <t>Visitation by Activity</t>
  </si>
  <si>
    <t>Bike</t>
  </si>
  <si>
    <t>Hike</t>
  </si>
  <si>
    <t>Run</t>
  </si>
  <si>
    <t>Other</t>
  </si>
  <si>
    <t>Annual Visits</t>
  </si>
  <si>
    <t>Summer Visits/Day</t>
  </si>
  <si>
    <t>Winter Visits/Day</t>
  </si>
  <si>
    <t>Demographics</t>
  </si>
  <si>
    <t>GENDER</t>
  </si>
  <si>
    <t>PERCENT</t>
  </si>
  <si>
    <t>Age</t>
  </si>
  <si>
    <t>under</t>
  </si>
  <si>
    <t xml:space="preserve">on </t>
  </si>
  <si>
    <t>over</t>
  </si>
  <si>
    <t>Male</t>
  </si>
  <si>
    <t>&lt;5</t>
  </si>
  <si>
    <t>x</t>
  </si>
  <si>
    <t>Female</t>
  </si>
  <si>
    <t xml:space="preserve"> 5-9</t>
  </si>
  <si>
    <t>10-17</t>
  </si>
  <si>
    <t>AGE</t>
  </si>
  <si>
    <t>18-24</t>
  </si>
  <si>
    <t>&lt;5 Years</t>
  </si>
  <si>
    <t>25-34</t>
  </si>
  <si>
    <t>5-9 Years</t>
  </si>
  <si>
    <t>35-44</t>
  </si>
  <si>
    <t>10-12 Years</t>
  </si>
  <si>
    <t>45-59</t>
  </si>
  <si>
    <t>13-17 Years</t>
  </si>
  <si>
    <t>60-74</t>
  </si>
  <si>
    <t>18-24 Years</t>
  </si>
  <si>
    <t>75+</t>
  </si>
  <si>
    <t>25-34 Years</t>
  </si>
  <si>
    <t>Gender</t>
  </si>
  <si>
    <t>35-44 Years</t>
  </si>
  <si>
    <t>45-59 Years</t>
  </si>
  <si>
    <t>60-74 Years</t>
  </si>
  <si>
    <t>Race</t>
  </si>
  <si>
    <t>75+ Years</t>
  </si>
  <si>
    <t>White</t>
  </si>
  <si>
    <t>RACE</t>
  </si>
  <si>
    <t>Black</t>
  </si>
  <si>
    <t>needs 84.86 more ADULT Blacks per summer day</t>
  </si>
  <si>
    <t>Black or African American</t>
  </si>
  <si>
    <t>American Indian</t>
  </si>
  <si>
    <t>American Indian/Alaska Native</t>
  </si>
  <si>
    <t>Asian</t>
  </si>
  <si>
    <t>Pacific Islander</t>
  </si>
  <si>
    <t>Ethnicity</t>
  </si>
  <si>
    <t>Not Hispanic</t>
  </si>
  <si>
    <t>needs 31.49 more ADULT non-Hispanics per summer day</t>
  </si>
  <si>
    <t>Multiple</t>
  </si>
  <si>
    <t>Hispanic</t>
  </si>
  <si>
    <t xml:space="preserve">Other </t>
  </si>
  <si>
    <t>Income</t>
  </si>
  <si>
    <t>ETHNICITY</t>
  </si>
  <si>
    <t>&lt;50</t>
  </si>
  <si>
    <t>needs 148 more per summer day</t>
  </si>
  <si>
    <t>50-75</t>
  </si>
  <si>
    <t>&gt;75</t>
  </si>
  <si>
    <t>ANNUAL HOUSEHOLD INCOME</t>
  </si>
  <si>
    <t>&lt;25,000</t>
  </si>
  <si>
    <t>25,000-49,999</t>
  </si>
  <si>
    <t>50,000-74,999</t>
  </si>
  <si>
    <t>75,000-99,999</t>
  </si>
  <si>
    <t>100,000-149,999</t>
  </si>
  <si>
    <t>150,000+</t>
  </si>
  <si>
    <t>Primary Purpose</t>
  </si>
  <si>
    <t>Recreation</t>
  </si>
  <si>
    <t>Commercial Areas</t>
  </si>
  <si>
    <t>Work</t>
  </si>
  <si>
    <t>Family &amp; Friends</t>
  </si>
  <si>
    <t>Any Transportation</t>
  </si>
  <si>
    <t xml:space="preserve">Report Card </t>
  </si>
  <si>
    <t>District</t>
  </si>
  <si>
    <t>Notes</t>
  </si>
  <si>
    <t>Trail Surface</t>
  </si>
  <si>
    <t>B+</t>
  </si>
  <si>
    <t>Trail Design</t>
  </si>
  <si>
    <t>Safety of Road Crossings</t>
  </si>
  <si>
    <t>B-</t>
  </si>
  <si>
    <t>Bridges</t>
  </si>
  <si>
    <t>Sightlines at Road crossings</t>
  </si>
  <si>
    <t>Significantly different from district</t>
  </si>
  <si>
    <t>Significantly different from 2014</t>
  </si>
  <si>
    <t>Top Suggestions to Improve Trail</t>
  </si>
  <si>
    <t>Action</t>
  </si>
  <si>
    <t>Percent</t>
  </si>
  <si>
    <t>Increase drinking fountains</t>
  </si>
  <si>
    <t>Improve Safety at road crossings</t>
  </si>
  <si>
    <t>Repair trail surface</t>
  </si>
  <si>
    <t>Provide more bathrooms</t>
  </si>
  <si>
    <t>Add bike repair stations</t>
  </si>
  <si>
    <t>Top 3 Road Crossings of Concern</t>
  </si>
  <si>
    <t>Ranking</t>
  </si>
  <si>
    <t xml:space="preserve">Percent </t>
  </si>
  <si>
    <t>Douglas Drive N / County Rd 102</t>
  </si>
  <si>
    <t>32nd Ave N</t>
  </si>
  <si>
    <t>Experienced a trail Conflict</t>
  </si>
  <si>
    <t>Significantly Different</t>
  </si>
  <si>
    <t>jn</t>
  </si>
  <si>
    <t xml:space="preserve">Unsafe Road Crossings Reported </t>
  </si>
  <si>
    <t>Percent who felt safe</t>
  </si>
  <si>
    <t>*Note - Not direct comparison from 2014-2019 due to question wording</t>
  </si>
  <si>
    <t>Percent Satisfied</t>
  </si>
  <si>
    <t>Supporting Comment Themes</t>
  </si>
  <si>
    <t>Percent mentioned</t>
  </si>
  <si>
    <t>Build new trails and connecting trails</t>
  </si>
  <si>
    <t>Fix/Repair Trail</t>
  </si>
  <si>
    <t>needs 43 more per summer day</t>
  </si>
  <si>
    <t>1, 2</t>
  </si>
  <si>
    <t>NO DATA COLLECTED</t>
  </si>
  <si>
    <t>Top 5 Suggestions to Improve Trail</t>
  </si>
  <si>
    <t>1. Better snow/ice removal (14.6%)</t>
  </si>
  <si>
    <t>2. Repair trail surface (12.8%)</t>
  </si>
  <si>
    <t>3. Improve safety at road crossings (8.2%)</t>
  </si>
  <si>
    <t>4. Increase drinking fountains (7.3%)</t>
  </si>
  <si>
    <t>5. Improve trail navigation signs/maps (6.4%)</t>
  </si>
  <si>
    <t>County Road 6</t>
  </si>
  <si>
    <t>County Rd 30 / 97th Ave N</t>
  </si>
  <si>
    <t>County Road 19 - Historic Hanover Bridge</t>
  </si>
  <si>
    <t>109th Ave at County Rd 19/Crow Hassan Parkway</t>
  </si>
  <si>
    <t>County Roads 29 &amp; 19 - West side of Baker Park</t>
  </si>
  <si>
    <t>County Roads 19 &amp; 24 (in Baker Park)</t>
  </si>
  <si>
    <t>No</t>
  </si>
  <si>
    <t>Yes</t>
  </si>
  <si>
    <t>Medicine Lake</t>
  </si>
  <si>
    <t>&gt;99%</t>
  </si>
  <si>
    <t>needs 122 more per summer day</t>
  </si>
  <si>
    <t>needs 130 more per summer day</t>
  </si>
  <si>
    <t>needs 192 more per summer day</t>
  </si>
  <si>
    <t>needs 94 more ADULT Blacks per summer day</t>
  </si>
  <si>
    <t>needs 63 more ADULT Hispanics per summer day</t>
  </si>
  <si>
    <t>needs 438 more per summer day</t>
  </si>
  <si>
    <t>needs 150 more per summer day</t>
  </si>
  <si>
    <t xml:space="preserve">B </t>
  </si>
  <si>
    <t>1. Better snow/ice removal (10.1%)</t>
  </si>
  <si>
    <t>2. Repair trail surface (8.9%)</t>
  </si>
  <si>
    <t>3. Increase drinking fountains (8.3%)</t>
  </si>
  <si>
    <t>Don't include on final page (&lt;5%)</t>
  </si>
  <si>
    <t>4. Reduce unsafe bike encounters (4.8%)</t>
  </si>
  <si>
    <t>5. Improve trail navigation signs/maps (4.4%)</t>
  </si>
  <si>
    <t>Top Road Crossing of Concern</t>
  </si>
  <si>
    <t xml:space="preserve">W Fish Lake Rd </t>
  </si>
  <si>
    <t>Fernbrook Lane N, Maple Grove</t>
  </si>
  <si>
    <t>Elm Creek Blvd N</t>
  </si>
  <si>
    <t>36th Ave N, Plymouth</t>
  </si>
  <si>
    <t>Glacier Lane N, Maple Grove (North crossing)</t>
  </si>
  <si>
    <t>Medicine Lake Dr W</t>
  </si>
  <si>
    <t>Highway 169 Vicinity</t>
  </si>
  <si>
    <t>Schmidt Lake Rd, Plymouth</t>
  </si>
  <si>
    <t>42nd Place N, Plymouth</t>
  </si>
  <si>
    <t>Northwest Blvd (Co Rd 61), Plymouth</t>
  </si>
  <si>
    <t>Highway 55 (Luce Line Trail)</t>
  </si>
  <si>
    <t>Golden Valley Road</t>
  </si>
  <si>
    <t>Douglas Drive</t>
  </si>
  <si>
    <t>32nd Ave N, Plymouth</t>
  </si>
  <si>
    <t>County Rd 81, Maple Grove</t>
  </si>
  <si>
    <t>Hazelden Exit Rd (at 36th Ave N)</t>
  </si>
  <si>
    <t>RT One Pagers</t>
  </si>
  <si>
    <t>needs 97 more per summer day</t>
  </si>
  <si>
    <t>needs 53 more per summer day</t>
  </si>
  <si>
    <t>needs 212 more per summer day</t>
  </si>
  <si>
    <t>needs 51 more ADULT Blacks per summer day</t>
  </si>
  <si>
    <t>needs 54 more ADULT Asians per summer day</t>
  </si>
  <si>
    <t>needs 37 more ADULT non-Hispanics per summer day</t>
  </si>
  <si>
    <t>needs 446 more per summer day</t>
  </si>
  <si>
    <t>A-</t>
  </si>
  <si>
    <t>1. Improve safety at road crossings (13.1%)</t>
  </si>
  <si>
    <t>2. Better snow/ice removal (7.9%)</t>
  </si>
  <si>
    <t>3. Reduce unsafe bike encounters (7.8%)</t>
  </si>
  <si>
    <t>4. Increase drinking fountains (7.7%)</t>
  </si>
  <si>
    <t>France Ave S/Co Rd 17, Edina</t>
  </si>
  <si>
    <t>Vernon Ave S/Gleason Rd, Edina</t>
  </si>
  <si>
    <t>Humboldt Ave S, Richfield</t>
  </si>
  <si>
    <t>11th Ave S, Hopkins</t>
  </si>
  <si>
    <t>7th Street S, Hopkins</t>
  </si>
  <si>
    <t>Valley View Rd/Tracy Ave, Edina</t>
  </si>
  <si>
    <t>Excelsior Blvd Detour, Hopkins</t>
  </si>
  <si>
    <t>6th Street S, Hopkins</t>
  </si>
  <si>
    <t>Gallagher Drive, Edina</t>
  </si>
  <si>
    <t>70th Street W, Edina</t>
  </si>
  <si>
    <t>Unspecified</t>
  </si>
  <si>
    <t>72nd Street W, Edina</t>
  </si>
  <si>
    <t>Smetana Drive Unspecified</t>
  </si>
  <si>
    <t>Blake Road N, Hopkins</t>
  </si>
  <si>
    <t>Oliver Ave S, Richfield</t>
  </si>
  <si>
    <t>needs 50 more per summer day</t>
  </si>
  <si>
    <t>needs 35.45 more per summer day</t>
  </si>
  <si>
    <t>needs 79 more per summer day</t>
  </si>
  <si>
    <t>needs 65 more per summer day</t>
  </si>
  <si>
    <t>needs 20 more ADULT Other per summer day</t>
  </si>
  <si>
    <t>needs 9 more ADULT Hispanics per summer day</t>
  </si>
  <si>
    <t>needs 147 more per summer day</t>
  </si>
  <si>
    <t>1. Improve safety at road crossings (17.2%)</t>
  </si>
  <si>
    <t>2. Increase drinking fountains (11.6%)</t>
  </si>
  <si>
    <t>3. Increase bathroom availability (provide more, open longer) (8.3%)</t>
  </si>
  <si>
    <t>4. Repair trail surface (8.2%)</t>
  </si>
  <si>
    <t>5. Trim trees &amp; shrubs near trail (7.1%)</t>
  </si>
  <si>
    <t>Winnetka Ave N</t>
  </si>
  <si>
    <t>Zachary Lane N</t>
  </si>
  <si>
    <t>Nathan Lane N</t>
  </si>
  <si>
    <t>Valley Forge Lane N</t>
  </si>
  <si>
    <t>Boundary Creek Terrace</t>
  </si>
  <si>
    <t>Lancaster Lane N</t>
  </si>
  <si>
    <t>Noble Ave N</t>
  </si>
  <si>
    <t>Fallgold Parkway N</t>
  </si>
  <si>
    <t>Douglas Drive N</t>
  </si>
  <si>
    <t>Jefferson Hwy N</t>
  </si>
  <si>
    <t>Noble Parkway</t>
  </si>
  <si>
    <t>Noble Unspecified</t>
  </si>
  <si>
    <t>James Deane Pkwy Unspecified</t>
  </si>
  <si>
    <t>Vicksburg Lane N/W Fish Lake Rd (Bass Lake Rd)</t>
  </si>
  <si>
    <t>needs 69 more per summer day</t>
  </si>
  <si>
    <t>needs 101 more ADULT Blacks per summer day</t>
  </si>
  <si>
    <t>needs 275 more per summer day</t>
  </si>
  <si>
    <t>1. Repair trail surface (15.5%)</t>
  </si>
  <si>
    <t>2. Eliminate standing water on trail (11.3%)</t>
  </si>
  <si>
    <t>3. Improve etiquette of dog owners (pickup waste, leash dog) (9.3%)</t>
  </si>
  <si>
    <t>4. Increase bathroom availability (provide more, open longer) (7.1%)</t>
  </si>
  <si>
    <t>5. Increase drinking fountains (6.3%)</t>
  </si>
  <si>
    <t>85th Ave N</t>
  </si>
  <si>
    <t>Xerxes Ave N Undetermined</t>
  </si>
  <si>
    <t>69th Ave N</t>
  </si>
  <si>
    <t>Shingle Creek Parkway</t>
  </si>
  <si>
    <t xml:space="preserve">Noble Parkway </t>
  </si>
  <si>
    <t>Brookdale Drive N</t>
  </si>
  <si>
    <t xml:space="preserve">Fix/Repair Trail </t>
  </si>
  <si>
    <t>Percent of Visits</t>
  </si>
  <si>
    <t>Summer Visits/day</t>
  </si>
  <si>
    <t>Winter Visits/day</t>
  </si>
  <si>
    <t>needs 777 more per summer day</t>
  </si>
  <si>
    <t>needs 888 more per summer day</t>
  </si>
  <si>
    <t>&lt;1%</t>
  </si>
  <si>
    <t>needs 1,220 more per summer day</t>
  </si>
  <si>
    <t>needs 466 more per summer day</t>
  </si>
  <si>
    <t>needs 599 more per summer day</t>
  </si>
  <si>
    <t>needs 688 more per summer day</t>
  </si>
  <si>
    <t>needs 798 more ADULT Blacks per summer day</t>
  </si>
  <si>
    <t>needs 479 more ADULT Asians per summer day</t>
  </si>
  <si>
    <t>needs 3,084 more per summer day</t>
  </si>
  <si>
    <t>Top 5 Actions to Increase Use</t>
  </si>
  <si>
    <t xml:space="preserve">Better removal of snow/ice from this trail </t>
  </si>
  <si>
    <t xml:space="preserve">More trail amenities </t>
  </si>
  <si>
    <t xml:space="preserve">More local trail connections to this trail </t>
  </si>
  <si>
    <t xml:space="preserve">Fewer road crossings </t>
  </si>
  <si>
    <t xml:space="preserve">Improved access from this trail to destination </t>
  </si>
  <si>
    <t xml:space="preserve">More/Improved navigational signs/maps </t>
  </si>
  <si>
    <t xml:space="preserve">Bike repair stations </t>
  </si>
  <si>
    <t xml:space="preserve">Additional opportunities to park/store bike </t>
  </si>
  <si>
    <t xml:space="preserve">More trailheads to park vehicles </t>
  </si>
  <si>
    <t xml:space="preserve">More trail connections to mass transit </t>
  </si>
  <si>
    <t>Top Road Crossings of Concern</t>
  </si>
  <si>
    <t>Annual Visits Impacted</t>
  </si>
  <si>
    <t>Trail</t>
  </si>
  <si>
    <t>County Rd 15 / Shoreline Drive, Mound</t>
  </si>
  <si>
    <t>Dakota Rail</t>
  </si>
  <si>
    <t>County Rd 13 / Rolling Acres Rd</t>
  </si>
  <si>
    <t>Lake Minnetonka</t>
  </si>
  <si>
    <t>Rush Creek</t>
  </si>
  <si>
    <t>County Rd 19/Manitou Rd, Shorewood/Tonka Bay</t>
  </si>
  <si>
    <t>Medicine Lake Dr. W</t>
  </si>
  <si>
    <t>Luce Line</t>
  </si>
  <si>
    <t>County Rd 110 (Commerce Blvd), Mound</t>
  </si>
  <si>
    <t>Douglas Drive N/County Rd 102</t>
  </si>
  <si>
    <t>Basset Creek</t>
  </si>
  <si>
    <t>Highest ranking crossings for the trails you requested</t>
  </si>
  <si>
    <t>County Rd 6</t>
  </si>
  <si>
    <t>Lake Independence</t>
  </si>
  <si>
    <t>Hwy 169 Vicinity</t>
  </si>
  <si>
    <t>Nine Mile Creek</t>
  </si>
  <si>
    <t>Vicksburg Lane N/W Fish Lake Rd</t>
  </si>
  <si>
    <t>Shingle Creek</t>
  </si>
  <si>
    <t>Most Frequent Conflicts with Trail Users</t>
  </si>
  <si>
    <t>First Year of Beneift</t>
  </si>
  <si>
    <t>Ages 20-74</t>
  </si>
  <si>
    <t>Existing Trail Length</t>
  </si>
  <si>
    <t>Existing Trail Length (mi)</t>
  </si>
  <si>
    <t>New Trail (mi)</t>
  </si>
  <si>
    <t>Trail improvements (mi)</t>
  </si>
  <si>
    <t>Reconstruct trail (mi)</t>
  </si>
  <si>
    <t>Project:</t>
  </si>
  <si>
    <t>REGIONAL TRAILS</t>
  </si>
  <si>
    <t>Rush Creek Regional Trail</t>
  </si>
  <si>
    <t>Shingle Creek Regional Trail</t>
  </si>
  <si>
    <t xml:space="preserve">Cycling Amenities </t>
  </si>
  <si>
    <t xml:space="preserve">Walk Recreation </t>
  </si>
  <si>
    <t>cycling commute</t>
  </si>
  <si>
    <t>all walk+bike</t>
  </si>
  <si>
    <t>cycling all</t>
  </si>
  <si>
    <t>Existing Cyclists - Recreational</t>
  </si>
  <si>
    <t>Existing Cyclists - Commuter</t>
  </si>
  <si>
    <t>Existing Walkers - Recreational</t>
  </si>
  <si>
    <t>% Ages 20-74</t>
  </si>
  <si>
    <t>Impacted by Improvements/Rehab</t>
  </si>
  <si>
    <t>Induced by New Trail</t>
  </si>
  <si>
    <t>Existing trail lengths</t>
  </si>
  <si>
    <t>Construction schedule for each trail</t>
  </si>
  <si>
    <t>Age of existing trails</t>
  </si>
  <si>
    <t>Value of recreation per trip (2006$)</t>
  </si>
  <si>
    <t>Cost per Cylist for New Trail</t>
  </si>
  <si>
    <t>Cost per Cylist for Improved Trail</t>
  </si>
  <si>
    <t>Trip Length for New Trail Users</t>
  </si>
  <si>
    <t>Trip Length for Improved Trail Users</t>
  </si>
  <si>
    <t>QUALITY OF LIFE BENEFITS - Improved Trail Users</t>
  </si>
  <si>
    <t>Average Trip Length - Walkers (miles)</t>
  </si>
  <si>
    <t>Average Trip Length - Cyclists (miles)</t>
  </si>
  <si>
    <t>Walkers</t>
  </si>
  <si>
    <t>Cyclists</t>
  </si>
  <si>
    <t>Crossing improvement locations and descriptions</t>
  </si>
  <si>
    <t>spreadsheet</t>
  </si>
  <si>
    <t>requested</t>
  </si>
  <si>
    <t>most are ADA</t>
  </si>
  <si>
    <t>some marked crossings</t>
  </si>
  <si>
    <t>QUALITY OF LIFE BENEFITS - New Trail Users</t>
  </si>
  <si>
    <r>
      <t xml:space="preserve">Table 1 - Construction Costs </t>
    </r>
    <r>
      <rPr>
        <b/>
        <vertAlign val="superscript"/>
        <sz val="11"/>
        <color theme="1"/>
        <rFont val="Calibri"/>
        <family val="2"/>
        <scheme val="minor"/>
      </rPr>
      <t>1</t>
    </r>
  </si>
  <si>
    <t>Years</t>
  </si>
  <si>
    <t>Year 2022 Costs</t>
  </si>
  <si>
    <t>Year 2020 Costs</t>
  </si>
  <si>
    <t>Service Life (years)</t>
  </si>
  <si>
    <t>GDP Deflator for 2021 Q4 to 2020</t>
  </si>
  <si>
    <t>BCA Period (years)</t>
  </si>
  <si>
    <t>Base Year</t>
  </si>
  <si>
    <t>Benefit-Cost Analysis Period</t>
  </si>
  <si>
    <t>Last Year of Benefits</t>
  </si>
  <si>
    <t>REGIONAL TRAIL</t>
  </si>
  <si>
    <t>TRPD-Existing Agreement in Place</t>
  </si>
  <si>
    <t>TRPD, Existing, Local Trail, No Agreement</t>
  </si>
  <si>
    <t>TRPD- Existing Through Park Property</t>
  </si>
  <si>
    <t>Miles through other Impementing Agencies</t>
  </si>
  <si>
    <t>Total Miles in Operation</t>
  </si>
  <si>
    <t>Baker/Carver Regional Trail</t>
  </si>
  <si>
    <t>Bassett Creek Regional Trail</t>
  </si>
  <si>
    <t>-</t>
  </si>
  <si>
    <t>Bryant Lake Regional Trail</t>
  </si>
  <si>
    <t>Cedar Lake LRT Regional Trail</t>
  </si>
  <si>
    <r>
      <t>Crow River Regional Trail (for portions in Hennepin County)</t>
    </r>
    <r>
      <rPr>
        <vertAlign val="superscript"/>
        <sz val="12"/>
        <color theme="1"/>
        <rFont val="Calibri"/>
        <family val="2"/>
        <scheme val="minor"/>
      </rPr>
      <t xml:space="preserve"> </t>
    </r>
  </si>
  <si>
    <t>Crystal Lake Regional Trail</t>
  </si>
  <si>
    <t>Dakota Rail Regional Trail</t>
  </si>
  <si>
    <t>Diagonal Regional Trail</t>
  </si>
  <si>
    <t>Eagle Lake Regional Trail</t>
  </si>
  <si>
    <t>Lake Independence Regional Trail</t>
  </si>
  <si>
    <t>Lake Minnetonka LRT Regional Trail</t>
  </si>
  <si>
    <t>Luce Line Regional Trail</t>
  </si>
  <si>
    <r>
      <t>Medicine Lake Regional Trail (including extension to WMRRT)</t>
    </r>
    <r>
      <rPr>
        <vertAlign val="superscript"/>
        <sz val="12"/>
        <color theme="1"/>
        <rFont val="Calibri"/>
        <family val="2"/>
        <scheme val="minor"/>
      </rPr>
      <t xml:space="preserve"> </t>
    </r>
  </si>
  <si>
    <t>Minnesota River Bluffs LRT Regional Trail</t>
  </si>
  <si>
    <t>Nine Mile Creek Regional Trail</t>
  </si>
  <si>
    <t>Nokomis Minnesota River Regional Trail</t>
  </si>
  <si>
    <t>North Cedar Lake Regional Trail</t>
  </si>
  <si>
    <t>Twin Lakes Regional Trail</t>
  </si>
  <si>
    <t>West Mississippi River Regional Trail</t>
  </si>
  <si>
    <t>TOTALS</t>
  </si>
  <si>
    <t>Project Opening Year</t>
  </si>
  <si>
    <t>No Build Close Year</t>
  </si>
  <si>
    <t>Construction Start Year</t>
  </si>
  <si>
    <t>Construction End Year</t>
  </si>
  <si>
    <t>Opening Year</t>
  </si>
  <si>
    <t>CP Rail</t>
  </si>
  <si>
    <t>Eagle Lake</t>
  </si>
  <si>
    <t>Eagle Lake Regional Trail: Luce Line Regional Trail to Lake Minnetonka Regional Trail  </t>
  </si>
  <si>
    <t>Med Lake</t>
  </si>
  <si>
    <t>9Mi Rt</t>
  </si>
  <si>
    <t>Rush Crk</t>
  </si>
  <si>
    <t>Shingle Crk BCR</t>
  </si>
  <si>
    <t>Shingle Crk NAR</t>
  </si>
  <si>
    <t>Length</t>
  </si>
  <si>
    <t>Rehab</t>
  </si>
  <si>
    <t>Rehab = Length X Cost Per Mile</t>
  </si>
  <si>
    <t>Annual Operation = Length X Cost Per mile</t>
  </si>
  <si>
    <t>Annual Operation Cost Per Mile</t>
  </si>
  <si>
    <t xml:space="preserve">Basset </t>
  </si>
  <si>
    <t>Users</t>
  </si>
  <si>
    <t>User/Mile</t>
  </si>
  <si>
    <t>Percent Bike</t>
  </si>
  <si>
    <t>Percent Walk</t>
  </si>
  <si>
    <t>Project Average</t>
  </si>
  <si>
    <t>Project Total</t>
  </si>
  <si>
    <t>Bryant RT</t>
  </si>
  <si>
    <t>Eagle RT</t>
  </si>
  <si>
    <t>Bassett Creek</t>
  </si>
  <si>
    <t>Bryant Lake</t>
  </si>
  <si>
    <t>Shingle Creek - NAR</t>
  </si>
  <si>
    <t>Shingle Creek - BCR</t>
  </si>
  <si>
    <t>Sub Total</t>
  </si>
  <si>
    <t xml:space="preserve">Construction Year 1 </t>
  </si>
  <si>
    <t xml:space="preserve">Construction Year 2 </t>
  </si>
  <si>
    <t>Total Subproject cost per Constr. Year</t>
  </si>
  <si>
    <t>2020 SubProject Cost</t>
  </si>
  <si>
    <t>Shingle Creek -NAR</t>
  </si>
  <si>
    <t>Year of Construction</t>
  </si>
  <si>
    <t>Project Cost</t>
  </si>
  <si>
    <t>Remaining Cost</t>
  </si>
  <si>
    <t>Project</t>
  </si>
  <si>
    <t>State of Good Repair</t>
  </si>
  <si>
    <t>CO2 Savings Estimations</t>
  </si>
  <si>
    <t>Other Emissions Cost Savings</t>
  </si>
  <si>
    <t>Total (CO2 + Other Emissions)</t>
  </si>
  <si>
    <r>
      <t>Change in C02</t>
    </r>
    <r>
      <rPr>
        <vertAlign val="superscript"/>
        <sz val="9"/>
        <color theme="1"/>
        <rFont val="Calibri"/>
        <family val="2"/>
        <scheme val="minor"/>
      </rPr>
      <t>3</t>
    </r>
    <r>
      <rPr>
        <sz val="9"/>
        <color theme="1"/>
        <rFont val="Calibri"/>
        <family val="2"/>
        <scheme val="minor"/>
      </rPr>
      <t xml:space="preserve"> (metric tons)</t>
    </r>
  </si>
  <si>
    <r>
      <t xml:space="preserve">Yearly Carbon Emissions Savings in Current Dollars ($) </t>
    </r>
    <r>
      <rPr>
        <vertAlign val="superscript"/>
        <sz val="9"/>
        <color theme="1"/>
        <rFont val="Calibri"/>
        <family val="2"/>
        <scheme val="minor"/>
      </rPr>
      <t>2</t>
    </r>
  </si>
  <si>
    <t>Yearly Carbon Emissions Savings
(3% Discount)</t>
  </si>
  <si>
    <t>Change in Annual Network VMT</t>
  </si>
  <si>
    <r>
      <t>Change in NOx 
(metric tons)</t>
    </r>
    <r>
      <rPr>
        <vertAlign val="superscript"/>
        <sz val="9"/>
        <color theme="1"/>
        <rFont val="Calibri"/>
        <family val="2"/>
        <scheme val="minor"/>
      </rPr>
      <t>1</t>
    </r>
  </si>
  <si>
    <r>
      <t>Change in SO2
(metric tons)</t>
    </r>
    <r>
      <rPr>
        <vertAlign val="superscript"/>
        <sz val="9"/>
        <color theme="1"/>
        <rFont val="Calibri"/>
        <family val="2"/>
        <scheme val="minor"/>
      </rPr>
      <t>1</t>
    </r>
  </si>
  <si>
    <r>
      <t>Change in PM
(metric tons)</t>
    </r>
    <r>
      <rPr>
        <vertAlign val="superscript"/>
        <sz val="9"/>
        <color theme="1"/>
        <rFont val="Calibri"/>
        <family val="2"/>
        <scheme val="minor"/>
      </rPr>
      <t>1</t>
    </r>
  </si>
  <si>
    <t>Change in NOx 
($)(2)</t>
  </si>
  <si>
    <r>
      <t>Change in SO2
($)</t>
    </r>
    <r>
      <rPr>
        <vertAlign val="superscript"/>
        <sz val="9"/>
        <color theme="1"/>
        <rFont val="Calibri"/>
        <family val="2"/>
        <scheme val="minor"/>
      </rPr>
      <t>(2)</t>
    </r>
  </si>
  <si>
    <r>
      <t>Change in PM
($)</t>
    </r>
    <r>
      <rPr>
        <vertAlign val="superscript"/>
        <sz val="9"/>
        <color theme="1"/>
        <rFont val="Calibri"/>
        <family val="2"/>
        <scheme val="minor"/>
      </rPr>
      <t>(2)</t>
    </r>
  </si>
  <si>
    <r>
      <t xml:space="preserve">Yearly Emissions Savings in Current Dollars Non-CO2 Emissions ($) </t>
    </r>
    <r>
      <rPr>
        <vertAlign val="superscript"/>
        <sz val="9"/>
        <color theme="1"/>
        <rFont val="Calibri"/>
        <family val="2"/>
        <scheme val="minor"/>
      </rPr>
      <t>(2)</t>
    </r>
  </si>
  <si>
    <t xml:space="preserve"> 7% Discounted</t>
  </si>
  <si>
    <r>
      <t xml:space="preserve">Table 1 - Pollution Emission by Mode (g/VMT) </t>
    </r>
    <r>
      <rPr>
        <b/>
        <vertAlign val="superscript"/>
        <sz val="11"/>
        <color theme="1"/>
        <rFont val="Calibri"/>
        <family val="2"/>
        <scheme val="minor"/>
      </rPr>
      <t>(1)</t>
    </r>
  </si>
  <si>
    <t>MOVES Model Output (grams per VMT)</t>
  </si>
  <si>
    <t>NOX</t>
  </si>
  <si>
    <t>SO2</t>
  </si>
  <si>
    <t>PM2.5</t>
  </si>
  <si>
    <t>CO2</t>
  </si>
  <si>
    <t>Source Type</t>
  </si>
  <si>
    <t>HPMS Description</t>
  </si>
  <si>
    <t>Auto/Truck</t>
  </si>
  <si>
    <t>Motorcycle</t>
  </si>
  <si>
    <t>Auto</t>
  </si>
  <si>
    <t>Light-Duty Vehicle</t>
  </si>
  <si>
    <r>
      <t xml:space="preserve">Table 2 - Damage Costs for Emissions per metric ton </t>
    </r>
    <r>
      <rPr>
        <b/>
        <vertAlign val="superscript"/>
        <sz val="11"/>
        <color theme="1"/>
        <rFont val="Calibri"/>
        <family val="2"/>
        <scheme val="minor"/>
      </rPr>
      <t>(2)</t>
    </r>
  </si>
  <si>
    <t>Buses</t>
  </si>
  <si>
    <t>Truck</t>
  </si>
  <si>
    <t>Single-Unit Truck</t>
  </si>
  <si>
    <t>Combination Truck</t>
  </si>
  <si>
    <t>Average emission rates per vehicle type were obtained from the Environmental Protection Agency’s Motor Vehicle Emission Simulator (MOVES) version 3. The change in VMT between No Build and Build conditions was obtained from the microsimulation model and applied to emission rates by vehicle type. Similar adjustments to estimate daily VMT from the peak hour analyses discussed in the Operation Benefits section were applied in the Air Quality analysis.</t>
  </si>
  <si>
    <t>The value of emissions costs were obtained from the Benefit Cost Analysis Guidance for Discretionary Grant Programs, dated March 2022 (Revised) .  The analysis was completed using an assumed discount rate of seven percent. https://www.transportation.gov/sites/dot.gov/files/2022-03/Benefit%20Cost%20Analysis%20Guidance%202022%20%28Revised%29.pdf</t>
  </si>
  <si>
    <t xml:space="preserve">Annual VMT is expected to be impacted by realignment of US 169 and construction of an interchange and frontage road system. The change in VMT between No Build and Build conditions was obtained from the microsimulation model and applied to emission rates by vehicle type. </t>
  </si>
  <si>
    <t>Table 3 - Emissions Summary</t>
  </si>
  <si>
    <t>Change in CO2 (metric tons)</t>
  </si>
  <si>
    <t>Change in NOx (kg)</t>
  </si>
  <si>
    <t>Change in SO2 (kg)</t>
  </si>
  <si>
    <t>Change in PM (kg)</t>
  </si>
  <si>
    <t>Base Cost Year</t>
  </si>
  <si>
    <t>Difference in VMT</t>
  </si>
  <si>
    <t>Environmental Sustainability</t>
  </si>
  <si>
    <t>Economic Competitiveness</t>
  </si>
  <si>
    <r>
      <t>Air quality (no CO</t>
    </r>
    <r>
      <rPr>
        <vertAlign val="subscript"/>
        <sz val="9"/>
        <color theme="1"/>
        <rFont val="Calibri"/>
        <family val="2"/>
        <scheme val="minor"/>
      </rPr>
      <t>2</t>
    </r>
    <r>
      <rPr>
        <sz val="9"/>
        <color theme="1"/>
        <rFont val="Calibri"/>
        <family val="2"/>
        <scheme val="minor"/>
      </rPr>
      <t>)</t>
    </r>
  </si>
  <si>
    <r>
      <t>CO</t>
    </r>
    <r>
      <rPr>
        <vertAlign val="subscript"/>
        <sz val="9"/>
        <color theme="1"/>
        <rFont val="Calibri"/>
        <family val="2"/>
        <scheme val="minor"/>
      </rPr>
      <t>2</t>
    </r>
    <r>
      <rPr>
        <sz val="9"/>
        <color theme="1"/>
        <rFont val="Calibri"/>
        <family val="2"/>
        <scheme val="minor"/>
      </rPr>
      <t xml:space="preserve"> Discounted at 3%</t>
    </r>
  </si>
  <si>
    <t>Microsurfacing Cost Per Mile</t>
  </si>
  <si>
    <t>NPV</t>
  </si>
  <si>
    <t xml:space="preserve"> Convert 2006$ to 2020$</t>
  </si>
  <si>
    <t xml:space="preserve"> Convert 2000$ to 2020$</t>
  </si>
  <si>
    <t>Results</t>
  </si>
  <si>
    <t>Table 2 - Cost By Project</t>
  </si>
  <si>
    <t>Table 1 - Project Specifications</t>
  </si>
  <si>
    <t>Table 3 - Existing Usage</t>
  </si>
  <si>
    <t>Table 4 - New Trail Usage</t>
  </si>
  <si>
    <t>Table 5 - Improved Trail Usage</t>
  </si>
  <si>
    <t>Table 6 - Mobility Benefit Calculations</t>
  </si>
  <si>
    <t>Table 12 - Walking Assumptions</t>
  </si>
  <si>
    <t>2010 to 2019 Trail Usership Growth Rate for Three Rivers Park District was calculated to 5% per year. A less aggressive, more conservative, 2% per year growth rate was used for future user estimations.</t>
  </si>
  <si>
    <t>Annual maintenance costs were computed by determining the net lane-miles added to the network under the Build Alternative compared to the No Build. A value of $6,080 per trail mile and $26,000 per trail mile was applied in calculating the yearly operation and maintenance cost and rehabilitiation costs, respectively. Rehabilitiation was assumed to occur every 7 years post construction.</t>
  </si>
  <si>
    <t>Table 1 - Per-mile Operating Cost by Mode</t>
  </si>
  <si>
    <t>Table 2 - Fleet Composition</t>
  </si>
  <si>
    <t>Vehicle operational cost savings were determined based on the estimated reduction in VMT. Costs per mile were valued in accordance with the Benefit-Cost Analysis Guidance for Discretionary Grant Programs - March 2022. The recommended values for operating costs were provided in year 2020 dollars.</t>
  </si>
  <si>
    <t>Last Year Built</t>
  </si>
  <si>
    <t xml:space="preserve">Residual capital value (RCV) was calculated for those capital purchases with lifetimes extending beyond the study period. </t>
  </si>
  <si>
    <t>Table 1 - Base Assumptions</t>
  </si>
  <si>
    <t>Rehab Schedule</t>
  </si>
  <si>
    <t>Project Length (mi)</t>
  </si>
  <si>
    <t>Length of grade seperated trail (mi)</t>
  </si>
  <si>
    <t>Total of New + Reconstructed Trail</t>
  </si>
  <si>
    <t>Last Construction Year</t>
  </si>
  <si>
    <t>Vehicle Operating Cost Savings</t>
  </si>
  <si>
    <t>Remaining Life at end of BCA Period  (yrs)</t>
  </si>
  <si>
    <t>Inflation rates were obtained from the Benefit Cost Analysis Guidance for Discretionary Grant Programs, dated March 2022 (Revised); Table A-7: Inflation Adjusmtnet Values; https://www.transportation.gov/sites/dot.gov/files/2022-03/Benefit%20Cost%20Analysis%20Guidance%202022%20%28Revised%29.pdf  Additional inflation rates not provided in the USDOT guidance were obtained from Implicit Price Deflators for Gross Domestic Product (Bureau of Economic Analysis)</t>
  </si>
  <si>
    <t>CP Rail Regional Trail</t>
  </si>
  <si>
    <t>Medicine Lake Regional Trail</t>
  </si>
  <si>
    <t>Construct New Trail</t>
  </si>
  <si>
    <t>Reconstruct Existing Trail</t>
  </si>
  <si>
    <t>Improve Existing Trail</t>
  </si>
  <si>
    <t>Improved Crossings</t>
  </si>
  <si>
    <t>Shingle Creek Regional Trail - Noble Avenue</t>
  </si>
  <si>
    <t>Shingle Creek Regional Trail - Brooklyn Center</t>
  </si>
  <si>
    <t xml:space="preserve">Willingness to travel (minutes) </t>
  </si>
  <si>
    <t>Value of time (2018 Dollars per minute)</t>
  </si>
  <si>
    <t xml:space="preserve">Mobility adjustment factor </t>
  </si>
  <si>
    <t xml:space="preserve">Table 7 - Health Savings Calculations </t>
  </si>
  <si>
    <t xml:space="preserve">Table 8 - Recreation Benefit Calculations </t>
  </si>
  <si>
    <t xml:space="preserve">Table 9 - Amenity Benefit Calculations </t>
  </si>
  <si>
    <t xml:space="preserve">Table 10 - Reduced Auto Use (Congestion) Benefit Calculations </t>
  </si>
  <si>
    <t xml:space="preserve">Table 11 - Inflation Factor </t>
  </si>
  <si>
    <t>Usership growth rate</t>
  </si>
  <si>
    <t>Total Project Length</t>
  </si>
  <si>
    <t>To determine existing user demand, demographic data for the Three Rivers Park District trails was collected and organized to determine the number of existing annual visits, percentage of cyclists, and percentage of hikers/walkers/runners.  In addition, the data provided information on trip purpose, such as the percentage of users who commute to work via the trails. To obtain estimates of project impacts on the trail usage, users per mile of existing trail was calculated using the count and survey data. Some trails did not have more detailed demographic data available. In these instances, the total district trail data was used to determine an average number of users per mile of trail. District values were verified to be reasonable by comparing the total district users per mile to the individual trail users per mile where available, as demonstrated in the “Users per Mile” tab in the workbook.</t>
  </si>
  <si>
    <t>Existing users per mile were applied to the new trail construction length and trail reconstruction length of each project to determine the number of new users induced to the facility and the number of existing users impacted, respectively. Benefits to existing users were only quantified for years in which the existing trail would be closed if maintenance and rehabilitation assumed in the Build Alternative would not occur. Benefits for new trail users were quantified once the new trail is expected to be operational. Furthermore, users were broken down by mode (walkers or cyclists) and purpose (recreational or commuting) based on the survey data.</t>
  </si>
  <si>
    <t>6)</t>
  </si>
  <si>
    <t>Existing usership derived from Three Rivers Park Bassett Creek Demographic Trail Data, as shown in gray tab towards the end of the workbook.</t>
  </si>
  <si>
    <t>Existing usership derived from Three Rivers Park District Demographic Trail Data, as shown in gray tab towards the end of the workbook.</t>
  </si>
  <si>
    <t>Existing usership derived from Three Rivers Park Medicine Lake Demographic Trail Data, as shown in gray tab towards the end of the workbook.</t>
  </si>
  <si>
    <t>Existing usership derived from Three Rivers Park Nine Mile Creek Demographic Trail Data, as shown in gray tab towards the end of the workbook.</t>
  </si>
  <si>
    <t>Existing usership derived from Three Rivers Park Rush Creek Demographic Trail Data, as shown in gray tab towards the end of the workbook.</t>
  </si>
  <si>
    <t>Existing usership derived from Three Rivers Park Shingle Creek Demographic Trail Data, as shown in gray tab towards the end of the workbook.</t>
  </si>
  <si>
    <t xml:space="preserve">Health and amenity benefit calculations were based on guidance from the Benefit Cost Analysis Guidance for Discretionary Grant Programs, dated March 2022 (Revised); Table A-12: Mortality Reduction Benefits of Induced Active Transportation Values : https://www.transportation.gov/sites/dot.gov/files/2022-03/Benefit%20Cost%20Analysis%20Guidance%202022%20%28Revised%29.pdf </t>
  </si>
  <si>
    <t xml:space="preserve">Recreation benefits and cycling benefits for mobility and reduced auto congestion were based on a methodology described in the National Cooperative Highway Research Program's (NCHRP) Report 552: Guidelines for Analysis of Investments in Bicycle Facilities (2006). (http://onlinepubs.trb.org/onlinepubs/nchrp/nchrp_rpt_552.pdf). </t>
  </si>
  <si>
    <t>7)</t>
  </si>
  <si>
    <t>RAISE 2022 BCA SUMMARY - Three Rivers Park District Regional Trail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</si>
</sst>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 ;\(&quot;$&quot;#,##0\)"/>
    <numFmt numFmtId="167" formatCode="_(* #,##0_);_(* \(#,##0\);_(* &quot;-&quot;??_);_(@_)"/>
    <numFmt numFmtId="168" formatCode="0.0%"/>
    <numFmt numFmtId="169" formatCode="&quot;$&quot;#,##0.00"/>
    <numFmt numFmtId="170" formatCode="0.000"/>
    <numFmt numFmtId="171" formatCode="_(* #,##0.0_);_(* \(#,##0.0\);_(* &quot;-&quot;??_);_(@_)"/>
    <numFmt numFmtId="172" formatCode="_(&quot;$&quot;* #,##0.000_);_(&quot;$&quot;* \(#,##0.000\);_(&quot;$&quot;* &quot;-&quot;??_);_(@_)"/>
    <numFmt numFmtId="173" formatCode="0.0"/>
    <numFmt numFmtId="174" formatCode="#,##0.000"/>
    <numFmt numFmtId="175" formatCode="0.0000"/>
    <numFmt numFmtId="176" formatCode="&quot;$&quot;#,##0.0"/>
  </numFmts>
  <fonts count="53"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vertAlign val="superscript"/>
      <sz val="9"/>
      <color theme="1"/>
      <name val="Calibri"/>
      <family val="2"/>
      <scheme val="minor"/>
    </font>
    <font>
      <sz val="11"/>
      <name val="Calibri"/>
      <family val="2"/>
      <scheme val="minor"/>
    </font>
    <font>
      <sz val="10"/>
      <name val="Arial"/>
      <family val="2"/>
    </font>
    <font>
      <b/>
      <sz val="9"/>
      <name val="Calibri"/>
      <family val="2"/>
      <scheme val="minor"/>
    </font>
    <font>
      <sz val="9"/>
      <name val="Calibri"/>
      <family val="2"/>
      <scheme val="minor"/>
    </font>
    <font>
      <b/>
      <sz val="12"/>
      <color theme="1"/>
      <name val="Calibri"/>
      <family val="2"/>
      <scheme val="minor"/>
    </font>
    <font>
      <sz val="11"/>
      <color theme="0" tint="-0.249977111117893"/>
      <name val="Calibri"/>
      <family val="2"/>
      <scheme val="minor"/>
    </font>
    <font>
      <sz val="9"/>
      <color theme="0" tint="-0.249977111117893"/>
      <name val="Calibri"/>
      <family val="2"/>
      <scheme val="minor"/>
    </font>
    <font>
      <sz val="11"/>
      <name val="Arial Narrow"/>
      <family val="2"/>
    </font>
    <font>
      <b/>
      <sz val="11"/>
      <name val="Calibri"/>
      <family val="2"/>
      <scheme val="minor"/>
    </font>
    <font>
      <b/>
      <sz val="18"/>
      <color theme="1"/>
      <name val="Calibri"/>
      <family val="2"/>
      <scheme val="minor"/>
    </font>
    <font>
      <b/>
      <vertAlign val="superscript"/>
      <sz val="11"/>
      <color theme="1"/>
      <name val="Calibri"/>
      <family val="2"/>
      <scheme val="minor"/>
    </font>
    <font>
      <sz val="11"/>
      <color indexed="8"/>
      <name val="Calibri"/>
      <family val="2"/>
      <scheme val="minor"/>
    </font>
    <font>
      <b/>
      <i/>
      <sz val="11"/>
      <color theme="1"/>
      <name val="Calibri"/>
      <family val="2"/>
      <scheme val="minor"/>
    </font>
    <font>
      <sz val="9"/>
      <color rgb="FF0070C0"/>
      <name val="Calibri"/>
      <family val="2"/>
      <scheme val="minor"/>
    </font>
    <font>
      <b/>
      <sz val="16"/>
      <color theme="1"/>
      <name val="Calibri"/>
      <family val="2"/>
      <scheme val="minor"/>
    </font>
    <font>
      <u/>
      <sz val="11"/>
      <color theme="10"/>
      <name val="Calibri"/>
      <family val="2"/>
      <scheme val="minor"/>
    </font>
    <font>
      <sz val="11"/>
      <color rgb="FFFF0000"/>
      <name val="Calibri"/>
      <family val="2"/>
      <scheme val="minor"/>
    </font>
    <font>
      <sz val="11"/>
      <color theme="1"/>
      <name val="Calibri"/>
      <family val="2"/>
    </font>
    <font>
      <vertAlign val="superscript"/>
      <sz val="11"/>
      <color theme="1"/>
      <name val="Calibri"/>
      <family val="2"/>
      <scheme val="minor"/>
    </font>
    <font>
      <sz val="10"/>
      <color theme="1"/>
      <name val="Calibri"/>
      <family val="2"/>
      <scheme val="minor"/>
    </font>
    <font>
      <i/>
      <sz val="11"/>
      <color theme="0" tint="-0.499984740745262"/>
      <name val="Calibri"/>
      <family val="2"/>
      <scheme val="minor"/>
    </font>
    <font>
      <i/>
      <sz val="9.35"/>
      <color theme="0" tint="-0.499984740745262"/>
      <name val="Calibri"/>
      <family val="2"/>
    </font>
    <font>
      <b/>
      <sz val="11"/>
      <color rgb="FF000000"/>
      <name val="Calibri"/>
      <family val="2"/>
    </font>
    <font>
      <sz val="11"/>
      <color rgb="FF000000"/>
      <name val="Calibri"/>
      <family val="2"/>
    </font>
    <font>
      <vertAlign val="superscript"/>
      <sz val="8.5"/>
      <color rgb="FF000000"/>
      <name val="Calibri"/>
      <family val="2"/>
    </font>
    <font>
      <sz val="10"/>
      <name val="Arial"/>
      <family val="2"/>
    </font>
    <font>
      <b/>
      <sz val="14"/>
      <name val="Arial"/>
      <family val="2"/>
    </font>
    <font>
      <sz val="14"/>
      <name val="Arial"/>
      <family val="2"/>
    </font>
    <font>
      <b/>
      <sz val="16"/>
      <color rgb="FFFF0000"/>
      <name val="Arial"/>
      <family val="2"/>
    </font>
    <font>
      <b/>
      <sz val="12"/>
      <name val="Arial"/>
      <family val="2"/>
    </font>
    <font>
      <sz val="12"/>
      <name val="Arial"/>
      <family val="2"/>
    </font>
    <font>
      <b/>
      <sz val="9"/>
      <color rgb="FFFF0000"/>
      <name val="Calibri"/>
      <family val="2"/>
      <scheme val="minor"/>
    </font>
    <font>
      <sz val="10"/>
      <color theme="1"/>
      <name val="Arial"/>
      <family val="2"/>
    </font>
    <font>
      <b/>
      <sz val="9"/>
      <color indexed="81"/>
      <name val="Tahoma"/>
      <family val="2"/>
    </font>
    <font>
      <sz val="9"/>
      <color indexed="81"/>
      <name val="Tahoma"/>
      <family val="2"/>
    </font>
    <font>
      <sz val="10"/>
      <color rgb="FF000000"/>
      <name val="Verdana"/>
      <family val="2"/>
    </font>
    <font>
      <b/>
      <sz val="10"/>
      <color rgb="FF000000"/>
      <name val="Verdana"/>
      <family val="2"/>
    </font>
    <font>
      <b/>
      <sz val="10"/>
      <color rgb="FF0309ED"/>
      <name val="Verdana"/>
      <family val="2"/>
    </font>
    <font>
      <sz val="12"/>
      <color theme="1"/>
      <name val="Calibri"/>
      <family val="2"/>
      <scheme val="minor"/>
    </font>
    <font>
      <vertAlign val="superscript"/>
      <sz val="12"/>
      <color theme="1"/>
      <name val="Calibri"/>
      <family val="2"/>
      <scheme val="minor"/>
    </font>
    <font>
      <sz val="9"/>
      <color rgb="FFFF0000"/>
      <name val="Calibri"/>
      <family val="2"/>
      <scheme val="minor"/>
    </font>
    <font>
      <sz val="11"/>
      <color theme="0" tint="-0.14999847407452621"/>
      <name val="Calibri"/>
      <family val="2"/>
      <scheme val="minor"/>
    </font>
    <font>
      <sz val="8"/>
      <name val="Calibri"/>
      <family val="2"/>
      <scheme val="minor"/>
    </font>
    <font>
      <vertAlign val="subscript"/>
      <sz val="9"/>
      <color theme="1"/>
      <name val="Calibri"/>
      <family val="2"/>
      <scheme val="minor"/>
    </font>
    <font>
      <b/>
      <sz val="11"/>
      <color indexed="8"/>
      <name val="Calibri"/>
      <family val="2"/>
      <scheme val="minor"/>
    </font>
    <font>
      <sz val="10"/>
      <name val="Verdana"/>
      <family val="2"/>
    </font>
    <font>
      <u/>
      <sz val="11"/>
      <color theme="1"/>
      <name val="Calibri"/>
      <family val="2"/>
      <scheme val="minor"/>
    </font>
  </fonts>
  <fills count="2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2EFD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D9D9D9"/>
        <bgColor indexed="64"/>
      </patternFill>
    </fill>
    <fill>
      <patternFill patternType="solid">
        <fgColor rgb="FF92D050"/>
        <bgColor indexed="64"/>
      </patternFill>
    </fill>
    <fill>
      <patternFill patternType="solid">
        <fgColor rgb="FFBDD7EE"/>
        <bgColor indexed="64"/>
      </patternFill>
    </fill>
    <fill>
      <patternFill patternType="solid">
        <fgColor theme="4" tint="0.79998168889431442"/>
        <bgColor indexed="65"/>
      </patternFill>
    </fill>
    <fill>
      <patternFill patternType="solid">
        <fgColor rgb="FFBDD6EE"/>
        <bgColor indexed="64"/>
      </patternFill>
    </fill>
    <fill>
      <patternFill patternType="solid">
        <fgColor rgb="FFDEEAF6"/>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auto="1"/>
      </right>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rgb="FF808080"/>
      </left>
      <right style="dotted">
        <color rgb="FF808080"/>
      </right>
      <top style="dotted">
        <color rgb="FF808080"/>
      </top>
      <bottom/>
      <diagonal/>
    </border>
    <border>
      <left style="dotted">
        <color rgb="FF808080"/>
      </left>
      <right style="dotted">
        <color rgb="FF808080"/>
      </right>
      <top/>
      <bottom style="dotted">
        <color rgb="FF808080"/>
      </bottom>
      <diagonal/>
    </border>
    <border>
      <left/>
      <right style="dotted">
        <color rgb="FF808080"/>
      </right>
      <top style="dotted">
        <color rgb="FF808080"/>
      </top>
      <bottom/>
      <diagonal/>
    </border>
    <border>
      <left/>
      <right style="dotted">
        <color rgb="FF808080"/>
      </right>
      <top/>
      <bottom style="dotted">
        <color rgb="FF808080"/>
      </bottom>
      <diagonal/>
    </border>
    <border>
      <left style="dotted">
        <color rgb="FF808080"/>
      </left>
      <right style="dotted">
        <color rgb="FF808080"/>
      </right>
      <top/>
      <bottom/>
      <diagonal/>
    </border>
    <border>
      <left/>
      <right style="dotted">
        <color rgb="FF808080"/>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style="dotted">
        <color rgb="FF808080"/>
      </left>
      <right/>
      <top/>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1">
    <xf numFmtId="0" fontId="0" fillId="0" borderId="0"/>
    <xf numFmtId="44"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3" fontId="7" fillId="0" borderId="0" applyFont="0" applyFill="0" applyBorder="0" applyAlignment="0" applyProtection="0"/>
    <xf numFmtId="166"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1" fillId="0" borderId="0"/>
    <xf numFmtId="0" fontId="13"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7" fillId="0" borderId="0"/>
    <xf numFmtId="0" fontId="21" fillId="0" borderId="0" applyNumberFormat="0" applyFill="0" applyBorder="0" applyAlignment="0" applyProtection="0"/>
    <xf numFmtId="0" fontId="31" fillId="0" borderId="0"/>
    <xf numFmtId="0" fontId="1" fillId="15" borderId="0" applyNumberFormat="0" applyBorder="0" applyAlignment="0" applyProtection="0"/>
  </cellStyleXfs>
  <cellXfs count="789">
    <xf numFmtId="0" fontId="0" fillId="0" borderId="0" xfId="0"/>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xf numFmtId="164" fontId="2" fillId="0" borderId="0" xfId="0" applyNumberFormat="1" applyFont="1" applyAlignment="1">
      <alignment horizontal="center"/>
    </xf>
    <xf numFmtId="164" fontId="2" fillId="0" borderId="20" xfId="0" applyNumberFormat="1" applyFont="1" applyBorder="1" applyAlignment="1">
      <alignment horizontal="center"/>
    </xf>
    <xf numFmtId="164" fontId="2" fillId="0" borderId="21" xfId="0" applyNumberFormat="1" applyFont="1" applyBorder="1" applyAlignment="1">
      <alignment horizontal="center"/>
    </xf>
    <xf numFmtId="0" fontId="4" fillId="0" borderId="0" xfId="0" applyFont="1"/>
    <xf numFmtId="0" fontId="0" fillId="0" borderId="0" xfId="0" applyAlignment="1">
      <alignment horizontal="right"/>
    </xf>
    <xf numFmtId="164" fontId="2" fillId="0" borderId="0" xfId="0" applyNumberFormat="1" applyFont="1" applyBorder="1" applyAlignment="1">
      <alignment horizontal="center"/>
    </xf>
    <xf numFmtId="164" fontId="2" fillId="0" borderId="8" xfId="0" applyNumberFormat="1" applyFont="1" applyBorder="1" applyAlignment="1">
      <alignment horizontal="center"/>
    </xf>
    <xf numFmtId="165" fontId="2" fillId="0" borderId="0" xfId="0" applyNumberFormat="1" applyFont="1"/>
    <xf numFmtId="165" fontId="2" fillId="0" borderId="0" xfId="0" applyNumberFormat="1" applyFont="1" applyBorder="1" applyAlignment="1">
      <alignment horizontal="center"/>
    </xf>
    <xf numFmtId="0" fontId="0" fillId="0" borderId="0" xfId="0" applyAlignment="1"/>
    <xf numFmtId="0" fontId="2" fillId="0" borderId="0" xfId="0" applyFont="1" applyBorder="1" applyAlignment="1">
      <alignment horizontal="center"/>
    </xf>
    <xf numFmtId="1" fontId="2" fillId="0" borderId="0" xfId="0" applyNumberFormat="1" applyFont="1" applyBorder="1" applyAlignment="1">
      <alignment horizontal="center"/>
    </xf>
    <xf numFmtId="164" fontId="2" fillId="0" borderId="42" xfId="0" applyNumberFormat="1" applyFont="1" applyBorder="1" applyAlignment="1">
      <alignment horizontal="center"/>
    </xf>
    <xf numFmtId="164" fontId="2" fillId="0" borderId="38" xfId="0" applyNumberFormat="1" applyFont="1" applyBorder="1" applyAlignment="1">
      <alignment horizontal="center"/>
    </xf>
    <xf numFmtId="0" fontId="10" fillId="0" borderId="0" xfId="0" applyFont="1" applyBorder="1" applyAlignment="1">
      <alignment horizontal="center"/>
    </xf>
    <xf numFmtId="0" fontId="11" fillId="0" borderId="0" xfId="0" applyFont="1"/>
    <xf numFmtId="164" fontId="12" fillId="0" borderId="0" xfId="0" applyNumberFormat="1" applyFont="1" applyFill="1" applyBorder="1" applyAlignment="1">
      <alignment horizontal="center"/>
    </xf>
    <xf numFmtId="0" fontId="0" fillId="0" borderId="43" xfId="0" applyBorder="1"/>
    <xf numFmtId="0" fontId="4" fillId="2" borderId="47" xfId="0" applyFont="1" applyFill="1" applyBorder="1"/>
    <xf numFmtId="0" fontId="4" fillId="2" borderId="46" xfId="0" applyFont="1" applyFill="1" applyBorder="1"/>
    <xf numFmtId="0" fontId="0" fillId="0" borderId="0" xfId="0" applyFill="1"/>
    <xf numFmtId="0" fontId="0" fillId="0" borderId="0" xfId="0" applyFill="1" applyAlignment="1"/>
    <xf numFmtId="0" fontId="4" fillId="0" borderId="0" xfId="0" applyFont="1" applyFill="1"/>
    <xf numFmtId="0" fontId="0" fillId="0" borderId="0" xfId="0" applyFill="1" applyBorder="1"/>
    <xf numFmtId="0" fontId="0" fillId="0" borderId="0" xfId="0" applyFill="1" applyBorder="1" applyAlignment="1">
      <alignment horizontal="center"/>
    </xf>
    <xf numFmtId="0" fontId="0" fillId="0" borderId="0" xfId="0" applyBorder="1"/>
    <xf numFmtId="0" fontId="0" fillId="0" borderId="0" xfId="0" applyAlignment="1">
      <alignment vertical="top" wrapText="1"/>
    </xf>
    <xf numFmtId="0" fontId="4" fillId="0" borderId="0" xfId="0" applyFont="1" applyBorder="1"/>
    <xf numFmtId="0" fontId="0" fillId="0" borderId="29" xfId="0" applyFont="1" applyFill="1" applyBorder="1" applyAlignment="1">
      <alignment horizontal="center"/>
    </xf>
    <xf numFmtId="0" fontId="0" fillId="0" borderId="0" xfId="0" applyBorder="1" applyAlignment="1">
      <alignment horizontal="center"/>
    </xf>
    <xf numFmtId="0" fontId="15" fillId="0" borderId="0" xfId="0" applyFont="1"/>
    <xf numFmtId="165" fontId="0" fillId="0" borderId="0" xfId="1" applyNumberFormat="1" applyFont="1"/>
    <xf numFmtId="0" fontId="0" fillId="0" borderId="35" xfId="0" applyBorder="1"/>
    <xf numFmtId="0" fontId="0" fillId="0" borderId="37" xfId="0" applyBorder="1"/>
    <xf numFmtId="0" fontId="0" fillId="0" borderId="42" xfId="0" applyBorder="1"/>
    <xf numFmtId="167" fontId="4" fillId="0" borderId="0" xfId="15" applyNumberFormat="1" applyFont="1"/>
    <xf numFmtId="164" fontId="3" fillId="0" borderId="4" xfId="0" applyNumberFormat="1" applyFont="1" applyBorder="1" applyAlignment="1"/>
    <xf numFmtId="0" fontId="10" fillId="0" borderId="0" xfId="0" applyFont="1" applyAlignment="1">
      <alignment horizontal="left"/>
    </xf>
    <xf numFmtId="0" fontId="10" fillId="0" borderId="0" xfId="0" applyFont="1" applyBorder="1" applyAlignment="1">
      <alignment horizontal="left"/>
    </xf>
    <xf numFmtId="9" fontId="4" fillId="2" borderId="55" xfId="0" applyNumberFormat="1" applyFont="1" applyFill="1" applyBorder="1" applyAlignment="1">
      <alignment horizontal="center"/>
    </xf>
    <xf numFmtId="164" fontId="0" fillId="0" borderId="31" xfId="0" applyNumberFormat="1" applyBorder="1" applyAlignment="1">
      <alignment horizontal="center"/>
    </xf>
    <xf numFmtId="164" fontId="0" fillId="0" borderId="56" xfId="0" applyNumberFormat="1" applyBorder="1" applyAlignment="1">
      <alignment horizontal="center"/>
    </xf>
    <xf numFmtId="164" fontId="0" fillId="0" borderId="35" xfId="0" applyNumberFormat="1" applyBorder="1" applyAlignment="1">
      <alignment horizontal="center"/>
    </xf>
    <xf numFmtId="164" fontId="0" fillId="0" borderId="0" xfId="0" applyNumberFormat="1" applyBorder="1" applyAlignment="1">
      <alignment horizontal="center"/>
    </xf>
    <xf numFmtId="2" fontId="0" fillId="0" borderId="0" xfId="0" applyNumberFormat="1" applyBorder="1" applyAlignment="1">
      <alignment horizontal="center"/>
    </xf>
    <xf numFmtId="9" fontId="4" fillId="0" borderId="35" xfId="0" applyNumberFormat="1" applyFont="1" applyFill="1" applyBorder="1" applyAlignment="1">
      <alignment horizontal="center"/>
    </xf>
    <xf numFmtId="9" fontId="4" fillId="0" borderId="0" xfId="0" applyNumberFormat="1" applyFont="1" applyFill="1" applyBorder="1" applyAlignment="1">
      <alignment horizontal="center"/>
    </xf>
    <xf numFmtId="0" fontId="0" fillId="0" borderId="0" xfId="0" applyFill="1" applyAlignment="1">
      <alignment horizontal="left" vertical="top" wrapText="1"/>
    </xf>
    <xf numFmtId="0" fontId="2" fillId="0" borderId="50" xfId="0" applyFont="1" applyFill="1" applyBorder="1" applyAlignment="1">
      <alignment horizontal="center" vertical="center" wrapText="1"/>
    </xf>
    <xf numFmtId="0" fontId="2" fillId="0" borderId="50" xfId="0" applyFont="1" applyBorder="1" applyAlignment="1">
      <alignment horizontal="center"/>
    </xf>
    <xf numFmtId="0" fontId="0" fillId="0" borderId="0" xfId="0"/>
    <xf numFmtId="0" fontId="0" fillId="0" borderId="0" xfId="0" applyAlignment="1">
      <alignment horizontal="center"/>
    </xf>
    <xf numFmtId="0" fontId="0" fillId="0" borderId="0" xfId="0" applyAlignment="1">
      <alignment vertical="center"/>
    </xf>
    <xf numFmtId="0" fontId="10" fillId="0" borderId="0" xfId="0" applyFont="1" applyAlignment="1">
      <alignment horizontal="center" vertical="center"/>
    </xf>
    <xf numFmtId="0" fontId="0" fillId="0" borderId="0" xfId="0" applyAlignment="1">
      <alignment horizontal="center" vertical="top" wrapText="1"/>
    </xf>
    <xf numFmtId="2" fontId="0" fillId="0" borderId="0" xfId="0" applyNumberFormat="1" applyFill="1" applyBorder="1" applyAlignment="1">
      <alignment horizontal="center"/>
    </xf>
    <xf numFmtId="0" fontId="0" fillId="0" borderId="0" xfId="0" applyAlignment="1">
      <alignment horizontal="right" vertical="top"/>
    </xf>
    <xf numFmtId="0" fontId="0" fillId="0" borderId="0" xfId="0" applyAlignment="1">
      <alignment vertical="top"/>
    </xf>
    <xf numFmtId="164" fontId="19" fillId="0" borderId="0" xfId="0" applyNumberFormat="1" applyFont="1" applyBorder="1" applyAlignment="1">
      <alignment horizontal="center"/>
    </xf>
    <xf numFmtId="0" fontId="0" fillId="0" borderId="0" xfId="0" applyFill="1" applyAlignment="1">
      <alignment horizontal="center" wrapText="1"/>
    </xf>
    <xf numFmtId="164" fontId="3" fillId="0" borderId="0" xfId="0" applyNumberFormat="1" applyFont="1" applyBorder="1" applyAlignment="1"/>
    <xf numFmtId="164" fontId="2" fillId="0" borderId="0" xfId="0" applyNumberFormat="1" applyFont="1" applyBorder="1" applyAlignment="1">
      <alignment horizontal="left"/>
    </xf>
    <xf numFmtId="165" fontId="2" fillId="0" borderId="0" xfId="1" applyNumberFormat="1" applyFont="1" applyBorder="1" applyAlignment="1">
      <alignment horizontal="center"/>
    </xf>
    <xf numFmtId="0" fontId="20" fillId="0" borderId="0" xfId="0" applyFont="1" applyBorder="1" applyAlignment="1">
      <alignment horizontal="center" vertical="center"/>
    </xf>
    <xf numFmtId="9" fontId="20" fillId="0" borderId="0" xfId="16" applyFont="1" applyBorder="1" applyAlignment="1">
      <alignment horizontal="center" vertical="center"/>
    </xf>
    <xf numFmtId="0" fontId="18" fillId="0" borderId="0" xfId="0" applyFont="1" applyAlignment="1">
      <alignment horizontal="center"/>
    </xf>
    <xf numFmtId="0" fontId="0" fillId="0" borderId="0" xfId="0"/>
    <xf numFmtId="44" fontId="0" fillId="0" borderId="0" xfId="1" applyFont="1" applyFill="1" applyBorder="1"/>
    <xf numFmtId="0" fontId="21" fillId="0" borderId="0" xfId="18" applyFill="1"/>
    <xf numFmtId="0" fontId="2" fillId="0" borderId="7" xfId="0" applyFont="1" applyBorder="1" applyAlignment="1">
      <alignment horizontal="center"/>
    </xf>
    <xf numFmtId="1" fontId="0" fillId="0" borderId="0" xfId="0" applyNumberFormat="1"/>
    <xf numFmtId="0" fontId="4" fillId="0" borderId="0" xfId="0" applyFont="1" applyAlignment="1">
      <alignment horizontal="center"/>
    </xf>
    <xf numFmtId="169" fontId="0" fillId="0" borderId="0" xfId="1" applyNumberFormat="1" applyFont="1" applyFill="1" applyBorder="1" applyAlignment="1">
      <alignment horizontal="center"/>
    </xf>
    <xf numFmtId="168" fontId="0" fillId="0" borderId="29" xfId="16" applyNumberFormat="1" applyFont="1" applyFill="1" applyBorder="1" applyAlignment="1">
      <alignment horizontal="center"/>
    </xf>
    <xf numFmtId="169" fontId="0" fillId="0" borderId="29" xfId="1" applyNumberFormat="1" applyFont="1" applyFill="1" applyBorder="1" applyAlignment="1">
      <alignment horizontal="center"/>
    </xf>
    <xf numFmtId="164" fontId="2" fillId="0" borderId="19" xfId="0" applyNumberFormat="1" applyFont="1" applyBorder="1" applyAlignment="1">
      <alignment horizontal="center" vertical="center"/>
    </xf>
    <xf numFmtId="0" fontId="2" fillId="0" borderId="5" xfId="0" applyFont="1" applyBorder="1" applyAlignment="1">
      <alignment horizontal="center" vertical="center" wrapText="1"/>
    </xf>
    <xf numFmtId="164" fontId="2" fillId="0" borderId="37"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0" fontId="3" fillId="0" borderId="0" xfId="0" applyFont="1"/>
    <xf numFmtId="164" fontId="2" fillId="0" borderId="37" xfId="0" applyNumberFormat="1" applyFont="1" applyBorder="1" applyAlignment="1">
      <alignment horizontal="center"/>
    </xf>
    <xf numFmtId="170" fontId="0" fillId="0" borderId="0" xfId="0" applyNumberFormat="1"/>
    <xf numFmtId="165" fontId="2" fillId="0" borderId="0" xfId="0" applyNumberFormat="1" applyFont="1" applyFill="1"/>
    <xf numFmtId="6" fontId="12" fillId="0" borderId="0" xfId="0" applyNumberFormat="1" applyFont="1" applyAlignment="1">
      <alignment horizontal="center"/>
    </xf>
    <xf numFmtId="164" fontId="2" fillId="0" borderId="53" xfId="0" applyNumberFormat="1" applyFont="1" applyBorder="1" applyAlignment="1">
      <alignment horizontal="center"/>
    </xf>
    <xf numFmtId="164" fontId="2" fillId="0" borderId="29" xfId="0" applyNumberFormat="1" applyFont="1" applyBorder="1" applyAlignment="1">
      <alignment horizontal="center"/>
    </xf>
    <xf numFmtId="3" fontId="2" fillId="0" borderId="29" xfId="15" applyNumberFormat="1" applyFont="1" applyBorder="1" applyAlignment="1">
      <alignment horizontal="center"/>
    </xf>
    <xf numFmtId="164" fontId="2" fillId="0" borderId="24" xfId="0" applyNumberFormat="1" applyFont="1" applyBorder="1" applyAlignment="1">
      <alignment horizontal="center"/>
    </xf>
    <xf numFmtId="171" fontId="0" fillId="0" borderId="0" xfId="15" applyNumberFormat="1" applyFont="1"/>
    <xf numFmtId="0" fontId="18" fillId="0" borderId="29" xfId="0" applyFont="1" applyBorder="1" applyAlignment="1">
      <alignment horizontal="center"/>
    </xf>
    <xf numFmtId="3" fontId="0" fillId="0" borderId="29" xfId="0" applyNumberFormat="1" applyBorder="1" applyAlignment="1">
      <alignment horizontal="center"/>
    </xf>
    <xf numFmtId="3" fontId="2" fillId="0" borderId="54" xfId="15" applyNumberFormat="1" applyFont="1" applyBorder="1" applyAlignment="1">
      <alignment horizontal="center"/>
    </xf>
    <xf numFmtId="0" fontId="3" fillId="0" borderId="0" xfId="0" applyFont="1" applyAlignment="1">
      <alignment horizontal="right"/>
    </xf>
    <xf numFmtId="164" fontId="3" fillId="0" borderId="0" xfId="0" applyNumberFormat="1" applyFont="1" applyAlignment="1">
      <alignment horizontal="center"/>
    </xf>
    <xf numFmtId="3" fontId="0" fillId="0" borderId="0" xfId="0" applyNumberFormat="1"/>
    <xf numFmtId="3" fontId="0" fillId="0" borderId="0" xfId="0" applyNumberFormat="1" applyAlignment="1">
      <alignment horizontal="center"/>
    </xf>
    <xf numFmtId="40" fontId="0" fillId="0" borderId="29" xfId="0" applyNumberFormat="1" applyBorder="1" applyAlignment="1">
      <alignment horizontal="center"/>
    </xf>
    <xf numFmtId="165" fontId="0" fillId="0" borderId="29" xfId="1" applyNumberFormat="1" applyFont="1" applyBorder="1"/>
    <xf numFmtId="0" fontId="0" fillId="0" borderId="0" xfId="0"/>
    <xf numFmtId="1" fontId="0" fillId="0" borderId="29" xfId="0" applyNumberFormat="1" applyBorder="1"/>
    <xf numFmtId="172" fontId="0" fillId="0" borderId="29" xfId="1" applyNumberFormat="1" applyFont="1" applyBorder="1"/>
    <xf numFmtId="0" fontId="4" fillId="0" borderId="0" xfId="0" applyFont="1" applyAlignment="1">
      <alignment horizontal="left"/>
    </xf>
    <xf numFmtId="2" fontId="0" fillId="0" borderId="0" xfId="0" applyNumberFormat="1" applyAlignment="1">
      <alignment horizontal="center"/>
    </xf>
    <xf numFmtId="164" fontId="2" fillId="0" borderId="0" xfId="0" applyNumberFormat="1" applyFont="1" applyBorder="1" applyAlignment="1">
      <alignment horizontal="center" vertical="center"/>
    </xf>
    <xf numFmtId="0" fontId="0" fillId="0" borderId="0" xfId="0"/>
    <xf numFmtId="0" fontId="0" fillId="0" borderId="0" xfId="0" applyAlignment="1">
      <alignment horizontal="center"/>
    </xf>
    <xf numFmtId="0" fontId="0" fillId="0" borderId="0" xfId="0" applyFill="1" applyAlignment="1">
      <alignment horizontal="left" vertical="top" wrapText="1"/>
    </xf>
    <xf numFmtId="0" fontId="26" fillId="0" borderId="0" xfId="0" applyFont="1"/>
    <xf numFmtId="9" fontId="0" fillId="0" borderId="0" xfId="0" applyNumberFormat="1" applyBorder="1"/>
    <xf numFmtId="3" fontId="0" fillId="0" borderId="0" xfId="0" applyNumberFormat="1" applyBorder="1" applyAlignment="1">
      <alignment horizontal="center"/>
    </xf>
    <xf numFmtId="165" fontId="0" fillId="0" borderId="0" xfId="1" applyNumberFormat="1" applyFont="1" applyBorder="1"/>
    <xf numFmtId="2" fontId="0" fillId="0" borderId="29" xfId="1" applyNumberFormat="1" applyFont="1" applyFill="1" applyBorder="1" applyAlignment="1">
      <alignment horizontal="center"/>
    </xf>
    <xf numFmtId="0" fontId="26" fillId="0" borderId="0" xfId="0" applyFont="1" applyFill="1" applyAlignment="1">
      <alignment horizontal="left"/>
    </xf>
    <xf numFmtId="0" fontId="0" fillId="0" borderId="29" xfId="0" applyFill="1" applyBorder="1"/>
    <xf numFmtId="0" fontId="26" fillId="0" borderId="0" xfId="0" applyFont="1" applyAlignment="1">
      <alignment wrapText="1"/>
    </xf>
    <xf numFmtId="164" fontId="2" fillId="0" borderId="69" xfId="0" applyNumberFormat="1" applyFont="1" applyBorder="1" applyAlignment="1">
      <alignment horizontal="center"/>
    </xf>
    <xf numFmtId="164" fontId="2" fillId="0" borderId="26" xfId="0" applyNumberFormat="1" applyFont="1" applyBorder="1" applyAlignment="1">
      <alignment horizontal="center"/>
    </xf>
    <xf numFmtId="164" fontId="2" fillId="0" borderId="23" xfId="0" applyNumberFormat="1" applyFont="1" applyBorder="1" applyAlignment="1">
      <alignment horizontal="center"/>
    </xf>
    <xf numFmtId="164" fontId="2" fillId="0" borderId="72" xfId="0" applyNumberFormat="1" applyFont="1" applyBorder="1" applyAlignment="1">
      <alignment horizontal="center"/>
    </xf>
    <xf numFmtId="164" fontId="2" fillId="0" borderId="57" xfId="0" applyNumberFormat="1" applyFont="1" applyBorder="1" applyAlignment="1">
      <alignment horizontal="right"/>
    </xf>
    <xf numFmtId="164" fontId="2" fillId="0" borderId="50" xfId="0" applyNumberFormat="1" applyFont="1" applyBorder="1" applyAlignment="1">
      <alignment horizontal="right"/>
    </xf>
    <xf numFmtId="164" fontId="2" fillId="0" borderId="14" xfId="0" applyNumberFormat="1" applyFont="1" applyBorder="1" applyAlignment="1">
      <alignment horizontal="right"/>
    </xf>
    <xf numFmtId="0" fontId="26" fillId="0" borderId="0" xfId="0" applyFont="1" applyAlignment="1">
      <alignment horizontal="left"/>
    </xf>
    <xf numFmtId="0" fontId="2" fillId="0" borderId="0" xfId="0" applyFont="1" applyFill="1" applyBorder="1" applyAlignment="1">
      <alignment horizontal="center" vertical="center"/>
    </xf>
    <xf numFmtId="0" fontId="0" fillId="0" borderId="0" xfId="0"/>
    <xf numFmtId="0" fontId="4" fillId="0" borderId="0" xfId="0" applyFont="1" applyFill="1" applyAlignment="1">
      <alignment horizontal="left"/>
    </xf>
    <xf numFmtId="0" fontId="0" fillId="0" borderId="70" xfId="0" applyBorder="1" applyAlignment="1">
      <alignment horizontal="center" wrapText="1"/>
    </xf>
    <xf numFmtId="0" fontId="0" fillId="0" borderId="40" xfId="0" applyBorder="1" applyAlignment="1">
      <alignment horizontal="center" wrapText="1"/>
    </xf>
    <xf numFmtId="164" fontId="2" fillId="0" borderId="19" xfId="0" applyNumberFormat="1" applyFont="1" applyBorder="1" applyAlignment="1">
      <alignment horizontal="center"/>
    </xf>
    <xf numFmtId="44" fontId="0" fillId="0" borderId="29" xfId="1" applyFont="1" applyFill="1" applyBorder="1" applyAlignment="1">
      <alignment horizontal="center"/>
    </xf>
    <xf numFmtId="0" fontId="4" fillId="0" borderId="29" xfId="0" applyFont="1" applyBorder="1" applyAlignment="1">
      <alignment horizontal="center"/>
    </xf>
    <xf numFmtId="0" fontId="4" fillId="2" borderId="73" xfId="0" applyFont="1" applyFill="1" applyBorder="1"/>
    <xf numFmtId="2" fontId="4" fillId="0" borderId="74" xfId="0" applyNumberFormat="1" applyFont="1" applyFill="1" applyBorder="1" applyAlignment="1">
      <alignment horizontal="center"/>
    </xf>
    <xf numFmtId="0" fontId="4" fillId="2" borderId="9" xfId="0" applyFont="1" applyFill="1" applyBorder="1"/>
    <xf numFmtId="164" fontId="0" fillId="0" borderId="21" xfId="0" applyNumberFormat="1" applyBorder="1" applyAlignment="1">
      <alignment horizontal="center"/>
    </xf>
    <xf numFmtId="164" fontId="2" fillId="0" borderId="70" xfId="0" applyNumberFormat="1" applyFont="1" applyBorder="1" applyAlignment="1">
      <alignment horizontal="center"/>
    </xf>
    <xf numFmtId="164" fontId="2" fillId="0" borderId="71" xfId="0" applyNumberFormat="1" applyFont="1" applyBorder="1" applyAlignment="1">
      <alignment horizontal="center"/>
    </xf>
    <xf numFmtId="164" fontId="2" fillId="0" borderId="55" xfId="0" applyNumberFormat="1" applyFont="1" applyBorder="1" applyAlignment="1">
      <alignment horizontal="center"/>
    </xf>
    <xf numFmtId="164" fontId="2" fillId="0" borderId="39" xfId="0" applyNumberFormat="1" applyFont="1" applyBorder="1" applyAlignment="1">
      <alignment horizontal="center"/>
    </xf>
    <xf numFmtId="164" fontId="2" fillId="0" borderId="18" xfId="0" applyNumberFormat="1" applyFont="1" applyBorder="1" applyAlignment="1">
      <alignment horizontal="center"/>
    </xf>
    <xf numFmtId="0" fontId="4" fillId="0" borderId="29" xfId="0" applyFont="1" applyBorder="1" applyAlignment="1">
      <alignment horizontal="center" vertical="center"/>
    </xf>
    <xf numFmtId="0" fontId="0" fillId="0" borderId="29" xfId="0" applyBorder="1" applyAlignment="1">
      <alignment horizontal="center" vertical="center"/>
    </xf>
    <xf numFmtId="164" fontId="0" fillId="0" borderId="0" xfId="0" applyNumberFormat="1"/>
    <xf numFmtId="6" fontId="0" fillId="0" borderId="0" xfId="0" quotePrefix="1" applyNumberFormat="1"/>
    <xf numFmtId="6" fontId="0" fillId="0" borderId="0" xfId="0" applyNumberFormat="1"/>
    <xf numFmtId="0" fontId="0" fillId="0" borderId="29" xfId="0" applyBorder="1"/>
    <xf numFmtId="0" fontId="0" fillId="0" borderId="0" xfId="0"/>
    <xf numFmtId="0" fontId="0" fillId="0" borderId="0" xfId="0" applyAlignment="1">
      <alignment horizontal="left"/>
    </xf>
    <xf numFmtId="0" fontId="0" fillId="0" borderId="29" xfId="0" applyBorder="1" applyAlignment="1">
      <alignment horizontal="center"/>
    </xf>
    <xf numFmtId="2" fontId="0" fillId="0" borderId="0" xfId="0" applyNumberFormat="1"/>
    <xf numFmtId="44" fontId="0" fillId="0" borderId="0" xfId="0" applyNumberFormat="1"/>
    <xf numFmtId="0" fontId="28" fillId="5" borderId="77" xfId="0" applyFont="1" applyFill="1" applyBorder="1" applyAlignment="1">
      <alignment horizontal="center" vertical="center" wrapText="1"/>
    </xf>
    <xf numFmtId="0" fontId="28" fillId="5" borderId="78" xfId="0" applyFont="1" applyFill="1" applyBorder="1" applyAlignment="1">
      <alignment horizontal="center" vertical="center" wrapText="1"/>
    </xf>
    <xf numFmtId="0" fontId="29" fillId="0" borderId="80" xfId="0" applyFont="1" applyBorder="1" applyAlignment="1">
      <alignment horizontal="right" vertical="center" wrapText="1"/>
    </xf>
    <xf numFmtId="0" fontId="29" fillId="0" borderId="78" xfId="0" applyFont="1" applyBorder="1" applyAlignment="1">
      <alignment horizontal="right" vertical="center" wrapText="1"/>
    </xf>
    <xf numFmtId="0" fontId="23" fillId="0" borderId="80" xfId="0" applyFont="1" applyBorder="1" applyAlignment="1">
      <alignment horizontal="right" vertical="center" wrapText="1"/>
    </xf>
    <xf numFmtId="0" fontId="23" fillId="0" borderId="76" xfId="0" applyFont="1" applyBorder="1" applyAlignment="1">
      <alignment vertical="center" wrapText="1"/>
    </xf>
    <xf numFmtId="0" fontId="0" fillId="0" borderId="0" xfId="0"/>
    <xf numFmtId="165" fontId="0" fillId="0" borderId="0" xfId="0" applyNumberFormat="1"/>
    <xf numFmtId="0" fontId="0" fillId="0" borderId="29" xfId="0" applyBorder="1"/>
    <xf numFmtId="0" fontId="0" fillId="0" borderId="29" xfId="0" applyBorder="1" applyAlignment="1">
      <alignment wrapText="1"/>
    </xf>
    <xf numFmtId="0" fontId="0" fillId="0" borderId="81" xfId="0" applyBorder="1" applyAlignment="1">
      <alignment wrapText="1"/>
    </xf>
    <xf numFmtId="0" fontId="4" fillId="6" borderId="29" xfId="0" applyFont="1" applyFill="1" applyBorder="1"/>
    <xf numFmtId="0" fontId="4" fillId="7" borderId="29" xfId="0" applyFont="1" applyFill="1" applyBorder="1"/>
    <xf numFmtId="9" fontId="0" fillId="0" borderId="0" xfId="16" applyFont="1"/>
    <xf numFmtId="0" fontId="4" fillId="6" borderId="27" xfId="0" applyFont="1" applyFill="1" applyBorder="1"/>
    <xf numFmtId="165" fontId="6" fillId="0" borderId="0" xfId="1" applyNumberFormat="1" applyFont="1" applyFill="1" applyBorder="1" applyAlignment="1">
      <alignment vertical="center" wrapText="1"/>
    </xf>
    <xf numFmtId="165" fontId="1" fillId="0" borderId="0" xfId="1" applyNumberFormat="1" applyFont="1"/>
    <xf numFmtId="0" fontId="4" fillId="0" borderId="29" xfId="0" applyFont="1" applyBorder="1"/>
    <xf numFmtId="0" fontId="0" fillId="0" borderId="0" xfId="0" applyAlignment="1">
      <alignment horizontal="center"/>
    </xf>
    <xf numFmtId="0" fontId="4" fillId="0" borderId="0" xfId="0" applyFont="1"/>
    <xf numFmtId="44" fontId="0" fillId="0" borderId="29" xfId="1" applyNumberFormat="1" applyFont="1" applyBorder="1"/>
    <xf numFmtId="43" fontId="0" fillId="0" borderId="29" xfId="15" applyNumberFormat="1" applyFont="1" applyFill="1" applyBorder="1"/>
    <xf numFmtId="9" fontId="0" fillId="0" borderId="0" xfId="0" applyNumberFormat="1"/>
    <xf numFmtId="0" fontId="0" fillId="0" borderId="0" xfId="0"/>
    <xf numFmtId="0" fontId="18" fillId="0" borderId="29" xfId="0" applyFont="1" applyFill="1" applyBorder="1" applyAlignment="1">
      <alignment horizontal="center"/>
    </xf>
    <xf numFmtId="0" fontId="0" fillId="0" borderId="29" xfId="0" applyBorder="1"/>
    <xf numFmtId="0" fontId="0" fillId="0" borderId="29" xfId="0" applyBorder="1" applyAlignment="1">
      <alignment horizontal="center"/>
    </xf>
    <xf numFmtId="0" fontId="0" fillId="0" borderId="0" xfId="0" applyAlignment="1">
      <alignment horizontal="left"/>
    </xf>
    <xf numFmtId="0" fontId="0" fillId="0" borderId="0" xfId="0"/>
    <xf numFmtId="169" fontId="0" fillId="0" borderId="29" xfId="1" applyNumberFormat="1" applyFont="1" applyBorder="1"/>
    <xf numFmtId="169" fontId="0" fillId="0" borderId="0" xfId="0" applyNumberFormat="1"/>
    <xf numFmtId="0" fontId="32" fillId="0" borderId="0" xfId="19" applyFont="1"/>
    <xf numFmtId="0" fontId="32" fillId="0" borderId="0" xfId="19" applyFont="1" applyAlignment="1">
      <alignment horizontal="center"/>
    </xf>
    <xf numFmtId="0" fontId="33" fillId="0" borderId="0" xfId="19" applyFont="1"/>
    <xf numFmtId="0" fontId="33" fillId="0" borderId="0" xfId="19" applyFont="1" applyAlignment="1">
      <alignment horizontal="center"/>
    </xf>
    <xf numFmtId="3" fontId="33" fillId="0" borderId="0" xfId="19" applyNumberFormat="1" applyFont="1" applyAlignment="1">
      <alignment horizontal="center"/>
    </xf>
    <xf numFmtId="0" fontId="31" fillId="0" borderId="0" xfId="19"/>
    <xf numFmtId="0" fontId="34" fillId="0" borderId="0" xfId="19" applyFont="1" applyAlignment="1">
      <alignment horizontal="left"/>
    </xf>
    <xf numFmtId="0" fontId="31" fillId="0" borderId="0" xfId="19" applyAlignment="1">
      <alignment horizontal="center"/>
    </xf>
    <xf numFmtId="0" fontId="35" fillId="0" borderId="0" xfId="19" applyFont="1" applyAlignment="1">
      <alignment horizontal="center"/>
    </xf>
    <xf numFmtId="0" fontId="36" fillId="0" borderId="0" xfId="19" applyFont="1"/>
    <xf numFmtId="0" fontId="36" fillId="0" borderId="0" xfId="19" applyFont="1" applyAlignment="1">
      <alignment horizontal="center"/>
    </xf>
    <xf numFmtId="0" fontId="6" fillId="0" borderId="0" xfId="0" applyFont="1"/>
    <xf numFmtId="9" fontId="6" fillId="0" borderId="0" xfId="0" applyNumberFormat="1" applyFont="1"/>
    <xf numFmtId="3" fontId="6" fillId="0" borderId="0" xfId="0" applyNumberFormat="1" applyFont="1"/>
    <xf numFmtId="9" fontId="6" fillId="3" borderId="0" xfId="0" applyNumberFormat="1" applyFont="1" applyFill="1"/>
    <xf numFmtId="0" fontId="14" fillId="8" borderId="0" xfId="0" applyFont="1" applyFill="1"/>
    <xf numFmtId="3" fontId="14" fillId="8" borderId="0" xfId="0" applyNumberFormat="1" applyFont="1" applyFill="1"/>
    <xf numFmtId="0" fontId="28" fillId="9" borderId="0" xfId="0" applyFont="1" applyFill="1"/>
    <xf numFmtId="0" fontId="28" fillId="9" borderId="0" xfId="0" applyFont="1" applyFill="1" applyAlignment="1">
      <alignment horizontal="center"/>
    </xf>
    <xf numFmtId="0" fontId="29" fillId="0" borderId="0" xfId="0" applyFont="1"/>
    <xf numFmtId="0" fontId="6" fillId="0" borderId="0" xfId="0" applyFont="1" applyAlignment="1">
      <alignment horizontal="right"/>
    </xf>
    <xf numFmtId="0" fontId="29" fillId="0" borderId="0" xfId="0" applyFont="1" applyAlignment="1">
      <alignment horizontal="center"/>
    </xf>
    <xf numFmtId="3" fontId="6" fillId="8" borderId="0" xfId="0" applyNumberFormat="1" applyFont="1" applyFill="1"/>
    <xf numFmtId="9" fontId="6" fillId="0" borderId="0" xfId="0" applyNumberFormat="1" applyFont="1" applyAlignment="1">
      <alignment horizontal="right"/>
    </xf>
    <xf numFmtId="0" fontId="37" fillId="0" borderId="0" xfId="0" applyFont="1" applyAlignment="1">
      <alignment horizontal="center"/>
    </xf>
    <xf numFmtId="0" fontId="14" fillId="8" borderId="0" xfId="0" applyFont="1" applyFill="1" applyAlignment="1">
      <alignment horizontal="left"/>
    </xf>
    <xf numFmtId="9" fontId="6" fillId="8" borderId="0" xfId="0" applyNumberFormat="1" applyFont="1" applyFill="1" applyAlignment="1">
      <alignment horizontal="right"/>
    </xf>
    <xf numFmtId="0" fontId="4" fillId="8" borderId="0" xfId="0" applyFont="1" applyFill="1"/>
    <xf numFmtId="0" fontId="22" fillId="0" borderId="0" xfId="0" applyFont="1"/>
    <xf numFmtId="0" fontId="0" fillId="8" borderId="0" xfId="0" applyFill="1"/>
    <xf numFmtId="168" fontId="0" fillId="0" borderId="0" xfId="0" applyNumberFormat="1"/>
    <xf numFmtId="0" fontId="38" fillId="0" borderId="0" xfId="0" applyFont="1" applyAlignment="1">
      <alignment horizontal="left"/>
    </xf>
    <xf numFmtId="10" fontId="0" fillId="0" borderId="0" xfId="0" applyNumberFormat="1"/>
    <xf numFmtId="9" fontId="0" fillId="8" borderId="0" xfId="0" applyNumberFormat="1" applyFill="1"/>
    <xf numFmtId="0" fontId="4" fillId="10" borderId="0" xfId="0" applyFont="1" applyFill="1" applyAlignment="1">
      <alignment horizontal="left"/>
    </xf>
    <xf numFmtId="0" fontId="4" fillId="10" borderId="0" xfId="0" applyFont="1" applyFill="1" applyAlignment="1">
      <alignment horizontal="center"/>
    </xf>
    <xf numFmtId="9" fontId="0" fillId="0" borderId="0" xfId="0" applyNumberFormat="1" applyAlignment="1">
      <alignment horizontal="right"/>
    </xf>
    <xf numFmtId="0" fontId="38" fillId="4" borderId="0" xfId="0" applyFont="1" applyFill="1" applyAlignment="1">
      <alignment horizontal="left"/>
    </xf>
    <xf numFmtId="0" fontId="0" fillId="4" borderId="0" xfId="0" applyFill="1"/>
    <xf numFmtId="10" fontId="0" fillId="4" borderId="0" xfId="0" applyNumberFormat="1" applyFill="1"/>
    <xf numFmtId="0" fontId="28" fillId="9" borderId="0" xfId="0" applyFont="1" applyFill="1" applyAlignment="1">
      <alignment horizontal="center" vertical="center"/>
    </xf>
    <xf numFmtId="0" fontId="29" fillId="0" borderId="0" xfId="0" applyFont="1" applyAlignment="1">
      <alignment horizontal="center" vertical="center"/>
    </xf>
    <xf numFmtId="0" fontId="6" fillId="0" borderId="0" xfId="0" applyFont="1" applyAlignment="1">
      <alignment horizontal="center"/>
    </xf>
    <xf numFmtId="0" fontId="38" fillId="0" borderId="0" xfId="0" applyFont="1"/>
    <xf numFmtId="3" fontId="22" fillId="0" borderId="0" xfId="0" applyNumberFormat="1" applyFont="1"/>
    <xf numFmtId="9" fontId="14" fillId="8" borderId="0" xfId="0" applyNumberFormat="1" applyFont="1" applyFill="1"/>
    <xf numFmtId="9" fontId="22" fillId="0" borderId="0" xfId="0" applyNumberFormat="1" applyFont="1"/>
    <xf numFmtId="0" fontId="4" fillId="10" borderId="0" xfId="0" applyFont="1" applyFill="1"/>
    <xf numFmtId="0" fontId="0" fillId="11" borderId="35" xfId="0" applyFill="1" applyBorder="1"/>
    <xf numFmtId="0" fontId="0" fillId="11" borderId="0" xfId="0" applyFill="1"/>
    <xf numFmtId="0" fontId="6" fillId="11" borderId="35" xfId="0" applyFont="1" applyFill="1" applyBorder="1"/>
    <xf numFmtId="0" fontId="6" fillId="0" borderId="35" xfId="0" applyFont="1" applyBorder="1"/>
    <xf numFmtId="0" fontId="0" fillId="0" borderId="35" xfId="0" applyBorder="1" applyAlignment="1">
      <alignment horizontal="center"/>
    </xf>
    <xf numFmtId="0" fontId="0" fillId="0" borderId="0" xfId="0" applyBorder="1" applyAlignment="1">
      <alignment horizontal="left"/>
    </xf>
    <xf numFmtId="1" fontId="0" fillId="0" borderId="0" xfId="0" applyNumberFormat="1" applyBorder="1"/>
    <xf numFmtId="0" fontId="9" fillId="0" borderId="0" xfId="0" applyFont="1" applyBorder="1" applyAlignment="1">
      <alignment vertical="center"/>
    </xf>
    <xf numFmtId="2" fontId="0" fillId="0" borderId="29" xfId="0" applyNumberFormat="1" applyBorder="1" applyAlignment="1">
      <alignment horizontal="center"/>
    </xf>
    <xf numFmtId="2" fontId="29" fillId="0" borderId="78" xfId="0" applyNumberFormat="1" applyFont="1" applyBorder="1" applyAlignment="1">
      <alignment horizontal="right" vertical="center" wrapText="1"/>
    </xf>
    <xf numFmtId="0" fontId="42" fillId="13" borderId="12" xfId="0" applyFont="1" applyFill="1" applyBorder="1" applyAlignment="1">
      <alignment vertical="center"/>
    </xf>
    <xf numFmtId="0" fontId="41" fillId="13" borderId="33" xfId="0" applyFont="1" applyFill="1" applyBorder="1" applyAlignment="1">
      <alignment vertical="center"/>
    </xf>
    <xf numFmtId="0" fontId="41" fillId="12" borderId="34" xfId="0" applyFont="1" applyFill="1" applyBorder="1" applyAlignment="1">
      <alignment vertical="center"/>
    </xf>
    <xf numFmtId="0" fontId="41" fillId="12" borderId="51" xfId="0" applyFont="1" applyFill="1" applyBorder="1" applyAlignment="1">
      <alignment vertical="center"/>
    </xf>
    <xf numFmtId="0" fontId="43" fillId="14" borderId="63" xfId="0" applyFont="1" applyFill="1" applyBorder="1" applyAlignment="1">
      <alignment vertical="center"/>
    </xf>
    <xf numFmtId="0" fontId="41" fillId="14" borderId="32" xfId="0" applyFont="1" applyFill="1" applyBorder="1" applyAlignment="1">
      <alignment vertical="center"/>
    </xf>
    <xf numFmtId="0" fontId="43" fillId="14" borderId="12" xfId="0" applyFont="1" applyFill="1" applyBorder="1" applyAlignment="1">
      <alignment vertical="center"/>
    </xf>
    <xf numFmtId="0" fontId="41" fillId="14" borderId="33" xfId="0" applyFont="1" applyFill="1" applyBorder="1" applyAlignment="1">
      <alignment vertical="center"/>
    </xf>
    <xf numFmtId="0" fontId="21" fillId="0" borderId="0" xfId="18" applyAlignment="1">
      <alignment vertical="top" wrapText="1"/>
    </xf>
    <xf numFmtId="9" fontId="0" fillId="0" borderId="29" xfId="16" applyFont="1" applyBorder="1"/>
    <xf numFmtId="3" fontId="2" fillId="0" borderId="53" xfId="0" applyNumberFormat="1" applyFont="1" applyBorder="1" applyAlignment="1">
      <alignment horizontal="center" vertical="center" wrapText="1"/>
    </xf>
    <xf numFmtId="3" fontId="2" fillId="0" borderId="37" xfId="0" applyNumberFormat="1" applyFont="1" applyBorder="1" applyAlignment="1">
      <alignment horizontal="center" vertical="center" wrapText="1"/>
    </xf>
    <xf numFmtId="3" fontId="2" fillId="0" borderId="19" xfId="0" applyNumberFormat="1" applyFont="1" applyBorder="1" applyAlignment="1">
      <alignment horizontal="center" vertical="center" wrapText="1"/>
    </xf>
    <xf numFmtId="3" fontId="2" fillId="0" borderId="20" xfId="0" applyNumberFormat="1" applyFont="1" applyBorder="1" applyAlignment="1">
      <alignment horizontal="center"/>
    </xf>
    <xf numFmtId="3" fontId="2" fillId="0" borderId="21" xfId="0" applyNumberFormat="1" applyFont="1" applyBorder="1" applyAlignment="1">
      <alignment horizontal="center"/>
    </xf>
    <xf numFmtId="3" fontId="2" fillId="0" borderId="42" xfId="0" applyNumberFormat="1" applyFont="1" applyBorder="1" applyAlignment="1">
      <alignment horizontal="center"/>
    </xf>
    <xf numFmtId="3" fontId="2" fillId="0" borderId="38" xfId="0" applyNumberFormat="1" applyFont="1" applyBorder="1" applyAlignment="1">
      <alignment horizontal="center"/>
    </xf>
    <xf numFmtId="0" fontId="0" fillId="0" borderId="24" xfId="0" applyBorder="1" applyAlignment="1"/>
    <xf numFmtId="0" fontId="0" fillId="0" borderId="8" xfId="0" applyBorder="1" applyAlignment="1"/>
    <xf numFmtId="0" fontId="0" fillId="0" borderId="66" xfId="0" applyBorder="1" applyAlignment="1"/>
    <xf numFmtId="43" fontId="0" fillId="0" borderId="24" xfId="15" applyNumberFormat="1" applyFont="1" applyFill="1" applyBorder="1"/>
    <xf numFmtId="171" fontId="0" fillId="0" borderId="29" xfId="15" applyNumberFormat="1" applyFont="1" applyFill="1" applyBorder="1" applyAlignment="1">
      <alignment horizontal="center"/>
    </xf>
    <xf numFmtId="0" fontId="0" fillId="0" borderId="29" xfId="0" applyBorder="1"/>
    <xf numFmtId="0" fontId="0" fillId="0" borderId="0" xfId="0"/>
    <xf numFmtId="0" fontId="0" fillId="0" borderId="29" xfId="0" applyBorder="1"/>
    <xf numFmtId="0" fontId="2" fillId="0" borderId="14" xfId="0" applyFont="1" applyFill="1" applyBorder="1" applyAlignment="1">
      <alignment horizontal="center" vertical="center" wrapText="1"/>
    </xf>
    <xf numFmtId="164" fontId="4" fillId="0" borderId="29" xfId="0" applyNumberFormat="1" applyFont="1" applyFill="1" applyBorder="1" applyAlignment="1">
      <alignment horizontal="right"/>
    </xf>
    <xf numFmtId="164" fontId="4" fillId="0" borderId="29" xfId="0" applyNumberFormat="1" applyFont="1" applyBorder="1"/>
    <xf numFmtId="0" fontId="8" fillId="0" borderId="29" xfId="0" applyFont="1" applyBorder="1" applyAlignment="1">
      <alignment horizontal="center" vertical="center"/>
    </xf>
    <xf numFmtId="0" fontId="0" fillId="0" borderId="29" xfId="1" applyNumberFormat="1" applyFont="1" applyBorder="1"/>
    <xf numFmtId="164" fontId="2" fillId="0" borderId="23" xfId="0" applyNumberFormat="1" applyFont="1" applyBorder="1" applyAlignment="1">
      <alignment horizontal="center" vertical="center" wrapText="1"/>
    </xf>
    <xf numFmtId="164" fontId="2" fillId="0" borderId="25" xfId="0" applyNumberFormat="1" applyFont="1" applyBorder="1" applyAlignment="1">
      <alignment horizontal="center"/>
    </xf>
    <xf numFmtId="164" fontId="2" fillId="0" borderId="31" xfId="0" applyNumberFormat="1" applyFont="1" applyBorder="1" applyAlignment="1">
      <alignment horizontal="center"/>
    </xf>
    <xf numFmtId="0" fontId="0" fillId="0" borderId="29" xfId="0" applyFont="1" applyBorder="1"/>
    <xf numFmtId="0" fontId="0" fillId="0" borderId="29" xfId="0" applyFont="1" applyBorder="1" applyAlignment="1">
      <alignment horizontal="center"/>
    </xf>
    <xf numFmtId="0" fontId="6" fillId="0" borderId="29" xfId="0" applyFont="1" applyBorder="1" applyAlignment="1">
      <alignment vertical="center"/>
    </xf>
    <xf numFmtId="164" fontId="2" fillId="0" borderId="19" xfId="0" applyNumberFormat="1" applyFont="1" applyBorder="1" applyAlignment="1">
      <alignment horizontal="center" vertical="center" wrapText="1"/>
    </xf>
    <xf numFmtId="0" fontId="0" fillId="0" borderId="29" xfId="0" applyBorder="1"/>
    <xf numFmtId="0" fontId="0" fillId="0" borderId="29" xfId="0" applyBorder="1" applyAlignment="1">
      <alignment horizontal="left"/>
    </xf>
    <xf numFmtId="0" fontId="0" fillId="0" borderId="29" xfId="0" applyBorder="1"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center"/>
    </xf>
    <xf numFmtId="0" fontId="18" fillId="0" borderId="29" xfId="0" applyFont="1" applyFill="1" applyBorder="1" applyAlignment="1">
      <alignment horizontal="center"/>
    </xf>
    <xf numFmtId="3" fontId="0" fillId="6" borderId="29" xfId="0" applyNumberFormat="1" applyFill="1" applyBorder="1" applyAlignment="1">
      <alignment horizontal="center"/>
    </xf>
    <xf numFmtId="0" fontId="0" fillId="0" borderId="0" xfId="0" applyAlignment="1">
      <alignment horizontal="left" vertical="center" indent="1"/>
    </xf>
    <xf numFmtId="0" fontId="2" fillId="6" borderId="13" xfId="0" applyFont="1" applyFill="1" applyBorder="1" applyAlignment="1">
      <alignment horizontal="center"/>
    </xf>
    <xf numFmtId="0" fontId="0" fillId="0" borderId="0" xfId="0"/>
    <xf numFmtId="0" fontId="44" fillId="0" borderId="0" xfId="0" applyFont="1"/>
    <xf numFmtId="0" fontId="44" fillId="16" borderId="85" xfId="0" applyFont="1" applyFill="1" applyBorder="1" applyAlignment="1">
      <alignment vertical="center" wrapText="1"/>
    </xf>
    <xf numFmtId="0" fontId="44" fillId="17" borderId="86" xfId="0" applyFont="1" applyFill="1" applyBorder="1" applyAlignment="1">
      <alignment vertical="center" wrapText="1"/>
    </xf>
    <xf numFmtId="0" fontId="44" fillId="16" borderId="86" xfId="0" applyFont="1" applyFill="1" applyBorder="1" applyAlignment="1">
      <alignment vertical="center" wrapText="1"/>
    </xf>
    <xf numFmtId="0" fontId="44" fillId="0" borderId="0" xfId="0" applyFont="1" applyAlignment="1">
      <alignment horizontal="center" vertical="center"/>
    </xf>
    <xf numFmtId="0" fontId="10" fillId="0" borderId="0" xfId="0" applyFont="1" applyFill="1" applyAlignment="1">
      <alignment horizontal="center" vertical="center" wrapText="1"/>
    </xf>
    <xf numFmtId="0" fontId="10" fillId="0" borderId="0" xfId="20" applyFont="1" applyFill="1" applyAlignment="1">
      <alignment horizontal="center" vertical="center" wrapText="1"/>
    </xf>
    <xf numFmtId="0" fontId="44" fillId="0" borderId="0" xfId="20" applyFont="1" applyFill="1"/>
    <xf numFmtId="0" fontId="44" fillId="16" borderId="87" xfId="0" applyFont="1" applyFill="1" applyBorder="1" applyAlignment="1">
      <alignment horizontal="center" vertical="center" wrapText="1"/>
    </xf>
    <xf numFmtId="0" fontId="44" fillId="17" borderId="87" xfId="0" applyFont="1" applyFill="1" applyBorder="1" applyAlignment="1">
      <alignment horizontal="center" vertical="center" wrapText="1"/>
    </xf>
    <xf numFmtId="0" fontId="44" fillId="17" borderId="88" xfId="0" applyFont="1" applyFill="1" applyBorder="1" applyAlignment="1">
      <alignment horizontal="center" vertical="center" wrapText="1"/>
    </xf>
    <xf numFmtId="0" fontId="44" fillId="16" borderId="88" xfId="0" applyFont="1" applyFill="1" applyBorder="1" applyAlignment="1">
      <alignment horizontal="center" vertical="center" wrapText="1"/>
    </xf>
    <xf numFmtId="0" fontId="44" fillId="0" borderId="0" xfId="0" applyFont="1" applyAlignment="1">
      <alignment horizontal="center"/>
    </xf>
    <xf numFmtId="0" fontId="10" fillId="0" borderId="0" xfId="20" applyFont="1" applyFill="1"/>
    <xf numFmtId="0" fontId="10" fillId="0" borderId="0" xfId="0" applyFont="1" applyAlignment="1">
      <alignment horizontal="center" vertical="center"/>
    </xf>
    <xf numFmtId="0" fontId="10" fillId="0" borderId="0" xfId="0" applyFont="1" applyAlignment="1">
      <alignment horizontal="center"/>
    </xf>
    <xf numFmtId="0" fontId="4" fillId="0" borderId="0" xfId="0" applyFont="1" applyAlignment="1">
      <alignment horizontal="left"/>
    </xf>
    <xf numFmtId="0" fontId="44" fillId="6" borderId="86" xfId="0" applyFont="1" applyFill="1" applyBorder="1" applyAlignment="1">
      <alignment vertical="center" wrapText="1"/>
    </xf>
    <xf numFmtId="0" fontId="44" fillId="6" borderId="88" xfId="0" applyFont="1" applyFill="1" applyBorder="1" applyAlignment="1">
      <alignment horizontal="center" vertical="center" wrapText="1"/>
    </xf>
    <xf numFmtId="0" fontId="44" fillId="18" borderId="86" xfId="0" applyFont="1" applyFill="1" applyBorder="1" applyAlignment="1">
      <alignment vertical="center" wrapText="1"/>
    </xf>
    <xf numFmtId="0" fontId="44" fillId="18" borderId="88" xfId="0" applyFont="1" applyFill="1" applyBorder="1" applyAlignment="1">
      <alignment horizontal="center" vertical="center" wrapText="1"/>
    </xf>
    <xf numFmtId="0" fontId="0" fillId="0" borderId="0" xfId="0" applyFill="1"/>
    <xf numFmtId="0" fontId="0" fillId="0" borderId="29" xfId="0" applyBorder="1"/>
    <xf numFmtId="0" fontId="0" fillId="0" borderId="0" xfId="0"/>
    <xf numFmtId="0" fontId="0" fillId="0" borderId="29" xfId="0" applyBorder="1" applyAlignment="1">
      <alignment horizontal="center"/>
    </xf>
    <xf numFmtId="0" fontId="0" fillId="0" borderId="0" xfId="0" applyFill="1" applyAlignment="1">
      <alignment horizontal="left" vertical="top" wrapText="1"/>
    </xf>
    <xf numFmtId="0" fontId="2" fillId="0" borderId="13" xfId="0" applyFont="1" applyFill="1" applyBorder="1" applyAlignment="1">
      <alignment horizontal="center" vertical="center" wrapText="1"/>
    </xf>
    <xf numFmtId="0" fontId="0" fillId="0" borderId="0" xfId="0" applyAlignment="1">
      <alignment horizontal="center" vertical="center"/>
    </xf>
    <xf numFmtId="0" fontId="0" fillId="19" borderId="0" xfId="0" applyFill="1"/>
    <xf numFmtId="0" fontId="41" fillId="14" borderId="12" xfId="0" applyFont="1" applyFill="1" applyBorder="1" applyAlignment="1">
      <alignment vertical="center"/>
    </xf>
    <xf numFmtId="0" fontId="0" fillId="0" borderId="29" xfId="0" applyFill="1" applyBorder="1" applyAlignment="1">
      <alignment horizontal="center"/>
    </xf>
    <xf numFmtId="164" fontId="2" fillId="0" borderId="53" xfId="0" applyNumberFormat="1" applyFont="1" applyFill="1" applyBorder="1" applyAlignment="1">
      <alignment horizontal="center"/>
    </xf>
    <xf numFmtId="164" fontId="2" fillId="0" borderId="29" xfId="0" applyNumberFormat="1" applyFont="1" applyFill="1" applyBorder="1" applyAlignment="1">
      <alignment horizontal="center"/>
    </xf>
    <xf numFmtId="164" fontId="2" fillId="0" borderId="26" xfId="0" applyNumberFormat="1" applyFont="1" applyFill="1" applyBorder="1" applyAlignment="1">
      <alignment horizontal="center"/>
    </xf>
    <xf numFmtId="3" fontId="0" fillId="0" borderId="29" xfId="0" applyNumberFormat="1" applyFill="1" applyBorder="1" applyAlignment="1">
      <alignment horizontal="center"/>
    </xf>
    <xf numFmtId="9" fontId="0" fillId="0" borderId="29" xfId="16" applyFont="1" applyFill="1" applyBorder="1"/>
    <xf numFmtId="3" fontId="22" fillId="6" borderId="29" xfId="0" applyNumberFormat="1" applyFont="1" applyFill="1" applyBorder="1" applyAlignment="1">
      <alignment horizontal="center"/>
    </xf>
    <xf numFmtId="9" fontId="0" fillId="7" borderId="0" xfId="0" applyNumberFormat="1" applyFill="1"/>
    <xf numFmtId="3" fontId="0" fillId="7" borderId="0" xfId="0" applyNumberFormat="1" applyFill="1"/>
    <xf numFmtId="9" fontId="6" fillId="7" borderId="0" xfId="0" applyNumberFormat="1" applyFont="1" applyFill="1" applyAlignment="1">
      <alignment horizontal="right"/>
    </xf>
    <xf numFmtId="3" fontId="0" fillId="0" borderId="29" xfId="0" applyNumberFormat="1" applyBorder="1"/>
    <xf numFmtId="3" fontId="0" fillId="0" borderId="53" xfId="0" applyNumberFormat="1" applyBorder="1"/>
    <xf numFmtId="9" fontId="0" fillId="0" borderId="53" xfId="16" applyFont="1" applyBorder="1"/>
    <xf numFmtId="0" fontId="0" fillId="0" borderId="53" xfId="0" applyBorder="1"/>
    <xf numFmtId="0" fontId="0" fillId="0" borderId="38" xfId="0" applyBorder="1"/>
    <xf numFmtId="3" fontId="0" fillId="0" borderId="54" xfId="0" applyNumberFormat="1" applyBorder="1"/>
    <xf numFmtId="9" fontId="0" fillId="0" borderId="54" xfId="16" applyFont="1" applyBorder="1"/>
    <xf numFmtId="3" fontId="0" fillId="0" borderId="67" xfId="0" applyNumberFormat="1" applyBorder="1"/>
    <xf numFmtId="3" fontId="0" fillId="0" borderId="58" xfId="0" applyNumberFormat="1" applyBorder="1"/>
    <xf numFmtId="0" fontId="0" fillId="0" borderId="69" xfId="0" applyBorder="1"/>
    <xf numFmtId="3" fontId="0" fillId="0" borderId="26" xfId="0" applyNumberFormat="1" applyBorder="1"/>
    <xf numFmtId="9" fontId="0" fillId="0" borderId="26" xfId="16" applyFont="1" applyBorder="1"/>
    <xf numFmtId="0" fontId="0" fillId="0" borderId="26" xfId="0" applyBorder="1"/>
    <xf numFmtId="3" fontId="0" fillId="0" borderId="90" xfId="0" applyNumberFormat="1" applyBorder="1"/>
    <xf numFmtId="9" fontId="0" fillId="0" borderId="82" xfId="16" applyFont="1" applyBorder="1"/>
    <xf numFmtId="0" fontId="0" fillId="0" borderId="82" xfId="0" applyBorder="1"/>
    <xf numFmtId="0" fontId="0" fillId="0" borderId="39" xfId="0" applyBorder="1"/>
    <xf numFmtId="0" fontId="2" fillId="18" borderId="34" xfId="0" applyFont="1" applyFill="1" applyBorder="1" applyAlignment="1">
      <alignment horizontal="center" vertical="center" wrapText="1"/>
    </xf>
    <xf numFmtId="0" fontId="2" fillId="0" borderId="57" xfId="0" applyNumberFormat="1"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164" fontId="2" fillId="0" borderId="0" xfId="0" applyNumberFormat="1" applyFont="1"/>
    <xf numFmtId="164" fontId="2" fillId="0" borderId="57" xfId="0" applyNumberFormat="1" applyFont="1" applyFill="1" applyBorder="1" applyAlignment="1">
      <alignment horizontal="right"/>
    </xf>
    <xf numFmtId="2" fontId="0" fillId="7" borderId="29" xfId="0" applyNumberFormat="1" applyFill="1" applyBorder="1" applyAlignment="1">
      <alignment horizontal="center"/>
    </xf>
    <xf numFmtId="164" fontId="2" fillId="0" borderId="62" xfId="0" applyNumberFormat="1" applyFont="1" applyBorder="1" applyAlignment="1">
      <alignment horizontal="center"/>
    </xf>
    <xf numFmtId="164" fontId="2" fillId="0" borderId="27" xfId="0" applyNumberFormat="1" applyFont="1" applyFill="1" applyBorder="1" applyAlignment="1">
      <alignment horizontal="center"/>
    </xf>
    <xf numFmtId="164" fontId="2" fillId="0" borderId="27" xfId="0" applyNumberFormat="1" applyFont="1" applyBorder="1" applyAlignment="1">
      <alignment horizontal="center"/>
    </xf>
    <xf numFmtId="164" fontId="2" fillId="0" borderId="84" xfId="0" applyNumberFormat="1" applyFont="1" applyBorder="1" applyAlignment="1">
      <alignment horizontal="center"/>
    </xf>
    <xf numFmtId="0" fontId="2" fillId="0" borderId="68" xfId="0" applyFont="1" applyBorder="1" applyAlignment="1">
      <alignment horizontal="center"/>
    </xf>
    <xf numFmtId="3" fontId="2" fillId="0" borderId="69" xfId="0" applyNumberFormat="1" applyFont="1" applyBorder="1" applyAlignment="1">
      <alignment horizontal="center"/>
    </xf>
    <xf numFmtId="3" fontId="2" fillId="0" borderId="26" xfId="15" applyNumberFormat="1" applyFont="1" applyBorder="1" applyAlignment="1">
      <alignment horizontal="center"/>
    </xf>
    <xf numFmtId="3" fontId="2" fillId="0" borderId="83" xfId="0" applyNumberFormat="1" applyFont="1" applyBorder="1" applyAlignment="1">
      <alignment horizontal="center"/>
    </xf>
    <xf numFmtId="0" fontId="2" fillId="0" borderId="12" xfId="0" applyFont="1" applyBorder="1" applyAlignment="1">
      <alignment horizontal="center"/>
    </xf>
    <xf numFmtId="3" fontId="2" fillId="0" borderId="39" xfId="0" applyNumberFormat="1" applyFont="1" applyBorder="1" applyAlignment="1">
      <alignment horizontal="center"/>
    </xf>
    <xf numFmtId="3" fontId="2" fillId="0" borderId="82" xfId="15" applyNumberFormat="1" applyFont="1" applyBorder="1" applyAlignment="1">
      <alignment horizontal="center"/>
    </xf>
    <xf numFmtId="3" fontId="2" fillId="0" borderId="18" xfId="0" applyNumberFormat="1" applyFont="1" applyBorder="1" applyAlignment="1">
      <alignment horizontal="center"/>
    </xf>
    <xf numFmtId="164" fontId="2" fillId="0" borderId="83" xfId="0" applyNumberFormat="1" applyFont="1" applyBorder="1" applyAlignment="1">
      <alignment horizontal="center"/>
    </xf>
    <xf numFmtId="0" fontId="0" fillId="0" borderId="29" xfId="0" applyBorder="1"/>
    <xf numFmtId="0" fontId="0" fillId="0" borderId="29" xfId="0" applyBorder="1" applyAlignment="1">
      <alignment horizontal="center"/>
    </xf>
    <xf numFmtId="0" fontId="0" fillId="0" borderId="0" xfId="0" applyAlignment="1">
      <alignment horizontal="left" vertical="top" wrapText="1"/>
    </xf>
    <xf numFmtId="0" fontId="0" fillId="0" borderId="0" xfId="0" applyFill="1"/>
    <xf numFmtId="0" fontId="0" fillId="0" borderId="0" xfId="0"/>
    <xf numFmtId="0" fontId="0" fillId="0" borderId="0" xfId="0" applyAlignment="1">
      <alignment horizontal="right"/>
    </xf>
    <xf numFmtId="0" fontId="0" fillId="0" borderId="0" xfId="0" applyAlignment="1">
      <alignment horizontal="center"/>
    </xf>
    <xf numFmtId="164" fontId="2" fillId="0" borderId="20" xfId="0" applyNumberFormat="1" applyFont="1" applyBorder="1" applyAlignment="1">
      <alignment horizontal="center" vertical="center"/>
    </xf>
    <xf numFmtId="164" fontId="2" fillId="0" borderId="24" xfId="0" applyNumberFormat="1" applyFont="1" applyBorder="1" applyAlignment="1">
      <alignment horizontal="center" vertical="center" wrapText="1"/>
    </xf>
    <xf numFmtId="164" fontId="2" fillId="0" borderId="20" xfId="0" applyNumberFormat="1" applyFont="1" applyBorder="1" applyAlignment="1">
      <alignment horizontal="center" vertical="center" wrapText="1"/>
    </xf>
    <xf numFmtId="0" fontId="2" fillId="0" borderId="12" xfId="0" applyFont="1" applyFill="1" applyBorder="1" applyAlignment="1">
      <alignment horizontal="center" vertical="center" wrapText="1"/>
    </xf>
    <xf numFmtId="164" fontId="2" fillId="0" borderId="12" xfId="0" applyNumberFormat="1" applyFont="1" applyBorder="1" applyAlignment="1">
      <alignment horizontal="center"/>
    </xf>
    <xf numFmtId="164" fontId="2" fillId="0" borderId="42" xfId="0" applyNumberFormat="1" applyFont="1" applyBorder="1" applyAlignment="1">
      <alignment horizontal="center" vertical="center" wrapText="1"/>
    </xf>
    <xf numFmtId="164" fontId="2" fillId="0" borderId="38" xfId="0" applyNumberFormat="1" applyFont="1" applyBorder="1" applyAlignment="1">
      <alignment horizontal="center" vertical="center" wrapText="1"/>
    </xf>
    <xf numFmtId="164" fontId="2" fillId="0" borderId="48" xfId="0" applyNumberFormat="1" applyFont="1" applyBorder="1" applyAlignment="1">
      <alignment horizontal="center" vertical="center" wrapText="1"/>
    </xf>
    <xf numFmtId="0" fontId="4" fillId="7" borderId="0" xfId="0" applyFont="1" applyFill="1" applyBorder="1"/>
    <xf numFmtId="44" fontId="0" fillId="7" borderId="0" xfId="0" applyNumberFormat="1" applyFill="1"/>
    <xf numFmtId="164" fontId="46" fillId="0" borderId="37" xfId="0" applyNumberFormat="1" applyFont="1" applyBorder="1" applyAlignment="1">
      <alignment horizontal="center"/>
    </xf>
    <xf numFmtId="164" fontId="46" fillId="0" borderId="53" xfId="0" applyNumberFormat="1" applyFont="1" applyFill="1" applyBorder="1" applyAlignment="1">
      <alignment horizontal="center"/>
    </xf>
    <xf numFmtId="164" fontId="46" fillId="0" borderId="53" xfId="0" applyNumberFormat="1" applyFont="1" applyBorder="1" applyAlignment="1">
      <alignment horizontal="center"/>
    </xf>
    <xf numFmtId="164" fontId="46" fillId="0" borderId="42" xfId="0" applyNumberFormat="1" applyFont="1" applyBorder="1" applyAlignment="1">
      <alignment horizontal="center"/>
    </xf>
    <xf numFmtId="164" fontId="46" fillId="0" borderId="29" xfId="0" applyNumberFormat="1" applyFont="1" applyFill="1" applyBorder="1" applyAlignment="1">
      <alignment horizontal="center"/>
    </xf>
    <xf numFmtId="164" fontId="46" fillId="0" borderId="29" xfId="0" applyNumberFormat="1" applyFont="1" applyBorder="1" applyAlignment="1">
      <alignment horizontal="center"/>
    </xf>
    <xf numFmtId="164" fontId="46" fillId="0" borderId="69" xfId="0" applyNumberFormat="1" applyFont="1" applyBorder="1" applyAlignment="1">
      <alignment horizontal="center"/>
    </xf>
    <xf numFmtId="164" fontId="46" fillId="0" borderId="26" xfId="0" applyNumberFormat="1" applyFont="1" applyFill="1" applyBorder="1" applyAlignment="1">
      <alignment horizontal="center"/>
    </xf>
    <xf numFmtId="164" fontId="46" fillId="0" borderId="26" xfId="0" applyNumberFormat="1" applyFont="1" applyBorder="1" applyAlignment="1">
      <alignment horizontal="center"/>
    </xf>
    <xf numFmtId="164" fontId="46" fillId="0" borderId="62" xfId="0" applyNumberFormat="1" applyFont="1" applyBorder="1" applyAlignment="1">
      <alignment horizontal="center"/>
    </xf>
    <xf numFmtId="164" fontId="46" fillId="0" borderId="27" xfId="0" applyNumberFormat="1" applyFont="1" applyFill="1" applyBorder="1" applyAlignment="1">
      <alignment horizontal="center"/>
    </xf>
    <xf numFmtId="164" fontId="46" fillId="0" borderId="27" xfId="0" applyNumberFormat="1" applyFont="1" applyBorder="1" applyAlignment="1">
      <alignment horizontal="center"/>
    </xf>
    <xf numFmtId="0" fontId="14" fillId="0" borderId="29" xfId="0" applyFont="1" applyFill="1" applyBorder="1" applyAlignment="1">
      <alignment vertical="center" wrapText="1"/>
    </xf>
    <xf numFmtId="0" fontId="6" fillId="0" borderId="29" xfId="0" applyFont="1" applyFill="1" applyBorder="1" applyAlignment="1">
      <alignment vertical="center" wrapText="1"/>
    </xf>
    <xf numFmtId="0" fontId="0" fillId="0" borderId="29" xfId="0" applyFill="1" applyBorder="1" applyAlignment="1">
      <alignment wrapText="1"/>
    </xf>
    <xf numFmtId="0" fontId="0" fillId="0" borderId="29" xfId="1" applyNumberFormat="1" applyFont="1" applyBorder="1" applyAlignment="1">
      <alignment horizontal="center"/>
    </xf>
    <xf numFmtId="0" fontId="4" fillId="0" borderId="0" xfId="0" applyFont="1" applyFill="1" applyAlignment="1">
      <alignment horizontal="center"/>
    </xf>
    <xf numFmtId="164" fontId="0" fillId="0" borderId="0" xfId="0" applyNumberFormat="1" applyFill="1" applyBorder="1"/>
    <xf numFmtId="164" fontId="4" fillId="0" borderId="0" xfId="0" applyNumberFormat="1" applyFont="1" applyFill="1" applyBorder="1"/>
    <xf numFmtId="164" fontId="2" fillId="0" borderId="5" xfId="1"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164" fontId="2" fillId="0" borderId="7" xfId="1" applyNumberFormat="1" applyFont="1" applyBorder="1" applyAlignment="1">
      <alignment horizontal="center"/>
    </xf>
    <xf numFmtId="164" fontId="2" fillId="0" borderId="14" xfId="0" applyNumberFormat="1" applyFont="1" applyBorder="1" applyAlignment="1">
      <alignment horizontal="center" vertical="center" wrapText="1"/>
    </xf>
    <xf numFmtId="164" fontId="2" fillId="0" borderId="42" xfId="0" applyNumberFormat="1" applyFont="1" applyFill="1" applyBorder="1" applyAlignment="1">
      <alignment horizontal="center"/>
    </xf>
    <xf numFmtId="164" fontId="2" fillId="0" borderId="52" xfId="0" applyNumberFormat="1" applyFont="1" applyBorder="1" applyAlignment="1">
      <alignment horizontal="center"/>
    </xf>
    <xf numFmtId="164" fontId="2" fillId="0" borderId="48" xfId="0" applyNumberFormat="1" applyFont="1" applyFill="1" applyBorder="1" applyAlignment="1">
      <alignment horizontal="center"/>
    </xf>
    <xf numFmtId="164" fontId="2" fillId="0" borderId="66" xfId="0" applyNumberFormat="1" applyFont="1" applyBorder="1" applyAlignment="1">
      <alignment horizontal="center"/>
    </xf>
    <xf numFmtId="164" fontId="2" fillId="0" borderId="9" xfId="1" applyNumberFormat="1" applyFont="1" applyBorder="1" applyAlignment="1">
      <alignment horizontal="center"/>
    </xf>
    <xf numFmtId="164" fontId="2" fillId="0" borderId="10" xfId="0" applyNumberFormat="1" applyFont="1" applyBorder="1" applyAlignment="1">
      <alignment horizontal="center"/>
    </xf>
    <xf numFmtId="164" fontId="2" fillId="0" borderId="50" xfId="0" applyNumberFormat="1" applyFont="1" applyBorder="1" applyAlignment="1">
      <alignment horizontal="center" vertical="center" wrapText="1"/>
    </xf>
    <xf numFmtId="0" fontId="2" fillId="2" borderId="3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1" xfId="0" applyFont="1" applyFill="1" applyBorder="1" applyAlignment="1">
      <alignment horizontal="center" vertical="center" wrapText="1"/>
    </xf>
    <xf numFmtId="164" fontId="2" fillId="0" borderId="53" xfId="1" applyNumberFormat="1" applyFont="1" applyBorder="1" applyAlignment="1">
      <alignment horizontal="center" vertical="center" wrapText="1"/>
    </xf>
    <xf numFmtId="164" fontId="2" fillId="0" borderId="29" xfId="1" applyNumberFormat="1" applyFont="1" applyBorder="1" applyAlignment="1">
      <alignment horizontal="center"/>
    </xf>
    <xf numFmtId="164" fontId="2" fillId="0" borderId="54" xfId="1" applyNumberFormat="1" applyFont="1" applyBorder="1" applyAlignment="1">
      <alignment horizontal="center"/>
    </xf>
    <xf numFmtId="164" fontId="2" fillId="0" borderId="61" xfId="0" applyNumberFormat="1" applyFont="1" applyBorder="1" applyAlignment="1">
      <alignment horizontal="center" vertical="center" wrapText="1"/>
    </xf>
    <xf numFmtId="164" fontId="2" fillId="0" borderId="60" xfId="0" applyNumberFormat="1" applyFont="1" applyBorder="1" applyAlignment="1">
      <alignment horizontal="center" vertical="center" wrapText="1"/>
    </xf>
    <xf numFmtId="164" fontId="2" fillId="0" borderId="52" xfId="0" applyNumberFormat="1" applyFont="1" applyBorder="1" applyAlignment="1">
      <alignment horizontal="center" vertical="center" wrapText="1"/>
    </xf>
    <xf numFmtId="0" fontId="2" fillId="0" borderId="47" xfId="0" applyFont="1" applyBorder="1" applyAlignment="1">
      <alignment horizontal="center"/>
    </xf>
    <xf numFmtId="164" fontId="2" fillId="0" borderId="47" xfId="1" applyNumberFormat="1" applyFont="1" applyBorder="1" applyAlignment="1">
      <alignment horizontal="center"/>
    </xf>
    <xf numFmtId="164" fontId="2" fillId="0" borderId="28" xfId="1" applyNumberFormat="1" applyFont="1" applyBorder="1" applyAlignment="1">
      <alignment horizontal="center"/>
    </xf>
    <xf numFmtId="164" fontId="2" fillId="0" borderId="57" xfId="0" applyNumberFormat="1" applyFont="1" applyBorder="1" applyAlignment="1">
      <alignment horizontal="center" vertical="center" wrapText="1"/>
    </xf>
    <xf numFmtId="0" fontId="2" fillId="0" borderId="7" xfId="0" applyFont="1" applyBorder="1" applyAlignment="1">
      <alignment horizontal="center" vertical="center" wrapText="1"/>
    </xf>
    <xf numFmtId="164" fontId="2" fillId="0" borderId="7" xfId="1" applyNumberFormat="1" applyFont="1" applyBorder="1" applyAlignment="1">
      <alignment horizontal="center" vertical="center" wrapText="1"/>
    </xf>
    <xf numFmtId="164" fontId="2" fillId="0" borderId="29" xfId="1" applyNumberFormat="1" applyFont="1" applyBorder="1" applyAlignment="1">
      <alignment horizontal="center" vertical="center" wrapText="1"/>
    </xf>
    <xf numFmtId="164" fontId="2" fillId="0" borderId="42" xfId="0" applyNumberFormat="1" applyFont="1" applyFill="1" applyBorder="1" applyAlignment="1">
      <alignment horizontal="center" vertical="center" wrapText="1"/>
    </xf>
    <xf numFmtId="6" fontId="2" fillId="0" borderId="48" xfId="0" applyNumberFormat="1" applyFont="1" applyBorder="1" applyAlignment="1">
      <alignment horizontal="center"/>
    </xf>
    <xf numFmtId="6" fontId="2" fillId="0" borderId="49" xfId="0" applyNumberFormat="1" applyFont="1" applyBorder="1" applyAlignment="1">
      <alignment horizontal="center"/>
    </xf>
    <xf numFmtId="0" fontId="4" fillId="0" borderId="30" xfId="0" applyFont="1" applyBorder="1" applyAlignment="1">
      <alignment horizontal="left"/>
    </xf>
    <xf numFmtId="3" fontId="2" fillId="0" borderId="14" xfId="0" applyNumberFormat="1" applyFont="1" applyBorder="1" applyAlignment="1">
      <alignment horizontal="center"/>
    </xf>
    <xf numFmtId="174" fontId="2" fillId="0" borderId="42" xfId="0" applyNumberFormat="1" applyFont="1" applyBorder="1" applyAlignment="1">
      <alignment horizontal="center"/>
    </xf>
    <xf numFmtId="174" fontId="2" fillId="0" borderId="29" xfId="0" applyNumberFormat="1" applyFont="1" applyBorder="1" applyAlignment="1">
      <alignment horizontal="center"/>
    </xf>
    <xf numFmtId="174" fontId="2" fillId="0" borderId="20" xfId="0" applyNumberFormat="1" applyFont="1" applyBorder="1" applyAlignment="1">
      <alignment horizontal="center"/>
    </xf>
    <xf numFmtId="6" fontId="2" fillId="0" borderId="29" xfId="0" applyNumberFormat="1" applyFont="1" applyBorder="1" applyAlignment="1">
      <alignment horizontal="center"/>
    </xf>
    <xf numFmtId="6" fontId="2" fillId="0" borderId="20" xfId="0" applyNumberFormat="1" applyFont="1" applyBorder="1" applyAlignment="1">
      <alignment horizontal="center"/>
    </xf>
    <xf numFmtId="6" fontId="2" fillId="0" borderId="14" xfId="0" applyNumberFormat="1" applyFont="1" applyBorder="1" applyAlignment="1">
      <alignment horizontal="center"/>
    </xf>
    <xf numFmtId="6" fontId="2" fillId="0" borderId="42" xfId="0" applyNumberFormat="1" applyFont="1" applyBorder="1" applyAlignment="1">
      <alignment horizontal="center"/>
    </xf>
    <xf numFmtId="175" fontId="0" fillId="0" borderId="29" xfId="0" applyNumberFormat="1" applyBorder="1" applyAlignment="1">
      <alignment horizontal="center" vertical="center"/>
    </xf>
    <xf numFmtId="175" fontId="0" fillId="0" borderId="29" xfId="0" applyNumberFormat="1" applyBorder="1"/>
    <xf numFmtId="0" fontId="14" fillId="0" borderId="0" xfId="0" applyFont="1" applyAlignment="1">
      <alignment horizontal="center"/>
    </xf>
    <xf numFmtId="0" fontId="6" fillId="0" borderId="0" xfId="0" applyFont="1" applyAlignment="1">
      <alignment horizontal="center" vertical="center"/>
    </xf>
    <xf numFmtId="0" fontId="4" fillId="0" borderId="29" xfId="0" applyFont="1" applyBorder="1" applyAlignment="1">
      <alignment vertical="center"/>
    </xf>
    <xf numFmtId="6" fontId="0" fillId="0" borderId="29" xfId="0" applyNumberFormat="1" applyBorder="1"/>
    <xf numFmtId="6" fontId="3" fillId="0" borderId="0" xfId="0" applyNumberFormat="1" applyFont="1"/>
    <xf numFmtId="6" fontId="2" fillId="0" borderId="0" xfId="0" applyNumberFormat="1" applyFont="1" applyAlignment="1">
      <alignment horizontal="center"/>
    </xf>
    <xf numFmtId="0" fontId="0" fillId="0" borderId="0" xfId="0" applyAlignment="1">
      <alignment wrapText="1"/>
    </xf>
    <xf numFmtId="0" fontId="4" fillId="0" borderId="0" xfId="0" applyFont="1" applyAlignment="1">
      <alignment horizontal="center" vertical="center" textRotation="90" wrapText="1"/>
    </xf>
    <xf numFmtId="3" fontId="2" fillId="0" borderId="5" xfId="1" applyNumberFormat="1" applyFont="1" applyBorder="1" applyAlignment="1">
      <alignment horizontal="center" vertical="center" wrapText="1"/>
    </xf>
    <xf numFmtId="3" fontId="2" fillId="0" borderId="53" xfId="1" applyNumberFormat="1" applyFont="1" applyBorder="1" applyAlignment="1">
      <alignment horizontal="center" vertical="center" wrapText="1"/>
    </xf>
    <xf numFmtId="3" fontId="2" fillId="0" borderId="61" xfId="0"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3" fontId="2" fillId="0" borderId="29" xfId="1" applyNumberFormat="1" applyFont="1" applyBorder="1" applyAlignment="1">
      <alignment horizontal="center" vertical="center" wrapText="1"/>
    </xf>
    <xf numFmtId="3" fontId="2" fillId="0" borderId="52" xfId="0" applyNumberFormat="1" applyFont="1" applyBorder="1" applyAlignment="1">
      <alignment horizontal="center" vertical="center" wrapText="1"/>
    </xf>
    <xf numFmtId="3" fontId="2" fillId="0" borderId="47" xfId="1" applyNumberFormat="1" applyFont="1" applyBorder="1" applyAlignment="1">
      <alignment horizontal="center"/>
    </xf>
    <xf numFmtId="3" fontId="2" fillId="0" borderId="28" xfId="1" applyNumberFormat="1" applyFont="1" applyBorder="1" applyAlignment="1">
      <alignment horizontal="center"/>
    </xf>
    <xf numFmtId="3" fontId="2" fillId="0" borderId="57" xfId="0" applyNumberFormat="1" applyFont="1" applyBorder="1" applyAlignment="1">
      <alignment horizontal="center" vertical="center" wrapText="1"/>
    </xf>
    <xf numFmtId="3" fontId="2" fillId="0" borderId="7" xfId="1" applyNumberFormat="1" applyFont="1" applyBorder="1" applyAlignment="1">
      <alignment horizontal="center"/>
    </xf>
    <xf numFmtId="3" fontId="2" fillId="0" borderId="29" xfId="1" applyNumberFormat="1" applyFont="1" applyBorder="1" applyAlignment="1">
      <alignment horizontal="center"/>
    </xf>
    <xf numFmtId="3" fontId="2" fillId="0" borderId="91" xfId="1" applyNumberFormat="1" applyFont="1" applyBorder="1" applyAlignment="1">
      <alignment horizontal="center"/>
    </xf>
    <xf numFmtId="3" fontId="2" fillId="0" borderId="26" xfId="1" applyNumberFormat="1" applyFont="1" applyBorder="1" applyAlignment="1">
      <alignment horizontal="center"/>
    </xf>
    <xf numFmtId="3" fontId="2" fillId="0" borderId="92" xfId="0" applyNumberFormat="1" applyFont="1" applyBorder="1" applyAlignment="1">
      <alignment horizontal="center" vertical="center" wrapText="1"/>
    </xf>
    <xf numFmtId="3" fontId="2" fillId="0" borderId="9" xfId="1" applyNumberFormat="1" applyFont="1" applyBorder="1" applyAlignment="1">
      <alignment horizontal="center"/>
    </xf>
    <xf numFmtId="3" fontId="2" fillId="0" borderId="54" xfId="1" applyNumberFormat="1" applyFont="1" applyBorder="1" applyAlignment="1">
      <alignment horizontal="center"/>
    </xf>
    <xf numFmtId="3" fontId="2" fillId="0" borderId="60" xfId="0" applyNumberFormat="1" applyFont="1" applyBorder="1" applyAlignment="1">
      <alignment horizontal="center" vertical="center" wrapText="1"/>
    </xf>
    <xf numFmtId="6" fontId="47" fillId="0" borderId="0" xfId="1" applyNumberFormat="1" applyFont="1"/>
    <xf numFmtId="3" fontId="2" fillId="0" borderId="50" xfId="0" applyNumberFormat="1" applyFont="1" applyBorder="1" applyAlignment="1">
      <alignment horizontal="center"/>
    </xf>
    <xf numFmtId="174" fontId="2" fillId="0" borderId="48" xfId="0" applyNumberFormat="1" applyFont="1" applyBorder="1" applyAlignment="1">
      <alignment horizontal="center"/>
    </xf>
    <xf numFmtId="174" fontId="2" fillId="0" borderId="28" xfId="0" applyNumberFormat="1" applyFont="1" applyBorder="1" applyAlignment="1">
      <alignment horizontal="center"/>
    </xf>
    <xf numFmtId="174" fontId="2" fillId="0" borderId="49" xfId="0" applyNumberFormat="1" applyFont="1" applyBorder="1" applyAlignment="1">
      <alignment horizontal="center"/>
    </xf>
    <xf numFmtId="6" fontId="2" fillId="0" borderId="28" xfId="0" applyNumberFormat="1" applyFont="1" applyBorder="1" applyAlignment="1">
      <alignment horizontal="center"/>
    </xf>
    <xf numFmtId="6" fontId="2" fillId="0" borderId="50" xfId="0" applyNumberFormat="1" applyFont="1" applyBorder="1" applyAlignment="1">
      <alignment horizontal="center"/>
    </xf>
    <xf numFmtId="0" fontId="2" fillId="0" borderId="29" xfId="0" applyFont="1" applyBorder="1" applyAlignment="1">
      <alignment horizontal="center" vertical="center" wrapText="1"/>
    </xf>
    <xf numFmtId="0" fontId="2" fillId="0" borderId="14" xfId="0" applyFont="1" applyBorder="1" applyAlignment="1">
      <alignment horizontal="center" vertical="center" wrapText="1"/>
    </xf>
    <xf numFmtId="173" fontId="2" fillId="0" borderId="50" xfId="0" applyNumberFormat="1" applyFont="1" applyBorder="1" applyAlignment="1">
      <alignment horizontal="center"/>
    </xf>
    <xf numFmtId="0" fontId="2" fillId="0" borderId="42" xfId="0" applyFont="1" applyBorder="1" applyAlignment="1">
      <alignment horizontal="center" vertical="center" wrapText="1"/>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14" xfId="0" applyFont="1" applyBorder="1" applyAlignment="1">
      <alignment horizontal="center" vertical="center"/>
    </xf>
    <xf numFmtId="0" fontId="2" fillId="0" borderId="42" xfId="0" applyFont="1" applyBorder="1" applyAlignment="1">
      <alignment horizontal="center" vertical="center"/>
    </xf>
    <xf numFmtId="49" fontId="2" fillId="0" borderId="20" xfId="0" applyNumberFormat="1" applyFont="1" applyBorder="1" applyAlignment="1">
      <alignment horizontal="center" vertical="center" wrapText="1"/>
    </xf>
    <xf numFmtId="0" fontId="0" fillId="0" borderId="29" xfId="0" applyFill="1" applyBorder="1" applyAlignment="1">
      <alignment horizontal="center" vertical="center"/>
    </xf>
    <xf numFmtId="0" fontId="0" fillId="0" borderId="0" xfId="0" quotePrefix="1"/>
    <xf numFmtId="3" fontId="2" fillId="0" borderId="0" xfId="0" applyNumberFormat="1" applyFont="1" applyAlignment="1">
      <alignment horizontal="center"/>
    </xf>
    <xf numFmtId="0" fontId="0" fillId="0" borderId="29" xfId="0" applyBorder="1" applyAlignment="1">
      <alignment horizontal="left"/>
    </xf>
    <xf numFmtId="0" fontId="0" fillId="0" borderId="0" xfId="0" applyAlignment="1">
      <alignment horizontal="left"/>
    </xf>
    <xf numFmtId="0" fontId="0" fillId="0" borderId="0" xfId="0" applyAlignment="1">
      <alignment horizontal="right"/>
    </xf>
    <xf numFmtId="0" fontId="2" fillId="0" borderId="29" xfId="0" applyFont="1" applyBorder="1" applyAlignment="1">
      <alignment vertical="center" wrapText="1"/>
    </xf>
    <xf numFmtId="1" fontId="2" fillId="0" borderId="29" xfId="0" applyNumberFormat="1" applyFont="1" applyBorder="1" applyAlignment="1">
      <alignment vertical="center"/>
    </xf>
    <xf numFmtId="0" fontId="0" fillId="0" borderId="0" xfId="0"/>
    <xf numFmtId="0" fontId="0" fillId="0" borderId="0" xfId="0"/>
    <xf numFmtId="0" fontId="0" fillId="0" borderId="29" xfId="0" applyBorder="1"/>
    <xf numFmtId="165" fontId="6" fillId="0" borderId="29" xfId="1" applyNumberFormat="1" applyFont="1" applyFill="1" applyBorder="1" applyAlignment="1">
      <alignment vertical="center" wrapText="1"/>
    </xf>
    <xf numFmtId="165" fontId="0" fillId="0" borderId="24" xfId="0" applyNumberFormat="1" applyBorder="1"/>
    <xf numFmtId="165" fontId="0" fillId="0" borderId="29" xfId="0" applyNumberFormat="1" applyBorder="1"/>
    <xf numFmtId="165" fontId="6" fillId="0" borderId="29" xfId="0" applyNumberFormat="1" applyFont="1" applyBorder="1" applyAlignment="1">
      <alignment vertical="center" wrapText="1"/>
    </xf>
    <xf numFmtId="165" fontId="6" fillId="6" borderId="29" xfId="0" applyNumberFormat="1" applyFont="1" applyFill="1" applyBorder="1" applyAlignment="1">
      <alignment vertical="center" wrapText="1"/>
    </xf>
    <xf numFmtId="0" fontId="0" fillId="6" borderId="29" xfId="0" applyFill="1" applyBorder="1"/>
    <xf numFmtId="165" fontId="0" fillId="6" borderId="24" xfId="0" applyNumberFormat="1" applyFill="1" applyBorder="1"/>
    <xf numFmtId="9" fontId="0" fillId="6" borderId="29" xfId="16" applyFont="1" applyFill="1" applyBorder="1"/>
    <xf numFmtId="165" fontId="0" fillId="6" borderId="29" xfId="0" applyNumberFormat="1" applyFill="1" applyBorder="1"/>
    <xf numFmtId="165" fontId="6" fillId="7" borderId="29" xfId="1" applyNumberFormat="1" applyFont="1" applyFill="1" applyBorder="1" applyAlignment="1">
      <alignment vertical="center" wrapText="1"/>
    </xf>
    <xf numFmtId="165" fontId="1" fillId="7" borderId="29" xfId="1" applyNumberFormat="1" applyFont="1" applyFill="1" applyBorder="1"/>
    <xf numFmtId="165" fontId="0" fillId="7" borderId="24" xfId="0" applyNumberFormat="1" applyFill="1" applyBorder="1"/>
    <xf numFmtId="9" fontId="0" fillId="7" borderId="29" xfId="16" applyFont="1" applyFill="1" applyBorder="1"/>
    <xf numFmtId="165" fontId="0" fillId="7" borderId="29" xfId="0" applyNumberFormat="1" applyFill="1" applyBorder="1"/>
    <xf numFmtId="165" fontId="6" fillId="6" borderId="29" xfId="1" applyNumberFormat="1" applyFont="1" applyFill="1" applyBorder="1" applyAlignment="1">
      <alignment vertical="center" wrapText="1"/>
    </xf>
    <xf numFmtId="165" fontId="1" fillId="6" borderId="29" xfId="1" applyNumberFormat="1" applyFont="1" applyFill="1" applyBorder="1"/>
    <xf numFmtId="165" fontId="6" fillId="0" borderId="24" xfId="1" applyNumberFormat="1" applyFont="1" applyFill="1" applyBorder="1" applyAlignment="1">
      <alignment vertical="center" wrapText="1"/>
    </xf>
    <xf numFmtId="9" fontId="6" fillId="0" borderId="29" xfId="16" applyFont="1" applyFill="1" applyBorder="1" applyAlignment="1">
      <alignment vertical="center" wrapText="1"/>
    </xf>
    <xf numFmtId="165" fontId="1" fillId="0" borderId="29" xfId="1" applyNumberFormat="1" applyFont="1" applyBorder="1"/>
    <xf numFmtId="165" fontId="6" fillId="6" borderId="0" xfId="1" applyNumberFormat="1" applyFont="1" applyFill="1" applyBorder="1" applyAlignment="1">
      <alignment vertical="center" wrapText="1"/>
    </xf>
    <xf numFmtId="165" fontId="1" fillId="6" borderId="0" xfId="1" applyNumberFormat="1" applyFont="1" applyFill="1"/>
    <xf numFmtId="0" fontId="0" fillId="6" borderId="0" xfId="0" applyFill="1"/>
    <xf numFmtId="165" fontId="0" fillId="6" borderId="0" xfId="0" applyNumberFormat="1" applyFill="1"/>
    <xf numFmtId="0" fontId="0" fillId="0" borderId="0" xfId="0" applyAlignment="1">
      <alignment horizontal="center"/>
    </xf>
    <xf numFmtId="44" fontId="0" fillId="0" borderId="29" xfId="1" applyFont="1" applyFill="1" applyBorder="1"/>
    <xf numFmtId="0" fontId="4" fillId="0" borderId="0" xfId="0" applyFont="1"/>
    <xf numFmtId="37" fontId="2" fillId="0" borderId="53" xfId="15" applyNumberFormat="1" applyFont="1" applyFill="1" applyBorder="1" applyAlignment="1">
      <alignment horizontal="center"/>
    </xf>
    <xf numFmtId="6" fontId="2" fillId="0" borderId="19" xfId="0" applyNumberFormat="1" applyFont="1" applyBorder="1" applyAlignment="1">
      <alignment horizontal="right"/>
    </xf>
    <xf numFmtId="169" fontId="0" fillId="0" borderId="29" xfId="0" applyNumberFormat="1" applyBorder="1" applyAlignment="1">
      <alignment horizontal="center"/>
    </xf>
    <xf numFmtId="37" fontId="2" fillId="0" borderId="29" xfId="15" applyNumberFormat="1" applyFont="1" applyFill="1" applyBorder="1" applyAlignment="1">
      <alignment horizontal="center"/>
    </xf>
    <xf numFmtId="6" fontId="2" fillId="0" borderId="20" xfId="15" applyNumberFormat="1" applyFont="1" applyFill="1" applyBorder="1" applyAlignment="1">
      <alignment horizontal="right"/>
    </xf>
    <xf numFmtId="37" fontId="2" fillId="0" borderId="54" xfId="15" applyNumberFormat="1" applyFont="1" applyFill="1" applyBorder="1" applyAlignment="1">
      <alignment horizontal="center"/>
    </xf>
    <xf numFmtId="6" fontId="2" fillId="0" borderId="21" xfId="15" applyNumberFormat="1" applyFont="1" applyFill="1" applyBorder="1" applyAlignment="1">
      <alignment horizontal="right"/>
    </xf>
    <xf numFmtId="6" fontId="2" fillId="0" borderId="8" xfId="15" applyNumberFormat="1" applyFont="1" applyFill="1" applyBorder="1" applyAlignment="1">
      <alignment horizontal="right"/>
    </xf>
    <xf numFmtId="6" fontId="2" fillId="0" borderId="10" xfId="15" applyNumberFormat="1" applyFont="1" applyFill="1" applyBorder="1" applyAlignment="1">
      <alignment horizontal="right"/>
    </xf>
    <xf numFmtId="6" fontId="2" fillId="0" borderId="23" xfId="15" applyNumberFormat="1" applyFont="1" applyFill="1" applyBorder="1" applyAlignment="1">
      <alignment horizontal="right"/>
    </xf>
    <xf numFmtId="6" fontId="2" fillId="0" borderId="24" xfId="15" applyNumberFormat="1" applyFont="1" applyFill="1" applyBorder="1" applyAlignment="1">
      <alignment horizontal="right"/>
    </xf>
    <xf numFmtId="38" fontId="3" fillId="0" borderId="43" xfId="0" applyNumberFormat="1" applyFont="1" applyBorder="1"/>
    <xf numFmtId="6" fontId="2" fillId="0" borderId="40" xfId="0" applyNumberFormat="1" applyFont="1" applyBorder="1" applyAlignment="1">
      <alignment horizontal="right" indent="1"/>
    </xf>
    <xf numFmtId="6" fontId="0" fillId="0" borderId="71" xfId="0" applyNumberFormat="1" applyBorder="1"/>
    <xf numFmtId="164" fontId="2" fillId="0" borderId="6"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30" xfId="0" applyNumberFormat="1" applyFont="1" applyBorder="1" applyAlignment="1">
      <alignment horizontal="center" vertical="center" wrapText="1"/>
    </xf>
    <xf numFmtId="0" fontId="3" fillId="0" borderId="63" xfId="0" applyFont="1" applyFill="1" applyBorder="1" applyAlignment="1">
      <alignment horizontal="center" vertical="center" wrapText="1"/>
    </xf>
    <xf numFmtId="6" fontId="2" fillId="0" borderId="0" xfId="0" applyNumberFormat="1" applyFont="1" applyFill="1" applyBorder="1" applyAlignment="1">
      <alignment horizontal="center"/>
    </xf>
    <xf numFmtId="0" fontId="2" fillId="0" borderId="9" xfId="0" applyFont="1" applyBorder="1" applyAlignment="1">
      <alignment horizontal="center"/>
    </xf>
    <xf numFmtId="164" fontId="2" fillId="0" borderId="48" xfId="0" applyNumberFormat="1" applyFont="1" applyFill="1" applyBorder="1" applyAlignment="1">
      <alignment horizontal="center" vertical="center" wrapText="1"/>
    </xf>
    <xf numFmtId="0" fontId="0" fillId="0" borderId="0" xfId="0" applyFill="1"/>
    <xf numFmtId="0" fontId="0" fillId="0" borderId="0" xfId="0" applyAlignment="1">
      <alignment horizontal="left" vertical="top" wrapText="1"/>
    </xf>
    <xf numFmtId="0" fontId="0" fillId="0" borderId="0" xfId="0"/>
    <xf numFmtId="0" fontId="0" fillId="0" borderId="0" xfId="0" applyAlignment="1">
      <alignment horizontal="right"/>
    </xf>
    <xf numFmtId="0" fontId="0" fillId="0" borderId="0" xfId="0" applyAlignment="1">
      <alignment horizontal="center"/>
    </xf>
    <xf numFmtId="165" fontId="0" fillId="7" borderId="0" xfId="1" applyNumberFormat="1" applyFont="1" applyFill="1"/>
    <xf numFmtId="176" fontId="0" fillId="2" borderId="49" xfId="0" applyNumberFormat="1" applyFill="1" applyBorder="1" applyAlignment="1">
      <alignment horizontal="center"/>
    </xf>
    <xf numFmtId="176" fontId="0" fillId="2" borderId="45" xfId="0" applyNumberFormat="1" applyFill="1" applyBorder="1" applyAlignment="1">
      <alignment horizontal="center"/>
    </xf>
    <xf numFmtId="173" fontId="0" fillId="0" borderId="74" xfId="0" applyNumberFormat="1" applyBorder="1" applyAlignment="1">
      <alignment horizontal="center"/>
    </xf>
    <xf numFmtId="0" fontId="4" fillId="2" borderId="38" xfId="0" applyFont="1" applyFill="1" applyBorder="1"/>
    <xf numFmtId="176" fontId="0" fillId="0" borderId="21" xfId="0" applyNumberFormat="1" applyBorder="1" applyAlignment="1">
      <alignment horizontal="center"/>
    </xf>
    <xf numFmtId="0" fontId="0" fillId="0" borderId="0" xfId="0" applyFill="1" applyAlignment="1">
      <alignment horizontal="left" vertical="top" wrapText="1"/>
    </xf>
    <xf numFmtId="0" fontId="2" fillId="0" borderId="13" xfId="0" applyFont="1" applyBorder="1" applyAlignment="1">
      <alignment horizontal="center" vertical="center" wrapText="1"/>
    </xf>
    <xf numFmtId="0" fontId="0" fillId="0" borderId="29" xfId="0" applyBorder="1"/>
    <xf numFmtId="0" fontId="0" fillId="0" borderId="0" xfId="0"/>
    <xf numFmtId="0" fontId="0" fillId="4" borderId="0" xfId="0" applyFill="1" applyAlignment="1">
      <alignment horizontal="left" vertical="top" wrapText="1"/>
    </xf>
    <xf numFmtId="164" fontId="0" fillId="0" borderId="0" xfId="0" applyNumberFormat="1" applyAlignment="1">
      <alignment horizontal="center"/>
    </xf>
    <xf numFmtId="0" fontId="0" fillId="0" borderId="0" xfId="0" applyFill="1" applyAlignment="1">
      <alignment horizontal="left"/>
    </xf>
    <xf numFmtId="0" fontId="0" fillId="0" borderId="0" xfId="0" applyFill="1" applyAlignment="1">
      <alignment horizontal="left" vertical="top"/>
    </xf>
    <xf numFmtId="164" fontId="0" fillId="0" borderId="0" xfId="0" applyNumberFormat="1" applyBorder="1"/>
    <xf numFmtId="164" fontId="4" fillId="0" borderId="0" xfId="0" applyNumberFormat="1" applyFont="1" applyBorder="1"/>
    <xf numFmtId="0" fontId="0" fillId="0" borderId="66" xfId="0" applyBorder="1" applyAlignment="1">
      <alignment horizontal="left"/>
    </xf>
    <xf numFmtId="10" fontId="0" fillId="0" borderId="29" xfId="0" applyNumberFormat="1" applyFill="1" applyBorder="1"/>
    <xf numFmtId="3" fontId="0" fillId="0" borderId="0" xfId="0" applyNumberFormat="1" applyFill="1" applyAlignment="1">
      <alignment horizontal="center"/>
    </xf>
    <xf numFmtId="0" fontId="4" fillId="0" borderId="0" xfId="0" applyFont="1" applyFill="1" applyBorder="1"/>
    <xf numFmtId="0" fontId="0" fillId="0" borderId="29" xfId="0" applyFill="1" applyBorder="1"/>
    <xf numFmtId="3" fontId="0" fillId="0" borderId="0" xfId="0" applyNumberFormat="1" applyFill="1" applyBorder="1" applyAlignment="1">
      <alignment horizontal="center"/>
    </xf>
    <xf numFmtId="0" fontId="0" fillId="0" borderId="24" xfId="0" applyFill="1" applyBorder="1"/>
    <xf numFmtId="170" fontId="0" fillId="0" borderId="29" xfId="0" applyNumberFormat="1" applyFill="1" applyBorder="1" applyAlignment="1">
      <alignment horizontal="center"/>
    </xf>
    <xf numFmtId="0" fontId="50" fillId="0" borderId="0" xfId="0" applyFont="1"/>
    <xf numFmtId="169" fontId="0" fillId="0" borderId="65" xfId="0" applyNumberFormat="1" applyBorder="1"/>
    <xf numFmtId="0" fontId="0" fillId="0" borderId="65" xfId="0" applyBorder="1" applyAlignment="1"/>
    <xf numFmtId="0" fontId="21" fillId="0" borderId="0" xfId="18" applyAlignment="1">
      <alignment vertical="top"/>
    </xf>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right"/>
    </xf>
    <xf numFmtId="0" fontId="21" fillId="0" borderId="0" xfId="18" applyFill="1" applyAlignment="1">
      <alignment horizontal="left" vertical="top" wrapText="1"/>
    </xf>
    <xf numFmtId="0" fontId="0" fillId="0" borderId="0" xfId="0"/>
    <xf numFmtId="164" fontId="2" fillId="0" borderId="60" xfId="0" applyNumberFormat="1" applyFont="1" applyBorder="1" applyAlignment="1">
      <alignment horizontal="center"/>
    </xf>
    <xf numFmtId="0" fontId="51" fillId="14" borderId="33" xfId="0" applyFont="1" applyFill="1" applyBorder="1" applyAlignment="1">
      <alignment vertical="center"/>
    </xf>
    <xf numFmtId="0" fontId="51" fillId="14" borderId="12" xfId="0" applyFont="1" applyFill="1" applyBorder="1" applyAlignment="1">
      <alignment vertical="center"/>
    </xf>
    <xf numFmtId="0" fontId="51" fillId="14" borderId="32" xfId="0" applyFont="1" applyFill="1" applyBorder="1" applyAlignment="1">
      <alignment vertical="center"/>
    </xf>
    <xf numFmtId="9" fontId="4" fillId="2" borderId="40" xfId="0" applyNumberFormat="1" applyFont="1" applyFill="1" applyBorder="1" applyAlignment="1">
      <alignment horizontal="center"/>
    </xf>
    <xf numFmtId="167" fontId="0" fillId="0" borderId="19" xfId="15" applyNumberFormat="1" applyFont="1" applyBorder="1"/>
    <xf numFmtId="167" fontId="0" fillId="0" borderId="20" xfId="15" applyNumberFormat="1" applyFont="1" applyBorder="1"/>
    <xf numFmtId="167" fontId="0" fillId="0" borderId="83" xfId="15" applyNumberFormat="1" applyFont="1" applyBorder="1"/>
    <xf numFmtId="167" fontId="0" fillId="0" borderId="19" xfId="0" applyNumberFormat="1" applyBorder="1"/>
    <xf numFmtId="167" fontId="0" fillId="0" borderId="21" xfId="15" applyNumberFormat="1" applyFont="1" applyBorder="1"/>
    <xf numFmtId="167" fontId="0" fillId="0" borderId="18" xfId="15" applyNumberFormat="1" applyFont="1" applyBorder="1"/>
    <xf numFmtId="173" fontId="2" fillId="0" borderId="15" xfId="0" applyNumberFormat="1" applyFont="1" applyBorder="1" applyAlignment="1">
      <alignment horizontal="center"/>
    </xf>
    <xf numFmtId="6" fontId="2" fillId="0" borderId="38" xfId="0" applyNumberFormat="1" applyFont="1" applyBorder="1" applyAlignment="1">
      <alignment horizontal="center"/>
    </xf>
    <xf numFmtId="6" fontId="2" fillId="0" borderId="21" xfId="0" applyNumberFormat="1" applyFont="1" applyBorder="1" applyAlignment="1">
      <alignment horizontal="center"/>
    </xf>
    <xf numFmtId="3" fontId="2" fillId="0" borderId="15" xfId="0" applyNumberFormat="1" applyFont="1" applyBorder="1" applyAlignment="1">
      <alignment horizontal="center"/>
    </xf>
    <xf numFmtId="174" fontId="2" fillId="0" borderId="38" xfId="0" applyNumberFormat="1" applyFont="1" applyBorder="1" applyAlignment="1">
      <alignment horizontal="center"/>
    </xf>
    <xf numFmtId="174" fontId="2" fillId="0" borderId="54" xfId="0" applyNumberFormat="1" applyFont="1" applyBorder="1" applyAlignment="1">
      <alignment horizontal="center"/>
    </xf>
    <xf numFmtId="174" fontId="2" fillId="0" borderId="21" xfId="0" applyNumberFormat="1" applyFont="1" applyBorder="1" applyAlignment="1">
      <alignment horizontal="center"/>
    </xf>
    <xf numFmtId="6" fontId="2" fillId="0" borderId="54" xfId="0" applyNumberFormat="1" applyFont="1" applyBorder="1" applyAlignment="1">
      <alignment horizontal="center"/>
    </xf>
    <xf numFmtId="6" fontId="2" fillId="0" borderId="15" xfId="0" applyNumberFormat="1" applyFont="1" applyBorder="1" applyAlignment="1">
      <alignment horizontal="center"/>
    </xf>
    <xf numFmtId="0" fontId="4" fillId="0" borderId="0" xfId="0" applyFont="1" applyAlignment="1">
      <alignment horizontal="right"/>
    </xf>
    <xf numFmtId="165" fontId="0" fillId="0" borderId="24" xfId="0" applyNumberFormat="1" applyFill="1" applyBorder="1"/>
    <xf numFmtId="0" fontId="52" fillId="0" borderId="0" xfId="0" applyFont="1"/>
    <xf numFmtId="2" fontId="0" fillId="0" borderId="21" xfId="0" applyNumberFormat="1" applyBorder="1" applyAlignment="1">
      <alignment horizontal="center"/>
    </xf>
    <xf numFmtId="2" fontId="0" fillId="0" borderId="25" xfId="0" applyNumberFormat="1" applyBorder="1" applyAlignment="1">
      <alignment horizontal="center"/>
    </xf>
    <xf numFmtId="2" fontId="0" fillId="0" borderId="54" xfId="0" applyNumberFormat="1" applyBorder="1" applyAlignment="1">
      <alignment horizontal="center"/>
    </xf>
    <xf numFmtId="164" fontId="2" fillId="0" borderId="38" xfId="0" applyNumberFormat="1" applyFont="1" applyFill="1" applyBorder="1" applyAlignment="1">
      <alignment horizontal="center"/>
    </xf>
    <xf numFmtId="165" fontId="0" fillId="0" borderId="29" xfId="1" applyNumberFormat="1" applyFont="1" applyBorder="1" applyAlignment="1">
      <alignment horizontal="center"/>
    </xf>
    <xf numFmtId="165" fontId="1" fillId="0" borderId="29" xfId="1" applyNumberFormat="1" applyFont="1" applyBorder="1" applyAlignment="1">
      <alignment horizontal="center"/>
    </xf>
    <xf numFmtId="6" fontId="2" fillId="0" borderId="12" xfId="0" applyNumberFormat="1" applyFont="1" applyFill="1" applyBorder="1" applyAlignment="1">
      <alignment horizontal="right" indent="1"/>
    </xf>
    <xf numFmtId="0" fontId="2" fillId="0" borderId="60" xfId="0" applyNumberFormat="1" applyFont="1" applyBorder="1" applyAlignment="1">
      <alignment horizontal="center"/>
    </xf>
    <xf numFmtId="164" fontId="2" fillId="0" borderId="15" xfId="0" applyNumberFormat="1" applyFont="1" applyBorder="1" applyAlignment="1">
      <alignment horizontal="right"/>
    </xf>
    <xf numFmtId="164" fontId="2" fillId="0" borderId="60" xfId="0" applyNumberFormat="1" applyFont="1" applyBorder="1" applyAlignment="1">
      <alignment horizontal="right"/>
    </xf>
    <xf numFmtId="164" fontId="2" fillId="0" borderId="60" xfId="0" applyNumberFormat="1" applyFont="1" applyFill="1" applyBorder="1" applyAlignment="1">
      <alignment horizontal="right"/>
    </xf>
    <xf numFmtId="164" fontId="2" fillId="0" borderId="7" xfId="0" applyNumberFormat="1" applyFont="1" applyBorder="1" applyAlignment="1">
      <alignment horizontal="center" vertical="center" wrapText="1"/>
    </xf>
    <xf numFmtId="0" fontId="0" fillId="21" borderId="0" xfId="0" applyFill="1"/>
    <xf numFmtId="0" fontId="4" fillId="21" borderId="27" xfId="0" applyFont="1" applyFill="1" applyBorder="1"/>
    <xf numFmtId="165" fontId="6" fillId="21" borderId="0" xfId="1" applyNumberFormat="1" applyFont="1" applyFill="1" applyBorder="1" applyAlignment="1">
      <alignment vertical="center" wrapText="1"/>
    </xf>
    <xf numFmtId="0" fontId="0" fillId="0" borderId="0" xfId="0"/>
    <xf numFmtId="0" fontId="0" fillId="0" borderId="0" xfId="0" applyFill="1" applyAlignment="1">
      <alignment horizontal="left" vertical="top" wrapText="1"/>
    </xf>
    <xf numFmtId="0" fontId="21" fillId="0" borderId="0" xfId="18" applyFill="1" applyAlignment="1">
      <alignment horizontal="left" vertical="top" wrapText="1"/>
    </xf>
    <xf numFmtId="0" fontId="0" fillId="0" borderId="0" xfId="0" applyAlignment="1">
      <alignment horizontal="left" vertical="top" wrapText="1"/>
    </xf>
    <xf numFmtId="0" fontId="0" fillId="0" borderId="0" xfId="0" applyAlignment="1">
      <alignment horizontal="right"/>
    </xf>
    <xf numFmtId="0" fontId="0" fillId="0" borderId="0" xfId="0" applyFill="1" applyAlignment="1">
      <alignment horizontal="right"/>
    </xf>
    <xf numFmtId="0" fontId="0" fillId="0" borderId="0" xfId="0" applyFill="1" applyAlignment="1">
      <alignment vertical="top" wrapText="1"/>
    </xf>
    <xf numFmtId="0" fontId="0" fillId="0" borderId="0" xfId="0" applyFill="1" applyAlignment="1">
      <alignment horizontal="center"/>
    </xf>
    <xf numFmtId="0" fontId="0" fillId="0" borderId="0" xfId="0" applyAlignment="1">
      <alignment horizontal="right" vertical="center"/>
    </xf>
    <xf numFmtId="0" fontId="0" fillId="0" borderId="0" xfId="0" applyFill="1"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4" fillId="3" borderId="0" xfId="0" applyFont="1" applyFill="1"/>
    <xf numFmtId="0" fontId="4" fillId="3" borderId="0" xfId="0" applyFont="1" applyFill="1" applyAlignment="1">
      <alignment horizontal="center" wrapText="1"/>
    </xf>
    <xf numFmtId="2" fontId="0" fillId="10" borderId="0" xfId="0" applyNumberFormat="1" applyFill="1" applyAlignment="1">
      <alignment horizontal="center"/>
    </xf>
    <xf numFmtId="0" fontId="0" fillId="10" borderId="0" xfId="0" applyFill="1" applyAlignment="1">
      <alignment horizontal="center"/>
    </xf>
    <xf numFmtId="2" fontId="4" fillId="3" borderId="0" xfId="0" applyNumberFormat="1" applyFont="1" applyFill="1" applyAlignment="1">
      <alignment horizontal="center"/>
    </xf>
    <xf numFmtId="1" fontId="4" fillId="3" borderId="0" xfId="0" applyNumberFormat="1" applyFont="1" applyFill="1" applyAlignment="1">
      <alignment horizontal="center"/>
    </xf>
    <xf numFmtId="0" fontId="0" fillId="10" borderId="0" xfId="0" applyNumberFormat="1" applyFill="1" applyAlignment="1">
      <alignment horizontal="center"/>
    </xf>
    <xf numFmtId="169" fontId="0" fillId="0" borderId="29" xfId="0" applyNumberFormat="1" applyBorder="1"/>
    <xf numFmtId="0" fontId="29" fillId="0" borderId="75" xfId="0" applyFont="1" applyBorder="1" applyAlignment="1">
      <alignment vertical="center" wrapText="1"/>
    </xf>
    <xf numFmtId="0" fontId="29" fillId="0" borderId="79" xfId="0" applyFont="1" applyBorder="1" applyAlignment="1">
      <alignment vertical="center" wrapText="1"/>
    </xf>
    <xf numFmtId="0" fontId="29" fillId="0" borderId="76" xfId="0" applyFont="1" applyBorder="1" applyAlignment="1">
      <alignment vertical="center" wrapText="1"/>
    </xf>
    <xf numFmtId="2" fontId="29" fillId="0" borderId="75" xfId="0" applyNumberFormat="1" applyFont="1" applyBorder="1" applyAlignment="1">
      <alignment horizontal="right" vertical="center" wrapText="1"/>
    </xf>
    <xf numFmtId="2" fontId="29" fillId="0" borderId="79" xfId="0" applyNumberFormat="1" applyFont="1" applyBorder="1" applyAlignment="1">
      <alignment horizontal="right" vertical="center" wrapText="1"/>
    </xf>
    <xf numFmtId="2" fontId="29" fillId="0" borderId="76" xfId="0" applyNumberFormat="1" applyFont="1" applyBorder="1" applyAlignment="1">
      <alignment horizontal="right" vertical="center" wrapText="1"/>
    </xf>
    <xf numFmtId="0" fontId="23" fillId="0" borderId="75" xfId="0" applyFont="1" applyBorder="1" applyAlignment="1">
      <alignment vertical="center" wrapText="1"/>
    </xf>
    <xf numFmtId="0" fontId="23" fillId="0" borderId="79" xfId="0" applyFont="1" applyBorder="1" applyAlignment="1">
      <alignment vertical="center" wrapText="1"/>
    </xf>
    <xf numFmtId="0" fontId="23" fillId="0" borderId="76" xfId="0" applyFont="1" applyBorder="1" applyAlignment="1">
      <alignment vertical="center" wrapText="1"/>
    </xf>
    <xf numFmtId="2" fontId="23" fillId="0" borderId="75" xfId="0" applyNumberFormat="1" applyFont="1" applyFill="1" applyBorder="1" applyAlignment="1">
      <alignment horizontal="right" vertical="center" wrapText="1"/>
    </xf>
    <xf numFmtId="2" fontId="23" fillId="0" borderId="79" xfId="0" applyNumberFormat="1" applyFont="1" applyFill="1" applyBorder="1" applyAlignment="1">
      <alignment horizontal="right" vertical="center" wrapText="1"/>
    </xf>
    <xf numFmtId="2" fontId="23" fillId="0" borderId="76" xfId="0" applyNumberFormat="1" applyFont="1" applyFill="1" applyBorder="1" applyAlignment="1">
      <alignment horizontal="right" vertical="center" wrapText="1"/>
    </xf>
    <xf numFmtId="0" fontId="28" fillId="5" borderId="75" xfId="0" applyFont="1" applyFill="1" applyBorder="1" applyAlignment="1">
      <alignment horizontal="center" vertical="center" wrapText="1"/>
    </xf>
    <xf numFmtId="0" fontId="28" fillId="5" borderId="76" xfId="0" applyFont="1" applyFill="1" applyBorder="1" applyAlignment="1">
      <alignment horizontal="center" vertical="center" wrapText="1"/>
    </xf>
    <xf numFmtId="0" fontId="29" fillId="0" borderId="75" xfId="0" applyFont="1" applyBorder="1" applyAlignment="1">
      <alignment horizontal="right" vertical="center" wrapText="1"/>
    </xf>
    <xf numFmtId="0" fontId="29" fillId="0" borderId="79" xfId="0" applyFont="1" applyBorder="1" applyAlignment="1">
      <alignment horizontal="right" vertical="center" wrapText="1"/>
    </xf>
    <xf numFmtId="0" fontId="29" fillId="0" borderId="76" xfId="0" applyFont="1" applyBorder="1" applyAlignment="1">
      <alignment horizontal="right" vertical="center" wrapText="1"/>
    </xf>
    <xf numFmtId="0" fontId="23" fillId="0" borderId="75" xfId="0" applyFont="1" applyBorder="1" applyAlignment="1">
      <alignment horizontal="right" vertical="center" wrapText="1"/>
    </xf>
    <xf numFmtId="0" fontId="23" fillId="0" borderId="79" xfId="0" applyFont="1" applyBorder="1" applyAlignment="1">
      <alignment horizontal="right" vertical="center" wrapText="1"/>
    </xf>
    <xf numFmtId="0" fontId="23" fillId="0" borderId="76" xfId="0" applyFont="1" applyBorder="1" applyAlignment="1">
      <alignment horizontal="right" vertical="center" wrapText="1"/>
    </xf>
    <xf numFmtId="0" fontId="29" fillId="7" borderId="75"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76" xfId="0" applyFont="1" applyFill="1" applyBorder="1" applyAlignment="1">
      <alignment horizontal="right" vertical="center" wrapText="1"/>
    </xf>
    <xf numFmtId="0" fontId="4" fillId="19" borderId="89" xfId="0" applyFont="1" applyFill="1" applyBorder="1" applyAlignment="1">
      <alignment horizontal="center" vertical="center" wrapText="1"/>
    </xf>
    <xf numFmtId="0" fontId="4" fillId="19" borderId="0" xfId="0" applyFont="1" applyFill="1" applyAlignment="1">
      <alignment horizontal="center" vertical="center" wrapText="1"/>
    </xf>
    <xf numFmtId="0" fontId="0" fillId="0" borderId="89" xfId="0"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32"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0" fillId="0" borderId="29" xfId="0" applyBorder="1" applyAlignment="1">
      <alignment horizontal="left"/>
    </xf>
    <xf numFmtId="0" fontId="0" fillId="0" borderId="24" xfId="0" applyFill="1" applyBorder="1"/>
    <xf numFmtId="0" fontId="0" fillId="0" borderId="65" xfId="0" applyFill="1" applyBorder="1"/>
    <xf numFmtId="0" fontId="0" fillId="0" borderId="29" xfId="0" applyBorder="1"/>
    <xf numFmtId="0" fontId="0" fillId="0" borderId="0" xfId="0" applyFill="1" applyAlignment="1">
      <alignment horizontal="left" vertical="top" wrapText="1"/>
    </xf>
    <xf numFmtId="0" fontId="0" fillId="0" borderId="29" xfId="0" applyFill="1" applyBorder="1" applyAlignment="1">
      <alignment horizontal="left"/>
    </xf>
    <xf numFmtId="0" fontId="4" fillId="0" borderId="43" xfId="0" applyFont="1" applyBorder="1" applyAlignment="1">
      <alignment horizontal="center"/>
    </xf>
    <xf numFmtId="0" fontId="4" fillId="0" borderId="44" xfId="0" applyFont="1" applyBorder="1" applyAlignment="1">
      <alignment horizontal="center"/>
    </xf>
    <xf numFmtId="0" fontId="4" fillId="0" borderId="32" xfId="0" applyFont="1" applyBorder="1" applyAlignment="1">
      <alignment horizontal="center"/>
    </xf>
    <xf numFmtId="0" fontId="26" fillId="0" borderId="0" xfId="0" applyFont="1" applyAlignment="1">
      <alignment horizontal="left" vertical="top" wrapText="1"/>
    </xf>
    <xf numFmtId="0" fontId="0" fillId="0" borderId="0" xfId="0"/>
    <xf numFmtId="0" fontId="0" fillId="0" borderId="24" xfId="0" applyBorder="1" applyAlignment="1">
      <alignment horizontal="left"/>
    </xf>
    <xf numFmtId="0" fontId="0" fillId="0" borderId="8" xfId="0" applyBorder="1" applyAlignment="1">
      <alignment horizontal="left"/>
    </xf>
    <xf numFmtId="0" fontId="0" fillId="0" borderId="65" xfId="0" applyBorder="1" applyAlignment="1">
      <alignment horizontal="left"/>
    </xf>
    <xf numFmtId="0" fontId="0" fillId="0" borderId="29" xfId="0" applyFill="1" applyBorder="1"/>
    <xf numFmtId="0" fontId="2" fillId="0" borderId="5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82"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2" fillId="0" borderId="37" xfId="0" applyFont="1" applyFill="1" applyBorder="1" applyAlignment="1">
      <alignment horizontal="center" vertical="center" wrapText="1"/>
    </xf>
    <xf numFmtId="0" fontId="2" fillId="0" borderId="69" xfId="0" applyFont="1" applyFill="1" applyBorder="1" applyAlignment="1">
      <alignment horizontal="center" vertical="center" wrapText="1"/>
    </xf>
    <xf numFmtId="168" fontId="2" fillId="0" borderId="17" xfId="16" applyNumberFormat="1" applyFont="1" applyBorder="1" applyAlignment="1">
      <alignment horizontal="center" vertical="center"/>
    </xf>
    <xf numFmtId="168" fontId="2" fillId="0" borderId="18" xfId="16" applyNumberFormat="1" applyFont="1" applyBorder="1" applyAlignment="1">
      <alignment horizontal="center" vertical="center"/>
    </xf>
    <xf numFmtId="0" fontId="0" fillId="0" borderId="43" xfId="0" applyBorder="1" applyAlignment="1">
      <alignment horizontal="center"/>
    </xf>
    <xf numFmtId="0" fontId="0" fillId="0" borderId="32" xfId="0" applyBorder="1" applyAlignment="1">
      <alignment horizont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1" xfId="0" applyFont="1" applyBorder="1" applyAlignment="1">
      <alignment horizontal="center"/>
    </xf>
    <xf numFmtId="0" fontId="4" fillId="0" borderId="36" xfId="0" applyFont="1" applyBorder="1" applyAlignment="1">
      <alignment horizontal="center"/>
    </xf>
    <xf numFmtId="0" fontId="2" fillId="0" borderId="1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3" xfId="0" applyFont="1" applyBorder="1" applyAlignment="1">
      <alignment horizontal="center" vertical="center"/>
    </xf>
    <xf numFmtId="0" fontId="2" fillId="0" borderId="27" xfId="0" applyFont="1" applyBorder="1" applyAlignment="1">
      <alignment horizontal="center" vertical="center" wrapText="1"/>
    </xf>
    <xf numFmtId="0" fontId="2" fillId="0" borderId="37" xfId="0" applyFont="1" applyBorder="1" applyAlignment="1">
      <alignment horizontal="center" vertical="center"/>
    </xf>
    <xf numFmtId="0" fontId="2" fillId="0" borderId="69" xfId="0" applyFont="1" applyBorder="1" applyAlignment="1">
      <alignment horizontal="center" vertical="center"/>
    </xf>
    <xf numFmtId="49" fontId="2" fillId="0" borderId="19" xfId="0" applyNumberFormat="1" applyFont="1" applyBorder="1" applyAlignment="1">
      <alignment horizontal="center" vertical="center" wrapText="1"/>
    </xf>
    <xf numFmtId="49" fontId="2" fillId="0" borderId="83" xfId="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34" xfId="0" applyFont="1" applyBorder="1" applyAlignment="1">
      <alignment horizontal="center" vertical="center"/>
    </xf>
    <xf numFmtId="0" fontId="0" fillId="0" borderId="0" xfId="0" applyAlignment="1">
      <alignment horizontal="left" vertical="top" wrapText="1"/>
    </xf>
    <xf numFmtId="0" fontId="0" fillId="20" borderId="0" xfId="0" applyFill="1" applyAlignment="1">
      <alignment horizontal="left" vertical="top" wrapText="1"/>
    </xf>
    <xf numFmtId="0" fontId="2" fillId="0" borderId="64" xfId="0" applyFont="1" applyBorder="1" applyAlignment="1">
      <alignment horizontal="center" vertical="center" wrapText="1"/>
    </xf>
    <xf numFmtId="0" fontId="4" fillId="0" borderId="0" xfId="0" applyFont="1" applyAlignment="1">
      <alignment horizontal="left"/>
    </xf>
    <xf numFmtId="0" fontId="0" fillId="4" borderId="0" xfId="0" applyFill="1" applyAlignment="1">
      <alignment horizontal="left" vertical="top"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0" xfId="0" applyAlignment="1">
      <alignment horizontal="right"/>
    </xf>
    <xf numFmtId="0" fontId="0" fillId="0" borderId="37" xfId="0" applyBorder="1" applyAlignment="1">
      <alignment horizontal="center"/>
    </xf>
    <xf numFmtId="0" fontId="0" fillId="0" borderId="53" xfId="0" applyBorder="1" applyAlignment="1">
      <alignment horizontal="center"/>
    </xf>
    <xf numFmtId="0" fontId="0" fillId="0" borderId="19" xfId="0" applyBorder="1" applyAlignment="1">
      <alignment horizontal="center"/>
    </xf>
    <xf numFmtId="0" fontId="0" fillId="0" borderId="38" xfId="0" applyBorder="1" applyAlignment="1">
      <alignment horizontal="center"/>
    </xf>
    <xf numFmtId="0" fontId="0" fillId="0" borderId="54" xfId="0" applyBorder="1" applyAlignment="1">
      <alignment horizontal="center"/>
    </xf>
    <xf numFmtId="0" fontId="0" fillId="0" borderId="58" xfId="0" applyBorder="1" applyAlignment="1">
      <alignment horizontal="center"/>
    </xf>
    <xf numFmtId="0" fontId="0" fillId="0" borderId="67" xfId="0" applyBorder="1" applyAlignment="1">
      <alignment horizontal="center"/>
    </xf>
    <xf numFmtId="0" fontId="0" fillId="0" borderId="23" xfId="0" applyBorder="1" applyAlignment="1">
      <alignment horizontal="center"/>
    </xf>
    <xf numFmtId="0" fontId="0" fillId="0" borderId="6" xfId="0" applyBorder="1" applyAlignment="1">
      <alignment horizontal="center"/>
    </xf>
    <xf numFmtId="0" fontId="0" fillId="0" borderId="61" xfId="0" applyBorder="1" applyAlignment="1">
      <alignment horizontal="center"/>
    </xf>
    <xf numFmtId="0" fontId="0" fillId="0" borderId="5" xfId="0" applyBorder="1" applyAlignment="1">
      <alignment horizont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4" fillId="8" borderId="0" xfId="0" applyFont="1" applyFill="1" applyAlignment="1">
      <alignment horizontal="center"/>
    </xf>
    <xf numFmtId="0" fontId="6" fillId="3" borderId="0" xfId="0" applyFont="1" applyFill="1" applyAlignment="1">
      <alignment horizontal="center"/>
    </xf>
    <xf numFmtId="0" fontId="0" fillId="8" borderId="0" xfId="0" applyFill="1" applyAlignment="1">
      <alignment horizontal="center"/>
    </xf>
    <xf numFmtId="0" fontId="0" fillId="0" borderId="0" xfId="0" applyAlignment="1">
      <alignment horizontal="center"/>
    </xf>
    <xf numFmtId="0" fontId="6" fillId="8" borderId="0" xfId="0" applyFont="1" applyFill="1" applyAlignment="1">
      <alignment horizontal="center"/>
    </xf>
    <xf numFmtId="0" fontId="25" fillId="0" borderId="0" xfId="0" applyFont="1" applyAlignment="1">
      <alignment horizontal="center" vertical="center" wrapText="1"/>
    </xf>
    <xf numFmtId="49" fontId="4" fillId="0" borderId="11"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0" fontId="6" fillId="0" borderId="0" xfId="18" applyFont="1" applyFill="1" applyAlignment="1">
      <alignment horizontal="left" vertical="top" wrapText="1"/>
    </xf>
    <xf numFmtId="0" fontId="0" fillId="0" borderId="0" xfId="0" applyAlignment="1">
      <alignment horizontal="left" wrapText="1"/>
    </xf>
  </cellXfs>
  <cellStyles count="21">
    <cellStyle name="20% - Accent1" xfId="20" builtinId="30"/>
    <cellStyle name="Comma" xfId="15" builtinId="3"/>
    <cellStyle name="Comma 2" xfId="7" xr:uid="{00000000-0005-0000-0000-000001000000}"/>
    <cellStyle name="Comma0" xfId="8" xr:uid="{00000000-0005-0000-0000-000002000000}"/>
    <cellStyle name="Currency" xfId="1" builtinId="4"/>
    <cellStyle name="Currency0" xfId="9" xr:uid="{00000000-0005-0000-0000-000004000000}"/>
    <cellStyle name="Date" xfId="10" xr:uid="{00000000-0005-0000-0000-000005000000}"/>
    <cellStyle name="Fixed" xfId="11" xr:uid="{00000000-0005-0000-0000-000006000000}"/>
    <cellStyle name="Hyperlink" xfId="18" builtinId="8"/>
    <cellStyle name="Normal" xfId="0" builtinId="0"/>
    <cellStyle name="Normal 16" xfId="2" xr:uid="{00000000-0005-0000-0000-000009000000}"/>
    <cellStyle name="Normal 17" xfId="4" xr:uid="{00000000-0005-0000-0000-00000A000000}"/>
    <cellStyle name="Normal 18" xfId="3" xr:uid="{00000000-0005-0000-0000-00000B000000}"/>
    <cellStyle name="Normal 19" xfId="5" xr:uid="{00000000-0005-0000-0000-00000C000000}"/>
    <cellStyle name="Normal 2" xfId="6" xr:uid="{00000000-0005-0000-0000-00000D000000}"/>
    <cellStyle name="Normal 3" xfId="12" xr:uid="{00000000-0005-0000-0000-00000E000000}"/>
    <cellStyle name="Normal 4" xfId="13" xr:uid="{00000000-0005-0000-0000-00000F000000}"/>
    <cellStyle name="Normal 5" xfId="17" xr:uid="{00000000-0005-0000-0000-000010000000}"/>
    <cellStyle name="Normal 6" xfId="19" xr:uid="{37B19EC0-A467-4B4F-AEAC-9D800DFE9C77}"/>
    <cellStyle name="Percent" xfId="16" builtinId="5"/>
    <cellStyle name="Percent 2" xfId="14"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658641798244436E-2"/>
          <c:y val="8.3639835396450479E-2"/>
          <c:w val="0.88881013232639716"/>
          <c:h val="0.84761254795563123"/>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14"/>
            <c:dispRSqr val="1"/>
            <c:dispEq val="1"/>
            <c:trendlineLbl>
              <c:layout>
                <c:manualLayout>
                  <c:x val="-3.7763837742016679E-2"/>
                  <c:y val="-6.1240306374685638E-2"/>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2800" b="1" baseline="0">
                        <a:solidFill>
                          <a:srgbClr val="FF0000"/>
                        </a:solidFill>
                      </a:rPr>
                      <a:t>y = 269,652.1212121210x - 538,808,558.1818180000</a:t>
                    </a:r>
                    <a:br>
                      <a:rPr lang="en-US" sz="2800" baseline="0"/>
                    </a:br>
                    <a:r>
                      <a:rPr lang="en-US" sz="2000" baseline="0"/>
                      <a:t>
R² = 0.989902929</a:t>
                    </a:r>
                    <a:endParaRPr lang="en-US" sz="2000"/>
                  </a:p>
                </c:rich>
              </c:tx>
              <c:numFmt formatCode="#,##0.0000000000" sourceLinked="0"/>
              <c:spPr>
                <a:noFill/>
                <a:ln>
                  <a:noFill/>
                </a:ln>
                <a:effectLst/>
              </c:spPr>
            </c:trendlineLbl>
          </c:trendline>
          <c:xVal>
            <c:numRef>
              <c:f>'TRPD RT Forecated Growth'!$B$2:$K$2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xVal>
          <c:yVal>
            <c:numRef>
              <c:f>'TRPD RT Forecated Growth'!$B$3:$K$3</c:f>
              <c:numCache>
                <c:formatCode>#,##0</c:formatCode>
                <c:ptCount val="10"/>
                <c:pt idx="0">
                  <c:v>3055700</c:v>
                </c:pt>
                <c:pt idx="1">
                  <c:v>3519100</c:v>
                </c:pt>
                <c:pt idx="2">
                  <c:v>3714900</c:v>
                </c:pt>
                <c:pt idx="3">
                  <c:v>4108800</c:v>
                </c:pt>
                <c:pt idx="4">
                  <c:v>4339800</c:v>
                </c:pt>
                <c:pt idx="5">
                  <c:v>4508900</c:v>
                </c:pt>
                <c:pt idx="6">
                  <c:v>4752400</c:v>
                </c:pt>
                <c:pt idx="7">
                  <c:v>5187800</c:v>
                </c:pt>
                <c:pt idx="8">
                  <c:v>5328900</c:v>
                </c:pt>
                <c:pt idx="9">
                  <c:v>5540100</c:v>
                </c:pt>
              </c:numCache>
            </c:numRef>
          </c:yVal>
          <c:smooth val="0"/>
          <c:extLst>
            <c:ext xmlns:c16="http://schemas.microsoft.com/office/drawing/2014/chart" uri="{C3380CC4-5D6E-409C-BE32-E72D297353CC}">
              <c16:uniqueId val="{00000001-E6AE-4D80-B546-A64545BD328A}"/>
            </c:ext>
          </c:extLst>
        </c:ser>
        <c:dLbls>
          <c:showLegendKey val="0"/>
          <c:showVal val="0"/>
          <c:showCatName val="0"/>
          <c:showSerName val="0"/>
          <c:showPercent val="0"/>
          <c:showBubbleSize val="0"/>
        </c:dLbls>
        <c:axId val="455808648"/>
        <c:axId val="1"/>
      </c:scatterChart>
      <c:valAx>
        <c:axId val="455808648"/>
        <c:scaling>
          <c:orientation val="minMax"/>
          <c:max val="2030"/>
          <c:min val="20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1"/>
      </c:valAx>
      <c:valAx>
        <c:axId val="1"/>
        <c:scaling>
          <c:orientation val="minMax"/>
          <c:max val="12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808648"/>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200025</xdr:colOff>
      <xdr:row>17</xdr:row>
      <xdr:rowOff>104775</xdr:rowOff>
    </xdr:from>
    <xdr:to>
      <xdr:col>11</xdr:col>
      <xdr:colOff>295275</xdr:colOff>
      <xdr:row>47</xdr:row>
      <xdr:rowOff>133350</xdr:rowOff>
    </xdr:to>
    <xdr:graphicFrame macro="">
      <xdr:nvGraphicFramePr>
        <xdr:cNvPr id="2" name="Chart 1">
          <a:extLst>
            <a:ext uri="{FF2B5EF4-FFF2-40B4-BE49-F238E27FC236}">
              <a16:creationId xmlns:a16="http://schemas.microsoft.com/office/drawing/2014/main" id="{B5265052-F08C-499C-AFB2-351BA8724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Grant%20Applications/2020%20Grants/INFRA/TH%2010%20Rum%20River/BCA/Example%20Workbook/DRAFT_BCA%20Workbook%20-%20Ba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ebapps.srfconsulting.com/Projects/09000/9228/TS/BCA/2016%20Update/Scott%20County%20BCA%20Workbook%20201604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ojects\09000\9228\TS\BCA\2016%20Update\Scott%20County%20BCA%20Workbook%20201604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ns/Grant%20Applications/2022%20Grants/RAISE/Plymouth/BCA/Station%2073%20BCA%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CA Summary"/>
      <sheetName val="Annualized Operations"/>
      <sheetName val="User Benefits (VHT) - Network"/>
      <sheetName val="User Benefits (VHT) - Corridor"/>
      <sheetName val="User Benefits (VHT) - Nodal"/>
      <sheetName val="Operation Benefits (VMT) - Netw"/>
      <sheetName val="Operation Benefits (VMT) - Corr"/>
      <sheetName val="Safety Benefits"/>
      <sheetName val="Air Quality"/>
      <sheetName val="RCV Calc"/>
      <sheetName val="Operation and Maintenance"/>
      <sheetName val="WisDOT TT Tool Input - No Build"/>
      <sheetName val="WisDOT TT Tool Input - Build"/>
      <sheetName val="WisDOT Travel Time Tool Output"/>
      <sheetName val="GDP Defla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CA Summary"/>
      <sheetName val="Annualized Operations"/>
      <sheetName val="User Benefits (VHT) - Network"/>
      <sheetName val="User Benefits (VHT) - Nodal"/>
      <sheetName val="Operation Benefits (VMT)"/>
      <sheetName val="Safety Benefits"/>
      <sheetName val="Air Quality"/>
      <sheetName val="RCV Calc"/>
      <sheetName val="Operation and Maintenance"/>
      <sheetName val="RCV Calculat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CA Summary"/>
      <sheetName val="Annualized Operations"/>
      <sheetName val="User Benefits (VHT) - Network"/>
      <sheetName val="User Benefits (VHT) - Nodal"/>
      <sheetName val="Operation Benefits (VMT)"/>
      <sheetName val="Safety Benefits"/>
      <sheetName val="Air Quality"/>
      <sheetName val="RCV Calc"/>
      <sheetName val="Operation and Maintenance"/>
      <sheetName val="RCV Calculat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CA Summary "/>
      <sheetName val="Travel Time Savings "/>
      <sheetName val="Operation Benefits"/>
      <sheetName val="SafetyBenefits"/>
      <sheetName val="Air Quality"/>
      <sheetName val="Quality of Life Benefits"/>
      <sheetName val="Operating and Maintenance Costs"/>
      <sheetName val="Capital Cost and RCV Calc"/>
    </sheetNames>
    <sheetDataSet>
      <sheetData sheetId="0">
        <row r="8">
          <cell r="D8">
            <v>2027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Sandra Herbers" id="{7CC4DDD5-3316-4AAD-963F-A0D68750506E}" userId="S::sherbers@srfconsulting.com::f91bbef8-486a-4887-ba94-207b48e1d2d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24" dT="2022-04-11T19:14:10.61" personId="{7CC4DDD5-3316-4AAD-963F-A0D68750506E}" id="{3FDDB274-B2C3-4364-8154-4C5F6237AB69}">
    <text>District total ratioed to project length</text>
  </threadedComment>
</ThreadedComments>
</file>

<file path=xl/threadedComments/threadedComment2.xml><?xml version="1.0" encoding="utf-8"?>
<ThreadedComments xmlns="http://schemas.microsoft.com/office/spreadsheetml/2018/threadedcomments" xmlns:x="http://schemas.openxmlformats.org/spreadsheetml/2006/main">
  <threadedComment ref="Z24" dT="2022-04-11T19:14:10.61" personId="{7CC4DDD5-3316-4AAD-963F-A0D68750506E}" id="{F3CB637C-A1BA-43E1-B44E-08F5A12F399F}">
    <text>District total ratioed to project length</text>
  </threadedComment>
</ThreadedComments>
</file>

<file path=xl/threadedComments/threadedComment3.xml><?xml version="1.0" encoding="utf-8"?>
<ThreadedComments xmlns="http://schemas.microsoft.com/office/spreadsheetml/2018/threadedcomments" xmlns:x="http://schemas.openxmlformats.org/spreadsheetml/2006/main">
  <threadedComment ref="Z24" dT="2022-04-11T19:14:10.61" personId="{7CC4DDD5-3316-4AAD-963F-A0D68750506E}" id="{3526A5F4-73BE-4E5D-B234-8E2CE47369D0}">
    <text>District total ratioed to project length</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2CD95-F4D2-422A-983A-14D978CE3F5D}">
  <dimension ref="A2:I24"/>
  <sheetViews>
    <sheetView view="pageBreakPreview" zoomScaleNormal="100" zoomScaleSheetLayoutView="100" workbookViewId="0">
      <selection activeCell="D17" sqref="D17"/>
    </sheetView>
  </sheetViews>
  <sheetFormatPr defaultRowHeight="15" x14ac:dyDescent="0.25"/>
  <cols>
    <col min="1" max="1" width="5.5703125" customWidth="1"/>
    <col min="2" max="2" width="28.42578125" customWidth="1"/>
    <col min="4" max="4" width="31.5703125" customWidth="1"/>
    <col min="5" max="5" width="7.85546875" customWidth="1"/>
  </cols>
  <sheetData>
    <row r="2" spans="1:9" ht="17.25" x14ac:dyDescent="0.25">
      <c r="B2" s="8" t="s">
        <v>652</v>
      </c>
      <c r="C2" s="70"/>
      <c r="H2" s="109"/>
      <c r="I2" s="109"/>
    </row>
    <row r="3" spans="1:9" s="268" customFormat="1" x14ac:dyDescent="0.25">
      <c r="B3" s="278" t="s">
        <v>515</v>
      </c>
      <c r="C3" s="279">
        <v>2020</v>
      </c>
    </row>
    <row r="4" spans="1:9" x14ac:dyDescent="0.25">
      <c r="B4" s="280" t="s">
        <v>25</v>
      </c>
      <c r="C4" s="33">
        <v>2028</v>
      </c>
      <c r="H4" s="109"/>
      <c r="I4" s="109"/>
    </row>
    <row r="5" spans="1:9" x14ac:dyDescent="0.25">
      <c r="B5" s="280" t="s">
        <v>24</v>
      </c>
      <c r="C5" s="33">
        <v>3</v>
      </c>
      <c r="H5" s="109"/>
      <c r="I5" s="109"/>
    </row>
    <row r="6" spans="1:9" s="184" customFormat="1" x14ac:dyDescent="0.25">
      <c r="B6" s="280" t="s">
        <v>467</v>
      </c>
      <c r="C6" s="33">
        <f>C4+C5</f>
        <v>2031</v>
      </c>
    </row>
    <row r="7" spans="1:9" s="268" customFormat="1" x14ac:dyDescent="0.25">
      <c r="B7" s="280" t="s">
        <v>516</v>
      </c>
      <c r="C7" s="33">
        <v>20</v>
      </c>
    </row>
    <row r="8" spans="1:9" s="268" customFormat="1" x14ac:dyDescent="0.25">
      <c r="B8" s="280" t="s">
        <v>517</v>
      </c>
      <c r="C8" s="33">
        <f>C6+C7-1</f>
        <v>2050</v>
      </c>
    </row>
    <row r="9" spans="1:9" s="268" customFormat="1" x14ac:dyDescent="0.25">
      <c r="B9" s="242"/>
      <c r="C9" s="29"/>
    </row>
    <row r="10" spans="1:9" s="109" customFormat="1" x14ac:dyDescent="0.25"/>
    <row r="11" spans="1:9" s="109" customFormat="1" x14ac:dyDescent="0.25">
      <c r="A11"/>
      <c r="B11" s="111"/>
      <c r="C11" s="111"/>
      <c r="D11" s="111"/>
      <c r="E11" s="111"/>
    </row>
    <row r="12" spans="1:9" s="109" customFormat="1" x14ac:dyDescent="0.25">
      <c r="A12"/>
      <c r="B12"/>
      <c r="C12"/>
      <c r="D12"/>
      <c r="E12"/>
    </row>
    <row r="13" spans="1:9" s="109" customFormat="1" x14ac:dyDescent="0.25">
      <c r="A13"/>
      <c r="B13"/>
      <c r="C13"/>
      <c r="D13"/>
      <c r="E13"/>
    </row>
    <row r="14" spans="1:9" x14ac:dyDescent="0.25">
      <c r="F14" s="109"/>
    </row>
    <row r="15" spans="1:9" s="109" customFormat="1" x14ac:dyDescent="0.25">
      <c r="A15"/>
      <c r="B15"/>
      <c r="C15"/>
      <c r="D15"/>
      <c r="E15"/>
    </row>
    <row r="16" spans="1:9" s="109" customFormat="1" x14ac:dyDescent="0.25">
      <c r="A16"/>
      <c r="B16"/>
      <c r="C16"/>
      <c r="D16"/>
      <c r="E16"/>
    </row>
    <row r="17" spans="1:9" s="109" customFormat="1" x14ac:dyDescent="0.25">
      <c r="A17"/>
      <c r="B17"/>
      <c r="C17"/>
      <c r="D17"/>
      <c r="E17"/>
      <c r="F17"/>
    </row>
    <row r="18" spans="1:9" x14ac:dyDescent="0.25">
      <c r="F18" s="109"/>
      <c r="G18" s="109"/>
      <c r="H18" s="109"/>
      <c r="I18" s="109"/>
    </row>
    <row r="19" spans="1:9" ht="15" customHeight="1" x14ac:dyDescent="0.25">
      <c r="F19" s="109"/>
      <c r="G19" s="111"/>
      <c r="H19" s="111"/>
      <c r="I19" s="111"/>
    </row>
    <row r="20" spans="1:9" x14ac:dyDescent="0.25">
      <c r="F20" s="25"/>
      <c r="G20" s="111"/>
      <c r="H20" s="111"/>
      <c r="I20" s="111"/>
    </row>
    <row r="21" spans="1:9" ht="90.75" customHeight="1" x14ac:dyDescent="0.25">
      <c r="F21" s="111"/>
      <c r="G21" s="111"/>
      <c r="H21" s="111"/>
      <c r="I21" s="111"/>
    </row>
    <row r="22" spans="1:9" x14ac:dyDescent="0.25">
      <c r="F22" s="111"/>
    </row>
    <row r="23" spans="1:9" ht="33.75" customHeight="1" x14ac:dyDescent="0.25">
      <c r="F23" s="111"/>
    </row>
    <row r="24" spans="1:9" x14ac:dyDescent="0.25">
      <c r="F24" s="111"/>
    </row>
  </sheetData>
  <pageMargins left="0.7" right="0.7" top="0.75" bottom="0.75" header="0.3" footer="0.3"/>
  <pageSetup orientation="portrait" horizontalDpi="3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AC04B-4A99-4E49-B148-D493DF50619F}">
  <sheetPr>
    <tabColor rgb="FF00B050"/>
  </sheetPr>
  <dimension ref="A1:AW65"/>
  <sheetViews>
    <sheetView view="pageBreakPreview" topLeftCell="A19" zoomScale="85" zoomScaleNormal="100" zoomScaleSheetLayoutView="85" workbookViewId="0">
      <selection activeCell="D40" sqref="D40"/>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5.285156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113</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2030</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 Rush Crk RT'!$Z$3,'Original Build Years'!$A$1:$A$20,'Original Build Years'!$D$1:$D$20,0)+30</f>
        <v>2011</v>
      </c>
      <c r="AU6" s="292" t="s">
        <v>122</v>
      </c>
      <c r="AW6" s="292" t="s">
        <v>160</v>
      </c>
    </row>
    <row r="7" spans="1:49" ht="18.75" customHeight="1" x14ac:dyDescent="0.25">
      <c r="A7" s="75">
        <f>(G7+D7)*2.38</f>
        <v>2556.5380863792157</v>
      </c>
      <c r="B7" s="291">
        <f>$Y$5</f>
        <v>2030</v>
      </c>
      <c r="C7" s="256">
        <f>IF(OR($B7&lt;$Y$6,$B7&gt;'Project Data and Assumptions'!$C$8),0,$AC$35*(1+$AA$15)^($B7-2020))</f>
        <v>16702.439907419073</v>
      </c>
      <c r="D7" s="255">
        <f>IF(OR($B7&lt;$Y$6,$B7&gt;'Project Data and Assumptions'!$C$8),0,$AB$34*(1+$AA$15)^($B7-2020))</f>
        <v>1074.175666545889</v>
      </c>
      <c r="E7" s="257">
        <f>IF(OR($B7&lt;$Y$6,$B7&gt;'Project Data and Assumptions'!$C$8),0,$AC$34*(1+$AA$15)^($B7-2020))</f>
        <v>33374.606642505947</v>
      </c>
      <c r="F7" s="256">
        <f>IF($B7&gt;'Project Data and Assumptions'!$C$8,0,$AC$30*(1+$AA$15)^($B7-2020))</f>
        <v>0</v>
      </c>
      <c r="G7" s="255">
        <f>IF($B7&gt;'Project Data and Assumptions'!$C$8,0,$AB$29*(1+$AA$15)^($B7-2020))</f>
        <v>0</v>
      </c>
      <c r="H7" s="257">
        <f>IF($B7&gt;'Project Data and Assumptions'!$C$8,0,$AC$29*(1+$AA$15)^($B7-2020))</f>
        <v>0</v>
      </c>
      <c r="I7" s="387"/>
      <c r="J7" s="388"/>
      <c r="K7" s="389"/>
      <c r="L7" s="389"/>
      <c r="M7" s="89">
        <f>SUM(D7:E7)*$AA$52</f>
        <v>10072.823947166758</v>
      </c>
      <c r="N7" s="122"/>
      <c r="O7" s="85">
        <f t="shared" ref="O7:O28" si="0">F7*$AA$47*$Z$60</f>
        <v>0</v>
      </c>
      <c r="P7" s="89">
        <f>(G7*$AA$40)*$AA$38*$AA$39</f>
        <v>0</v>
      </c>
      <c r="Q7" s="89">
        <f>F7*$AA$43+SUM(G7:H7)*$AA$44</f>
        <v>0</v>
      </c>
      <c r="R7" s="89">
        <f t="shared" ref="R7:R28" si="1">H7*$AA$47*$Z$60</f>
        <v>0</v>
      </c>
      <c r="S7" s="89">
        <f>SUM(G7:H7)*$AA$52</f>
        <v>0</v>
      </c>
      <c r="T7" s="122">
        <f t="shared" ref="T7:T28" si="2">G7*$AC$19*$Z$56*$Z$60</f>
        <v>0</v>
      </c>
      <c r="U7" s="85">
        <f>SUM(I7:T7)</f>
        <v>10072.823947166758</v>
      </c>
      <c r="V7" s="133">
        <f t="shared" ref="V7:V28" si="3">$U7*(1+0.07)^-($B7-$Y$4)</f>
        <v>5120.5129233398557</v>
      </c>
      <c r="X7" s="282" t="s">
        <v>470</v>
      </c>
      <c r="Y7" s="243">
        <f>IFERROR((_xlfn.XLOOKUP($Z$3,'Trail Project Summary'!$B$3:$B$32,'Trail Project Summary'!$I$3:$I$32)),0)</f>
        <v>9.9</v>
      </c>
      <c r="AU7" s="292" t="s">
        <v>123</v>
      </c>
      <c r="AW7" s="292" t="s">
        <v>161</v>
      </c>
    </row>
    <row r="8" spans="1:49" x14ac:dyDescent="0.25">
      <c r="A8" s="75">
        <f t="shared" ref="A8:A28" si="4">(G8+D8)*2.38</f>
        <v>2607.6688481067999</v>
      </c>
      <c r="B8" s="2">
        <f>B7+1</f>
        <v>2031</v>
      </c>
      <c r="C8" s="260">
        <f>IF(OR($B8&lt;$Y$6,$B8&gt;'Project Data and Assumptions'!$C$8),0,$AC$35*(1+$AA$15)^($B8-2020))</f>
        <v>17036.488705567452</v>
      </c>
      <c r="D8" s="91">
        <f>IF(OR($B8&lt;$Y$6,$B8&gt;'Project Data and Assumptions'!$C$8),0,$AB$34*(1+$AA$15)^($B8-2020))</f>
        <v>1095.6591798768068</v>
      </c>
      <c r="E8" s="258">
        <f>IF(OR($B8&lt;$Y$6,$B8&gt;'Project Data and Assumptions'!$C$8),0,$AC$34*(1+$AA$15)^($B8-2020))</f>
        <v>34042.098775356062</v>
      </c>
      <c r="F8" s="260">
        <f>IF($B8&gt;'Project Data and Assumptions'!$C$8,0,$AC$30*(1+$AA$15)^($B8-2020))</f>
        <v>0</v>
      </c>
      <c r="G8" s="91">
        <f>IF($B8&gt;'Project Data and Assumptions'!$C$8,0,$AB$29*(1+$AA$15)^($B8-2020))</f>
        <v>0</v>
      </c>
      <c r="H8" s="258">
        <f>IF($B8&gt;'Project Data and Assumptions'!$C$8,0,$AC$29*(1+$AA$15)^($B8-2020))</f>
        <v>0</v>
      </c>
      <c r="I8" s="390"/>
      <c r="J8" s="391"/>
      <c r="K8" s="392"/>
      <c r="L8" s="392"/>
      <c r="M8" s="90">
        <f t="shared" ref="M8:M26" si="5">SUM(D8:E8)*$AA$52</f>
        <v>10274.280426110092</v>
      </c>
      <c r="N8" s="92"/>
      <c r="O8" s="17">
        <f t="shared" si="0"/>
        <v>0</v>
      </c>
      <c r="P8" s="90">
        <f t="shared" ref="P8:P26" si="6">(G8*$AA$40)*$AA$38*$AA$39</f>
        <v>0</v>
      </c>
      <c r="Q8" s="90">
        <f t="shared" ref="Q8:Q26" si="7">F8*$AA$43+SUM(G8:H8)*$AA$44</f>
        <v>0</v>
      </c>
      <c r="R8" s="90">
        <f t="shared" si="1"/>
        <v>0</v>
      </c>
      <c r="S8" s="90">
        <f t="shared" ref="S8:S26" si="8">SUM(G8:H8)*$AA$52</f>
        <v>0</v>
      </c>
      <c r="T8" s="92">
        <f t="shared" si="2"/>
        <v>0</v>
      </c>
      <c r="U8" s="17">
        <f t="shared" ref="U8:U26" si="9">SUM(I8:T8)</f>
        <v>10274.280426110092</v>
      </c>
      <c r="V8" s="6">
        <f t="shared" si="3"/>
        <v>4881.2366185108895</v>
      </c>
      <c r="X8" s="282" t="s">
        <v>471</v>
      </c>
      <c r="Y8" s="243">
        <f>IFERROR(_xlfn.XLOOKUP($Z$3,'Trail Project Summary'!$B$3:$B$32,'Trail Project Summary'!$C$3:$C$32),0)</f>
        <v>0</v>
      </c>
      <c r="AU8" s="292" t="s">
        <v>124</v>
      </c>
      <c r="AW8" s="292" t="s">
        <v>163</v>
      </c>
    </row>
    <row r="9" spans="1:49" x14ac:dyDescent="0.25">
      <c r="A9" s="75">
        <f t="shared" si="4"/>
        <v>2659.8222250689364</v>
      </c>
      <c r="B9" s="2">
        <f t="shared" ref="B9:B28" si="10">B8+1</f>
        <v>2032</v>
      </c>
      <c r="C9" s="260">
        <f>IF(OR($B9&lt;$Y$6,$B9&gt;'Project Data and Assumptions'!$C$8),0,$AC$35*(1+$AA$15)^($B9-2020))</f>
        <v>17377.218479678802</v>
      </c>
      <c r="D9" s="91">
        <f>IF(OR($B9&lt;$Y$6,$B9&gt;'Project Data and Assumptions'!$C$8),0,$AB$34*(1+$AA$15)^($B9-2020))</f>
        <v>1117.5723634743431</v>
      </c>
      <c r="E9" s="258">
        <f>IF(OR($B9&lt;$Y$6,$B9&gt;'Project Data and Assumptions'!$C$8),0,$AC$34*(1+$AA$15)^($B9-2020))</f>
        <v>34722.940750863185</v>
      </c>
      <c r="F9" s="260">
        <f>IF($B9&gt;'Project Data and Assumptions'!$C$8,0,$AC$30*(1+$AA$15)^($B9-2020))</f>
        <v>0</v>
      </c>
      <c r="G9" s="91">
        <f>IF($B9&gt;'Project Data and Assumptions'!$C$8,0,$AB$29*(1+$AA$15)^($B9-2020))</f>
        <v>0</v>
      </c>
      <c r="H9" s="258">
        <f>IF($B9&gt;'Project Data and Assumptions'!$C$8,0,$AC$29*(1+$AA$15)^($B9-2020))</f>
        <v>0</v>
      </c>
      <c r="I9" s="390"/>
      <c r="J9" s="391"/>
      <c r="K9" s="392"/>
      <c r="L9" s="392"/>
      <c r="M9" s="90">
        <f t="shared" si="5"/>
        <v>10479.766034632294</v>
      </c>
      <c r="N9" s="92"/>
      <c r="O9" s="17">
        <f t="shared" si="0"/>
        <v>0</v>
      </c>
      <c r="P9" s="90">
        <f t="shared" si="6"/>
        <v>0</v>
      </c>
      <c r="Q9" s="90">
        <f t="shared" si="7"/>
        <v>0</v>
      </c>
      <c r="R9" s="90">
        <f t="shared" si="1"/>
        <v>0</v>
      </c>
      <c r="S9" s="90">
        <f t="shared" si="8"/>
        <v>0</v>
      </c>
      <c r="T9" s="92">
        <f t="shared" si="2"/>
        <v>0</v>
      </c>
      <c r="U9" s="17">
        <f t="shared" si="9"/>
        <v>10479.766034632294</v>
      </c>
      <c r="V9" s="6">
        <f t="shared" si="3"/>
        <v>4653.141449421596</v>
      </c>
      <c r="X9" s="118" t="s">
        <v>655</v>
      </c>
      <c r="Y9" s="243">
        <v>1.5</v>
      </c>
      <c r="AU9" s="292" t="s">
        <v>150</v>
      </c>
      <c r="AW9" s="292" t="s">
        <v>162</v>
      </c>
    </row>
    <row r="10" spans="1:49" x14ac:dyDescent="0.25">
      <c r="A10" s="75">
        <f t="shared" si="4"/>
        <v>2713.0186695703146</v>
      </c>
      <c r="B10" s="2">
        <f t="shared" si="10"/>
        <v>2033</v>
      </c>
      <c r="C10" s="260">
        <f>IF(OR($B10&lt;$Y$6,$B10&gt;'Project Data and Assumptions'!$C$8),0,$AC$35*(1+$AA$15)^($B10-2020))</f>
        <v>17724.762849272378</v>
      </c>
      <c r="D10" s="91">
        <f>IF(OR($B10&lt;$Y$6,$B10&gt;'Project Data and Assumptions'!$C$8),0,$AB$34*(1+$AA$15)^($B10-2020))</f>
        <v>1139.9238107438298</v>
      </c>
      <c r="E10" s="258">
        <f>IF(OR($B10&lt;$Y$6,$B10&gt;'Project Data and Assumptions'!$C$8),0,$AC$34*(1+$AA$15)^($B10-2020))</f>
        <v>35417.399565880449</v>
      </c>
      <c r="F10" s="260">
        <f>IF($B10&gt;'Project Data and Assumptions'!$C$8,0,$AC$30*(1+$AA$15)^($B10-2020))</f>
        <v>0</v>
      </c>
      <c r="G10" s="91">
        <f>IF($B10&gt;'Project Data and Assumptions'!$C$8,0,$AB$29*(1+$AA$15)^($B10-2020))</f>
        <v>0</v>
      </c>
      <c r="H10" s="258">
        <f>IF($B10&gt;'Project Data and Assumptions'!$C$8,0,$AC$29*(1+$AA$15)^($B10-2020))</f>
        <v>0</v>
      </c>
      <c r="I10" s="390"/>
      <c r="J10" s="391"/>
      <c r="K10" s="392"/>
      <c r="L10" s="392"/>
      <c r="M10" s="90">
        <f t="shared" si="5"/>
        <v>10689.36135532494</v>
      </c>
      <c r="N10" s="92"/>
      <c r="O10" s="17">
        <f t="shared" si="0"/>
        <v>0</v>
      </c>
      <c r="P10" s="90">
        <f t="shared" si="6"/>
        <v>0</v>
      </c>
      <c r="Q10" s="90">
        <f t="shared" si="7"/>
        <v>0</v>
      </c>
      <c r="R10" s="90">
        <f t="shared" si="1"/>
        <v>0</v>
      </c>
      <c r="S10" s="90">
        <f t="shared" si="8"/>
        <v>0</v>
      </c>
      <c r="T10" s="92">
        <f t="shared" si="2"/>
        <v>0</v>
      </c>
      <c r="U10" s="17">
        <f t="shared" si="9"/>
        <v>10689.36135532494</v>
      </c>
      <c r="V10" s="6">
        <f t="shared" si="3"/>
        <v>4435.7049330934833</v>
      </c>
      <c r="X10" s="118" t="s">
        <v>472</v>
      </c>
      <c r="Y10" s="243">
        <f>IFERROR(_xlfn.XLOOKUP($Z$3,'Trail Project Summary'!$B$3:$B$32,'Trail Project Summary'!$E$3:$E$32),0)</f>
        <v>0</v>
      </c>
    </row>
    <row r="11" spans="1:49" x14ac:dyDescent="0.25">
      <c r="A11" s="75">
        <f t="shared" si="4"/>
        <v>2767.2790429617212</v>
      </c>
      <c r="B11" s="2">
        <f t="shared" si="10"/>
        <v>2034</v>
      </c>
      <c r="C11" s="260">
        <f>IF(OR($B11&lt;$Y$6,$B11&gt;'Project Data and Assumptions'!$C$8),0,$AC$35*(1+$AA$15)^($B11-2020))</f>
        <v>18079.258106257828</v>
      </c>
      <c r="D11" s="91">
        <f>IF(OR($B11&lt;$Y$6,$B11&gt;'Project Data and Assumptions'!$C$8),0,$AB$34*(1+$AA$15)^($B11-2020))</f>
        <v>1162.7222869587065</v>
      </c>
      <c r="E11" s="258">
        <f>IF(OR($B11&lt;$Y$6,$B11&gt;'Project Data and Assumptions'!$C$8),0,$AC$34*(1+$AA$15)^($B11-2020))</f>
        <v>36125.747557198061</v>
      </c>
      <c r="F11" s="260">
        <f>IF($B11&gt;'Project Data and Assumptions'!$C$8,0,$AC$30*(1+$AA$15)^($B11-2020))</f>
        <v>0</v>
      </c>
      <c r="G11" s="91">
        <f>IF($B11&gt;'Project Data and Assumptions'!$C$8,0,$AB$29*(1+$AA$15)^($B11-2020))</f>
        <v>0</v>
      </c>
      <c r="H11" s="258">
        <f>IF($B11&gt;'Project Data and Assumptions'!$C$8,0,$AC$29*(1+$AA$15)^($B11-2020))</f>
        <v>0</v>
      </c>
      <c r="I11" s="390"/>
      <c r="J11" s="391"/>
      <c r="K11" s="392"/>
      <c r="L11" s="392"/>
      <c r="M11" s="90">
        <f t="shared" si="5"/>
        <v>10903.14858243144</v>
      </c>
      <c r="N11" s="92"/>
      <c r="O11" s="17">
        <f t="shared" si="0"/>
        <v>0</v>
      </c>
      <c r="P11" s="90">
        <f t="shared" si="6"/>
        <v>0</v>
      </c>
      <c r="Q11" s="90">
        <f t="shared" si="7"/>
        <v>0</v>
      </c>
      <c r="R11" s="90">
        <f t="shared" si="1"/>
        <v>0</v>
      </c>
      <c r="S11" s="90">
        <f t="shared" si="8"/>
        <v>0</v>
      </c>
      <c r="T11" s="92">
        <f t="shared" si="2"/>
        <v>0</v>
      </c>
      <c r="U11" s="17">
        <f t="shared" si="9"/>
        <v>10903.14858243144</v>
      </c>
      <c r="V11" s="6">
        <f t="shared" si="3"/>
        <v>4228.4290016405184</v>
      </c>
      <c r="X11" s="28"/>
      <c r="Y11" s="60"/>
      <c r="Z11" s="28"/>
      <c r="AA11" s="28"/>
      <c r="AB11" s="28"/>
      <c r="AC11" s="28"/>
      <c r="AD11" s="28"/>
      <c r="AE11" s="28"/>
      <c r="AF11" s="28"/>
    </row>
    <row r="12" spans="1:49" x14ac:dyDescent="0.25">
      <c r="A12" s="75">
        <f t="shared" si="4"/>
        <v>2822.6246238209551</v>
      </c>
      <c r="B12" s="2">
        <f t="shared" si="10"/>
        <v>2035</v>
      </c>
      <c r="C12" s="260">
        <f>IF(OR($B12&lt;$Y$6,$B12&gt;'Project Data and Assumptions'!$C$8),0,$AC$35*(1+$AA$15)^($B12-2020))</f>
        <v>18440.843268382978</v>
      </c>
      <c r="D12" s="91">
        <f>IF(OR($B12&lt;$Y$6,$B12&gt;'Project Data and Assumptions'!$C$8),0,$AB$34*(1+$AA$15)^($B12-2020))</f>
        <v>1185.9767326978804</v>
      </c>
      <c r="E12" s="258">
        <f>IF(OR($B12&lt;$Y$6,$B12&gt;'Project Data and Assumptions'!$C$8),0,$AC$34*(1+$AA$15)^($B12-2020))</f>
        <v>36848.262508342013</v>
      </c>
      <c r="F12" s="260">
        <f>IF($B12&gt;'Project Data and Assumptions'!$C$8,0,$AC$30*(1+$AA$15)^($B12-2020))</f>
        <v>0</v>
      </c>
      <c r="G12" s="91">
        <f>IF($B12&gt;'Project Data and Assumptions'!$C$8,0,$AB$29*(1+$AA$15)^($B12-2020))</f>
        <v>0</v>
      </c>
      <c r="H12" s="258">
        <f>IF($B12&gt;'Project Data and Assumptions'!$C$8,0,$AC$29*(1+$AA$15)^($B12-2020))</f>
        <v>0</v>
      </c>
      <c r="I12" s="390"/>
      <c r="J12" s="391"/>
      <c r="K12" s="392"/>
      <c r="L12" s="392"/>
      <c r="M12" s="90">
        <f t="shared" si="5"/>
        <v>11121.211554080068</v>
      </c>
      <c r="N12" s="92"/>
      <c r="O12" s="17">
        <f t="shared" si="0"/>
        <v>0</v>
      </c>
      <c r="P12" s="90">
        <f t="shared" si="6"/>
        <v>0</v>
      </c>
      <c r="Q12" s="90">
        <f t="shared" si="7"/>
        <v>0</v>
      </c>
      <c r="R12" s="90">
        <f t="shared" si="1"/>
        <v>0</v>
      </c>
      <c r="S12" s="90">
        <f t="shared" si="8"/>
        <v>0</v>
      </c>
      <c r="T12" s="92">
        <f t="shared" si="2"/>
        <v>0</v>
      </c>
      <c r="U12" s="17">
        <f t="shared" si="9"/>
        <v>11121.211554080068</v>
      </c>
      <c r="V12" s="6">
        <f t="shared" si="3"/>
        <v>4030.8388613769416</v>
      </c>
      <c r="X12" s="30"/>
      <c r="Y12" s="30"/>
    </row>
    <row r="13" spans="1:49" x14ac:dyDescent="0.25">
      <c r="A13" s="75">
        <f t="shared" si="4"/>
        <v>2879.0771162973742</v>
      </c>
      <c r="B13" s="2">
        <f t="shared" si="10"/>
        <v>2036</v>
      </c>
      <c r="C13" s="260">
        <f>IF(OR($B13&lt;$Y$6,$B13&gt;'Project Data and Assumptions'!$C$8),0,$AC$35*(1+$AA$15)^($B13-2020))</f>
        <v>18809.66013375064</v>
      </c>
      <c r="D13" s="91">
        <f>IF(OR($B13&lt;$Y$6,$B13&gt;'Project Data and Assumptions'!$C$8),0,$AB$34*(1+$AA$15)^($B13-2020))</f>
        <v>1209.6962673518381</v>
      </c>
      <c r="E13" s="258">
        <f>IF(OR($B13&lt;$Y$6,$B13&gt;'Project Data and Assumptions'!$C$8),0,$AC$34*(1+$AA$15)^($B13-2020))</f>
        <v>37585.22775850886</v>
      </c>
      <c r="F13" s="260">
        <f>IF($B13&gt;'Project Data and Assumptions'!$C$8,0,$AC$30*(1+$AA$15)^($B13-2020))</f>
        <v>0</v>
      </c>
      <c r="G13" s="91">
        <f>IF($B13&gt;'Project Data and Assumptions'!$C$8,0,$AB$29*(1+$AA$15)^($B13-2020))</f>
        <v>0</v>
      </c>
      <c r="H13" s="258">
        <f>IF($B13&gt;'Project Data and Assumptions'!$C$8,0,$AC$29*(1+$AA$15)^($B13-2020))</f>
        <v>0</v>
      </c>
      <c r="I13" s="390"/>
      <c r="J13" s="391"/>
      <c r="K13" s="392"/>
      <c r="L13" s="392"/>
      <c r="M13" s="90">
        <f t="shared" si="5"/>
        <v>11343.635785161669</v>
      </c>
      <c r="N13" s="92"/>
      <c r="O13" s="17">
        <f t="shared" si="0"/>
        <v>0</v>
      </c>
      <c r="P13" s="90">
        <f t="shared" si="6"/>
        <v>0</v>
      </c>
      <c r="Q13" s="90">
        <f t="shared" si="7"/>
        <v>0</v>
      </c>
      <c r="R13" s="90">
        <f t="shared" si="1"/>
        <v>0</v>
      </c>
      <c r="S13" s="90">
        <f t="shared" si="8"/>
        <v>0</v>
      </c>
      <c r="T13" s="92">
        <f t="shared" si="2"/>
        <v>0</v>
      </c>
      <c r="U13" s="17">
        <f t="shared" si="9"/>
        <v>11343.635785161669</v>
      </c>
      <c r="V13" s="6">
        <f t="shared" si="3"/>
        <v>3842.4819052378325</v>
      </c>
      <c r="AU13" s="292" t="s">
        <v>489</v>
      </c>
      <c r="AV13" s="292" t="s">
        <v>503</v>
      </c>
    </row>
    <row r="14" spans="1:49" x14ac:dyDescent="0.25">
      <c r="A14" s="75">
        <f t="shared" si="4"/>
        <v>2936.658658623322</v>
      </c>
      <c r="B14" s="2">
        <f t="shared" si="10"/>
        <v>2037</v>
      </c>
      <c r="C14" s="260">
        <f>IF(OR($B14&lt;$Y$6,$B14&gt;'Project Data and Assumptions'!$C$8),0,$AC$35*(1+$AA$15)^($B14-2020))</f>
        <v>19185.853336425655</v>
      </c>
      <c r="D14" s="91">
        <f>IF(OR($B14&lt;$Y$6,$B14&gt;'Project Data and Assumptions'!$C$8),0,$AB$34*(1+$AA$15)^($B14-2020))</f>
        <v>1233.8901926988749</v>
      </c>
      <c r="E14" s="258">
        <f>IF(OR($B14&lt;$Y$6,$B14&gt;'Project Data and Assumptions'!$C$8),0,$AC$34*(1+$AA$15)^($B14-2020))</f>
        <v>38336.932313679041</v>
      </c>
      <c r="F14" s="260">
        <f>IF($B14&gt;'Project Data and Assumptions'!$C$8,0,$AC$30*(1+$AA$15)^($B14-2020))</f>
        <v>0</v>
      </c>
      <c r="G14" s="91">
        <f>IF($B14&gt;'Project Data and Assumptions'!$C$8,0,$AB$29*(1+$AA$15)^($B14-2020))</f>
        <v>0</v>
      </c>
      <c r="H14" s="258">
        <f>IF($B14&gt;'Project Data and Assumptions'!$C$8,0,$AC$29*(1+$AA$15)^($B14-2020))</f>
        <v>0</v>
      </c>
      <c r="I14" s="390"/>
      <c r="J14" s="391"/>
      <c r="K14" s="392"/>
      <c r="L14" s="392"/>
      <c r="M14" s="90">
        <f t="shared" si="5"/>
        <v>11570.508500864906</v>
      </c>
      <c r="N14" s="92"/>
      <c r="O14" s="17">
        <f t="shared" si="0"/>
        <v>0</v>
      </c>
      <c r="P14" s="90">
        <f t="shared" si="6"/>
        <v>0</v>
      </c>
      <c r="Q14" s="90">
        <f t="shared" si="7"/>
        <v>0</v>
      </c>
      <c r="R14" s="90">
        <f t="shared" si="1"/>
        <v>0</v>
      </c>
      <c r="S14" s="90">
        <f t="shared" si="8"/>
        <v>0</v>
      </c>
      <c r="T14" s="92">
        <f t="shared" si="2"/>
        <v>0</v>
      </c>
      <c r="U14" s="17">
        <f t="shared" si="9"/>
        <v>11570.508500864906</v>
      </c>
      <c r="V14" s="6">
        <f t="shared" si="3"/>
        <v>3662.9266760211126</v>
      </c>
      <c r="X14" s="175" t="s">
        <v>83</v>
      </c>
      <c r="AU14" s="292" t="s">
        <v>490</v>
      </c>
      <c r="AV14" s="292" t="s">
        <v>504</v>
      </c>
    </row>
    <row r="15" spans="1:49" ht="17.25" x14ac:dyDescent="0.25">
      <c r="A15" s="75">
        <f t="shared" si="4"/>
        <v>2995.3918317957882</v>
      </c>
      <c r="B15" s="2">
        <f t="shared" si="10"/>
        <v>2038</v>
      </c>
      <c r="C15" s="260">
        <f>IF(OR($B15&lt;$Y$6,$B15&gt;'Project Data and Assumptions'!$C$8),0,$AC$35*(1+$AA$15)^($B15-2020))</f>
        <v>19569.570403154165</v>
      </c>
      <c r="D15" s="91">
        <f>IF(OR($B15&lt;$Y$6,$B15&gt;'Project Data and Assumptions'!$C$8),0,$AB$34*(1+$AA$15)^($B15-2020))</f>
        <v>1258.5679965528523</v>
      </c>
      <c r="E15" s="258">
        <f>IF(OR($B15&lt;$Y$6,$B15&gt;'Project Data and Assumptions'!$C$8),0,$AC$34*(1+$AA$15)^($B15-2020))</f>
        <v>39103.670959952615</v>
      </c>
      <c r="F15" s="260">
        <f>IF($B15&gt;'Project Data and Assumptions'!$C$8,0,$AC$30*(1+$AA$15)^($B15-2020))</f>
        <v>0</v>
      </c>
      <c r="G15" s="91">
        <f>IF($B15&gt;'Project Data and Assumptions'!$C$8,0,$AB$29*(1+$AA$15)^($B15-2020))</f>
        <v>0</v>
      </c>
      <c r="H15" s="258">
        <f>IF($B15&gt;'Project Data and Assumptions'!$C$8,0,$AC$29*(1+$AA$15)^($B15-2020))</f>
        <v>0</v>
      </c>
      <c r="I15" s="390"/>
      <c r="J15" s="391"/>
      <c r="K15" s="392"/>
      <c r="L15" s="392"/>
      <c r="M15" s="90">
        <f t="shared" si="5"/>
        <v>11801.918670882202</v>
      </c>
      <c r="N15" s="92"/>
      <c r="O15" s="17">
        <f t="shared" si="0"/>
        <v>0</v>
      </c>
      <c r="P15" s="90">
        <f t="shared" si="6"/>
        <v>0</v>
      </c>
      <c r="Q15" s="90">
        <f t="shared" si="7"/>
        <v>0</v>
      </c>
      <c r="R15" s="90">
        <f t="shared" si="1"/>
        <v>0</v>
      </c>
      <c r="S15" s="90">
        <f t="shared" si="8"/>
        <v>0</v>
      </c>
      <c r="T15" s="92">
        <f t="shared" si="2"/>
        <v>0</v>
      </c>
      <c r="U15" s="17">
        <f t="shared" si="9"/>
        <v>11801.918670882202</v>
      </c>
      <c r="V15" s="6">
        <f t="shared" si="3"/>
        <v>3491.7618780762</v>
      </c>
      <c r="X15" s="700" t="s">
        <v>677</v>
      </c>
      <c r="Y15" s="700"/>
      <c r="Z15" s="700"/>
      <c r="AA15" s="569">
        <v>0.02</v>
      </c>
      <c r="AB15" s="569">
        <v>0.05</v>
      </c>
      <c r="AU15" s="292" t="s">
        <v>491</v>
      </c>
    </row>
    <row r="16" spans="1:49" x14ac:dyDescent="0.25">
      <c r="A16" s="75">
        <f t="shared" si="4"/>
        <v>3055.2996684317045</v>
      </c>
      <c r="B16" s="2">
        <f t="shared" si="10"/>
        <v>2039</v>
      </c>
      <c r="C16" s="260">
        <f>IF(OR($B16&lt;$Y$6,$B16&gt;'Project Data and Assumptions'!$C$8),0,$AC$35*(1+$AA$15)^($B16-2020))</f>
        <v>19960.96181121725</v>
      </c>
      <c r="D16" s="91">
        <f>IF(OR($B16&lt;$Y$6,$B16&gt;'Project Data and Assumptions'!$C$8),0,$AB$34*(1+$AA$15)^($B16-2020))</f>
        <v>1283.7393564839094</v>
      </c>
      <c r="E16" s="258">
        <f>IF(OR($B16&lt;$Y$6,$B16&gt;'Project Data and Assumptions'!$C$8),0,$AC$34*(1+$AA$15)^($B16-2020))</f>
        <v>39885.744379151663</v>
      </c>
      <c r="F16" s="260">
        <f>IF($B16&gt;'Project Data and Assumptions'!$C$8,0,$AC$30*(1+$AA$15)^($B16-2020))</f>
        <v>0</v>
      </c>
      <c r="G16" s="91">
        <f>IF($B16&gt;'Project Data and Assumptions'!$C$8,0,$AB$29*(1+$AA$15)^($B16-2020))</f>
        <v>0</v>
      </c>
      <c r="H16" s="258">
        <f>IF($B16&gt;'Project Data and Assumptions'!$C$8,0,$AC$29*(1+$AA$15)^($B16-2020))</f>
        <v>0</v>
      </c>
      <c r="I16" s="390"/>
      <c r="J16" s="391"/>
      <c r="K16" s="392"/>
      <c r="L16" s="392"/>
      <c r="M16" s="90">
        <f t="shared" si="5"/>
        <v>12037.957044299843</v>
      </c>
      <c r="N16" s="92"/>
      <c r="O16" s="17">
        <f t="shared" si="0"/>
        <v>0</v>
      </c>
      <c r="P16" s="90">
        <f t="shared" si="6"/>
        <v>0</v>
      </c>
      <c r="Q16" s="90">
        <f t="shared" si="7"/>
        <v>0</v>
      </c>
      <c r="R16" s="90">
        <f t="shared" si="1"/>
        <v>0</v>
      </c>
      <c r="S16" s="90">
        <f t="shared" si="8"/>
        <v>0</v>
      </c>
      <c r="T16" s="92">
        <f t="shared" si="2"/>
        <v>0</v>
      </c>
      <c r="U16" s="17">
        <f t="shared" si="9"/>
        <v>12037.957044299843</v>
      </c>
      <c r="V16" s="6">
        <f t="shared" si="3"/>
        <v>3328.5954351754422</v>
      </c>
      <c r="X16" s="695" t="s">
        <v>498</v>
      </c>
      <c r="Y16" s="695"/>
      <c r="Z16" s="695"/>
      <c r="AA16" s="177">
        <v>0.86</v>
      </c>
      <c r="AB16" s="113"/>
      <c r="AU16" s="292" t="s">
        <v>502</v>
      </c>
      <c r="AV16" s="292" t="s">
        <v>505</v>
      </c>
      <c r="AW16" s="292" t="s">
        <v>506</v>
      </c>
    </row>
    <row r="17" spans="1:33" x14ac:dyDescent="0.25">
      <c r="A17" s="75">
        <f t="shared" si="4"/>
        <v>3116.4056618003383</v>
      </c>
      <c r="B17" s="2">
        <f t="shared" si="10"/>
        <v>2040</v>
      </c>
      <c r="C17" s="260">
        <f>IF(OR($B17&lt;$Y$6,$B17&gt;'Project Data and Assumptions'!$C$8),0,$AC$35*(1+$AA$15)^($B17-2020))</f>
        <v>20360.181047441594</v>
      </c>
      <c r="D17" s="91">
        <f>IF(OR($B17&lt;$Y$6,$B17&gt;'Project Data and Assumptions'!$C$8),0,$AB$34*(1+$AA$15)^($B17-2020))</f>
        <v>1309.4141436135876</v>
      </c>
      <c r="E17" s="258">
        <f>IF(OR($B17&lt;$Y$6,$B17&gt;'Project Data and Assumptions'!$C$8),0,$AC$34*(1+$AA$15)^($B17-2020))</f>
        <v>40683.459266734702</v>
      </c>
      <c r="F17" s="260">
        <f>IF($B17&gt;'Project Data and Assumptions'!$C$8,0,$AC$30*(1+$AA$15)^($B17-2020))</f>
        <v>0</v>
      </c>
      <c r="G17" s="91">
        <f>IF($B17&gt;'Project Data and Assumptions'!$C$8,0,$AB$29*(1+$AA$15)^($B17-2020))</f>
        <v>0</v>
      </c>
      <c r="H17" s="258">
        <f>IF($B17&gt;'Project Data and Assumptions'!$C$8,0,$AC$29*(1+$AA$15)^($B17-2020))</f>
        <v>0</v>
      </c>
      <c r="I17" s="390"/>
      <c r="J17" s="391"/>
      <c r="K17" s="392"/>
      <c r="L17" s="392"/>
      <c r="M17" s="90">
        <f t="shared" si="5"/>
        <v>12278.716185185844</v>
      </c>
      <c r="N17" s="92"/>
      <c r="O17" s="17">
        <f t="shared" si="0"/>
        <v>0</v>
      </c>
      <c r="P17" s="90">
        <f t="shared" si="6"/>
        <v>0</v>
      </c>
      <c r="Q17" s="90">
        <f t="shared" si="7"/>
        <v>0</v>
      </c>
      <c r="R17" s="90">
        <f t="shared" si="1"/>
        <v>0</v>
      </c>
      <c r="S17" s="90">
        <f t="shared" si="8"/>
        <v>0</v>
      </c>
      <c r="T17" s="92">
        <f t="shared" si="2"/>
        <v>0</v>
      </c>
      <c r="U17" s="17">
        <f t="shared" si="9"/>
        <v>12278.716185185844</v>
      </c>
      <c r="V17" s="6">
        <f t="shared" si="3"/>
        <v>3173.0535924102355</v>
      </c>
      <c r="X17" s="695" t="s">
        <v>499</v>
      </c>
      <c r="Y17" s="695"/>
      <c r="Z17" s="695"/>
      <c r="AA17" s="265">
        <f>MIN(Y7,2.38)</f>
        <v>2.38</v>
      </c>
      <c r="AB17" s="266" t="s">
        <v>500</v>
      </c>
      <c r="AC17" s="284" t="s">
        <v>501</v>
      </c>
    </row>
    <row r="18" spans="1:33" x14ac:dyDescent="0.25">
      <c r="A18" s="75">
        <f t="shared" si="4"/>
        <v>3178.7337750363449</v>
      </c>
      <c r="B18" s="2">
        <f t="shared" si="10"/>
        <v>2041</v>
      </c>
      <c r="C18" s="260">
        <f>IF(OR($B18&lt;$Y$6,$B18&gt;'Project Data and Assumptions'!$C$8),0,$AC$35*(1+$AA$15)^($B18-2020))</f>
        <v>20767.384668390427</v>
      </c>
      <c r="D18" s="91">
        <f>IF(OR($B18&lt;$Y$6,$B18&gt;'Project Data and Assumptions'!$C$8),0,$AB$34*(1+$AA$15)^($B18-2020))</f>
        <v>1335.6024264858593</v>
      </c>
      <c r="E18" s="258">
        <f>IF(OR($B18&lt;$Y$6,$B18&gt;'Project Data and Assumptions'!$C$8),0,$AC$34*(1+$AA$15)^($B18-2020))</f>
        <v>41497.128452069395</v>
      </c>
      <c r="F18" s="260">
        <f>IF($B18&gt;'Project Data and Assumptions'!$C$8,0,$AC$30*(1+$AA$15)^($B18-2020))</f>
        <v>0</v>
      </c>
      <c r="G18" s="91">
        <f>IF($B18&gt;'Project Data and Assumptions'!$C$8,0,$AB$29*(1+$AA$15)^($B18-2020))</f>
        <v>0</v>
      </c>
      <c r="H18" s="258">
        <f>IF($B18&gt;'Project Data and Assumptions'!$C$8,0,$AC$29*(1+$AA$15)^($B18-2020))</f>
        <v>0</v>
      </c>
      <c r="I18" s="390"/>
      <c r="J18" s="391"/>
      <c r="K18" s="392"/>
      <c r="L18" s="392"/>
      <c r="M18" s="90">
        <f t="shared" si="5"/>
        <v>12524.290508889559</v>
      </c>
      <c r="N18" s="92"/>
      <c r="O18" s="17">
        <f t="shared" si="0"/>
        <v>0</v>
      </c>
      <c r="P18" s="90">
        <f t="shared" si="6"/>
        <v>0</v>
      </c>
      <c r="Q18" s="90">
        <f t="shared" si="7"/>
        <v>0</v>
      </c>
      <c r="R18" s="90">
        <f t="shared" si="1"/>
        <v>0</v>
      </c>
      <c r="S18" s="90">
        <f t="shared" si="8"/>
        <v>0</v>
      </c>
      <c r="T18" s="92">
        <f t="shared" si="2"/>
        <v>0</v>
      </c>
      <c r="U18" s="17">
        <f t="shared" si="9"/>
        <v>12524.290508889559</v>
      </c>
      <c r="V18" s="6">
        <f t="shared" si="3"/>
        <v>3024.7800600546166</v>
      </c>
      <c r="X18" s="695" t="s">
        <v>495</v>
      </c>
      <c r="Y18" s="695"/>
      <c r="Z18" s="695"/>
      <c r="AA18" s="695"/>
      <c r="AB18" s="177">
        <f>MIN($AA$16,$Y8)</f>
        <v>0</v>
      </c>
      <c r="AC18" s="177">
        <f>MIN($AA$17,$Y8)</f>
        <v>0</v>
      </c>
    </row>
    <row r="19" spans="1:33" x14ac:dyDescent="0.25">
      <c r="A19" s="75">
        <f t="shared" si="4"/>
        <v>3242.3084505370721</v>
      </c>
      <c r="B19" s="2">
        <f t="shared" si="10"/>
        <v>2042</v>
      </c>
      <c r="C19" s="260">
        <f>IF(OR($B19&lt;$Y$6,$B19&gt;'Project Data and Assumptions'!$C$8),0,$AC$35*(1+$AA$15)^($B19-2020))</f>
        <v>21182.732361758237</v>
      </c>
      <c r="D19" s="91">
        <f>IF(OR($B19&lt;$Y$6,$B19&gt;'Project Data and Assumptions'!$C$8),0,$AB$34*(1+$AA$15)^($B19-2020))</f>
        <v>1362.3144750155766</v>
      </c>
      <c r="E19" s="258">
        <f>IF(OR($B19&lt;$Y$6,$B19&gt;'Project Data and Assumptions'!$C$8),0,$AC$34*(1+$AA$15)^($B19-2020))</f>
        <v>42327.071021110787</v>
      </c>
      <c r="F19" s="260">
        <f>IF($B19&gt;'Project Data and Assumptions'!$C$8,0,$AC$30*(1+$AA$15)^($B19-2020))</f>
        <v>0</v>
      </c>
      <c r="G19" s="91">
        <f>IF($B19&gt;'Project Data and Assumptions'!$C$8,0,$AB$29*(1+$AA$15)^($B19-2020))</f>
        <v>0</v>
      </c>
      <c r="H19" s="258">
        <f>IF($B19&gt;'Project Data and Assumptions'!$C$8,0,$AC$29*(1+$AA$15)^($B19-2020))</f>
        <v>0</v>
      </c>
      <c r="I19" s="390"/>
      <c r="J19" s="391"/>
      <c r="K19" s="392"/>
      <c r="L19" s="392"/>
      <c r="M19" s="90">
        <f t="shared" si="5"/>
        <v>12774.77631906735</v>
      </c>
      <c r="N19" s="92"/>
      <c r="O19" s="17">
        <f t="shared" si="0"/>
        <v>0</v>
      </c>
      <c r="P19" s="90">
        <f t="shared" si="6"/>
        <v>0</v>
      </c>
      <c r="Q19" s="90">
        <f t="shared" si="7"/>
        <v>0</v>
      </c>
      <c r="R19" s="90">
        <f t="shared" si="1"/>
        <v>0</v>
      </c>
      <c r="S19" s="90">
        <f t="shared" si="8"/>
        <v>0</v>
      </c>
      <c r="T19" s="92">
        <f t="shared" si="2"/>
        <v>0</v>
      </c>
      <c r="U19" s="17">
        <f t="shared" si="9"/>
        <v>12774.77631906735</v>
      </c>
      <c r="V19" s="6">
        <f t="shared" si="3"/>
        <v>2883.4351974352421</v>
      </c>
      <c r="X19" s="695" t="s">
        <v>496</v>
      </c>
      <c r="Y19" s="695"/>
      <c r="Z19" s="695"/>
      <c r="AA19" s="695"/>
      <c r="AB19" s="177">
        <f>MIN($AA$16,SUM($Y9:$Y10))</f>
        <v>0.86</v>
      </c>
      <c r="AC19" s="177">
        <f>MIN($AA$16,SUM($Y9:$Y10))</f>
        <v>0.86</v>
      </c>
    </row>
    <row r="20" spans="1:33" x14ac:dyDescent="0.25">
      <c r="A20" s="75">
        <f t="shared" si="4"/>
        <v>3307.1546195478131</v>
      </c>
      <c r="B20" s="2">
        <f t="shared" si="10"/>
        <v>2043</v>
      </c>
      <c r="C20" s="260">
        <f>IF(OR($B20&lt;$Y$6,$B20&gt;'Project Data and Assumptions'!$C$8),0,$AC$35*(1+$AA$15)^($B20-2020))</f>
        <v>21606.387008993395</v>
      </c>
      <c r="D20" s="91">
        <f>IF(OR($B20&lt;$Y$6,$B20&gt;'Project Data and Assumptions'!$C$8),0,$AB$34*(1+$AA$15)^($B20-2020))</f>
        <v>1389.560764515888</v>
      </c>
      <c r="E20" s="258">
        <f>IF(OR($B20&lt;$Y$6,$B20&gt;'Project Data and Assumptions'!$C$8),0,$AC$34*(1+$AA$15)^($B20-2020))</f>
        <v>43173.61244153299</v>
      </c>
      <c r="F20" s="260">
        <f>IF($B20&gt;'Project Data and Assumptions'!$C$8,0,$AC$30*(1+$AA$15)^($B20-2020))</f>
        <v>0</v>
      </c>
      <c r="G20" s="91">
        <f>IF($B20&gt;'Project Data and Assumptions'!$C$8,0,$AB$29*(1+$AA$15)^($B20-2020))</f>
        <v>0</v>
      </c>
      <c r="H20" s="258">
        <f>IF($B20&gt;'Project Data and Assumptions'!$C$8,0,$AC$29*(1+$AA$15)^($B20-2020))</f>
        <v>0</v>
      </c>
      <c r="I20" s="390"/>
      <c r="J20" s="391"/>
      <c r="K20" s="392"/>
      <c r="L20" s="392"/>
      <c r="M20" s="90">
        <f t="shared" si="5"/>
        <v>13030.271845448695</v>
      </c>
      <c r="N20" s="92"/>
      <c r="O20" s="17">
        <f t="shared" si="0"/>
        <v>0</v>
      </c>
      <c r="P20" s="90">
        <f t="shared" si="6"/>
        <v>0</v>
      </c>
      <c r="Q20" s="90">
        <f t="shared" si="7"/>
        <v>0</v>
      </c>
      <c r="R20" s="90">
        <f t="shared" si="1"/>
        <v>0</v>
      </c>
      <c r="S20" s="90">
        <f t="shared" si="8"/>
        <v>0</v>
      </c>
      <c r="T20" s="92">
        <f t="shared" si="2"/>
        <v>0</v>
      </c>
      <c r="U20" s="17">
        <f t="shared" si="9"/>
        <v>13030.271845448695</v>
      </c>
      <c r="V20" s="6">
        <f t="shared" si="3"/>
        <v>2748.6952349382677</v>
      </c>
      <c r="X20" s="568"/>
      <c r="Y20" s="568"/>
      <c r="Z20" s="286"/>
      <c r="AA20" s="93"/>
    </row>
    <row r="21" spans="1:33" x14ac:dyDescent="0.25">
      <c r="A21" s="75">
        <f t="shared" si="4"/>
        <v>3373.2977119387692</v>
      </c>
      <c r="B21" s="2">
        <f t="shared" si="10"/>
        <v>2044</v>
      </c>
      <c r="C21" s="260">
        <f>IF(OR($B21&lt;$Y$6,$B21&gt;'Project Data and Assumptions'!$C$8),0,$AC$35*(1+$AA$15)^($B21-2020))</f>
        <v>22038.514749173264</v>
      </c>
      <c r="D21" s="91">
        <f>IF(OR($B21&lt;$Y$6,$B21&gt;'Project Data and Assumptions'!$C$8),0,$AB$34*(1+$AA$15)^($B21-2020))</f>
        <v>1417.3519798062057</v>
      </c>
      <c r="E21" s="258">
        <f>IF(OR($B21&lt;$Y$6,$B21&gt;'Project Data and Assumptions'!$C$8),0,$AC$34*(1+$AA$15)^($B21-2020))</f>
        <v>44037.084690363656</v>
      </c>
      <c r="F21" s="260">
        <f>IF($B21&gt;'Project Data and Assumptions'!$C$8,0,$AC$30*(1+$AA$15)^($B21-2020))</f>
        <v>0</v>
      </c>
      <c r="G21" s="91">
        <f>IF($B21&gt;'Project Data and Assumptions'!$C$8,0,$AB$29*(1+$AA$15)^($B21-2020))</f>
        <v>0</v>
      </c>
      <c r="H21" s="258">
        <f>IF($B21&gt;'Project Data and Assumptions'!$C$8,0,$AC$29*(1+$AA$15)^($B21-2020))</f>
        <v>0</v>
      </c>
      <c r="I21" s="390"/>
      <c r="J21" s="391"/>
      <c r="K21" s="392"/>
      <c r="L21" s="392"/>
      <c r="M21" s="90">
        <f t="shared" si="5"/>
        <v>13290.877282357669</v>
      </c>
      <c r="N21" s="92"/>
      <c r="O21" s="17">
        <f t="shared" si="0"/>
        <v>0</v>
      </c>
      <c r="P21" s="90">
        <f t="shared" si="6"/>
        <v>0</v>
      </c>
      <c r="Q21" s="90">
        <f t="shared" si="7"/>
        <v>0</v>
      </c>
      <c r="R21" s="90">
        <f t="shared" si="1"/>
        <v>0</v>
      </c>
      <c r="S21" s="90">
        <f t="shared" si="8"/>
        <v>0</v>
      </c>
      <c r="T21" s="92">
        <f t="shared" si="2"/>
        <v>0</v>
      </c>
      <c r="U21" s="17">
        <f t="shared" si="9"/>
        <v>13290.877282357669</v>
      </c>
      <c r="V21" s="6">
        <f t="shared" si="3"/>
        <v>2620.2515323710591</v>
      </c>
      <c r="X21" s="28"/>
      <c r="Y21" s="28"/>
      <c r="Z21" s="570"/>
      <c r="AA21" s="570"/>
      <c r="AB21" s="570"/>
      <c r="AC21" s="570"/>
      <c r="AD21" s="547"/>
    </row>
    <row r="22" spans="1:33" x14ac:dyDescent="0.25">
      <c r="A22" s="75">
        <f t="shared" si="4"/>
        <v>3440.763666177545</v>
      </c>
      <c r="B22" s="2">
        <f t="shared" si="10"/>
        <v>2045</v>
      </c>
      <c r="C22" s="260">
        <f>IF(OR($B22&lt;$Y$6,$B22&gt;'Project Data and Assumptions'!$C$8),0,$AC$35*(1+$AA$15)^($B22-2020))</f>
        <v>22479.285044156732</v>
      </c>
      <c r="D22" s="91">
        <f>IF(OR($B22&lt;$Y$6,$B22&gt;'Project Data and Assumptions'!$C$8),0,$AB$34*(1+$AA$15)^($B22-2020))</f>
        <v>1445.6990194023299</v>
      </c>
      <c r="E22" s="258">
        <f>IF(OR($B22&lt;$Y$6,$B22&gt;'Project Data and Assumptions'!$C$8),0,$AC$34*(1+$AA$15)^($B22-2020))</f>
        <v>44917.826384170927</v>
      </c>
      <c r="F22" s="260">
        <f>IF($B22&gt;'Project Data and Assumptions'!$C$8,0,$AC$30*(1+$AA$15)^($B22-2020))</f>
        <v>0</v>
      </c>
      <c r="G22" s="91">
        <f>IF($B22&gt;'Project Data and Assumptions'!$C$8,0,$AB$29*(1+$AA$15)^($B22-2020))</f>
        <v>0</v>
      </c>
      <c r="H22" s="258">
        <f>IF($B22&gt;'Project Data and Assumptions'!$C$8,0,$AC$29*(1+$AA$15)^($B22-2020))</f>
        <v>0</v>
      </c>
      <c r="I22" s="390"/>
      <c r="J22" s="391"/>
      <c r="K22" s="392"/>
      <c r="L22" s="392"/>
      <c r="M22" s="90">
        <f t="shared" si="5"/>
        <v>13556.694828004824</v>
      </c>
      <c r="N22" s="92"/>
      <c r="O22" s="17">
        <f t="shared" si="0"/>
        <v>0</v>
      </c>
      <c r="P22" s="90">
        <f t="shared" si="6"/>
        <v>0</v>
      </c>
      <c r="Q22" s="90">
        <f t="shared" si="7"/>
        <v>0</v>
      </c>
      <c r="R22" s="90">
        <f t="shared" si="1"/>
        <v>0</v>
      </c>
      <c r="S22" s="90">
        <f t="shared" si="8"/>
        <v>0</v>
      </c>
      <c r="T22" s="92">
        <f t="shared" si="2"/>
        <v>0</v>
      </c>
      <c r="U22" s="17">
        <f t="shared" si="9"/>
        <v>13556.694828004824</v>
      </c>
      <c r="V22" s="6">
        <f t="shared" si="3"/>
        <v>2497.8098719798877</v>
      </c>
      <c r="X22" s="571" t="s">
        <v>640</v>
      </c>
      <c r="Y22" s="28"/>
      <c r="Z22" s="570"/>
      <c r="AA22" s="570"/>
      <c r="AB22" s="570"/>
      <c r="AC22" s="570"/>
      <c r="AD22" s="547"/>
    </row>
    <row r="23" spans="1:33" x14ac:dyDescent="0.25">
      <c r="A23" s="75">
        <f t="shared" si="4"/>
        <v>3509.5789395010961</v>
      </c>
      <c r="B23" s="2">
        <f t="shared" si="10"/>
        <v>2046</v>
      </c>
      <c r="C23" s="260">
        <f>IF(OR($B23&lt;$Y$6,$B23&gt;'Project Data and Assumptions'!$C$8),0,$AC$35*(1+$AA$15)^($B23-2020))</f>
        <v>22928.870745039869</v>
      </c>
      <c r="D23" s="91">
        <f>IF(OR($B23&lt;$Y$6,$B23&gt;'Project Data and Assumptions'!$C$8),0,$AB$34*(1+$AA$15)^($B23-2020))</f>
        <v>1474.6129997903765</v>
      </c>
      <c r="E23" s="258">
        <f>IF(OR($B23&lt;$Y$6,$B23&gt;'Project Data and Assumptions'!$C$8),0,$AC$34*(1+$AA$15)^($B23-2020))</f>
        <v>45816.182911854354</v>
      </c>
      <c r="F23" s="260">
        <f>IF($B23&gt;'Project Data and Assumptions'!$C$8,0,$AC$30*(1+$AA$15)^($B23-2020))</f>
        <v>0</v>
      </c>
      <c r="G23" s="91">
        <f>IF($B23&gt;'Project Data and Assumptions'!$C$8,0,$AB$29*(1+$AA$15)^($B23-2020))</f>
        <v>0</v>
      </c>
      <c r="H23" s="258">
        <f>IF($B23&gt;'Project Data and Assumptions'!$C$8,0,$AC$29*(1+$AA$15)^($B23-2020))</f>
        <v>0</v>
      </c>
      <c r="I23" s="390"/>
      <c r="J23" s="391"/>
      <c r="K23" s="392"/>
      <c r="L23" s="392"/>
      <c r="M23" s="90">
        <f t="shared" si="5"/>
        <v>13827.828724564921</v>
      </c>
      <c r="N23" s="92"/>
      <c r="O23" s="17">
        <f t="shared" si="0"/>
        <v>0</v>
      </c>
      <c r="P23" s="90">
        <f t="shared" si="6"/>
        <v>0</v>
      </c>
      <c r="Q23" s="90">
        <f t="shared" si="7"/>
        <v>0</v>
      </c>
      <c r="R23" s="90">
        <f t="shared" si="1"/>
        <v>0</v>
      </c>
      <c r="S23" s="90">
        <f t="shared" si="8"/>
        <v>0</v>
      </c>
      <c r="T23" s="92">
        <f t="shared" si="2"/>
        <v>0</v>
      </c>
      <c r="U23" s="17">
        <f t="shared" si="9"/>
        <v>13827.828724564921</v>
      </c>
      <c r="V23" s="6">
        <f t="shared" si="3"/>
        <v>2381.0897845041927</v>
      </c>
      <c r="X23" s="547"/>
      <c r="Y23" s="547"/>
      <c r="Z23" s="288" t="s">
        <v>23</v>
      </c>
      <c r="AA23" s="288" t="s">
        <v>468</v>
      </c>
      <c r="AB23" s="288" t="s">
        <v>53</v>
      </c>
      <c r="AC23" s="288" t="s">
        <v>261</v>
      </c>
      <c r="AD23" s="288" t="s">
        <v>486</v>
      </c>
    </row>
    <row r="24" spans="1:33" x14ac:dyDescent="0.25">
      <c r="A24" s="75">
        <f t="shared" si="4"/>
        <v>3579.7705182911172</v>
      </c>
      <c r="B24" s="2">
        <f t="shared" si="10"/>
        <v>2047</v>
      </c>
      <c r="C24" s="260">
        <f>IF(OR($B24&lt;$Y$6,$B24&gt;'Project Data and Assumptions'!$C$8),0,$AC$35*(1+$AA$15)^($B24-2020))</f>
        <v>23387.448159940661</v>
      </c>
      <c r="D24" s="91">
        <f>IF(OR($B24&lt;$Y$6,$B24&gt;'Project Data and Assumptions'!$C$8),0,$AB$34*(1+$AA$15)^($B24-2020))</f>
        <v>1504.1052597861838</v>
      </c>
      <c r="E24" s="258">
        <f>IF(OR($B24&lt;$Y$6,$B24&gt;'Project Data and Assumptions'!$C$8),0,$AC$34*(1+$AA$15)^($B24-2020))</f>
        <v>46732.506570091427</v>
      </c>
      <c r="F24" s="260">
        <f>IF($B24&gt;'Project Data and Assumptions'!$C$8,0,$AC$30*(1+$AA$15)^($B24-2020))</f>
        <v>0</v>
      </c>
      <c r="G24" s="91">
        <f>IF($B24&gt;'Project Data and Assumptions'!$C$8,0,$AB$29*(1+$AA$15)^($B24-2020))</f>
        <v>0</v>
      </c>
      <c r="H24" s="258">
        <f>IF($B24&gt;'Project Data and Assumptions'!$C$8,0,$AC$29*(1+$AA$15)^($B24-2020))</f>
        <v>0</v>
      </c>
      <c r="I24" s="390"/>
      <c r="J24" s="391"/>
      <c r="K24" s="392"/>
      <c r="L24" s="392"/>
      <c r="M24" s="90">
        <f t="shared" si="5"/>
        <v>14104.385299056215</v>
      </c>
      <c r="N24" s="92"/>
      <c r="O24" s="17">
        <f t="shared" si="0"/>
        <v>0</v>
      </c>
      <c r="P24" s="90">
        <f t="shared" si="6"/>
        <v>0</v>
      </c>
      <c r="Q24" s="90">
        <f t="shared" si="7"/>
        <v>0</v>
      </c>
      <c r="R24" s="90">
        <f t="shared" si="1"/>
        <v>0</v>
      </c>
      <c r="S24" s="90">
        <f t="shared" si="8"/>
        <v>0</v>
      </c>
      <c r="T24" s="92">
        <f t="shared" si="2"/>
        <v>0</v>
      </c>
      <c r="U24" s="17">
        <f t="shared" si="9"/>
        <v>14104.385299056215</v>
      </c>
      <c r="V24" s="6">
        <f t="shared" si="3"/>
        <v>2269.8239067236218</v>
      </c>
      <c r="X24" s="709" t="s">
        <v>191</v>
      </c>
      <c r="Y24" s="709"/>
      <c r="Z24" s="327">
        <f>'Rush Creek'!$B$6*'Rush Creek'!$B$3</f>
        <v>186516</v>
      </c>
      <c r="AA24" s="327">
        <f>Z24*(SUM('Rush Creek'!$B$26:$B$29)+'Rush Creek'!$B$25*5/7)</f>
        <v>157124.88865542857</v>
      </c>
      <c r="AB24" s="327">
        <f>SUM($Z24:$Z25)*'Rush Creek'!$C$11</f>
        <v>5815.9080000000004</v>
      </c>
      <c r="AC24" s="327">
        <f>Z24-AB24</f>
        <v>180700.092</v>
      </c>
      <c r="AD24" s="328">
        <f>AA24/Z24</f>
        <v>0.84242042857142851</v>
      </c>
    </row>
    <row r="25" spans="1:33" x14ac:dyDescent="0.25">
      <c r="A25" s="75">
        <f t="shared" si="4"/>
        <v>3651.3659286569405</v>
      </c>
      <c r="B25" s="2">
        <f t="shared" si="10"/>
        <v>2048</v>
      </c>
      <c r="C25" s="260">
        <f>IF(OR($B25&lt;$Y$6,$B25&gt;'Project Data and Assumptions'!$C$8),0,$AC$35*(1+$AA$15)^($B25-2020))</f>
        <v>23855.197123139478</v>
      </c>
      <c r="D25" s="91">
        <f>IF(OR($B25&lt;$Y$6,$B25&gt;'Project Data and Assumptions'!$C$8),0,$AB$34*(1+$AA$15)^($B25-2020))</f>
        <v>1534.1873649819079</v>
      </c>
      <c r="E25" s="258">
        <f>IF(OR($B25&lt;$Y$6,$B25&gt;'Project Data and Assumptions'!$C$8),0,$AC$34*(1+$AA$15)^($B25-2020))</f>
        <v>47667.156701493266</v>
      </c>
      <c r="F25" s="260">
        <f>IF($B25&gt;'Project Data and Assumptions'!$C$8,0,$AC$30*(1+$AA$15)^($B25-2020))</f>
        <v>0</v>
      </c>
      <c r="G25" s="91">
        <f>IF($B25&gt;'Project Data and Assumptions'!$C$8,0,$AB$29*(1+$AA$15)^($B25-2020))</f>
        <v>0</v>
      </c>
      <c r="H25" s="258">
        <f>IF($B25&gt;'Project Data and Assumptions'!$C$8,0,$AC$29*(1+$AA$15)^($B25-2020))</f>
        <v>0</v>
      </c>
      <c r="I25" s="390"/>
      <c r="J25" s="391"/>
      <c r="K25" s="392"/>
      <c r="L25" s="392"/>
      <c r="M25" s="90">
        <f t="shared" si="5"/>
        <v>14386.473005037344</v>
      </c>
      <c r="N25" s="92"/>
      <c r="O25" s="17">
        <f t="shared" si="0"/>
        <v>0</v>
      </c>
      <c r="P25" s="90">
        <f t="shared" si="6"/>
        <v>0</v>
      </c>
      <c r="Q25" s="90">
        <f t="shared" si="7"/>
        <v>0</v>
      </c>
      <c r="R25" s="90">
        <f t="shared" si="1"/>
        <v>0</v>
      </c>
      <c r="S25" s="90">
        <f t="shared" si="8"/>
        <v>0</v>
      </c>
      <c r="T25" s="92">
        <f t="shared" si="2"/>
        <v>0</v>
      </c>
      <c r="U25" s="17">
        <f t="shared" si="9"/>
        <v>14386.473005037344</v>
      </c>
      <c r="V25" s="6">
        <f t="shared" si="3"/>
        <v>2163.757369026257</v>
      </c>
      <c r="X25" s="709" t="s">
        <v>190</v>
      </c>
      <c r="Y25" s="709"/>
      <c r="Z25" s="327">
        <f>'Rush Creek'!$B$6*SUM('Rush Creek'!C3:D3)</f>
        <v>90432</v>
      </c>
      <c r="AA25" s="327">
        <f>Z25*(SUM('Rush Creek'!$B$26:$B$29)+'Rush Creek'!$B$25*5/7)</f>
        <v>76181.764196571428</v>
      </c>
      <c r="AB25" s="327">
        <v>0</v>
      </c>
      <c r="AC25" s="327">
        <f>Z25-AB25</f>
        <v>90432</v>
      </c>
      <c r="AD25" s="328">
        <f>AA25/Z25</f>
        <v>0.84242042857142851</v>
      </c>
      <c r="AG25" s="112" t="s">
        <v>64</v>
      </c>
    </row>
    <row r="26" spans="1:33" x14ac:dyDescent="0.25">
      <c r="A26" s="75">
        <f t="shared" si="4"/>
        <v>3724.3932472300785</v>
      </c>
      <c r="B26" s="361">
        <f t="shared" si="10"/>
        <v>2049</v>
      </c>
      <c r="C26" s="362">
        <f>IF(OR($B26&lt;$Y$6,$B26&gt;'Project Data and Assumptions'!$C$8),0,$AC$35*(1+$AA$15)^($B26-2020))</f>
        <v>24332.301065602263</v>
      </c>
      <c r="D26" s="363">
        <f>IF(OR($B26&lt;$Y$6,$B26&gt;'Project Data and Assumptions'!$C$8),0,$AB$34*(1+$AA$15)^($B26-2020))</f>
        <v>1564.8711122815457</v>
      </c>
      <c r="E26" s="364">
        <f>IF(OR($B26&lt;$Y$6,$B26&gt;'Project Data and Assumptions'!$C$8),0,$AC$34*(1+$AA$15)^($B26-2020))</f>
        <v>48620.499835523129</v>
      </c>
      <c r="F26" s="362">
        <f>IF($B26&gt;'Project Data and Assumptions'!$C$8,0,$AC$30*(1+$AA$15)^($B26-2020))</f>
        <v>0</v>
      </c>
      <c r="G26" s="363">
        <f>IF($B26&gt;'Project Data and Assumptions'!$C$8,0,$AB$29*(1+$AA$15)^($B26-2020))</f>
        <v>0</v>
      </c>
      <c r="H26" s="364">
        <f>IF($B26&gt;'Project Data and Assumptions'!$C$8,0,$AC$29*(1+$AA$15)^($B26-2020))</f>
        <v>0</v>
      </c>
      <c r="I26" s="393"/>
      <c r="J26" s="394"/>
      <c r="K26" s="395"/>
      <c r="L26" s="395"/>
      <c r="M26" s="121">
        <f t="shared" si="5"/>
        <v>14674.202465138089</v>
      </c>
      <c r="N26" s="123"/>
      <c r="O26" s="120">
        <f t="shared" si="0"/>
        <v>0</v>
      </c>
      <c r="P26" s="121">
        <f t="shared" si="6"/>
        <v>0</v>
      </c>
      <c r="Q26" s="121">
        <f t="shared" si="7"/>
        <v>0</v>
      </c>
      <c r="R26" s="121">
        <f t="shared" si="1"/>
        <v>0</v>
      </c>
      <c r="S26" s="121">
        <f t="shared" si="8"/>
        <v>0</v>
      </c>
      <c r="T26" s="123">
        <f t="shared" si="2"/>
        <v>0</v>
      </c>
      <c r="U26" s="120">
        <f t="shared" si="9"/>
        <v>14674.202465138089</v>
      </c>
      <c r="V26" s="369">
        <f t="shared" si="3"/>
        <v>2062.6472115951237</v>
      </c>
      <c r="X26" s="28"/>
      <c r="Y26" s="28"/>
      <c r="Z26" s="573"/>
      <c r="AA26" s="573"/>
      <c r="AB26" s="573"/>
      <c r="AC26" s="570"/>
      <c r="AD26" s="547"/>
      <c r="AG26" s="112" t="s">
        <v>65</v>
      </c>
    </row>
    <row r="27" spans="1:33" x14ac:dyDescent="0.25">
      <c r="A27" s="75">
        <f t="shared" si="4"/>
        <v>3798.8811121746803</v>
      </c>
      <c r="B27" s="2">
        <f t="shared" si="10"/>
        <v>2050</v>
      </c>
      <c r="C27" s="260">
        <f>IF(OR($B27&lt;$Y$6,$B27&gt;'Project Data and Assumptions'!$C$8),0,$AC$35*(1+$AA$15)^($B27-2020))</f>
        <v>24818.947086914312</v>
      </c>
      <c r="D27" s="91">
        <f>IF(OR($B27&lt;$Y$6,$B27&gt;'Project Data and Assumptions'!$C$8),0,$AB$34*(1+$AA$15)^($B27-2020))</f>
        <v>1596.1685345271767</v>
      </c>
      <c r="E27" s="258">
        <f>IF(OR($B27&lt;$Y$6,$B27&gt;'Project Data and Assumptions'!$C$8),0,$AC$34*(1+$AA$15)^($B27-2020))</f>
        <v>49592.909832233592</v>
      </c>
      <c r="F27" s="260">
        <f>IF($B27&gt;'Project Data and Assumptions'!$C$8,0,$AC$30*(1+$AA$15)^($B27-2020))</f>
        <v>0</v>
      </c>
      <c r="G27" s="91">
        <f>IF($B27&gt;'Project Data and Assumptions'!$C$8,0,$AB$29*(1+$AA$15)^($B27-2020))</f>
        <v>0</v>
      </c>
      <c r="H27" s="258">
        <f>IF($B27&gt;'Project Data and Assumptions'!$C$8,0,$AC$29*(1+$AA$15)^($B27-2020))</f>
        <v>0</v>
      </c>
      <c r="I27" s="390"/>
      <c r="J27" s="391"/>
      <c r="K27" s="392"/>
      <c r="L27" s="392"/>
      <c r="M27" s="90">
        <f t="shared" ref="M27:M28" si="11">SUM(D27:E27)*$AA$52</f>
        <v>14967.686514440851</v>
      </c>
      <c r="N27" s="92"/>
      <c r="O27" s="17">
        <f t="shared" si="0"/>
        <v>0</v>
      </c>
      <c r="P27" s="90">
        <f t="shared" ref="P27:P28" si="12">(G27*$AA$40)*$AA$38*$AA$39</f>
        <v>0</v>
      </c>
      <c r="Q27" s="90">
        <f t="shared" ref="Q27:Q28" si="13">F27*$AA$43+SUM(G27:H27)*$AA$44</f>
        <v>0</v>
      </c>
      <c r="R27" s="90">
        <f t="shared" si="1"/>
        <v>0</v>
      </c>
      <c r="S27" s="90">
        <f t="shared" ref="S27:S28" si="14">SUM(G27:H27)*$AA$52</f>
        <v>0</v>
      </c>
      <c r="T27" s="92">
        <f t="shared" si="2"/>
        <v>0</v>
      </c>
      <c r="U27" s="17">
        <f t="shared" ref="U27:U28" si="15">SUM(I27:T27)</f>
        <v>14967.686514440851</v>
      </c>
      <c r="V27" s="6">
        <f t="shared" si="3"/>
        <v>1966.2618278757254</v>
      </c>
      <c r="X27" s="32" t="s">
        <v>641</v>
      </c>
      <c r="Y27" s="30"/>
      <c r="Z27" s="100"/>
      <c r="AA27" s="100"/>
      <c r="AB27" s="100"/>
      <c r="AC27" s="100"/>
    </row>
    <row r="28" spans="1:33" ht="15.75" thickBot="1" x14ac:dyDescent="0.3">
      <c r="A28" s="75">
        <f t="shared" si="4"/>
        <v>0</v>
      </c>
      <c r="B28" s="365">
        <f t="shared" si="10"/>
        <v>2051</v>
      </c>
      <c r="C28" s="366">
        <f>IF(OR($B28&lt;$Y$6,$B28&gt;'Project Data and Assumptions'!$C$8),0,$AC$35*(1+$AA$15)^($B28-2020))</f>
        <v>0</v>
      </c>
      <c r="D28" s="367">
        <f>IF(OR($B28&lt;$Y$6,$B28&gt;'Project Data and Assumptions'!$C$8),0,$AB$34*(1+$AA$15)^($B28-2020))</f>
        <v>0</v>
      </c>
      <c r="E28" s="368">
        <f>IF(OR($B28&lt;$Y$6,$B28&gt;'Project Data and Assumptions'!$C$8),0,$AC$34*(1+$AA$15)^($B28-2020))</f>
        <v>0</v>
      </c>
      <c r="F28" s="366">
        <f>IF($B28&gt;'Project Data and Assumptions'!$C$8,0,$AC$30*(1+$AA$15)^($B28-2020))</f>
        <v>0</v>
      </c>
      <c r="G28" s="367">
        <f>IF($B28&gt;'Project Data and Assumptions'!$C$8,0,$AB$29*(1+$AA$15)^($B28-2020))</f>
        <v>0</v>
      </c>
      <c r="H28" s="368">
        <f>IF($B28&gt;'Project Data and Assumptions'!$C$8,0,$AC$29*(1+$AA$15)^($B28-2020))</f>
        <v>0</v>
      </c>
      <c r="I28" s="396"/>
      <c r="J28" s="397"/>
      <c r="K28" s="398"/>
      <c r="L28" s="398"/>
      <c r="M28" s="359">
        <f t="shared" si="11"/>
        <v>0</v>
      </c>
      <c r="N28" s="360"/>
      <c r="O28" s="357">
        <f t="shared" si="0"/>
        <v>0</v>
      </c>
      <c r="P28" s="359">
        <f t="shared" si="12"/>
        <v>0</v>
      </c>
      <c r="Q28" s="359">
        <f t="shared" si="13"/>
        <v>0</v>
      </c>
      <c r="R28" s="359">
        <f t="shared" si="1"/>
        <v>0</v>
      </c>
      <c r="S28" s="359">
        <f t="shared" si="14"/>
        <v>0</v>
      </c>
      <c r="T28" s="360">
        <f t="shared" si="2"/>
        <v>0</v>
      </c>
      <c r="U28" s="143">
        <f t="shared" si="15"/>
        <v>0</v>
      </c>
      <c r="V28" s="144">
        <f t="shared" si="3"/>
        <v>0</v>
      </c>
      <c r="Z28" s="94" t="s">
        <v>23</v>
      </c>
      <c r="AA28" s="94" t="s">
        <v>468</v>
      </c>
      <c r="AB28" s="94" t="s">
        <v>53</v>
      </c>
      <c r="AC28" s="94" t="s">
        <v>261</v>
      </c>
      <c r="AD28" s="288" t="s">
        <v>486</v>
      </c>
    </row>
    <row r="29" spans="1:33" ht="15.75" thickBot="1" x14ac:dyDescent="0.3">
      <c r="A29" s="75"/>
      <c r="B29" s="4"/>
      <c r="D29" s="4"/>
      <c r="G29" s="4"/>
      <c r="H29" s="97" t="s">
        <v>2</v>
      </c>
      <c r="I29" s="140">
        <f t="shared" ref="I29:V29" si="16">SUM(I7:I28)</f>
        <v>0</v>
      </c>
      <c r="J29" s="141">
        <f t="shared" si="16"/>
        <v>0</v>
      </c>
      <c r="K29" s="141">
        <f t="shared" si="16"/>
        <v>0</v>
      </c>
      <c r="L29" s="141">
        <f t="shared" si="16"/>
        <v>0</v>
      </c>
      <c r="M29" s="141">
        <f t="shared" si="16"/>
        <v>259710.81487814558</v>
      </c>
      <c r="N29" s="142">
        <f t="shared" si="16"/>
        <v>0</v>
      </c>
      <c r="O29" s="140">
        <f t="shared" si="16"/>
        <v>0</v>
      </c>
      <c r="P29" s="141">
        <f t="shared" si="16"/>
        <v>0</v>
      </c>
      <c r="Q29" s="141">
        <f t="shared" si="16"/>
        <v>0</v>
      </c>
      <c r="R29" s="141">
        <f t="shared" si="16"/>
        <v>0</v>
      </c>
      <c r="S29" s="141">
        <f t="shared" si="16"/>
        <v>0</v>
      </c>
      <c r="T29" s="142">
        <f t="shared" si="16"/>
        <v>0</v>
      </c>
      <c r="U29" s="143">
        <f t="shared" si="16"/>
        <v>259710.81487814558</v>
      </c>
      <c r="V29" s="144">
        <f t="shared" si="16"/>
        <v>69467.235270808102</v>
      </c>
      <c r="X29" s="698" t="s">
        <v>191</v>
      </c>
      <c r="Y29" s="698"/>
      <c r="Z29" s="327">
        <f>$Y$8/$Y$7*Z24</f>
        <v>0</v>
      </c>
      <c r="AA29" s="289">
        <f>Z29*(SUM('Rush Creek'!$B$26:$B$29)+'Rush Creek'!$B$25*5/7)</f>
        <v>0</v>
      </c>
      <c r="AB29" s="289">
        <f>SUM($Z29:$Z30)*'Rush Creek'!$C$11</f>
        <v>0</v>
      </c>
      <c r="AC29" s="327">
        <f>Z29-AB29</f>
        <v>0</v>
      </c>
      <c r="AD29" s="328">
        <f>IFERROR(AA29/Z29,0)</f>
        <v>0</v>
      </c>
    </row>
    <row r="30" spans="1:33" x14ac:dyDescent="0.25">
      <c r="A30" s="75"/>
      <c r="B30" s="4"/>
      <c r="D30" s="4"/>
      <c r="F30" s="97"/>
      <c r="G30" s="4"/>
      <c r="H30" s="4"/>
      <c r="I30" s="98"/>
      <c r="J30" s="98"/>
      <c r="K30" s="98"/>
      <c r="L30" s="98"/>
      <c r="M30" s="98"/>
      <c r="N30" s="98"/>
      <c r="O30" s="98"/>
      <c r="P30" s="98"/>
      <c r="Q30" s="98"/>
      <c r="R30" s="98"/>
      <c r="S30" s="98"/>
      <c r="T30" s="98"/>
      <c r="U30" s="98"/>
      <c r="V30" s="98"/>
      <c r="X30" s="698" t="s">
        <v>190</v>
      </c>
      <c r="Y30" s="698"/>
      <c r="Z30" s="327">
        <f>$Y$8/$Y$7*Z25</f>
        <v>0</v>
      </c>
      <c r="AA30" s="289">
        <f>Z30*(SUM('Rush Creek'!$B$26:$B$29)+'Rush Creek'!$B$25*5/7)</f>
        <v>0</v>
      </c>
      <c r="AB30" s="289">
        <f>SUM($Z29:$Z30)*'Rush Creek'!$C$11</f>
        <v>0</v>
      </c>
      <c r="AC30" s="327">
        <f>Z30-AB30</f>
        <v>0</v>
      </c>
      <c r="AD30" s="328">
        <f>IFERROR(AA30/Z30,0)</f>
        <v>0</v>
      </c>
    </row>
    <row r="31" spans="1:33" ht="15" customHeight="1" x14ac:dyDescent="0.25">
      <c r="A31" s="75"/>
      <c r="D31" s="99"/>
      <c r="U31" s="30"/>
      <c r="X31" s="30"/>
      <c r="Y31" s="30"/>
      <c r="Z31" s="114"/>
      <c r="AA31" s="114"/>
      <c r="AB31" s="114"/>
      <c r="AC31" s="100"/>
    </row>
    <row r="32" spans="1:33" ht="15" customHeight="1" x14ac:dyDescent="0.25">
      <c r="D32" s="99"/>
      <c r="U32" s="30"/>
      <c r="X32" s="32" t="s">
        <v>642</v>
      </c>
      <c r="Y32" s="30"/>
      <c r="Z32" s="100"/>
      <c r="AA32" s="100"/>
      <c r="AB32" s="100"/>
      <c r="AC32" s="100"/>
    </row>
    <row r="33" spans="1:33" ht="15" customHeight="1" x14ac:dyDescent="0.25">
      <c r="B33" s="175" t="s">
        <v>3</v>
      </c>
      <c r="H33" s="175"/>
      <c r="U33" s="30"/>
      <c r="Z33" s="94" t="s">
        <v>23</v>
      </c>
      <c r="AA33" s="94" t="s">
        <v>468</v>
      </c>
      <c r="AB33" s="94" t="s">
        <v>53</v>
      </c>
      <c r="AC33" s="94" t="s">
        <v>261</v>
      </c>
      <c r="AD33" s="288" t="s">
        <v>486</v>
      </c>
    </row>
    <row r="34" spans="1:33" ht="17.25" customHeight="1" x14ac:dyDescent="0.25">
      <c r="A34" s="582" t="s">
        <v>18</v>
      </c>
      <c r="B34" s="565" t="s">
        <v>686</v>
      </c>
      <c r="C34" s="581"/>
      <c r="D34" s="581"/>
      <c r="E34" s="31"/>
      <c r="F34" s="31"/>
      <c r="G34" s="31"/>
      <c r="H34" s="31"/>
      <c r="I34" s="31"/>
      <c r="J34" s="31"/>
      <c r="K34" s="31"/>
      <c r="L34" s="31"/>
      <c r="M34" s="31"/>
      <c r="N34" s="31"/>
      <c r="O34" s="31"/>
      <c r="P34" s="31"/>
      <c r="Q34" s="31"/>
      <c r="R34" s="31"/>
      <c r="S34" s="31"/>
      <c r="T34" s="62"/>
      <c r="U34" s="31"/>
      <c r="V34" s="31"/>
      <c r="X34" s="698" t="s">
        <v>191</v>
      </c>
      <c r="Y34" s="698"/>
      <c r="Z34" s="95">
        <f>$Y$9/$Y$7*Z24</f>
        <v>28260</v>
      </c>
      <c r="AA34" s="289">
        <f>Z34*(SUM('Rush Creek'!$B$26:$B$29)+'Rush Creek'!$B$25*5/7)</f>
        <v>23806.801311428571</v>
      </c>
      <c r="AB34" s="289">
        <f>SUM($Z34:$Z35)*'Rush Creek'!$C$11</f>
        <v>881.19818181818187</v>
      </c>
      <c r="AC34" s="95">
        <f>Z34-AB34</f>
        <v>27378.801818181819</v>
      </c>
      <c r="AD34" s="254">
        <f>IFERROR(AA34/Z34,0)</f>
        <v>0.84242042857142851</v>
      </c>
    </row>
    <row r="35" spans="1:33" ht="17.25" customHeight="1" x14ac:dyDescent="0.25">
      <c r="A35" s="582"/>
      <c r="B35" s="565"/>
      <c r="C35" s="581"/>
      <c r="D35" s="581"/>
      <c r="E35" s="31"/>
      <c r="F35" s="31"/>
      <c r="G35" s="31"/>
      <c r="H35" s="31"/>
      <c r="I35" s="31"/>
      <c r="J35" s="59"/>
      <c r="K35" s="59"/>
      <c r="L35" s="31"/>
      <c r="M35" s="31"/>
      <c r="N35" s="31"/>
      <c r="O35" s="31"/>
      <c r="P35" s="59"/>
      <c r="Q35" s="59"/>
      <c r="R35" s="31"/>
      <c r="S35" s="31"/>
      <c r="T35" s="62"/>
      <c r="U35" s="31"/>
      <c r="V35" s="31"/>
      <c r="X35" s="698" t="s">
        <v>190</v>
      </c>
      <c r="Y35" s="698"/>
      <c r="Z35" s="95">
        <f>$Y$9/$Y$7*Z25</f>
        <v>13701.818181818182</v>
      </c>
      <c r="AA35" s="289">
        <f>Z35*(SUM('Rush Creek'!$B$26:$B$29)+'Rush Creek'!$B$25*5/7)</f>
        <v>11542.691544935065</v>
      </c>
      <c r="AB35" s="329">
        <v>0</v>
      </c>
      <c r="AC35" s="95">
        <f>Z35-AB35</f>
        <v>13701.818181818182</v>
      </c>
      <c r="AD35" s="254">
        <f>IFERROR(AA35/Z35,0)</f>
        <v>0.84242042857142863</v>
      </c>
    </row>
    <row r="36" spans="1:33" ht="17.25" customHeight="1" x14ac:dyDescent="0.25">
      <c r="A36" s="582" t="s">
        <v>17</v>
      </c>
      <c r="B36" s="565" t="s">
        <v>645</v>
      </c>
      <c r="C36" s="581"/>
      <c r="D36" s="581"/>
      <c r="E36" s="31"/>
      <c r="F36" s="31"/>
      <c r="G36" s="31"/>
      <c r="H36" s="31"/>
      <c r="I36" s="31"/>
      <c r="J36" s="31"/>
      <c r="K36" s="31"/>
      <c r="L36" s="31"/>
      <c r="M36" s="31"/>
      <c r="N36" s="31"/>
      <c r="O36" s="31"/>
      <c r="P36" s="31"/>
      <c r="Q36" s="31"/>
      <c r="R36" s="31"/>
      <c r="S36" s="31"/>
      <c r="T36" s="62"/>
      <c r="U36" s="31"/>
      <c r="V36" s="31"/>
      <c r="X36" s="30"/>
      <c r="Y36" s="30"/>
      <c r="Z36" s="100"/>
      <c r="AA36" s="100"/>
      <c r="AB36" s="100"/>
      <c r="AC36" s="100"/>
    </row>
    <row r="37" spans="1:33" ht="15" customHeight="1" x14ac:dyDescent="0.25">
      <c r="A37" s="582"/>
      <c r="B37" s="565"/>
      <c r="C37" s="581"/>
      <c r="D37" s="581"/>
      <c r="E37" s="31"/>
      <c r="F37" s="31"/>
      <c r="G37" s="31"/>
      <c r="H37" s="31"/>
      <c r="I37" s="31"/>
      <c r="J37" s="31"/>
      <c r="K37" s="31"/>
      <c r="L37" s="31"/>
      <c r="M37" s="31"/>
      <c r="N37" s="31"/>
      <c r="O37" s="31"/>
      <c r="P37" s="31"/>
      <c r="Q37" s="31"/>
      <c r="R37" s="31"/>
      <c r="S37" s="31"/>
      <c r="T37" s="62"/>
      <c r="U37" s="31"/>
      <c r="V37" s="31"/>
      <c r="X37" s="175" t="s">
        <v>643</v>
      </c>
      <c r="Z37" s="100"/>
      <c r="AA37" s="100"/>
      <c r="AB37" s="100"/>
      <c r="AC37" s="100"/>
    </row>
    <row r="38" spans="1:33" ht="17.25" customHeight="1" x14ac:dyDescent="0.25">
      <c r="A38" s="582" t="s">
        <v>19</v>
      </c>
      <c r="B38" s="787" t="s">
        <v>688</v>
      </c>
      <c r="C38" s="787"/>
      <c r="D38" s="787"/>
      <c r="E38" s="787"/>
      <c r="F38" s="787"/>
      <c r="G38" s="787"/>
      <c r="H38" s="787"/>
      <c r="I38" s="787"/>
      <c r="J38" s="787"/>
      <c r="K38" s="787"/>
      <c r="L38" s="787"/>
      <c r="M38" s="787"/>
      <c r="N38" s="787"/>
      <c r="O38" s="787"/>
      <c r="P38" s="787"/>
      <c r="Q38" s="787"/>
      <c r="R38" s="787"/>
      <c r="S38" s="787"/>
      <c r="T38" s="579"/>
      <c r="U38" s="253"/>
      <c r="V38" s="253"/>
      <c r="X38" s="698" t="s">
        <v>669</v>
      </c>
      <c r="Y38" s="698"/>
      <c r="Z38" s="698"/>
      <c r="AA38" s="101">
        <v>21.6</v>
      </c>
    </row>
    <row r="39" spans="1:33" ht="15" customHeight="1" x14ac:dyDescent="0.25">
      <c r="A39" s="582"/>
      <c r="B39" s="787"/>
      <c r="C39" s="787"/>
      <c r="D39" s="787"/>
      <c r="E39" s="787"/>
      <c r="F39" s="787"/>
      <c r="G39" s="787"/>
      <c r="H39" s="787"/>
      <c r="I39" s="787"/>
      <c r="J39" s="787"/>
      <c r="K39" s="787"/>
      <c r="L39" s="787"/>
      <c r="M39" s="787"/>
      <c r="N39" s="787"/>
      <c r="O39" s="787"/>
      <c r="P39" s="787"/>
      <c r="Q39" s="787"/>
      <c r="R39" s="787"/>
      <c r="S39" s="787"/>
      <c r="T39" s="14"/>
      <c r="U39" s="549"/>
      <c r="X39" s="700" t="s">
        <v>670</v>
      </c>
      <c r="Y39" s="700"/>
      <c r="Z39" s="700"/>
      <c r="AA39" s="134">
        <f>16.6/60</f>
        <v>0.27666666666666667</v>
      </c>
      <c r="AB39" s="155"/>
    </row>
    <row r="40" spans="1:33" ht="15" customHeight="1" x14ac:dyDescent="0.25">
      <c r="A40" s="627"/>
      <c r="B40" s="623"/>
      <c r="C40" s="623"/>
      <c r="D40" s="623"/>
      <c r="E40" s="623"/>
      <c r="F40" s="623"/>
      <c r="G40" s="623"/>
      <c r="H40" s="623"/>
      <c r="I40" s="623"/>
      <c r="J40" s="623"/>
      <c r="K40" s="623"/>
      <c r="L40" s="623"/>
      <c r="M40" s="623"/>
      <c r="N40" s="623"/>
      <c r="O40" s="623"/>
      <c r="P40" s="623"/>
      <c r="Q40" s="623"/>
      <c r="R40" s="623"/>
      <c r="S40" s="623"/>
      <c r="T40" s="623"/>
      <c r="U40" s="623"/>
      <c r="V40" s="623"/>
      <c r="X40" s="695" t="s">
        <v>671</v>
      </c>
      <c r="Y40" s="695"/>
      <c r="Z40" s="695"/>
      <c r="AA40" s="116">
        <v>0.4</v>
      </c>
    </row>
    <row r="41" spans="1:33" ht="17.25" customHeight="1" x14ac:dyDescent="0.25">
      <c r="A41" s="627" t="s">
        <v>20</v>
      </c>
      <c r="B41" s="788" t="s">
        <v>660</v>
      </c>
      <c r="C41" s="788"/>
      <c r="D41" s="788"/>
      <c r="E41" s="788"/>
      <c r="F41" s="788"/>
      <c r="G41" s="788"/>
      <c r="H41" s="788"/>
      <c r="I41" s="788"/>
      <c r="J41" s="788"/>
      <c r="K41" s="788"/>
      <c r="L41" s="788"/>
      <c r="M41" s="788"/>
      <c r="N41" s="788"/>
      <c r="O41" s="788"/>
      <c r="P41" s="788"/>
      <c r="Q41" s="788"/>
      <c r="R41" s="788"/>
      <c r="S41" s="788"/>
      <c r="T41" s="14"/>
      <c r="U41" s="549"/>
      <c r="AG41" s="117" t="s">
        <v>66</v>
      </c>
    </row>
    <row r="42" spans="1:33" x14ac:dyDescent="0.25">
      <c r="A42" s="627"/>
      <c r="B42" s="788"/>
      <c r="C42" s="788"/>
      <c r="D42" s="788"/>
      <c r="E42" s="788"/>
      <c r="F42" s="788"/>
      <c r="G42" s="788"/>
      <c r="H42" s="788"/>
      <c r="I42" s="788"/>
      <c r="J42" s="788"/>
      <c r="K42" s="788"/>
      <c r="L42" s="788"/>
      <c r="M42" s="788"/>
      <c r="N42" s="788"/>
      <c r="O42" s="788"/>
      <c r="P42" s="788"/>
      <c r="Q42" s="788"/>
      <c r="R42" s="788"/>
      <c r="S42" s="788"/>
      <c r="T42" s="62"/>
      <c r="U42" s="31"/>
      <c r="V42" s="31"/>
      <c r="W42" s="31"/>
      <c r="X42" s="525" t="s">
        <v>672</v>
      </c>
      <c r="AG42" s="117" t="s">
        <v>66</v>
      </c>
    </row>
    <row r="43" spans="1:33" ht="15" customHeight="1" x14ac:dyDescent="0.25">
      <c r="A43" s="627"/>
      <c r="B43" s="788"/>
      <c r="C43" s="788"/>
      <c r="D43" s="788"/>
      <c r="E43" s="788"/>
      <c r="F43" s="788"/>
      <c r="G43" s="788"/>
      <c r="H43" s="788"/>
      <c r="I43" s="788"/>
      <c r="J43" s="788"/>
      <c r="K43" s="788"/>
      <c r="L43" s="788"/>
      <c r="M43" s="788"/>
      <c r="N43" s="788"/>
      <c r="O43" s="788"/>
      <c r="P43" s="788"/>
      <c r="Q43" s="788"/>
      <c r="R43" s="788"/>
      <c r="S43" s="788"/>
      <c r="T43" s="62"/>
      <c r="U43" s="31"/>
      <c r="V43" s="31"/>
      <c r="W43" s="31"/>
      <c r="X43" s="262" t="s">
        <v>164</v>
      </c>
      <c r="Y43" s="263"/>
      <c r="Z43" s="263"/>
      <c r="AA43" s="185">
        <v>7.08</v>
      </c>
      <c r="AG43" s="127" t="s">
        <v>55</v>
      </c>
    </row>
    <row r="44" spans="1:33" ht="15" customHeight="1" x14ac:dyDescent="0.25">
      <c r="A44" s="627"/>
      <c r="B44" s="625"/>
      <c r="C44" s="625"/>
      <c r="D44" s="625"/>
      <c r="E44" s="625"/>
      <c r="F44" s="625"/>
      <c r="G44" s="625"/>
      <c r="H44" s="625"/>
      <c r="I44" s="625"/>
      <c r="J44" s="625"/>
      <c r="K44" s="625"/>
      <c r="L44" s="625"/>
      <c r="M44" s="625"/>
      <c r="N44" s="625"/>
      <c r="O44" s="625"/>
      <c r="P44" s="625"/>
      <c r="Q44" s="625"/>
      <c r="R44" s="625"/>
      <c r="S44" s="625"/>
      <c r="T44" s="62"/>
      <c r="U44" s="31"/>
      <c r="V44" s="31"/>
      <c r="W44" s="31"/>
      <c r="X44" s="262" t="s">
        <v>165</v>
      </c>
      <c r="Y44" s="263"/>
      <c r="Z44" s="263"/>
      <c r="AA44" s="643">
        <v>6.31</v>
      </c>
      <c r="AC44" s="115"/>
      <c r="AG44" s="117" t="s">
        <v>67</v>
      </c>
    </row>
    <row r="45" spans="1:33" ht="17.25" customHeight="1" x14ac:dyDescent="0.25">
      <c r="A45" s="627" t="s">
        <v>57</v>
      </c>
      <c r="B45" s="699" t="s">
        <v>689</v>
      </c>
      <c r="C45" s="699"/>
      <c r="D45" s="699"/>
      <c r="E45" s="699"/>
      <c r="F45" s="699"/>
      <c r="G45" s="699"/>
      <c r="H45" s="699"/>
      <c r="I45" s="699"/>
      <c r="J45" s="699"/>
      <c r="K45" s="699"/>
      <c r="L45" s="699"/>
      <c r="M45" s="699"/>
      <c r="N45" s="699"/>
      <c r="O45" s="699"/>
      <c r="P45" s="699"/>
      <c r="Q45" s="699"/>
      <c r="R45" s="699"/>
      <c r="S45" s="699"/>
      <c r="T45" s="62"/>
      <c r="U45" s="31"/>
      <c r="V45" s="31"/>
      <c r="W45" s="31"/>
      <c r="AG45" s="117" t="s">
        <v>68</v>
      </c>
    </row>
    <row r="46" spans="1:33" ht="15" customHeight="1" x14ac:dyDescent="0.25">
      <c r="A46" s="627"/>
      <c r="B46" s="699"/>
      <c r="C46" s="699"/>
      <c r="D46" s="699"/>
      <c r="E46" s="699"/>
      <c r="F46" s="699"/>
      <c r="G46" s="699"/>
      <c r="H46" s="699"/>
      <c r="I46" s="699"/>
      <c r="J46" s="699"/>
      <c r="K46" s="699"/>
      <c r="L46" s="699"/>
      <c r="M46" s="699"/>
      <c r="N46" s="699"/>
      <c r="O46" s="699"/>
      <c r="P46" s="699"/>
      <c r="Q46" s="699"/>
      <c r="R46" s="699"/>
      <c r="S46" s="699"/>
      <c r="T46" s="62"/>
      <c r="U46" s="31"/>
      <c r="V46" s="31"/>
      <c r="W46" s="31"/>
      <c r="X46" s="525" t="s">
        <v>673</v>
      </c>
      <c r="AG46" s="286"/>
    </row>
    <row r="47" spans="1:33" ht="15" customHeight="1" x14ac:dyDescent="0.25">
      <c r="A47" s="628"/>
      <c r="B47" s="565"/>
      <c r="C47" s="624"/>
      <c r="D47" s="624"/>
      <c r="E47" s="629"/>
      <c r="F47" s="629"/>
      <c r="G47" s="629"/>
      <c r="H47" s="629"/>
      <c r="I47" s="629"/>
      <c r="J47" s="629"/>
      <c r="K47" s="629"/>
      <c r="L47" s="629"/>
      <c r="M47" s="629"/>
      <c r="N47" s="629"/>
      <c r="O47" s="31"/>
      <c r="P47" s="31"/>
      <c r="Q47" s="31"/>
      <c r="R47" s="31"/>
      <c r="S47" s="31"/>
      <c r="T47" s="62"/>
      <c r="U47" s="31"/>
      <c r="V47" s="31"/>
      <c r="W47" s="31"/>
      <c r="X47" s="695" t="s">
        <v>492</v>
      </c>
      <c r="Y47" s="695"/>
      <c r="Z47" s="695"/>
      <c r="AA47" s="102">
        <v>10</v>
      </c>
      <c r="AG47" s="286"/>
    </row>
    <row r="48" spans="1:33" ht="16.5" customHeight="1" x14ac:dyDescent="0.25">
      <c r="A48" s="627" t="s">
        <v>681</v>
      </c>
      <c r="B48" s="699" t="s">
        <v>679</v>
      </c>
      <c r="C48" s="699"/>
      <c r="D48" s="699"/>
      <c r="E48" s="699"/>
      <c r="F48" s="699"/>
      <c r="G48" s="699"/>
      <c r="H48" s="699"/>
      <c r="I48" s="699"/>
      <c r="J48" s="699"/>
      <c r="K48" s="699"/>
      <c r="L48" s="699"/>
      <c r="M48" s="699"/>
      <c r="N48" s="699"/>
      <c r="O48" s="699"/>
      <c r="P48" s="699"/>
      <c r="Q48" s="699"/>
      <c r="R48" s="699"/>
      <c r="S48" s="699"/>
      <c r="T48" s="549"/>
      <c r="U48" s="549"/>
      <c r="W48" s="31"/>
      <c r="X48" s="695" t="s">
        <v>58</v>
      </c>
      <c r="Y48" s="695"/>
      <c r="Z48" s="695"/>
      <c r="AA48" s="104">
        <f>365-90</f>
        <v>275</v>
      </c>
      <c r="AG48" s="117" t="s">
        <v>69</v>
      </c>
    </row>
    <row r="49" spans="1:39" ht="34.5" customHeight="1" x14ac:dyDescent="0.25">
      <c r="A49" s="627"/>
      <c r="B49" s="699"/>
      <c r="C49" s="699"/>
      <c r="D49" s="699"/>
      <c r="E49" s="699"/>
      <c r="F49" s="699"/>
      <c r="G49" s="699"/>
      <c r="H49" s="699"/>
      <c r="I49" s="699"/>
      <c r="J49" s="699"/>
      <c r="K49" s="699"/>
      <c r="L49" s="699"/>
      <c r="M49" s="699"/>
      <c r="N49" s="699"/>
      <c r="O49" s="699"/>
      <c r="P49" s="699"/>
      <c r="Q49" s="699"/>
      <c r="R49" s="699"/>
      <c r="S49" s="699"/>
      <c r="T49" s="14"/>
      <c r="U49" s="14"/>
      <c r="V49" s="14"/>
      <c r="W49" s="31"/>
      <c r="X49" s="240"/>
      <c r="Y49" s="240"/>
      <c r="Z49" s="240"/>
      <c r="AA49" s="241"/>
    </row>
    <row r="50" spans="1:39" x14ac:dyDescent="0.25">
      <c r="A50" s="627"/>
      <c r="B50" s="699"/>
      <c r="C50" s="699"/>
      <c r="D50" s="699"/>
      <c r="E50" s="699"/>
      <c r="F50" s="699"/>
      <c r="G50" s="699"/>
      <c r="H50" s="699"/>
      <c r="I50" s="699"/>
      <c r="J50" s="699"/>
      <c r="K50" s="699"/>
      <c r="L50" s="699"/>
      <c r="M50" s="699"/>
      <c r="N50" s="699"/>
      <c r="O50" s="699"/>
      <c r="P50" s="699"/>
      <c r="Q50" s="699"/>
      <c r="R50" s="699"/>
      <c r="S50" s="699"/>
      <c r="T50" s="549"/>
      <c r="U50" s="549"/>
      <c r="W50" s="31"/>
      <c r="X50" s="27" t="s">
        <v>674</v>
      </c>
      <c r="Y50" s="547"/>
      <c r="Z50" s="547"/>
    </row>
    <row r="51" spans="1:39" ht="18" customHeight="1" x14ac:dyDescent="0.25">
      <c r="A51" s="628"/>
      <c r="B51" s="699"/>
      <c r="C51" s="699"/>
      <c r="D51" s="699"/>
      <c r="E51" s="699"/>
      <c r="F51" s="699"/>
      <c r="G51" s="699"/>
      <c r="H51" s="699"/>
      <c r="I51" s="699"/>
      <c r="J51" s="699"/>
      <c r="K51" s="699"/>
      <c r="L51" s="699"/>
      <c r="M51" s="699"/>
      <c r="N51" s="699"/>
      <c r="O51" s="699"/>
      <c r="P51" s="699"/>
      <c r="Q51" s="699"/>
      <c r="R51" s="699"/>
      <c r="S51" s="699"/>
      <c r="T51" s="31"/>
      <c r="U51" s="31"/>
      <c r="V51" s="31"/>
      <c r="W51" s="31"/>
      <c r="X51" s="700" t="s">
        <v>158</v>
      </c>
      <c r="Y51" s="700"/>
      <c r="Z51" s="700"/>
      <c r="AA51" s="176">
        <f>1.76-1.42</f>
        <v>0.34000000000000008</v>
      </c>
      <c r="AG51" s="117" t="s">
        <v>70</v>
      </c>
    </row>
    <row r="52" spans="1:39" x14ac:dyDescent="0.25">
      <c r="A52" s="628"/>
      <c r="B52" s="565"/>
      <c r="C52" s="624"/>
      <c r="D52" s="624"/>
      <c r="E52" s="629"/>
      <c r="F52" s="629"/>
      <c r="G52" s="629"/>
      <c r="H52" s="31"/>
      <c r="I52" s="31"/>
      <c r="J52" s="31"/>
      <c r="K52" s="31"/>
      <c r="L52" s="31"/>
      <c r="M52" s="31"/>
      <c r="N52" s="31"/>
      <c r="O52" s="31"/>
      <c r="P52" s="31"/>
      <c r="Q52" s="31"/>
      <c r="R52" s="31"/>
      <c r="S52" s="31"/>
      <c r="T52" s="31"/>
      <c r="U52" s="31"/>
      <c r="V52" s="31"/>
      <c r="W52" s="31"/>
      <c r="X52" s="283" t="s">
        <v>494</v>
      </c>
      <c r="Y52" s="283"/>
      <c r="Z52" s="283"/>
      <c r="AA52" s="176">
        <f>$AA$51*$AC$19</f>
        <v>0.29240000000000005</v>
      </c>
      <c r="AG52" s="112" t="s">
        <v>71</v>
      </c>
    </row>
    <row r="53" spans="1:39" x14ac:dyDescent="0.25">
      <c r="A53" s="628" t="s">
        <v>690</v>
      </c>
      <c r="B53" s="699" t="s">
        <v>680</v>
      </c>
      <c r="C53" s="699"/>
      <c r="D53" s="699"/>
      <c r="E53" s="699"/>
      <c r="F53" s="699"/>
      <c r="G53" s="699"/>
      <c r="H53" s="699"/>
      <c r="I53" s="699"/>
      <c r="J53" s="699"/>
      <c r="K53" s="699"/>
      <c r="L53" s="699"/>
      <c r="M53" s="699"/>
      <c r="N53" s="699"/>
      <c r="O53" s="699"/>
      <c r="P53" s="699"/>
      <c r="Q53" s="699"/>
      <c r="R53" s="699"/>
      <c r="S53" s="699"/>
      <c r="T53" s="549"/>
      <c r="U53" s="549"/>
      <c r="W53" s="31"/>
      <c r="X53" s="283" t="s">
        <v>493</v>
      </c>
      <c r="Y53" s="283"/>
      <c r="Z53" s="283"/>
      <c r="AA53" s="176">
        <f>$AA$51*$AC$18</f>
        <v>0</v>
      </c>
    </row>
    <row r="54" spans="1:39" x14ac:dyDescent="0.25">
      <c r="A54" s="627"/>
      <c r="B54" s="699"/>
      <c r="C54" s="699"/>
      <c r="D54" s="699"/>
      <c r="E54" s="699"/>
      <c r="F54" s="699"/>
      <c r="G54" s="699"/>
      <c r="H54" s="699"/>
      <c r="I54" s="699"/>
      <c r="J54" s="699"/>
      <c r="K54" s="699"/>
      <c r="L54" s="699"/>
      <c r="M54" s="699"/>
      <c r="N54" s="699"/>
      <c r="O54" s="699"/>
      <c r="P54" s="699"/>
      <c r="Q54" s="699"/>
      <c r="R54" s="699"/>
      <c r="S54" s="699"/>
      <c r="T54" s="26"/>
      <c r="U54" s="26"/>
      <c r="V54" s="26"/>
      <c r="W54" s="31"/>
      <c r="AH54" s="119"/>
      <c r="AI54" s="119"/>
      <c r="AJ54" s="119"/>
      <c r="AK54" s="119"/>
    </row>
    <row r="55" spans="1:39" x14ac:dyDescent="0.25">
      <c r="A55" s="627"/>
      <c r="B55" s="699"/>
      <c r="C55" s="699"/>
      <c r="D55" s="699"/>
      <c r="E55" s="699"/>
      <c r="F55" s="699"/>
      <c r="G55" s="699"/>
      <c r="H55" s="699"/>
      <c r="I55" s="699"/>
      <c r="J55" s="699"/>
      <c r="K55" s="699"/>
      <c r="L55" s="699"/>
      <c r="M55" s="699"/>
      <c r="N55" s="699"/>
      <c r="O55" s="699"/>
      <c r="P55" s="699"/>
      <c r="Q55" s="699"/>
      <c r="R55" s="699"/>
      <c r="S55" s="699"/>
      <c r="T55" s="549"/>
      <c r="U55" s="549"/>
      <c r="W55" s="31"/>
      <c r="X55" s="525" t="s">
        <v>675</v>
      </c>
      <c r="AG55" s="704" t="s">
        <v>72</v>
      </c>
      <c r="AH55" s="704"/>
      <c r="AI55" s="704"/>
      <c r="AJ55" s="704"/>
      <c r="AK55" s="704"/>
      <c r="AL55" s="704"/>
      <c r="AM55" s="704"/>
    </row>
    <row r="56" spans="1:39" x14ac:dyDescent="0.25">
      <c r="W56" s="31"/>
      <c r="X56" s="698" t="s">
        <v>59</v>
      </c>
      <c r="Y56" s="698"/>
      <c r="Z56" s="105">
        <v>0.105</v>
      </c>
      <c r="AG56" s="704"/>
      <c r="AH56" s="704"/>
      <c r="AI56" s="704"/>
      <c r="AJ56" s="704"/>
      <c r="AK56" s="704"/>
      <c r="AL56" s="704"/>
      <c r="AM56" s="704"/>
    </row>
    <row r="57" spans="1:39" ht="15" customHeight="1" x14ac:dyDescent="0.25">
      <c r="W57" s="31"/>
      <c r="X57" s="705"/>
      <c r="Y57" s="705"/>
    </row>
    <row r="58" spans="1:39" x14ac:dyDescent="0.25">
      <c r="W58" s="31"/>
      <c r="X58" s="130" t="s">
        <v>676</v>
      </c>
      <c r="Y58" s="547"/>
      <c r="Z58" s="547"/>
    </row>
    <row r="59" spans="1:39" x14ac:dyDescent="0.25">
      <c r="W59" s="31"/>
      <c r="X59" s="696" t="s">
        <v>76</v>
      </c>
      <c r="Y59" s="697"/>
      <c r="Z59" s="575">
        <f>113.468/78.025</f>
        <v>1.4542518423582185</v>
      </c>
    </row>
    <row r="60" spans="1:39" x14ac:dyDescent="0.25">
      <c r="W60" s="31"/>
      <c r="X60" s="696" t="s">
        <v>75</v>
      </c>
      <c r="Y60" s="697"/>
      <c r="Z60" s="575">
        <v>1.26</v>
      </c>
    </row>
    <row r="61" spans="1:39" x14ac:dyDescent="0.25">
      <c r="W61" s="31"/>
      <c r="Z61" s="107"/>
    </row>
    <row r="62" spans="1:39" x14ac:dyDescent="0.25">
      <c r="W62" s="31"/>
      <c r="X62" s="309" t="s">
        <v>644</v>
      </c>
    </row>
    <row r="63" spans="1:39" x14ac:dyDescent="0.25">
      <c r="X63" s="695" t="s">
        <v>60</v>
      </c>
      <c r="Y63" s="695"/>
      <c r="Z63" s="118">
        <v>0</v>
      </c>
    </row>
    <row r="64" spans="1:39" x14ac:dyDescent="0.25">
      <c r="X64" s="695" t="s">
        <v>61</v>
      </c>
      <c r="Y64" s="695"/>
      <c r="Z64" s="282">
        <v>0.75</v>
      </c>
      <c r="AG64" s="112" t="s">
        <v>62</v>
      </c>
    </row>
    <row r="65" spans="24:26" x14ac:dyDescent="0.25">
      <c r="X65" s="623"/>
      <c r="Y65" s="623"/>
      <c r="Z65" s="623"/>
    </row>
  </sheetData>
  <mergeCells count="55">
    <mergeCell ref="B53:S55"/>
    <mergeCell ref="B41:S43"/>
    <mergeCell ref="B45:S46"/>
    <mergeCell ref="B48:S51"/>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38:S39"/>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B3052-3DD0-403D-8E15-73342C236F76}">
  <sheetPr>
    <tabColor rgb="FF00B050"/>
  </sheetPr>
  <dimension ref="A1:AW65"/>
  <sheetViews>
    <sheetView view="pageBreakPreview" topLeftCell="A19" zoomScale="85" zoomScaleNormal="100" zoomScaleSheetLayoutView="85" workbookViewId="0">
      <selection activeCell="B41" sqref="B41"/>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2.57031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116</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2029</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 Shingle Crk BCR'!$Z$3,'Original Build Years'!$A$1:$A$20,'Original Build Years'!$D$1:$D$20,0)+30</f>
        <v>2020</v>
      </c>
      <c r="AU6" s="292" t="s">
        <v>122</v>
      </c>
      <c r="AW6" s="292" t="s">
        <v>160</v>
      </c>
    </row>
    <row r="7" spans="1:49" ht="18.75" customHeight="1" x14ac:dyDescent="0.25">
      <c r="A7" s="75">
        <f>(G7+D7)*2.38</f>
        <v>4653.0236005619872</v>
      </c>
      <c r="B7" s="291">
        <f>$Y$5</f>
        <v>2029</v>
      </c>
      <c r="C7" s="256">
        <f>IF(OR($B7&lt;$Y$6,$B7&gt;'Project Data and Assumptions'!$C$8),0,$AC$35*(1+$AA$15)^($B7-2020))</f>
        <v>26156.023593547634</v>
      </c>
      <c r="D7" s="255">
        <f>IF(OR($B7&lt;$Y$6,$B7&gt;'Project Data and Assumptions'!$C$8),0,$AB$34*(1+$AA$15)^($B7-2020))</f>
        <v>1955.0519330092384</v>
      </c>
      <c r="E7" s="257">
        <f>IF(OR($B7&lt;$Y$6,$B7&gt;'Project Data and Assumptions'!$C$8),0,$AC$34*(1+$AA$15)^($B7-2020))</f>
        <v>15334.522984759536</v>
      </c>
      <c r="F7" s="256">
        <f>IF($B7&gt;'Project Data and Assumptions'!$C$8,0,$AC$30*(1+$AA$15)^($B7-2020))</f>
        <v>0</v>
      </c>
      <c r="G7" s="255">
        <f>IF($B7&gt;'Project Data and Assumptions'!$C$8,0,$AB$29*(1+$AA$15)^($B7-2020))</f>
        <v>0</v>
      </c>
      <c r="H7" s="257">
        <f>IF($B7&gt;'Project Data and Assumptions'!$C$8,0,$AC$29*(1+$AA$15)^($B7-2020))</f>
        <v>0</v>
      </c>
      <c r="I7" s="85">
        <f t="shared" ref="I7:I29" si="0">C7*$AA$47*$Z$60</f>
        <v>329565.8972787002</v>
      </c>
      <c r="J7" s="324">
        <f>(D7*$AA$40)*$AA$38*$AA$39</f>
        <v>4673.3561406652843</v>
      </c>
      <c r="K7" s="89">
        <f>C7*$AA$43+SUM(D7:E7)*$AA$44</f>
        <v>294281.8647734382</v>
      </c>
      <c r="L7" s="89">
        <f t="shared" ref="L7:L29" si="1">E7*$AA$47*$Z$60</f>
        <v>193214.98960797014</v>
      </c>
      <c r="M7" s="89">
        <f>SUM(D7:E7)*$AA$52</f>
        <v>21114.028889579226</v>
      </c>
      <c r="N7" s="122">
        <f t="shared" ref="N7:N29" si="2">D7*$AC$19*$Z$56*$Z$60</f>
        <v>222.44189883392511</v>
      </c>
      <c r="O7" s="85">
        <f t="shared" ref="O7:O29" si="3">F7*$AA$47*$Z$60</f>
        <v>0</v>
      </c>
      <c r="P7" s="89">
        <f>(G7*$AA$40)*$AA$38*$AA$39</f>
        <v>0</v>
      </c>
      <c r="Q7" s="89">
        <f>F7*$AA$43+SUM(G7:H7)*$AA$44</f>
        <v>0</v>
      </c>
      <c r="R7" s="89">
        <f t="shared" ref="R7:R29" si="4">H7*$AA$47*$Z$60</f>
        <v>0</v>
      </c>
      <c r="S7" s="89">
        <f>SUM(G7:H7)*$AA$52</f>
        <v>0</v>
      </c>
      <c r="T7" s="122">
        <f t="shared" ref="T7:T29" si="5">G7*$AC$19*$Z$56*$Z$60</f>
        <v>0</v>
      </c>
      <c r="U7" s="85">
        <f>SUM(I7:T7)</f>
        <v>843072.578589187</v>
      </c>
      <c r="V7" s="133">
        <f t="shared" ref="V7:V29" si="6">$U7*(1+0.07)^-($B7-$Y$4)</f>
        <v>458575.6229420848</v>
      </c>
      <c r="X7" s="282" t="s">
        <v>470</v>
      </c>
      <c r="Y7" s="243">
        <f>IFERROR((_xlfn.XLOOKUP($Z$3,'Trail Project Summary'!$B$3:$B$32,'Trail Project Summary'!$I$3:$I$32)),0)</f>
        <v>8.4</v>
      </c>
      <c r="AU7" s="292" t="s">
        <v>123</v>
      </c>
      <c r="AW7" s="292" t="s">
        <v>161</v>
      </c>
    </row>
    <row r="8" spans="1:49" x14ac:dyDescent="0.25">
      <c r="A8" s="75">
        <f t="shared" ref="A8:A29" si="7">(G8+D8)*2.38</f>
        <v>4746.0840725732269</v>
      </c>
      <c r="B8" s="2">
        <f>B7+1</f>
        <v>2030</v>
      </c>
      <c r="C8" s="260">
        <f>IF(OR($B8&lt;$Y$6,$B8&gt;'Project Data and Assumptions'!$C$8),0,$AC$35*(1+$AA$15)^($B8-2020))</f>
        <v>26679.144065418586</v>
      </c>
      <c r="D8" s="91">
        <f>IF(OR($B8&lt;$Y$6,$B8&gt;'Project Data and Assumptions'!$C$8),0,$AB$34*(1+$AA$15)^($B8-2020))</f>
        <v>1994.1529716694233</v>
      </c>
      <c r="E8" s="258">
        <f>IF(OR($B8&lt;$Y$6,$B8&gt;'Project Data and Assumptions'!$C$8),0,$AC$34*(1+$AA$15)^($B8-2020))</f>
        <v>15641.213444454726</v>
      </c>
      <c r="F8" s="260">
        <f>IF($B8&gt;'Project Data and Assumptions'!$C$8,0,$AC$30*(1+$AA$15)^($B8-2020))</f>
        <v>0</v>
      </c>
      <c r="G8" s="91">
        <f>IF($B8&gt;'Project Data and Assumptions'!$C$8,0,$AB$29*(1+$AA$15)^($B8-2020))</f>
        <v>0</v>
      </c>
      <c r="H8" s="258">
        <f>IF($B8&gt;'Project Data and Assumptions'!$C$8,0,$AC$29*(1+$AA$15)^($B8-2020))</f>
        <v>0</v>
      </c>
      <c r="I8" s="17">
        <f t="shared" si="0"/>
        <v>336157.21522427414</v>
      </c>
      <c r="J8" s="325">
        <f t="shared" ref="J8:J26" si="8">(D8*$AA$40)*$AA$38*$AA$39</f>
        <v>4766.82326347859</v>
      </c>
      <c r="K8" s="90">
        <f t="shared" ref="K8:K26" si="9">C8*$AA$43+SUM(D8:E8)*$AA$44</f>
        <v>300167.50206890702</v>
      </c>
      <c r="L8" s="90">
        <f t="shared" si="1"/>
        <v>197079.28940012955</v>
      </c>
      <c r="M8" s="90">
        <f t="shared" ref="M8:M26" si="10">SUM(D8:E8)*$AA$52</f>
        <v>21536.309467370811</v>
      </c>
      <c r="N8" s="92">
        <f t="shared" si="2"/>
        <v>226.89073681060364</v>
      </c>
      <c r="O8" s="17">
        <f t="shared" si="3"/>
        <v>0</v>
      </c>
      <c r="P8" s="90">
        <f t="shared" ref="P8:P26" si="11">(G8*$AA$40)*$AA$38*$AA$39</f>
        <v>0</v>
      </c>
      <c r="Q8" s="90">
        <f t="shared" ref="Q8:Q26" si="12">F8*$AA$43+SUM(G8:H8)*$AA$44</f>
        <v>0</v>
      </c>
      <c r="R8" s="90">
        <f t="shared" si="4"/>
        <v>0</v>
      </c>
      <c r="S8" s="90">
        <f t="shared" ref="S8:S26" si="13">SUM(G8:H8)*$AA$52</f>
        <v>0</v>
      </c>
      <c r="T8" s="92">
        <f t="shared" si="5"/>
        <v>0</v>
      </c>
      <c r="U8" s="17">
        <f t="shared" ref="U8:U26" si="14">SUM(I8:T8)</f>
        <v>859934.03016097075</v>
      </c>
      <c r="V8" s="6">
        <f t="shared" si="6"/>
        <v>437146.85551488458</v>
      </c>
      <c r="X8" s="282" t="s">
        <v>471</v>
      </c>
      <c r="Y8" s="243">
        <f>IFERROR(_xlfn.XLOOKUP($Z$3,'Trail Project Summary'!$B$3:$B$32,'Trail Project Summary'!$C$3:$C$32),0)</f>
        <v>0</v>
      </c>
      <c r="AU8" s="292" t="s">
        <v>124</v>
      </c>
      <c r="AW8" s="292" t="s">
        <v>163</v>
      </c>
    </row>
    <row r="9" spans="1:49" x14ac:dyDescent="0.25">
      <c r="A9" s="75">
        <f t="shared" si="7"/>
        <v>4841.0057540246908</v>
      </c>
      <c r="B9" s="2">
        <f t="shared" ref="B9:B29" si="15">B8+1</f>
        <v>2031</v>
      </c>
      <c r="C9" s="260">
        <f>IF(OR($B9&lt;$Y$6,$B9&gt;'Project Data and Assumptions'!$C$8),0,$AC$35*(1+$AA$15)^($B9-2020))</f>
        <v>27212.726946726954</v>
      </c>
      <c r="D9" s="91">
        <f>IF(OR($B9&lt;$Y$6,$B9&gt;'Project Data and Assumptions'!$C$8),0,$AB$34*(1+$AA$15)^($B9-2020))</f>
        <v>2034.0360311028114</v>
      </c>
      <c r="E9" s="258">
        <f>IF(OR($B9&lt;$Y$6,$B9&gt;'Project Data and Assumptions'!$C$8),0,$AC$34*(1+$AA$15)^($B9-2020))</f>
        <v>15954.03771334382</v>
      </c>
      <c r="F9" s="260">
        <f>IF($B9&gt;'Project Data and Assumptions'!$C$8,0,$AC$30*(1+$AA$15)^($B9-2020))</f>
        <v>0</v>
      </c>
      <c r="G9" s="91">
        <f>IF($B9&gt;'Project Data and Assumptions'!$C$8,0,$AB$29*(1+$AA$15)^($B9-2020))</f>
        <v>0</v>
      </c>
      <c r="H9" s="258">
        <f>IF($B9&gt;'Project Data and Assumptions'!$C$8,0,$AC$29*(1+$AA$15)^($B9-2020))</f>
        <v>0</v>
      </c>
      <c r="I9" s="17">
        <f t="shared" si="0"/>
        <v>342880.35952875961</v>
      </c>
      <c r="J9" s="325">
        <f t="shared" si="8"/>
        <v>4862.1597287481609</v>
      </c>
      <c r="K9" s="90">
        <f t="shared" si="9"/>
        <v>306170.85211028508</v>
      </c>
      <c r="L9" s="90">
        <f t="shared" si="1"/>
        <v>201020.87518813211</v>
      </c>
      <c r="M9" s="90">
        <f t="shared" si="10"/>
        <v>21967.035656718224</v>
      </c>
      <c r="N9" s="92">
        <f t="shared" si="2"/>
        <v>231.42855154681567</v>
      </c>
      <c r="O9" s="17">
        <f t="shared" si="3"/>
        <v>0</v>
      </c>
      <c r="P9" s="90">
        <f t="shared" si="11"/>
        <v>0</v>
      </c>
      <c r="Q9" s="90">
        <f t="shared" si="12"/>
        <v>0</v>
      </c>
      <c r="R9" s="90">
        <f t="shared" si="4"/>
        <v>0</v>
      </c>
      <c r="S9" s="90">
        <f t="shared" si="13"/>
        <v>0</v>
      </c>
      <c r="T9" s="92">
        <f t="shared" si="5"/>
        <v>0</v>
      </c>
      <c r="U9" s="17">
        <f t="shared" si="14"/>
        <v>877132.71076418983</v>
      </c>
      <c r="V9" s="6">
        <f t="shared" si="6"/>
        <v>416719.43235998321</v>
      </c>
      <c r="X9" s="118" t="s">
        <v>473</v>
      </c>
      <c r="Y9" s="243">
        <f>IFERROR(_xlfn.XLOOKUP($Z$3,'Trail Project Summary'!$B$3:$B$32,'Trail Project Summary'!$D$3:$D$32),0)</f>
        <v>1</v>
      </c>
      <c r="AU9" s="292" t="s">
        <v>150</v>
      </c>
      <c r="AW9" s="292" t="s">
        <v>162</v>
      </c>
    </row>
    <row r="10" spans="1:49" x14ac:dyDescent="0.25">
      <c r="A10" s="75">
        <f t="shared" si="7"/>
        <v>4937.825869105186</v>
      </c>
      <c r="B10" s="2">
        <f t="shared" si="15"/>
        <v>2032</v>
      </c>
      <c r="C10" s="260">
        <f>IF(OR($B10&lt;$Y$6,$B10&gt;'Project Data and Assumptions'!$C$8),0,$AC$35*(1+$AA$15)^($B10-2020))</f>
        <v>27756.981485661498</v>
      </c>
      <c r="D10" s="91">
        <f>IF(OR($B10&lt;$Y$6,$B10&gt;'Project Data and Assumptions'!$C$8),0,$AB$34*(1+$AA$15)^($B10-2020))</f>
        <v>2074.7167517248681</v>
      </c>
      <c r="E10" s="258">
        <f>IF(OR($B10&lt;$Y$6,$B10&gt;'Project Data and Assumptions'!$C$8),0,$AC$34*(1+$AA$15)^($B10-2020))</f>
        <v>16273.118467610699</v>
      </c>
      <c r="F10" s="260">
        <f>IF($B10&gt;'Project Data and Assumptions'!$C$8,0,$AC$30*(1+$AA$15)^($B10-2020))</f>
        <v>0</v>
      </c>
      <c r="G10" s="91">
        <f>IF($B10&gt;'Project Data and Assumptions'!$C$8,0,$AB$29*(1+$AA$15)^($B10-2020))</f>
        <v>0</v>
      </c>
      <c r="H10" s="258">
        <f>IF($B10&gt;'Project Data and Assumptions'!$C$8,0,$AC$29*(1+$AA$15)^($B10-2020))</f>
        <v>0</v>
      </c>
      <c r="I10" s="17">
        <f t="shared" si="0"/>
        <v>349737.96671933489</v>
      </c>
      <c r="J10" s="325">
        <f t="shared" si="8"/>
        <v>4959.4029233231258</v>
      </c>
      <c r="K10" s="90">
        <f t="shared" si="9"/>
        <v>312294.26915249083</v>
      </c>
      <c r="L10" s="90">
        <f t="shared" si="1"/>
        <v>205041.29269189481</v>
      </c>
      <c r="M10" s="90">
        <f t="shared" si="10"/>
        <v>22406.376369852591</v>
      </c>
      <c r="N10" s="92">
        <f t="shared" si="2"/>
        <v>236.05712257775204</v>
      </c>
      <c r="O10" s="17">
        <f t="shared" si="3"/>
        <v>0</v>
      </c>
      <c r="P10" s="90">
        <f t="shared" si="11"/>
        <v>0</v>
      </c>
      <c r="Q10" s="90">
        <f t="shared" si="12"/>
        <v>0</v>
      </c>
      <c r="R10" s="90">
        <f t="shared" si="4"/>
        <v>0</v>
      </c>
      <c r="S10" s="90">
        <f t="shared" si="13"/>
        <v>0</v>
      </c>
      <c r="T10" s="92">
        <f t="shared" si="5"/>
        <v>0</v>
      </c>
      <c r="U10" s="17">
        <f t="shared" si="14"/>
        <v>894675.36497947399</v>
      </c>
      <c r="V10" s="6">
        <f t="shared" si="6"/>
        <v>397246.56168895616</v>
      </c>
      <c r="X10" s="118" t="s">
        <v>472</v>
      </c>
      <c r="Y10" s="243">
        <f>IFERROR(_xlfn.XLOOKUP($Z$3,'Trail Project Summary'!$B$3:$B$32,'Trail Project Summary'!$E$3:$E$32),0)</f>
        <v>0</v>
      </c>
    </row>
    <row r="11" spans="1:49" x14ac:dyDescent="0.25">
      <c r="A11" s="75">
        <f t="shared" si="7"/>
        <v>5036.5823864872891</v>
      </c>
      <c r="B11" s="2">
        <f t="shared" si="15"/>
        <v>2033</v>
      </c>
      <c r="C11" s="260">
        <f>IF(OR($B11&lt;$Y$6,$B11&gt;'Project Data and Assumptions'!$C$8),0,$AC$35*(1+$AA$15)^($B11-2020))</f>
        <v>28312.121115374724</v>
      </c>
      <c r="D11" s="91">
        <f>IF(OR($B11&lt;$Y$6,$B11&gt;'Project Data and Assumptions'!$C$8),0,$AB$34*(1+$AA$15)^($B11-2020))</f>
        <v>2116.2110867593651</v>
      </c>
      <c r="E11" s="258">
        <f>IF(OR($B11&lt;$Y$6,$B11&gt;'Project Data and Assumptions'!$C$8),0,$AC$34*(1+$AA$15)^($B11-2020))</f>
        <v>16598.580836962912</v>
      </c>
      <c r="F11" s="260">
        <f>IF($B11&gt;'Project Data and Assumptions'!$C$8,0,$AC$30*(1+$AA$15)^($B11-2020))</f>
        <v>0</v>
      </c>
      <c r="G11" s="91">
        <f>IF($B11&gt;'Project Data and Assumptions'!$C$8,0,$AB$29*(1+$AA$15)^($B11-2020))</f>
        <v>0</v>
      </c>
      <c r="H11" s="258">
        <f>IF($B11&gt;'Project Data and Assumptions'!$C$8,0,$AC$29*(1+$AA$15)^($B11-2020))</f>
        <v>0</v>
      </c>
      <c r="I11" s="17">
        <f t="shared" si="0"/>
        <v>356732.7260537215</v>
      </c>
      <c r="J11" s="325">
        <f t="shared" si="8"/>
        <v>5058.5909817895872</v>
      </c>
      <c r="K11" s="90">
        <f t="shared" si="9"/>
        <v>318540.15453554061</v>
      </c>
      <c r="L11" s="90">
        <f t="shared" si="1"/>
        <v>209142.11854573269</v>
      </c>
      <c r="M11" s="90">
        <f t="shared" si="10"/>
        <v>22854.503897249644</v>
      </c>
      <c r="N11" s="92">
        <f t="shared" si="2"/>
        <v>240.77826502930702</v>
      </c>
      <c r="O11" s="17">
        <f t="shared" si="3"/>
        <v>0</v>
      </c>
      <c r="P11" s="90">
        <f t="shared" si="11"/>
        <v>0</v>
      </c>
      <c r="Q11" s="90">
        <f t="shared" si="12"/>
        <v>0</v>
      </c>
      <c r="R11" s="90">
        <f t="shared" si="4"/>
        <v>0</v>
      </c>
      <c r="S11" s="90">
        <f t="shared" si="13"/>
        <v>0</v>
      </c>
      <c r="T11" s="92">
        <f t="shared" si="5"/>
        <v>0</v>
      </c>
      <c r="U11" s="17">
        <f t="shared" si="14"/>
        <v>912568.87227906345</v>
      </c>
      <c r="V11" s="6">
        <f t="shared" si="6"/>
        <v>378683.63824554696</v>
      </c>
      <c r="X11" s="28"/>
      <c r="Y11" s="60"/>
      <c r="Z11" s="28"/>
      <c r="AA11" s="28"/>
      <c r="AB11" s="28"/>
      <c r="AC11" s="28"/>
      <c r="AD11" s="28"/>
      <c r="AE11" s="28"/>
      <c r="AF11" s="28"/>
    </row>
    <row r="12" spans="1:49" x14ac:dyDescent="0.25">
      <c r="A12" s="75">
        <f t="shared" si="7"/>
        <v>5137.3140342170354</v>
      </c>
      <c r="B12" s="2">
        <f t="shared" si="15"/>
        <v>2034</v>
      </c>
      <c r="C12" s="260">
        <f>IF(OR($B12&lt;$Y$6,$B12&gt;'Project Data and Assumptions'!$C$8),0,$AC$35*(1+$AA$15)^($B12-2020))</f>
        <v>28878.363537682224</v>
      </c>
      <c r="D12" s="91">
        <f>IF(OR($B12&lt;$Y$6,$B12&gt;'Project Data and Assumptions'!$C$8),0,$AB$34*(1+$AA$15)^($B12-2020))</f>
        <v>2158.5353084945527</v>
      </c>
      <c r="E12" s="258">
        <f>IF(OR($B12&lt;$Y$6,$B12&gt;'Project Data and Assumptions'!$C$8),0,$AC$34*(1+$AA$15)^($B12-2020))</f>
        <v>16930.55245370217</v>
      </c>
      <c r="F12" s="260">
        <f>IF($B12&gt;'Project Data and Assumptions'!$C$8,0,$AC$30*(1+$AA$15)^($B12-2020))</f>
        <v>0</v>
      </c>
      <c r="G12" s="91">
        <f>IF($B12&gt;'Project Data and Assumptions'!$C$8,0,$AB$29*(1+$AA$15)^($B12-2020))</f>
        <v>0</v>
      </c>
      <c r="H12" s="258">
        <f>IF($B12&gt;'Project Data and Assumptions'!$C$8,0,$AC$29*(1+$AA$15)^($B12-2020))</f>
        <v>0</v>
      </c>
      <c r="I12" s="17">
        <f t="shared" si="0"/>
        <v>363867.38057479606</v>
      </c>
      <c r="J12" s="325">
        <f t="shared" si="8"/>
        <v>5159.7628014253796</v>
      </c>
      <c r="K12" s="90">
        <f t="shared" si="9"/>
        <v>324910.95762625145</v>
      </c>
      <c r="L12" s="90">
        <f t="shared" si="1"/>
        <v>213324.96091664734</v>
      </c>
      <c r="M12" s="90">
        <f t="shared" si="10"/>
        <v>23311.593975194635</v>
      </c>
      <c r="N12" s="92">
        <f t="shared" si="2"/>
        <v>245.59383032989322</v>
      </c>
      <c r="O12" s="17">
        <f t="shared" si="3"/>
        <v>0</v>
      </c>
      <c r="P12" s="90">
        <f t="shared" si="11"/>
        <v>0</v>
      </c>
      <c r="Q12" s="90">
        <f t="shared" si="12"/>
        <v>0</v>
      </c>
      <c r="R12" s="90">
        <f t="shared" si="4"/>
        <v>0</v>
      </c>
      <c r="S12" s="90">
        <f t="shared" si="13"/>
        <v>0</v>
      </c>
      <c r="T12" s="92">
        <f t="shared" si="5"/>
        <v>0</v>
      </c>
      <c r="U12" s="17">
        <f t="shared" si="14"/>
        <v>930820.24972464482</v>
      </c>
      <c r="V12" s="6">
        <f t="shared" si="6"/>
        <v>360988.14113126911</v>
      </c>
      <c r="X12" s="30"/>
      <c r="Y12" s="30"/>
    </row>
    <row r="13" spans="1:49" x14ac:dyDescent="0.25">
      <c r="A13" s="75">
        <f t="shared" si="7"/>
        <v>5240.0603149013741</v>
      </c>
      <c r="B13" s="2">
        <f t="shared" si="15"/>
        <v>2035</v>
      </c>
      <c r="C13" s="260">
        <f>IF(OR($B13&lt;$Y$6,$B13&gt;'Project Data and Assumptions'!$C$8),0,$AC$35*(1+$AA$15)^($B13-2020))</f>
        <v>29455.93080843586</v>
      </c>
      <c r="D13" s="91">
        <f>IF(OR($B13&lt;$Y$6,$B13&gt;'Project Data and Assumptions'!$C$8),0,$AB$34*(1+$AA$15)^($B13-2020))</f>
        <v>2201.706014664443</v>
      </c>
      <c r="E13" s="258">
        <f>IF(OR($B13&lt;$Y$6,$B13&gt;'Project Data and Assumptions'!$C$8),0,$AC$34*(1+$AA$15)^($B13-2020))</f>
        <v>17269.163502776209</v>
      </c>
      <c r="F13" s="260">
        <f>IF($B13&gt;'Project Data and Assumptions'!$C$8,0,$AC$30*(1+$AA$15)^($B13-2020))</f>
        <v>0</v>
      </c>
      <c r="G13" s="91">
        <f>IF($B13&gt;'Project Data and Assumptions'!$C$8,0,$AB$29*(1+$AA$15)^($B13-2020))</f>
        <v>0</v>
      </c>
      <c r="H13" s="258">
        <f>IF($B13&gt;'Project Data and Assumptions'!$C$8,0,$AC$29*(1+$AA$15)^($B13-2020))</f>
        <v>0</v>
      </c>
      <c r="I13" s="17">
        <f t="shared" si="0"/>
        <v>371144.72818629182</v>
      </c>
      <c r="J13" s="325">
        <f t="shared" si="8"/>
        <v>5262.958057453885</v>
      </c>
      <c r="K13" s="90">
        <f t="shared" si="9"/>
        <v>331409.1767787764</v>
      </c>
      <c r="L13" s="90">
        <f t="shared" si="1"/>
        <v>217591.46013498024</v>
      </c>
      <c r="M13" s="90">
        <f t="shared" si="10"/>
        <v>23777.825854698523</v>
      </c>
      <c r="N13" s="92">
        <f t="shared" si="2"/>
        <v>250.50570693649095</v>
      </c>
      <c r="O13" s="17">
        <f t="shared" si="3"/>
        <v>0</v>
      </c>
      <c r="P13" s="90">
        <f t="shared" si="11"/>
        <v>0</v>
      </c>
      <c r="Q13" s="90">
        <f t="shared" si="12"/>
        <v>0</v>
      </c>
      <c r="R13" s="90">
        <f t="shared" si="4"/>
        <v>0</v>
      </c>
      <c r="S13" s="90">
        <f t="shared" si="13"/>
        <v>0</v>
      </c>
      <c r="T13" s="92">
        <f t="shared" si="5"/>
        <v>0</v>
      </c>
      <c r="U13" s="17">
        <f t="shared" si="14"/>
        <v>949436.65471913735</v>
      </c>
      <c r="V13" s="6">
        <f t="shared" si="6"/>
        <v>344119.5364055087</v>
      </c>
      <c r="AU13" s="292" t="s">
        <v>489</v>
      </c>
      <c r="AV13" s="292" t="s">
        <v>503</v>
      </c>
    </row>
    <row r="14" spans="1:49" x14ac:dyDescent="0.25">
      <c r="A14" s="75">
        <f t="shared" si="7"/>
        <v>5344.861521199402</v>
      </c>
      <c r="B14" s="2">
        <f t="shared" si="15"/>
        <v>2036</v>
      </c>
      <c r="C14" s="260">
        <f>IF(OR($B14&lt;$Y$6,$B14&gt;'Project Data and Assumptions'!$C$8),0,$AC$35*(1+$AA$15)^($B14-2020))</f>
        <v>30045.049424604582</v>
      </c>
      <c r="D14" s="91">
        <f>IF(OR($B14&lt;$Y$6,$B14&gt;'Project Data and Assumptions'!$C$8),0,$AB$34*(1+$AA$15)^($B14-2020))</f>
        <v>2245.7401349577322</v>
      </c>
      <c r="E14" s="258">
        <f>IF(OR($B14&lt;$Y$6,$B14&gt;'Project Data and Assumptions'!$C$8),0,$AC$34*(1+$AA$15)^($B14-2020))</f>
        <v>17614.546772831738</v>
      </c>
      <c r="F14" s="260">
        <f>IF($B14&gt;'Project Data and Assumptions'!$C$8,0,$AC$30*(1+$AA$15)^($B14-2020))</f>
        <v>0</v>
      </c>
      <c r="G14" s="91">
        <f>IF($B14&gt;'Project Data and Assumptions'!$C$8,0,$AB$29*(1+$AA$15)^($B14-2020))</f>
        <v>0</v>
      </c>
      <c r="H14" s="258">
        <f>IF($B14&gt;'Project Data and Assumptions'!$C$8,0,$AC$29*(1+$AA$15)^($B14-2020))</f>
        <v>0</v>
      </c>
      <c r="I14" s="17">
        <f t="shared" si="0"/>
        <v>378567.62275001773</v>
      </c>
      <c r="J14" s="325">
        <f t="shared" si="8"/>
        <v>5368.2172186029638</v>
      </c>
      <c r="K14" s="90">
        <f t="shared" si="9"/>
        <v>338037.36031435197</v>
      </c>
      <c r="L14" s="90">
        <f t="shared" si="1"/>
        <v>221943.28933767989</v>
      </c>
      <c r="M14" s="90">
        <f t="shared" si="10"/>
        <v>24253.382371792501</v>
      </c>
      <c r="N14" s="92">
        <f t="shared" si="2"/>
        <v>255.51582107522083</v>
      </c>
      <c r="O14" s="17">
        <f t="shared" si="3"/>
        <v>0</v>
      </c>
      <c r="P14" s="90">
        <f t="shared" si="11"/>
        <v>0</v>
      </c>
      <c r="Q14" s="90">
        <f t="shared" si="12"/>
        <v>0</v>
      </c>
      <c r="R14" s="90">
        <f t="shared" si="4"/>
        <v>0</v>
      </c>
      <c r="S14" s="90">
        <f t="shared" si="13"/>
        <v>0</v>
      </c>
      <c r="T14" s="92">
        <f t="shared" si="5"/>
        <v>0</v>
      </c>
      <c r="U14" s="17">
        <f t="shared" si="14"/>
        <v>968425.38781352015</v>
      </c>
      <c r="V14" s="6">
        <f t="shared" si="6"/>
        <v>328039.18423702708</v>
      </c>
      <c r="X14" s="175" t="s">
        <v>83</v>
      </c>
      <c r="AU14" s="292" t="s">
        <v>490</v>
      </c>
      <c r="AV14" s="292" t="s">
        <v>504</v>
      </c>
    </row>
    <row r="15" spans="1:49" ht="17.25" x14ac:dyDescent="0.25">
      <c r="A15" s="75">
        <f t="shared" si="7"/>
        <v>5451.7587516233916</v>
      </c>
      <c r="B15" s="2">
        <f t="shared" si="15"/>
        <v>2037</v>
      </c>
      <c r="C15" s="260">
        <f>IF(OR($B15&lt;$Y$6,$B15&gt;'Project Data and Assumptions'!$C$8),0,$AC$35*(1+$AA$15)^($B15-2020))</f>
        <v>30645.950413096678</v>
      </c>
      <c r="D15" s="91">
        <f>IF(OR($B15&lt;$Y$6,$B15&gt;'Project Data and Assumptions'!$C$8),0,$AB$34*(1+$AA$15)^($B15-2020))</f>
        <v>2290.6549376568873</v>
      </c>
      <c r="E15" s="258">
        <f>IF(OR($B15&lt;$Y$6,$B15&gt;'Project Data and Assumptions'!$C$8),0,$AC$34*(1+$AA$15)^($B15-2020))</f>
        <v>17966.837708288374</v>
      </c>
      <c r="F15" s="260">
        <f>IF($B15&gt;'Project Data and Assumptions'!$C$8,0,$AC$30*(1+$AA$15)^($B15-2020))</f>
        <v>0</v>
      </c>
      <c r="G15" s="91">
        <f>IF($B15&gt;'Project Data and Assumptions'!$C$8,0,$AB$29*(1+$AA$15)^($B15-2020))</f>
        <v>0</v>
      </c>
      <c r="H15" s="258">
        <f>IF($B15&gt;'Project Data and Assumptions'!$C$8,0,$AC$29*(1+$AA$15)^($B15-2020))</f>
        <v>0</v>
      </c>
      <c r="I15" s="17">
        <f t="shared" si="0"/>
        <v>386138.97520501813</v>
      </c>
      <c r="J15" s="325">
        <f t="shared" si="8"/>
        <v>5475.581562975025</v>
      </c>
      <c r="K15" s="90">
        <f t="shared" si="9"/>
        <v>344798.10752063908</v>
      </c>
      <c r="L15" s="90">
        <f t="shared" si="1"/>
        <v>226382.15512443351</v>
      </c>
      <c r="M15" s="90">
        <f t="shared" si="10"/>
        <v>24738.450019228352</v>
      </c>
      <c r="N15" s="92">
        <f t="shared" si="2"/>
        <v>260.62613749672533</v>
      </c>
      <c r="O15" s="17">
        <f t="shared" si="3"/>
        <v>0</v>
      </c>
      <c r="P15" s="90">
        <f t="shared" si="11"/>
        <v>0</v>
      </c>
      <c r="Q15" s="90">
        <f t="shared" si="12"/>
        <v>0</v>
      </c>
      <c r="R15" s="90">
        <f t="shared" si="4"/>
        <v>0</v>
      </c>
      <c r="S15" s="90">
        <f t="shared" si="13"/>
        <v>0</v>
      </c>
      <c r="T15" s="92">
        <f t="shared" si="5"/>
        <v>0</v>
      </c>
      <c r="U15" s="17">
        <f t="shared" si="14"/>
        <v>987793.89556979074</v>
      </c>
      <c r="V15" s="6">
        <f t="shared" si="6"/>
        <v>312710.25039417541</v>
      </c>
      <c r="X15" s="700" t="s">
        <v>677</v>
      </c>
      <c r="Y15" s="700"/>
      <c r="Z15" s="700"/>
      <c r="AA15" s="569">
        <v>0.02</v>
      </c>
      <c r="AB15" s="569">
        <v>0.05</v>
      </c>
      <c r="AU15" s="292" t="s">
        <v>491</v>
      </c>
    </row>
    <row r="16" spans="1:49" x14ac:dyDescent="0.25">
      <c r="A16" s="75">
        <f t="shared" si="7"/>
        <v>5560.7939266558578</v>
      </c>
      <c r="B16" s="2">
        <f t="shared" si="15"/>
        <v>2038</v>
      </c>
      <c r="C16" s="260">
        <f>IF(OR($B16&lt;$Y$6,$B16&gt;'Project Data and Assumptions'!$C$8),0,$AC$35*(1+$AA$15)^($B16-2020))</f>
        <v>31258.869421358606</v>
      </c>
      <c r="D16" s="91">
        <f>IF(OR($B16&lt;$Y$6,$B16&gt;'Project Data and Assumptions'!$C$8),0,$AB$34*(1+$AA$15)^($B16-2020))</f>
        <v>2336.4680364100245</v>
      </c>
      <c r="E16" s="258">
        <f>IF(OR($B16&lt;$Y$6,$B16&gt;'Project Data and Assumptions'!$C$8),0,$AC$34*(1+$AA$15)^($B16-2020))</f>
        <v>18326.174462454139</v>
      </c>
      <c r="F16" s="260">
        <f>IF($B16&gt;'Project Data and Assumptions'!$C$8,0,$AC$30*(1+$AA$15)^($B16-2020))</f>
        <v>0</v>
      </c>
      <c r="G16" s="91">
        <f>IF($B16&gt;'Project Data and Assumptions'!$C$8,0,$AB$29*(1+$AA$15)^($B16-2020))</f>
        <v>0</v>
      </c>
      <c r="H16" s="258">
        <f>IF($B16&gt;'Project Data and Assumptions'!$C$8,0,$AC$29*(1+$AA$15)^($B16-2020))</f>
        <v>0</v>
      </c>
      <c r="I16" s="17">
        <f t="shared" si="0"/>
        <v>393861.7547091184</v>
      </c>
      <c r="J16" s="325">
        <f t="shared" si="8"/>
        <v>5585.0931942345242</v>
      </c>
      <c r="K16" s="90">
        <f t="shared" si="9"/>
        <v>351694.06967105181</v>
      </c>
      <c r="L16" s="90">
        <f t="shared" si="1"/>
        <v>230909.79822692214</v>
      </c>
      <c r="M16" s="90">
        <f t="shared" si="10"/>
        <v>25233.219019612912</v>
      </c>
      <c r="N16" s="92">
        <f t="shared" si="2"/>
        <v>265.8386602466598</v>
      </c>
      <c r="O16" s="17">
        <f t="shared" si="3"/>
        <v>0</v>
      </c>
      <c r="P16" s="90">
        <f t="shared" si="11"/>
        <v>0</v>
      </c>
      <c r="Q16" s="90">
        <f t="shared" si="12"/>
        <v>0</v>
      </c>
      <c r="R16" s="90">
        <f t="shared" si="4"/>
        <v>0</v>
      </c>
      <c r="S16" s="90">
        <f t="shared" si="13"/>
        <v>0</v>
      </c>
      <c r="T16" s="92">
        <f t="shared" si="5"/>
        <v>0</v>
      </c>
      <c r="U16" s="17">
        <f t="shared" si="14"/>
        <v>1007549.7734811865</v>
      </c>
      <c r="V16" s="6">
        <f t="shared" si="6"/>
        <v>298097.62187108304</v>
      </c>
      <c r="X16" s="695" t="s">
        <v>498</v>
      </c>
      <c r="Y16" s="695"/>
      <c r="Z16" s="695"/>
      <c r="AA16" s="177">
        <v>0.86</v>
      </c>
      <c r="AB16" s="113"/>
      <c r="AU16" s="292" t="s">
        <v>502</v>
      </c>
      <c r="AV16" s="292" t="s">
        <v>505</v>
      </c>
      <c r="AW16" s="292" t="s">
        <v>506</v>
      </c>
    </row>
    <row r="17" spans="1:33" x14ac:dyDescent="0.25">
      <c r="A17" s="75">
        <f t="shared" si="7"/>
        <v>5672.0098051889754</v>
      </c>
      <c r="B17" s="2">
        <f t="shared" si="15"/>
        <v>2039</v>
      </c>
      <c r="C17" s="260">
        <f>IF(OR($B17&lt;$Y$6,$B17&gt;'Project Data and Assumptions'!$C$8),0,$AC$35*(1+$AA$15)^($B17-2020))</f>
        <v>31884.046809785777</v>
      </c>
      <c r="D17" s="91">
        <f>IF(OR($B17&lt;$Y$6,$B17&gt;'Project Data and Assumptions'!$C$8),0,$AB$34*(1+$AA$15)^($B17-2020))</f>
        <v>2383.1973971382249</v>
      </c>
      <c r="E17" s="258">
        <f>IF(OR($B17&lt;$Y$6,$B17&gt;'Project Data and Assumptions'!$C$8),0,$AC$34*(1+$AA$15)^($B17-2020))</f>
        <v>18692.69795170322</v>
      </c>
      <c r="F17" s="260">
        <f>IF($B17&gt;'Project Data and Assumptions'!$C$8,0,$AC$30*(1+$AA$15)^($B17-2020))</f>
        <v>0</v>
      </c>
      <c r="G17" s="91">
        <f>IF($B17&gt;'Project Data and Assumptions'!$C$8,0,$AB$29*(1+$AA$15)^($B17-2020))</f>
        <v>0</v>
      </c>
      <c r="H17" s="258">
        <f>IF($B17&gt;'Project Data and Assumptions'!$C$8,0,$AC$29*(1+$AA$15)^($B17-2020))</f>
        <v>0</v>
      </c>
      <c r="I17" s="17">
        <f t="shared" si="0"/>
        <v>401738.98980330082</v>
      </c>
      <c r="J17" s="325">
        <f t="shared" si="8"/>
        <v>5696.7950581192135</v>
      </c>
      <c r="K17" s="90">
        <f t="shared" si="9"/>
        <v>358727.95106447279</v>
      </c>
      <c r="L17" s="90">
        <f t="shared" si="1"/>
        <v>235527.99419146057</v>
      </c>
      <c r="M17" s="90">
        <f t="shared" si="10"/>
        <v>25737.883400005168</v>
      </c>
      <c r="N17" s="92">
        <f t="shared" si="2"/>
        <v>271.15543345159296</v>
      </c>
      <c r="O17" s="17">
        <f t="shared" si="3"/>
        <v>0</v>
      </c>
      <c r="P17" s="90">
        <f t="shared" si="11"/>
        <v>0</v>
      </c>
      <c r="Q17" s="90">
        <f t="shared" si="12"/>
        <v>0</v>
      </c>
      <c r="R17" s="90">
        <f t="shared" si="4"/>
        <v>0</v>
      </c>
      <c r="S17" s="90">
        <f t="shared" si="13"/>
        <v>0</v>
      </c>
      <c r="T17" s="92">
        <f t="shared" si="5"/>
        <v>0</v>
      </c>
      <c r="U17" s="17">
        <f t="shared" si="14"/>
        <v>1027700.7689508102</v>
      </c>
      <c r="V17" s="6">
        <f t="shared" si="6"/>
        <v>284167.82645654643</v>
      </c>
      <c r="X17" s="695" t="s">
        <v>499</v>
      </c>
      <c r="Y17" s="695"/>
      <c r="Z17" s="695"/>
      <c r="AA17" s="265">
        <f>MIN(Y7,2.38)</f>
        <v>2.38</v>
      </c>
      <c r="AB17" s="266" t="s">
        <v>500</v>
      </c>
      <c r="AC17" s="284" t="s">
        <v>501</v>
      </c>
    </row>
    <row r="18" spans="1:33" x14ac:dyDescent="0.25">
      <c r="A18" s="75">
        <f t="shared" si="7"/>
        <v>5785.4500012927556</v>
      </c>
      <c r="B18" s="2">
        <f t="shared" si="15"/>
        <v>2040</v>
      </c>
      <c r="C18" s="260">
        <f>IF(OR($B18&lt;$Y$6,$B18&gt;'Project Data and Assumptions'!$C$8),0,$AC$35*(1+$AA$15)^($B18-2020))</f>
        <v>32521.727745981498</v>
      </c>
      <c r="D18" s="91">
        <f>IF(OR($B18&lt;$Y$6,$B18&gt;'Project Data and Assumptions'!$C$8),0,$AB$34*(1+$AA$15)^($B18-2020))</f>
        <v>2430.8613450809898</v>
      </c>
      <c r="E18" s="258">
        <f>IF(OR($B18&lt;$Y$6,$B18&gt;'Project Data and Assumptions'!$C$8),0,$AC$34*(1+$AA$15)^($B18-2020))</f>
        <v>19066.551910737286</v>
      </c>
      <c r="F18" s="260">
        <f>IF($B18&gt;'Project Data and Assumptions'!$C$8,0,$AC$30*(1+$AA$15)^($B18-2020))</f>
        <v>0</v>
      </c>
      <c r="G18" s="91">
        <f>IF($B18&gt;'Project Data and Assumptions'!$C$8,0,$AB$29*(1+$AA$15)^($B18-2020))</f>
        <v>0</v>
      </c>
      <c r="H18" s="258">
        <f>IF($B18&gt;'Project Data and Assumptions'!$C$8,0,$AC$29*(1+$AA$15)^($B18-2020))</f>
        <v>0</v>
      </c>
      <c r="I18" s="17">
        <f t="shared" si="0"/>
        <v>409773.76959936687</v>
      </c>
      <c r="J18" s="325">
        <f t="shared" si="8"/>
        <v>5810.7309592815991</v>
      </c>
      <c r="K18" s="90">
        <f t="shared" si="9"/>
        <v>365902.51008576236</v>
      </c>
      <c r="L18" s="90">
        <f t="shared" si="1"/>
        <v>240238.55407528978</v>
      </c>
      <c r="M18" s="90">
        <f t="shared" si="10"/>
        <v>26252.641068005276</v>
      </c>
      <c r="N18" s="92">
        <f t="shared" si="2"/>
        <v>276.57854212062483</v>
      </c>
      <c r="O18" s="17">
        <f t="shared" si="3"/>
        <v>0</v>
      </c>
      <c r="P18" s="90">
        <f t="shared" si="11"/>
        <v>0</v>
      </c>
      <c r="Q18" s="90">
        <f t="shared" si="12"/>
        <v>0</v>
      </c>
      <c r="R18" s="90">
        <f t="shared" si="4"/>
        <v>0</v>
      </c>
      <c r="S18" s="90">
        <f t="shared" si="13"/>
        <v>0</v>
      </c>
      <c r="T18" s="92">
        <f t="shared" si="5"/>
        <v>0</v>
      </c>
      <c r="U18" s="17">
        <f t="shared" si="14"/>
        <v>1048254.7843298265</v>
      </c>
      <c r="V18" s="6">
        <f t="shared" si="6"/>
        <v>270888.95606138074</v>
      </c>
      <c r="X18" s="695" t="s">
        <v>495</v>
      </c>
      <c r="Y18" s="695"/>
      <c r="Z18" s="695"/>
      <c r="AA18" s="695"/>
      <c r="AB18" s="177">
        <f>MIN($AA$16,$Y8)</f>
        <v>0</v>
      </c>
      <c r="AC18" s="177">
        <f>MIN($AA$17,$Y8)</f>
        <v>0</v>
      </c>
    </row>
    <row r="19" spans="1:33" x14ac:dyDescent="0.25">
      <c r="A19" s="75">
        <f t="shared" si="7"/>
        <v>5901.1590013186105</v>
      </c>
      <c r="B19" s="2">
        <f t="shared" si="15"/>
        <v>2041</v>
      </c>
      <c r="C19" s="260">
        <f>IF(OR($B19&lt;$Y$6,$B19&gt;'Project Data and Assumptions'!$C$8),0,$AC$35*(1+$AA$15)^($B19-2020))</f>
        <v>33172.162300901124</v>
      </c>
      <c r="D19" s="91">
        <f>IF(OR($B19&lt;$Y$6,$B19&gt;'Project Data and Assumptions'!$C$8),0,$AB$34*(1+$AA$15)^($B19-2020))</f>
        <v>2479.4785719826095</v>
      </c>
      <c r="E19" s="258">
        <f>IF(OR($B19&lt;$Y$6,$B19&gt;'Project Data and Assumptions'!$C$8),0,$AC$34*(1+$AA$15)^($B19-2020))</f>
        <v>19447.882948952032</v>
      </c>
      <c r="F19" s="260">
        <f>IF($B19&gt;'Project Data and Assumptions'!$C$8,0,$AC$30*(1+$AA$15)^($B19-2020))</f>
        <v>0</v>
      </c>
      <c r="G19" s="91">
        <f>IF($B19&gt;'Project Data and Assumptions'!$C$8,0,$AB$29*(1+$AA$15)^($B19-2020))</f>
        <v>0</v>
      </c>
      <c r="H19" s="258">
        <f>IF($B19&gt;'Project Data and Assumptions'!$C$8,0,$AC$29*(1+$AA$15)^($B19-2020))</f>
        <v>0</v>
      </c>
      <c r="I19" s="17">
        <f t="shared" si="0"/>
        <v>417969.24499135418</v>
      </c>
      <c r="J19" s="325">
        <f t="shared" si="8"/>
        <v>5926.9455784672309</v>
      </c>
      <c r="K19" s="90">
        <f t="shared" si="9"/>
        <v>373220.56028747756</v>
      </c>
      <c r="L19" s="90">
        <f t="shared" si="1"/>
        <v>245043.32515679559</v>
      </c>
      <c r="M19" s="90">
        <f t="shared" si="10"/>
        <v>26777.693889365382</v>
      </c>
      <c r="N19" s="92">
        <f t="shared" si="2"/>
        <v>282.11011296303735</v>
      </c>
      <c r="O19" s="17">
        <f t="shared" si="3"/>
        <v>0</v>
      </c>
      <c r="P19" s="90">
        <f t="shared" si="11"/>
        <v>0</v>
      </c>
      <c r="Q19" s="90">
        <f t="shared" si="12"/>
        <v>0</v>
      </c>
      <c r="R19" s="90">
        <f t="shared" si="4"/>
        <v>0</v>
      </c>
      <c r="S19" s="90">
        <f t="shared" si="13"/>
        <v>0</v>
      </c>
      <c r="T19" s="92">
        <f t="shared" si="5"/>
        <v>0</v>
      </c>
      <c r="U19" s="17">
        <f t="shared" si="14"/>
        <v>1069219.8800164228</v>
      </c>
      <c r="V19" s="6">
        <f t="shared" si="6"/>
        <v>258230.59362860592</v>
      </c>
      <c r="X19" s="695" t="s">
        <v>496</v>
      </c>
      <c r="Y19" s="695"/>
      <c r="Z19" s="695"/>
      <c r="AA19" s="695"/>
      <c r="AB19" s="177">
        <f>MIN($AA$16,SUM($Y9:$Y10))</f>
        <v>0.86</v>
      </c>
      <c r="AC19" s="177">
        <f>MIN($AA$16,SUM($Y9:$Y10))</f>
        <v>0.86</v>
      </c>
    </row>
    <row r="20" spans="1:33" x14ac:dyDescent="0.25">
      <c r="A20" s="75">
        <f t="shared" si="7"/>
        <v>6019.1821813449833</v>
      </c>
      <c r="B20" s="2">
        <f t="shared" si="15"/>
        <v>2042</v>
      </c>
      <c r="C20" s="260">
        <f>IF(OR($B20&lt;$Y$6,$B20&gt;'Project Data and Assumptions'!$C$8),0,$AC$35*(1+$AA$15)^($B20-2020))</f>
        <v>33835.605546919149</v>
      </c>
      <c r="D20" s="91">
        <f>IF(OR($B20&lt;$Y$6,$B20&gt;'Project Data and Assumptions'!$C$8),0,$AB$34*(1+$AA$15)^($B20-2020))</f>
        <v>2529.068143422262</v>
      </c>
      <c r="E20" s="258">
        <f>IF(OR($B20&lt;$Y$6,$B20&gt;'Project Data and Assumptions'!$C$8),0,$AC$34*(1+$AA$15)^($B20-2020))</f>
        <v>19836.840607931073</v>
      </c>
      <c r="F20" s="260">
        <f>IF($B20&gt;'Project Data and Assumptions'!$C$8,0,$AC$30*(1+$AA$15)^($B20-2020))</f>
        <v>0</v>
      </c>
      <c r="G20" s="91">
        <f>IF($B20&gt;'Project Data and Assumptions'!$C$8,0,$AB$29*(1+$AA$15)^($B20-2020))</f>
        <v>0</v>
      </c>
      <c r="H20" s="258">
        <f>IF($B20&gt;'Project Data and Assumptions'!$C$8,0,$AC$29*(1+$AA$15)^($B20-2020))</f>
        <v>0</v>
      </c>
      <c r="I20" s="17">
        <f t="shared" si="0"/>
        <v>426328.62989118131</v>
      </c>
      <c r="J20" s="325">
        <f t="shared" si="8"/>
        <v>6045.4844900365752</v>
      </c>
      <c r="K20" s="90">
        <f t="shared" si="9"/>
        <v>380684.97149322712</v>
      </c>
      <c r="L20" s="90">
        <f t="shared" si="1"/>
        <v>249944.19165993156</v>
      </c>
      <c r="M20" s="90">
        <f t="shared" si="10"/>
        <v>27313.247767152687</v>
      </c>
      <c r="N20" s="92">
        <f t="shared" si="2"/>
        <v>287.75231522229808</v>
      </c>
      <c r="O20" s="17">
        <f t="shared" si="3"/>
        <v>0</v>
      </c>
      <c r="P20" s="90">
        <f t="shared" si="11"/>
        <v>0</v>
      </c>
      <c r="Q20" s="90">
        <f t="shared" si="12"/>
        <v>0</v>
      </c>
      <c r="R20" s="90">
        <f t="shared" si="4"/>
        <v>0</v>
      </c>
      <c r="S20" s="90">
        <f t="shared" si="13"/>
        <v>0</v>
      </c>
      <c r="T20" s="92">
        <f t="shared" si="5"/>
        <v>0</v>
      </c>
      <c r="U20" s="17">
        <f t="shared" si="14"/>
        <v>1090604.2776167516</v>
      </c>
      <c r="V20" s="6">
        <f t="shared" si="6"/>
        <v>246163.74345904496</v>
      </c>
      <c r="X20" s="568"/>
      <c r="Y20" s="568"/>
      <c r="Z20" s="286"/>
      <c r="AA20" s="93"/>
    </row>
    <row r="21" spans="1:33" x14ac:dyDescent="0.25">
      <c r="A21" s="75">
        <f t="shared" si="7"/>
        <v>6139.5658249718817</v>
      </c>
      <c r="B21" s="2">
        <f t="shared" si="15"/>
        <v>2043</v>
      </c>
      <c r="C21" s="260">
        <f>IF(OR($B21&lt;$Y$6,$B21&gt;'Project Data and Assumptions'!$C$8),0,$AC$35*(1+$AA$15)^($B21-2020))</f>
        <v>34512.317657857522</v>
      </c>
      <c r="D21" s="91">
        <f>IF(OR($B21&lt;$Y$6,$B21&gt;'Project Data and Assumptions'!$C$8),0,$AB$34*(1+$AA$15)^($B21-2020))</f>
        <v>2579.6495062907065</v>
      </c>
      <c r="E21" s="258">
        <f>IF(OR($B21&lt;$Y$6,$B21&gt;'Project Data and Assumptions'!$C$8),0,$AC$34*(1+$AA$15)^($B21-2020))</f>
        <v>20233.577420089692</v>
      </c>
      <c r="F21" s="260">
        <f>IF($B21&gt;'Project Data and Assumptions'!$C$8,0,$AC$30*(1+$AA$15)^($B21-2020))</f>
        <v>0</v>
      </c>
      <c r="G21" s="91">
        <f>IF($B21&gt;'Project Data and Assumptions'!$C$8,0,$AB$29*(1+$AA$15)^($B21-2020))</f>
        <v>0</v>
      </c>
      <c r="H21" s="258">
        <f>IF($B21&gt;'Project Data and Assumptions'!$C$8,0,$AC$29*(1+$AA$15)^($B21-2020))</f>
        <v>0</v>
      </c>
      <c r="I21" s="17">
        <f t="shared" si="0"/>
        <v>434855.20248900476</v>
      </c>
      <c r="J21" s="325">
        <f t="shared" si="8"/>
        <v>6166.3941798373053</v>
      </c>
      <c r="K21" s="90">
        <f t="shared" si="9"/>
        <v>388298.67092309159</v>
      </c>
      <c r="L21" s="90">
        <f t="shared" si="1"/>
        <v>254943.07549313011</v>
      </c>
      <c r="M21" s="90">
        <f t="shared" si="10"/>
        <v>27859.512722495736</v>
      </c>
      <c r="N21" s="92">
        <f t="shared" si="2"/>
        <v>293.50736152674398</v>
      </c>
      <c r="O21" s="17">
        <f t="shared" si="3"/>
        <v>0</v>
      </c>
      <c r="P21" s="90">
        <f t="shared" si="11"/>
        <v>0</v>
      </c>
      <c r="Q21" s="90">
        <f t="shared" si="12"/>
        <v>0</v>
      </c>
      <c r="R21" s="90">
        <f t="shared" si="4"/>
        <v>0</v>
      </c>
      <c r="S21" s="90">
        <f t="shared" si="13"/>
        <v>0</v>
      </c>
      <c r="T21" s="92">
        <f t="shared" si="5"/>
        <v>0</v>
      </c>
      <c r="U21" s="17">
        <f t="shared" si="14"/>
        <v>1112416.3631690864</v>
      </c>
      <c r="V21" s="6">
        <f t="shared" si="6"/>
        <v>234660.76479273438</v>
      </c>
      <c r="X21" s="28"/>
      <c r="Y21" s="28"/>
      <c r="Z21" s="570"/>
      <c r="AA21" s="570"/>
      <c r="AB21" s="570"/>
      <c r="AC21" s="570"/>
      <c r="AD21" s="547"/>
    </row>
    <row r="22" spans="1:33" x14ac:dyDescent="0.25">
      <c r="A22" s="75">
        <f t="shared" si="7"/>
        <v>6262.3571414713188</v>
      </c>
      <c r="B22" s="2">
        <f t="shared" si="15"/>
        <v>2044</v>
      </c>
      <c r="C22" s="260">
        <f>IF(OR($B22&lt;$Y$6,$B22&gt;'Project Data and Assumptions'!$C$8),0,$AC$35*(1+$AA$15)^($B22-2020))</f>
        <v>35202.564011014678</v>
      </c>
      <c r="D22" s="91">
        <f>IF(OR($B22&lt;$Y$6,$B22&gt;'Project Data and Assumptions'!$C$8),0,$AB$34*(1+$AA$15)^($B22-2020))</f>
        <v>2631.2424964165207</v>
      </c>
      <c r="E22" s="258">
        <f>IF(OR($B22&lt;$Y$6,$B22&gt;'Project Data and Assumptions'!$C$8),0,$AC$34*(1+$AA$15)^($B22-2020))</f>
        <v>20638.248968491484</v>
      </c>
      <c r="F22" s="260">
        <f>IF($B22&gt;'Project Data and Assumptions'!$C$8,0,$AC$30*(1+$AA$15)^($B22-2020))</f>
        <v>0</v>
      </c>
      <c r="G22" s="91">
        <f>IF($B22&gt;'Project Data and Assumptions'!$C$8,0,$AB$29*(1+$AA$15)^($B22-2020))</f>
        <v>0</v>
      </c>
      <c r="H22" s="258">
        <f>IF($B22&gt;'Project Data and Assumptions'!$C$8,0,$AC$29*(1+$AA$15)^($B22-2020))</f>
        <v>0</v>
      </c>
      <c r="I22" s="17">
        <f t="shared" si="0"/>
        <v>443552.30653878493</v>
      </c>
      <c r="J22" s="325">
        <f t="shared" si="8"/>
        <v>6289.7220634340511</v>
      </c>
      <c r="K22" s="90">
        <f t="shared" si="9"/>
        <v>396064.64434155344</v>
      </c>
      <c r="L22" s="90">
        <f t="shared" si="1"/>
        <v>260041.93700299266</v>
      </c>
      <c r="M22" s="90">
        <f t="shared" si="10"/>
        <v>28416.702976945653</v>
      </c>
      <c r="N22" s="92">
        <f t="shared" si="2"/>
        <v>299.37750875727886</v>
      </c>
      <c r="O22" s="17">
        <f t="shared" si="3"/>
        <v>0</v>
      </c>
      <c r="P22" s="90">
        <f t="shared" si="11"/>
        <v>0</v>
      </c>
      <c r="Q22" s="90">
        <f t="shared" si="12"/>
        <v>0</v>
      </c>
      <c r="R22" s="90">
        <f t="shared" si="4"/>
        <v>0</v>
      </c>
      <c r="S22" s="90">
        <f t="shared" si="13"/>
        <v>0</v>
      </c>
      <c r="T22" s="92">
        <f t="shared" si="5"/>
        <v>0</v>
      </c>
      <c r="U22" s="17">
        <f t="shared" si="14"/>
        <v>1134664.690432468</v>
      </c>
      <c r="V22" s="6">
        <f t="shared" si="6"/>
        <v>223695.30849400844</v>
      </c>
      <c r="X22" s="571" t="s">
        <v>640</v>
      </c>
      <c r="Y22" s="28"/>
      <c r="Z22" s="570"/>
      <c r="AA22" s="570"/>
      <c r="AB22" s="570"/>
      <c r="AC22" s="570"/>
      <c r="AD22" s="547"/>
    </row>
    <row r="23" spans="1:33" x14ac:dyDescent="0.25">
      <c r="A23" s="75">
        <f t="shared" si="7"/>
        <v>6387.6042843007453</v>
      </c>
      <c r="B23" s="2">
        <f t="shared" si="15"/>
        <v>2045</v>
      </c>
      <c r="C23" s="260">
        <f>IF(OR($B23&lt;$Y$6,$B23&gt;'Project Data and Assumptions'!$C$8),0,$AC$35*(1+$AA$15)^($B23-2020))</f>
        <v>35906.615291234972</v>
      </c>
      <c r="D23" s="91">
        <f>IF(OR($B23&lt;$Y$6,$B23&gt;'Project Data and Assumptions'!$C$8),0,$AB$34*(1+$AA$15)^($B23-2020))</f>
        <v>2683.8673463448513</v>
      </c>
      <c r="E23" s="258">
        <f>IF(OR($B23&lt;$Y$6,$B23&gt;'Project Data and Assumptions'!$C$8),0,$AC$34*(1+$AA$15)^($B23-2020))</f>
        <v>21051.013947861316</v>
      </c>
      <c r="F23" s="260">
        <f>IF($B23&gt;'Project Data and Assumptions'!$C$8,0,$AC$30*(1+$AA$15)^($B23-2020))</f>
        <v>0</v>
      </c>
      <c r="G23" s="91">
        <f>IF($B23&gt;'Project Data and Assumptions'!$C$8,0,$AB$29*(1+$AA$15)^($B23-2020))</f>
        <v>0</v>
      </c>
      <c r="H23" s="258">
        <f>IF($B23&gt;'Project Data and Assumptions'!$C$8,0,$AC$29*(1+$AA$15)^($B23-2020))</f>
        <v>0</v>
      </c>
      <c r="I23" s="17">
        <f t="shared" si="0"/>
        <v>452423.35266956064</v>
      </c>
      <c r="J23" s="325">
        <f t="shared" si="8"/>
        <v>6415.516504702734</v>
      </c>
      <c r="K23" s="90">
        <f t="shared" si="9"/>
        <v>403985.93722838449</v>
      </c>
      <c r="L23" s="90">
        <f t="shared" si="1"/>
        <v>265242.7757430526</v>
      </c>
      <c r="M23" s="90">
        <f t="shared" si="10"/>
        <v>28985.037036484566</v>
      </c>
      <c r="N23" s="92">
        <f t="shared" si="2"/>
        <v>305.36505893242446</v>
      </c>
      <c r="O23" s="17">
        <f t="shared" si="3"/>
        <v>0</v>
      </c>
      <c r="P23" s="90">
        <f t="shared" si="11"/>
        <v>0</v>
      </c>
      <c r="Q23" s="90">
        <f t="shared" si="12"/>
        <v>0</v>
      </c>
      <c r="R23" s="90">
        <f t="shared" si="4"/>
        <v>0</v>
      </c>
      <c r="S23" s="90">
        <f t="shared" si="13"/>
        <v>0</v>
      </c>
      <c r="T23" s="92">
        <f t="shared" si="5"/>
        <v>0</v>
      </c>
      <c r="U23" s="17">
        <f t="shared" si="14"/>
        <v>1157357.9842411175</v>
      </c>
      <c r="V23" s="6">
        <f t="shared" si="6"/>
        <v>213242.25669522301</v>
      </c>
      <c r="X23" s="547"/>
      <c r="Y23" s="547"/>
      <c r="Z23" s="288" t="s">
        <v>23</v>
      </c>
      <c r="AA23" s="288" t="s">
        <v>468</v>
      </c>
      <c r="AB23" s="288" t="s">
        <v>53</v>
      </c>
      <c r="AC23" s="288" t="s">
        <v>261</v>
      </c>
      <c r="AD23" s="288" t="s">
        <v>486</v>
      </c>
    </row>
    <row r="24" spans="1:33" x14ac:dyDescent="0.25">
      <c r="A24" s="75">
        <f t="shared" si="7"/>
        <v>6515.3563699867618</v>
      </c>
      <c r="B24" s="2">
        <f t="shared" si="15"/>
        <v>2046</v>
      </c>
      <c r="C24" s="260">
        <f>IF(OR($B24&lt;$Y$6,$B24&gt;'Project Data and Assumptions'!$C$8),0,$AC$35*(1+$AA$15)^($B24-2020))</f>
        <v>36624.747597059672</v>
      </c>
      <c r="D24" s="91">
        <f>IF(OR($B24&lt;$Y$6,$B24&gt;'Project Data and Assumptions'!$C$8),0,$AB$34*(1+$AA$15)^($B24-2020))</f>
        <v>2737.5446932717487</v>
      </c>
      <c r="E24" s="258">
        <f>IF(OR($B24&lt;$Y$6,$B24&gt;'Project Data and Assumptions'!$C$8),0,$AC$34*(1+$AA$15)^($B24-2020))</f>
        <v>21472.034226818545</v>
      </c>
      <c r="F24" s="260">
        <f>IF($B24&gt;'Project Data and Assumptions'!$C$8,0,$AC$30*(1+$AA$15)^($B24-2020))</f>
        <v>0</v>
      </c>
      <c r="G24" s="91">
        <f>IF($B24&gt;'Project Data and Assumptions'!$C$8,0,$AB$29*(1+$AA$15)^($B24-2020))</f>
        <v>0</v>
      </c>
      <c r="H24" s="258">
        <f>IF($B24&gt;'Project Data and Assumptions'!$C$8,0,$AC$29*(1+$AA$15)^($B24-2020))</f>
        <v>0</v>
      </c>
      <c r="I24" s="17">
        <f t="shared" si="0"/>
        <v>461471.81972295186</v>
      </c>
      <c r="J24" s="325">
        <f t="shared" si="8"/>
        <v>6543.8268347967887</v>
      </c>
      <c r="K24" s="90">
        <f t="shared" si="9"/>
        <v>412065.65597295226</v>
      </c>
      <c r="L24" s="90">
        <f t="shared" si="1"/>
        <v>270547.63125791366</v>
      </c>
      <c r="M24" s="90">
        <f t="shared" si="10"/>
        <v>29564.737777214264</v>
      </c>
      <c r="N24" s="92">
        <f t="shared" si="2"/>
        <v>311.47236011107299</v>
      </c>
      <c r="O24" s="17">
        <f t="shared" si="3"/>
        <v>0</v>
      </c>
      <c r="P24" s="90">
        <f t="shared" si="11"/>
        <v>0</v>
      </c>
      <c r="Q24" s="90">
        <f t="shared" si="12"/>
        <v>0</v>
      </c>
      <c r="R24" s="90">
        <f t="shared" si="4"/>
        <v>0</v>
      </c>
      <c r="S24" s="90">
        <f t="shared" si="13"/>
        <v>0</v>
      </c>
      <c r="T24" s="92">
        <f t="shared" si="5"/>
        <v>0</v>
      </c>
      <c r="U24" s="17">
        <f t="shared" si="14"/>
        <v>1180505.1439259399</v>
      </c>
      <c r="V24" s="6">
        <f t="shared" si="6"/>
        <v>203277.66526086684</v>
      </c>
      <c r="X24" s="709" t="s">
        <v>191</v>
      </c>
      <c r="Y24" s="709"/>
      <c r="Z24" s="327">
        <f>'Shingle Creek'!$B$6*'Shingle Creek'!$B$3</f>
        <v>121524</v>
      </c>
      <c r="AA24" s="327">
        <f>Z24*(SUM('Shingle Creek'!$B$27:$B$30)+'Shingle Creek'!$B$26*5/7)</f>
        <v>93635.283634285719</v>
      </c>
      <c r="AB24" s="327">
        <f>SUM($Z24:$Z25)*'Shingle Creek'!$C$11</f>
        <v>13741.56</v>
      </c>
      <c r="AC24" s="327">
        <f>Z24-AB24</f>
        <v>107782.44</v>
      </c>
      <c r="AD24" s="328">
        <f>AA24/Z24</f>
        <v>0.77050857142857143</v>
      </c>
    </row>
    <row r="25" spans="1:33" x14ac:dyDescent="0.25">
      <c r="A25" s="75">
        <f t="shared" si="7"/>
        <v>6645.6634973864948</v>
      </c>
      <c r="B25" s="2">
        <f t="shared" si="15"/>
        <v>2047</v>
      </c>
      <c r="C25" s="260">
        <f>IF(OR($B25&lt;$Y$6,$B25&gt;'Project Data and Assumptions'!$C$8),0,$AC$35*(1+$AA$15)^($B25-2020))</f>
        <v>37357.242549000861</v>
      </c>
      <c r="D25" s="91">
        <f>IF(OR($B25&lt;$Y$6,$B25&gt;'Project Data and Assumptions'!$C$8),0,$AB$34*(1+$AA$15)^($B25-2020))</f>
        <v>2792.2955871371828</v>
      </c>
      <c r="E25" s="258">
        <f>IF(OR($B25&lt;$Y$6,$B25&gt;'Project Data and Assumptions'!$C$8),0,$AC$34*(1+$AA$15)^($B25-2020))</f>
        <v>21901.474911354911</v>
      </c>
      <c r="F25" s="260">
        <f>IF($B25&gt;'Project Data and Assumptions'!$C$8,0,$AC$30*(1+$AA$15)^($B25-2020))</f>
        <v>0</v>
      </c>
      <c r="G25" s="91">
        <f>IF($B25&gt;'Project Data and Assumptions'!$C$8,0,$AB$29*(1+$AA$15)^($B25-2020))</f>
        <v>0</v>
      </c>
      <c r="H25" s="258">
        <f>IF($B25&gt;'Project Data and Assumptions'!$C$8,0,$AC$29*(1+$AA$15)^($B25-2020))</f>
        <v>0</v>
      </c>
      <c r="I25" s="17">
        <f t="shared" si="0"/>
        <v>470701.25611741084</v>
      </c>
      <c r="J25" s="325">
        <f t="shared" si="8"/>
        <v>6674.7033714927229</v>
      </c>
      <c r="K25" s="90">
        <f t="shared" si="9"/>
        <v>420306.96909241122</v>
      </c>
      <c r="L25" s="90">
        <f t="shared" si="1"/>
        <v>275958.5838830719</v>
      </c>
      <c r="M25" s="90">
        <f t="shared" si="10"/>
        <v>30156.032532758541</v>
      </c>
      <c r="N25" s="92">
        <f t="shared" si="2"/>
        <v>317.70180731329435</v>
      </c>
      <c r="O25" s="17">
        <f t="shared" si="3"/>
        <v>0</v>
      </c>
      <c r="P25" s="90">
        <f t="shared" si="11"/>
        <v>0</v>
      </c>
      <c r="Q25" s="90">
        <f t="shared" si="12"/>
        <v>0</v>
      </c>
      <c r="R25" s="90">
        <f t="shared" si="4"/>
        <v>0</v>
      </c>
      <c r="S25" s="90">
        <f t="shared" si="13"/>
        <v>0</v>
      </c>
      <c r="T25" s="92">
        <f t="shared" si="5"/>
        <v>0</v>
      </c>
      <c r="U25" s="17">
        <f t="shared" si="14"/>
        <v>1204115.2468044588</v>
      </c>
      <c r="V25" s="6">
        <f t="shared" si="6"/>
        <v>193778.70894026555</v>
      </c>
      <c r="X25" s="709" t="s">
        <v>190</v>
      </c>
      <c r="Y25" s="709"/>
      <c r="Z25" s="327">
        <f>'Shingle Creek'!$B$6*SUM('Shingle Creek'!C3:D3)</f>
        <v>183844.00000000003</v>
      </c>
      <c r="AA25" s="327">
        <f>Z25*(SUM('Shingle Creek'!$B$27:$B$30)+'Shingle Creek'!$B$26*5/7)</f>
        <v>141653.37780571432</v>
      </c>
      <c r="AB25" s="327">
        <v>0</v>
      </c>
      <c r="AC25" s="327">
        <f>Z25-AB25</f>
        <v>183844.00000000003</v>
      </c>
      <c r="AD25" s="328">
        <f>AA25/Z25</f>
        <v>0.77050857142857154</v>
      </c>
      <c r="AG25" s="112" t="s">
        <v>64</v>
      </c>
    </row>
    <row r="26" spans="1:33" x14ac:dyDescent="0.25">
      <c r="A26" s="75">
        <f t="shared" si="7"/>
        <v>6778.576767334227</v>
      </c>
      <c r="B26" s="361">
        <f t="shared" si="15"/>
        <v>2048</v>
      </c>
      <c r="C26" s="362">
        <f>IF(OR($B26&lt;$Y$6,$B26&gt;'Project Data and Assumptions'!$C$8),0,$AC$35*(1+$AA$15)^($B26-2020))</f>
        <v>38104.387399980886</v>
      </c>
      <c r="D26" s="363">
        <f>IF(OR($B26&lt;$Y$6,$B26&gt;'Project Data and Assumptions'!$C$8),0,$AB$34*(1+$AA$15)^($B26-2020))</f>
        <v>2848.1414988799274</v>
      </c>
      <c r="E26" s="364">
        <f>IF(OR($B26&lt;$Y$6,$B26&gt;'Project Data and Assumptions'!$C$8),0,$AC$34*(1+$AA$15)^($B26-2020))</f>
        <v>22339.504409582012</v>
      </c>
      <c r="F26" s="362">
        <f>IF($B26&gt;'Project Data and Assumptions'!$C$8,0,$AC$30*(1+$AA$15)^($B26-2020))</f>
        <v>0</v>
      </c>
      <c r="G26" s="363">
        <f>IF($B26&gt;'Project Data and Assumptions'!$C$8,0,$AB$29*(1+$AA$15)^($B26-2020))</f>
        <v>0</v>
      </c>
      <c r="H26" s="364">
        <f>IF($B26&gt;'Project Data and Assumptions'!$C$8,0,$AC$29*(1+$AA$15)^($B26-2020))</f>
        <v>0</v>
      </c>
      <c r="I26" s="120">
        <f t="shared" si="0"/>
        <v>480115.28123975918</v>
      </c>
      <c r="J26" s="326">
        <f t="shared" si="8"/>
        <v>6808.1974389225797</v>
      </c>
      <c r="K26" s="121">
        <f t="shared" si="9"/>
        <v>428713.1084742595</v>
      </c>
      <c r="L26" s="121">
        <f t="shared" si="1"/>
        <v>281477.75556073332</v>
      </c>
      <c r="M26" s="121">
        <f t="shared" si="10"/>
        <v>30759.153183413717</v>
      </c>
      <c r="N26" s="123">
        <f t="shared" si="2"/>
        <v>324.05584345956032</v>
      </c>
      <c r="O26" s="120">
        <f t="shared" si="3"/>
        <v>0</v>
      </c>
      <c r="P26" s="121">
        <f t="shared" si="11"/>
        <v>0</v>
      </c>
      <c r="Q26" s="121">
        <f t="shared" si="12"/>
        <v>0</v>
      </c>
      <c r="R26" s="121">
        <f t="shared" si="4"/>
        <v>0</v>
      </c>
      <c r="S26" s="121">
        <f t="shared" si="13"/>
        <v>0</v>
      </c>
      <c r="T26" s="123">
        <f t="shared" si="5"/>
        <v>0</v>
      </c>
      <c r="U26" s="120">
        <f t="shared" si="14"/>
        <v>1228197.5517405479</v>
      </c>
      <c r="V26" s="369">
        <f t="shared" si="6"/>
        <v>184723.62908324381</v>
      </c>
      <c r="X26" s="28"/>
      <c r="Y26" s="28"/>
      <c r="Z26" s="573"/>
      <c r="AA26" s="573"/>
      <c r="AB26" s="573"/>
      <c r="AC26" s="570"/>
      <c r="AD26" s="547"/>
      <c r="AG26" s="112" t="s">
        <v>65</v>
      </c>
    </row>
    <row r="27" spans="1:33" x14ac:dyDescent="0.25">
      <c r="A27" s="75">
        <f t="shared" si="7"/>
        <v>6914.1483026809092</v>
      </c>
      <c r="B27" s="2">
        <f t="shared" si="15"/>
        <v>2049</v>
      </c>
      <c r="C27" s="260">
        <f>IF(OR($B27&lt;$Y$6,$B27&gt;'Project Data and Assumptions'!$C$8),0,$AC$35*(1+$AA$15)^($B27-2020))</f>
        <v>38866.475147980498</v>
      </c>
      <c r="D27" s="91">
        <f>IF(OR($B27&lt;$Y$6,$B27&gt;'Project Data and Assumptions'!$C$8),0,$AB$34*(1+$AA$15)^($B27-2020))</f>
        <v>2905.1043288575252</v>
      </c>
      <c r="E27" s="258">
        <f>IF(OR($B27&lt;$Y$6,$B27&gt;'Project Data and Assumptions'!$C$8),0,$AC$34*(1+$AA$15)^($B27-2020))</f>
        <v>22786.294497773652</v>
      </c>
      <c r="F27" s="260">
        <f>IF($B27&gt;'Project Data and Assumptions'!$C$8,0,$AC$30*(1+$AA$15)^($B27-2020))</f>
        <v>0</v>
      </c>
      <c r="G27" s="91">
        <f>IF($B27&gt;'Project Data and Assumptions'!$C$8,0,$AB$29*(1+$AA$15)^($B27-2020))</f>
        <v>0</v>
      </c>
      <c r="H27" s="258">
        <f>IF($B27&gt;'Project Data and Assumptions'!$C$8,0,$AC$29*(1+$AA$15)^($B27-2020))</f>
        <v>0</v>
      </c>
      <c r="I27" s="17">
        <f t="shared" si="0"/>
        <v>489717.58686455427</v>
      </c>
      <c r="J27" s="325">
        <f t="shared" ref="J27:J29" si="16">(D27*$AA$40)*$AA$38*$AA$39</f>
        <v>6944.3613877010293</v>
      </c>
      <c r="K27" s="90">
        <f t="shared" ref="K27:K29" si="17">C27*$AA$43+SUM(D27:E27)*$AA$44</f>
        <v>437287.37064374459</v>
      </c>
      <c r="L27" s="90">
        <f t="shared" si="1"/>
        <v>287107.31067194801</v>
      </c>
      <c r="M27" s="90">
        <f t="shared" ref="M27:M29" si="18">SUM(D27:E27)*$AA$52</f>
        <v>31374.336247081988</v>
      </c>
      <c r="N27" s="92">
        <f t="shared" si="2"/>
        <v>330.53696032875143</v>
      </c>
      <c r="O27" s="17">
        <f t="shared" si="3"/>
        <v>0</v>
      </c>
      <c r="P27" s="90">
        <f t="shared" ref="P27:P29" si="19">(G27*$AA$40)*$AA$38*$AA$39</f>
        <v>0</v>
      </c>
      <c r="Q27" s="90">
        <f t="shared" ref="Q27:Q29" si="20">F27*$AA$43+SUM(G27:H27)*$AA$44</f>
        <v>0</v>
      </c>
      <c r="R27" s="90">
        <f t="shared" si="4"/>
        <v>0</v>
      </c>
      <c r="S27" s="90">
        <f t="shared" ref="S27:S29" si="21">SUM(G27:H27)*$AA$52</f>
        <v>0</v>
      </c>
      <c r="T27" s="92">
        <f t="shared" si="5"/>
        <v>0</v>
      </c>
      <c r="U27" s="17">
        <f t="shared" ref="U27:U29" si="22">SUM(I27:T27)</f>
        <v>1252761.5027753585</v>
      </c>
      <c r="V27" s="6">
        <f t="shared" si="6"/>
        <v>176091.68379898006</v>
      </c>
      <c r="X27" s="32" t="s">
        <v>641</v>
      </c>
      <c r="Y27" s="30"/>
      <c r="Z27" s="100"/>
      <c r="AA27" s="100"/>
      <c r="AB27" s="100"/>
      <c r="AC27" s="100"/>
    </row>
    <row r="28" spans="1:33" x14ac:dyDescent="0.25">
      <c r="A28" s="75">
        <f t="shared" si="7"/>
        <v>7052.4312687345291</v>
      </c>
      <c r="B28" s="2">
        <f t="shared" si="15"/>
        <v>2050</v>
      </c>
      <c r="C28" s="260">
        <f>IF(OR($B28&lt;$Y$6,$B28&gt;'Project Data and Assumptions'!$C$8),0,$AC$35*(1+$AA$15)^($B28-2020))</f>
        <v>39643.80465094011</v>
      </c>
      <c r="D28" s="91">
        <f>IF(OR($B28&lt;$Y$6,$B28&gt;'Project Data and Assumptions'!$C$8),0,$AB$34*(1+$AA$15)^($B28-2020))</f>
        <v>2963.2064154346763</v>
      </c>
      <c r="E28" s="258">
        <f>IF(OR($B28&lt;$Y$6,$B28&gt;'Project Data and Assumptions'!$C$8),0,$AC$34*(1+$AA$15)^($B28-2020))</f>
        <v>23242.020387729124</v>
      </c>
      <c r="F28" s="260">
        <f>IF($B28&gt;'Project Data and Assumptions'!$C$8,0,$AC$30*(1+$AA$15)^($B28-2020))</f>
        <v>0</v>
      </c>
      <c r="G28" s="91">
        <f>IF($B28&gt;'Project Data and Assumptions'!$C$8,0,$AB$29*(1+$AA$15)^($B28-2020))</f>
        <v>0</v>
      </c>
      <c r="H28" s="258">
        <f>IF($B28&gt;'Project Data and Assumptions'!$C$8,0,$AC$29*(1+$AA$15)^($B28-2020))</f>
        <v>0</v>
      </c>
      <c r="I28" s="17">
        <f t="shared" si="0"/>
        <v>499511.93860184541</v>
      </c>
      <c r="J28" s="325">
        <f t="shared" si="16"/>
        <v>7083.2486154550506</v>
      </c>
      <c r="K28" s="90">
        <f t="shared" si="17"/>
        <v>446033.11805661954</v>
      </c>
      <c r="L28" s="90">
        <f t="shared" si="1"/>
        <v>292849.45688538696</v>
      </c>
      <c r="M28" s="90">
        <f t="shared" si="18"/>
        <v>32001.82297202363</v>
      </c>
      <c r="N28" s="92">
        <f t="shared" si="2"/>
        <v>337.14769953532658</v>
      </c>
      <c r="O28" s="17">
        <f t="shared" si="3"/>
        <v>0</v>
      </c>
      <c r="P28" s="90">
        <f t="shared" si="19"/>
        <v>0</v>
      </c>
      <c r="Q28" s="90">
        <f t="shared" si="20"/>
        <v>0</v>
      </c>
      <c r="R28" s="90">
        <f t="shared" si="4"/>
        <v>0</v>
      </c>
      <c r="S28" s="90">
        <f t="shared" si="21"/>
        <v>0</v>
      </c>
      <c r="T28" s="92">
        <f t="shared" si="5"/>
        <v>0</v>
      </c>
      <c r="U28" s="17">
        <f t="shared" si="22"/>
        <v>1277816.732830866</v>
      </c>
      <c r="V28" s="6">
        <f t="shared" si="6"/>
        <v>167863.10044388758</v>
      </c>
      <c r="Z28" s="94" t="s">
        <v>23</v>
      </c>
      <c r="AA28" s="94" t="s">
        <v>468</v>
      </c>
      <c r="AB28" s="94" t="s">
        <v>53</v>
      </c>
      <c r="AC28" s="94" t="s">
        <v>261</v>
      </c>
      <c r="AD28" s="288" t="s">
        <v>486</v>
      </c>
    </row>
    <row r="29" spans="1:33" ht="15.75" thickBot="1" x14ac:dyDescent="0.3">
      <c r="A29" s="75">
        <f t="shared" si="7"/>
        <v>0</v>
      </c>
      <c r="B29" s="365">
        <f t="shared" si="15"/>
        <v>2051</v>
      </c>
      <c r="C29" s="366">
        <f>IF(OR($B29&lt;$Y$6,$B29&gt;'Project Data and Assumptions'!$C$8),0,$AC$35*(1+$AA$15)^($B29-2020))</f>
        <v>0</v>
      </c>
      <c r="D29" s="367">
        <f>IF(OR($B29&lt;$Y$6,$B29&gt;'Project Data and Assumptions'!$C$8),0,$AB$34*(1+$AA$15)^($B29-2020))</f>
        <v>0</v>
      </c>
      <c r="E29" s="368">
        <f>IF(OR($B29&lt;$Y$6,$B29&gt;'Project Data and Assumptions'!$C$8),0,$AC$34*(1+$AA$15)^($B29-2020))</f>
        <v>0</v>
      </c>
      <c r="F29" s="366">
        <f>IF($B29&gt;'Project Data and Assumptions'!$C$8,0,$AC$30*(1+$AA$15)^($B29-2020))</f>
        <v>0</v>
      </c>
      <c r="G29" s="367">
        <f>IF($B29&gt;'Project Data and Assumptions'!$C$8,0,$AB$29*(1+$AA$15)^($B29-2020))</f>
        <v>0</v>
      </c>
      <c r="H29" s="368">
        <f>IF($B29&gt;'Project Data and Assumptions'!$C$8,0,$AC$29*(1+$AA$15)^($B29-2020))</f>
        <v>0</v>
      </c>
      <c r="I29" s="357">
        <f t="shared" si="0"/>
        <v>0</v>
      </c>
      <c r="J29" s="358">
        <f t="shared" si="16"/>
        <v>0</v>
      </c>
      <c r="K29" s="359">
        <f t="shared" si="17"/>
        <v>0</v>
      </c>
      <c r="L29" s="359">
        <f t="shared" si="1"/>
        <v>0</v>
      </c>
      <c r="M29" s="359">
        <f t="shared" si="18"/>
        <v>0</v>
      </c>
      <c r="N29" s="360">
        <f t="shared" si="2"/>
        <v>0</v>
      </c>
      <c r="O29" s="357">
        <f t="shared" si="3"/>
        <v>0</v>
      </c>
      <c r="P29" s="359">
        <f t="shared" si="19"/>
        <v>0</v>
      </c>
      <c r="Q29" s="359">
        <f t="shared" si="20"/>
        <v>0</v>
      </c>
      <c r="R29" s="359">
        <f t="shared" si="4"/>
        <v>0</v>
      </c>
      <c r="S29" s="359">
        <f t="shared" si="21"/>
        <v>0</v>
      </c>
      <c r="T29" s="360">
        <f t="shared" si="5"/>
        <v>0</v>
      </c>
      <c r="U29" s="143">
        <f t="shared" si="22"/>
        <v>0</v>
      </c>
      <c r="V29" s="144">
        <f t="shared" si="6"/>
        <v>0</v>
      </c>
      <c r="X29" s="698" t="s">
        <v>191</v>
      </c>
      <c r="Y29" s="698"/>
      <c r="Z29" s="327">
        <f>$Y$8/$Y$7*Z24</f>
        <v>0</v>
      </c>
      <c r="AA29" s="289">
        <f>Z29*(SUM('Shingle Creek'!$B$27:$B$30)+'Shingle Creek'!$B$26*5/7)</f>
        <v>0</v>
      </c>
      <c r="AB29" s="289">
        <f>SUM($Z29:$Z30)*'Shingle Creek'!$C$11</f>
        <v>0</v>
      </c>
      <c r="AC29" s="327">
        <f>Z29-AB29</f>
        <v>0</v>
      </c>
      <c r="AD29" s="328">
        <f>IFERROR(AA29/Z29,0)</f>
        <v>0</v>
      </c>
    </row>
    <row r="30" spans="1:33" ht="15.75" thickBot="1" x14ac:dyDescent="0.3">
      <c r="A30" s="75"/>
      <c r="B30" s="4"/>
      <c r="D30" s="4"/>
      <c r="G30" s="4"/>
      <c r="H30" s="97" t="s">
        <v>2</v>
      </c>
      <c r="I30" s="140">
        <f t="shared" ref="I30:V30" si="23">SUM(I7:I29)</f>
        <v>8996814.0047591068</v>
      </c>
      <c r="J30" s="141">
        <f t="shared" si="23"/>
        <v>127577.87235494342</v>
      </c>
      <c r="K30" s="141">
        <f t="shared" si="23"/>
        <v>8033595.7822156884</v>
      </c>
      <c r="L30" s="141">
        <f t="shared" si="23"/>
        <v>5274572.8207562296</v>
      </c>
      <c r="M30" s="141">
        <f t="shared" si="23"/>
        <v>576391.52709424403</v>
      </c>
      <c r="N30" s="142">
        <f t="shared" si="23"/>
        <v>6072.4377346053998</v>
      </c>
      <c r="O30" s="140">
        <f t="shared" si="23"/>
        <v>0</v>
      </c>
      <c r="P30" s="141">
        <f t="shared" si="23"/>
        <v>0</v>
      </c>
      <c r="Q30" s="141">
        <f t="shared" si="23"/>
        <v>0</v>
      </c>
      <c r="R30" s="141">
        <f t="shared" si="23"/>
        <v>0</v>
      </c>
      <c r="S30" s="141">
        <f t="shared" si="23"/>
        <v>0</v>
      </c>
      <c r="T30" s="142">
        <f t="shared" si="23"/>
        <v>0</v>
      </c>
      <c r="U30" s="143">
        <f t="shared" si="23"/>
        <v>23015024.444914825</v>
      </c>
      <c r="V30" s="144">
        <f t="shared" si="23"/>
        <v>6389111.0819053072</v>
      </c>
      <c r="X30" s="698" t="s">
        <v>190</v>
      </c>
      <c r="Y30" s="698"/>
      <c r="Z30" s="327">
        <f>$Y$8/$Y$7*Z25</f>
        <v>0</v>
      </c>
      <c r="AA30" s="289">
        <f>Z30*(SUM('Shingle Creek'!$B$27:$B$30)+'Shingle Creek'!$B$26*5/7)</f>
        <v>0</v>
      </c>
      <c r="AB30" s="289">
        <f>SUM($Z29:$Z30)*'Shingle Creek'!$C$11</f>
        <v>0</v>
      </c>
      <c r="AC30" s="327">
        <f>Z30-AB30</f>
        <v>0</v>
      </c>
      <c r="AD30" s="328">
        <f>IFERROR(AA30/Z30,0)</f>
        <v>0</v>
      </c>
    </row>
    <row r="31" spans="1:33" ht="15" customHeight="1" x14ac:dyDescent="0.25">
      <c r="A31" s="75"/>
      <c r="B31" s="4"/>
      <c r="D31" s="4"/>
      <c r="F31" s="97"/>
      <c r="G31" s="4"/>
      <c r="H31" s="4"/>
      <c r="I31" s="98"/>
      <c r="J31" s="98"/>
      <c r="K31" s="98"/>
      <c r="L31" s="98"/>
      <c r="M31" s="98"/>
      <c r="N31" s="98"/>
      <c r="O31" s="98"/>
      <c r="P31" s="98"/>
      <c r="Q31" s="98"/>
      <c r="R31" s="98"/>
      <c r="S31" s="98"/>
      <c r="T31" s="98"/>
      <c r="U31" s="98"/>
      <c r="V31" s="98"/>
      <c r="X31" s="30"/>
      <c r="Y31" s="30"/>
      <c r="Z31" s="114"/>
      <c r="AA31" s="114"/>
      <c r="AB31" s="114"/>
      <c r="AC31" s="100"/>
    </row>
    <row r="32" spans="1:33" ht="15" customHeight="1" x14ac:dyDescent="0.25">
      <c r="D32" s="99"/>
      <c r="U32" s="30"/>
      <c r="X32" s="32" t="s">
        <v>642</v>
      </c>
      <c r="Y32" s="30"/>
      <c r="Z32" s="100"/>
      <c r="AA32" s="100"/>
      <c r="AB32" s="100"/>
      <c r="AC32" s="100"/>
    </row>
    <row r="33" spans="1:33" ht="15" customHeight="1" x14ac:dyDescent="0.25">
      <c r="D33" s="99"/>
      <c r="U33" s="30"/>
      <c r="Z33" s="94" t="s">
        <v>23</v>
      </c>
      <c r="AA33" s="94" t="s">
        <v>468</v>
      </c>
      <c r="AB33" s="94" t="s">
        <v>53</v>
      </c>
      <c r="AC33" s="94" t="s">
        <v>261</v>
      </c>
      <c r="AD33" s="288" t="s">
        <v>486</v>
      </c>
    </row>
    <row r="34" spans="1:33" ht="17.25" customHeight="1" x14ac:dyDescent="0.25">
      <c r="B34" s="175" t="s">
        <v>3</v>
      </c>
      <c r="H34" s="175"/>
      <c r="U34" s="30"/>
      <c r="X34" s="698" t="s">
        <v>191</v>
      </c>
      <c r="Y34" s="698"/>
      <c r="Z34" s="95">
        <f>$Y$9/$Y$7*Z24</f>
        <v>14467.142857142857</v>
      </c>
      <c r="AA34" s="289">
        <f>Z34*(SUM('Shingle Creek'!$B$27:$B$30)+'Shingle Creek'!$B$26*5/7)</f>
        <v>11147.057575510204</v>
      </c>
      <c r="AB34" s="289">
        <f>SUM($Z34:$Z35)*'Shingle Creek'!$C$11</f>
        <v>1635.9</v>
      </c>
      <c r="AC34" s="95">
        <f>Z34-AB34</f>
        <v>12831.242857142857</v>
      </c>
      <c r="AD34" s="254">
        <f>AA34/Z34</f>
        <v>0.77050857142857143</v>
      </c>
    </row>
    <row r="35" spans="1:33" x14ac:dyDescent="0.25">
      <c r="A35" s="582" t="s">
        <v>18</v>
      </c>
      <c r="B35" s="565" t="s">
        <v>687</v>
      </c>
      <c r="C35" s="581"/>
      <c r="D35" s="581"/>
      <c r="E35" s="31"/>
      <c r="F35" s="31"/>
      <c r="G35" s="31"/>
      <c r="H35" s="31"/>
      <c r="I35" s="31"/>
      <c r="J35" s="31"/>
      <c r="K35" s="31"/>
      <c r="L35" s="31"/>
      <c r="M35" s="31"/>
      <c r="N35" s="31"/>
      <c r="O35" s="31"/>
      <c r="P35" s="31"/>
      <c r="Q35" s="31"/>
      <c r="R35" s="31"/>
      <c r="S35" s="31"/>
      <c r="T35" s="62"/>
      <c r="U35" s="31"/>
      <c r="V35" s="31"/>
      <c r="X35" s="698" t="s">
        <v>190</v>
      </c>
      <c r="Y35" s="698"/>
      <c r="Z35" s="95">
        <f>$Y$9/$Y$7*Z25</f>
        <v>21886.190476190477</v>
      </c>
      <c r="AA35" s="289">
        <f>Z35*(SUM('Shingle Creek'!$B$27:$B$30)+'Shingle Creek'!$B$26*5/7)</f>
        <v>16863.497357823129</v>
      </c>
      <c r="AB35" s="329">
        <v>0</v>
      </c>
      <c r="AC35" s="95">
        <f>Z35-AB35</f>
        <v>21886.190476190477</v>
      </c>
      <c r="AD35" s="254">
        <f>AA35/Z35</f>
        <v>0.77050857142857143</v>
      </c>
    </row>
    <row r="36" spans="1:33" ht="17.25" customHeight="1" x14ac:dyDescent="0.25">
      <c r="A36" s="582"/>
      <c r="B36" s="565"/>
      <c r="C36" s="581"/>
      <c r="D36" s="581"/>
      <c r="E36" s="31"/>
      <c r="F36" s="31"/>
      <c r="G36" s="31"/>
      <c r="H36" s="31"/>
      <c r="I36" s="31"/>
      <c r="J36" s="59"/>
      <c r="K36" s="59"/>
      <c r="L36" s="31"/>
      <c r="M36" s="31"/>
      <c r="N36" s="31"/>
      <c r="O36" s="31"/>
      <c r="P36" s="59"/>
      <c r="Q36" s="59"/>
      <c r="R36" s="31"/>
      <c r="S36" s="31"/>
      <c r="T36" s="62"/>
      <c r="U36" s="31"/>
      <c r="V36" s="31"/>
      <c r="X36" s="30"/>
      <c r="Y36" s="30"/>
      <c r="Z36" s="100"/>
      <c r="AA36" s="100"/>
      <c r="AB36" s="100"/>
      <c r="AC36" s="100"/>
    </row>
    <row r="37" spans="1:33" ht="15" customHeight="1" x14ac:dyDescent="0.25">
      <c r="A37" s="582" t="s">
        <v>17</v>
      </c>
      <c r="B37" s="565" t="s">
        <v>645</v>
      </c>
      <c r="C37" s="581"/>
      <c r="D37" s="581"/>
      <c r="E37" s="31"/>
      <c r="F37" s="31"/>
      <c r="G37" s="31"/>
      <c r="H37" s="31"/>
      <c r="I37" s="31"/>
      <c r="J37" s="31"/>
      <c r="K37" s="31"/>
      <c r="L37" s="31"/>
      <c r="M37" s="31"/>
      <c r="N37" s="31"/>
      <c r="O37" s="31"/>
      <c r="P37" s="31"/>
      <c r="Q37" s="31"/>
      <c r="R37" s="31"/>
      <c r="S37" s="31"/>
      <c r="T37" s="62"/>
      <c r="U37" s="31"/>
      <c r="V37" s="31"/>
      <c r="X37" s="175" t="s">
        <v>643</v>
      </c>
      <c r="Z37" s="100"/>
      <c r="AA37" s="100"/>
      <c r="AB37" s="100"/>
      <c r="AC37" s="100"/>
    </row>
    <row r="38" spans="1:33" ht="17.25" customHeight="1" x14ac:dyDescent="0.25">
      <c r="A38" s="582"/>
      <c r="B38" s="565"/>
      <c r="C38" s="581"/>
      <c r="D38" s="581"/>
      <c r="E38" s="31"/>
      <c r="F38" s="31"/>
      <c r="G38" s="31"/>
      <c r="H38" s="31"/>
      <c r="I38" s="31"/>
      <c r="J38" s="31"/>
      <c r="K38" s="31"/>
      <c r="L38" s="31"/>
      <c r="M38" s="31"/>
      <c r="N38" s="31"/>
      <c r="O38" s="31"/>
      <c r="P38" s="31"/>
      <c r="Q38" s="31"/>
      <c r="R38" s="31"/>
      <c r="S38" s="31"/>
      <c r="T38" s="62"/>
      <c r="U38" s="31"/>
      <c r="V38" s="31"/>
      <c r="X38" s="698" t="s">
        <v>669</v>
      </c>
      <c r="Y38" s="698"/>
      <c r="Z38" s="698"/>
      <c r="AA38" s="101">
        <v>21.6</v>
      </c>
    </row>
    <row r="39" spans="1:33" ht="15" customHeight="1" x14ac:dyDescent="0.25">
      <c r="A39" s="582" t="s">
        <v>19</v>
      </c>
      <c r="B39" s="787" t="s">
        <v>688</v>
      </c>
      <c r="C39" s="787"/>
      <c r="D39" s="787"/>
      <c r="E39" s="787"/>
      <c r="F39" s="787"/>
      <c r="G39" s="787"/>
      <c r="H39" s="787"/>
      <c r="I39" s="787"/>
      <c r="J39" s="787"/>
      <c r="K39" s="787"/>
      <c r="L39" s="787"/>
      <c r="M39" s="787"/>
      <c r="N39" s="787"/>
      <c r="O39" s="787"/>
      <c r="P39" s="787"/>
      <c r="Q39" s="787"/>
      <c r="R39" s="787"/>
      <c r="S39" s="787"/>
      <c r="T39" s="579"/>
      <c r="U39" s="253"/>
      <c r="V39" s="253"/>
      <c r="X39" s="700" t="s">
        <v>670</v>
      </c>
      <c r="Y39" s="700"/>
      <c r="Z39" s="700"/>
      <c r="AA39" s="134">
        <f>16.6/60</f>
        <v>0.27666666666666667</v>
      </c>
      <c r="AB39" s="155"/>
    </row>
    <row r="40" spans="1:33" ht="15" customHeight="1" x14ac:dyDescent="0.25">
      <c r="A40" s="582"/>
      <c r="B40" s="787"/>
      <c r="C40" s="787"/>
      <c r="D40" s="787"/>
      <c r="E40" s="787"/>
      <c r="F40" s="787"/>
      <c r="G40" s="787"/>
      <c r="H40" s="787"/>
      <c r="I40" s="787"/>
      <c r="J40" s="787"/>
      <c r="K40" s="787"/>
      <c r="L40" s="787"/>
      <c r="M40" s="787"/>
      <c r="N40" s="787"/>
      <c r="O40" s="787"/>
      <c r="P40" s="787"/>
      <c r="Q40" s="787"/>
      <c r="R40" s="787"/>
      <c r="S40" s="787"/>
      <c r="T40" s="14"/>
      <c r="X40" s="695" t="s">
        <v>671</v>
      </c>
      <c r="Y40" s="695"/>
      <c r="Z40" s="695"/>
      <c r="AA40" s="116">
        <v>0.4</v>
      </c>
    </row>
    <row r="41" spans="1:33" ht="17.25" customHeight="1" x14ac:dyDescent="0.25">
      <c r="A41" s="582"/>
      <c r="B41" s="623"/>
      <c r="C41" s="623"/>
      <c r="D41" s="623"/>
      <c r="E41" s="623"/>
      <c r="F41" s="623"/>
      <c r="G41" s="623"/>
      <c r="H41" s="623"/>
      <c r="I41" s="623"/>
      <c r="J41" s="623"/>
      <c r="K41" s="623"/>
      <c r="L41" s="623"/>
      <c r="M41" s="623"/>
      <c r="N41" s="623"/>
      <c r="O41" s="623"/>
      <c r="P41" s="623"/>
      <c r="Q41" s="623"/>
      <c r="R41" s="623"/>
      <c r="S41" s="623"/>
      <c r="T41" s="623"/>
      <c r="U41" s="253"/>
      <c r="V41" s="253"/>
      <c r="AG41" s="117" t="s">
        <v>66</v>
      </c>
    </row>
    <row r="42" spans="1:33" ht="17.25" customHeight="1" x14ac:dyDescent="0.25">
      <c r="A42" s="627" t="s">
        <v>20</v>
      </c>
      <c r="B42" s="788" t="s">
        <v>660</v>
      </c>
      <c r="C42" s="788"/>
      <c r="D42" s="788"/>
      <c r="E42" s="788"/>
      <c r="F42" s="788"/>
      <c r="G42" s="788"/>
      <c r="H42" s="788"/>
      <c r="I42" s="788"/>
      <c r="J42" s="788"/>
      <c r="K42" s="788"/>
      <c r="L42" s="788"/>
      <c r="M42" s="788"/>
      <c r="N42" s="788"/>
      <c r="O42" s="788"/>
      <c r="P42" s="788"/>
      <c r="Q42" s="788"/>
      <c r="R42" s="788"/>
      <c r="S42" s="788"/>
      <c r="T42" s="14"/>
      <c r="W42" s="31"/>
      <c r="X42" s="525" t="s">
        <v>672</v>
      </c>
      <c r="AG42" s="117" t="s">
        <v>66</v>
      </c>
    </row>
    <row r="43" spans="1:33" ht="15" customHeight="1" x14ac:dyDescent="0.25">
      <c r="A43" s="627"/>
      <c r="B43" s="788"/>
      <c r="C43" s="788"/>
      <c r="D43" s="788"/>
      <c r="E43" s="788"/>
      <c r="F43" s="788"/>
      <c r="G43" s="788"/>
      <c r="H43" s="788"/>
      <c r="I43" s="788"/>
      <c r="J43" s="788"/>
      <c r="K43" s="788"/>
      <c r="L43" s="788"/>
      <c r="M43" s="788"/>
      <c r="N43" s="788"/>
      <c r="O43" s="788"/>
      <c r="P43" s="788"/>
      <c r="Q43" s="788"/>
      <c r="R43" s="788"/>
      <c r="S43" s="788"/>
      <c r="T43" s="62"/>
      <c r="U43" s="549"/>
      <c r="V43" s="549"/>
      <c r="W43" s="31"/>
      <c r="X43" s="262" t="s">
        <v>164</v>
      </c>
      <c r="Y43" s="263"/>
      <c r="Z43" s="263"/>
      <c r="AA43" s="185">
        <v>7.08</v>
      </c>
      <c r="AG43" s="127" t="s">
        <v>55</v>
      </c>
    </row>
    <row r="44" spans="1:33" ht="15" customHeight="1" x14ac:dyDescent="0.25">
      <c r="A44" s="627"/>
      <c r="B44" s="788"/>
      <c r="C44" s="788"/>
      <c r="D44" s="788"/>
      <c r="E44" s="788"/>
      <c r="F44" s="788"/>
      <c r="G44" s="788"/>
      <c r="H44" s="788"/>
      <c r="I44" s="788"/>
      <c r="J44" s="788"/>
      <c r="K44" s="788"/>
      <c r="L44" s="788"/>
      <c r="M44" s="788"/>
      <c r="N44" s="788"/>
      <c r="O44" s="788"/>
      <c r="P44" s="788"/>
      <c r="Q44" s="788"/>
      <c r="R44" s="788"/>
      <c r="S44" s="788"/>
      <c r="T44" s="62"/>
      <c r="U44" s="31"/>
      <c r="V44" s="31"/>
      <c r="W44" s="31"/>
      <c r="X44" s="264" t="s">
        <v>165</v>
      </c>
      <c r="Y44" s="264"/>
      <c r="Z44" s="264"/>
      <c r="AA44" s="186">
        <v>6.31</v>
      </c>
      <c r="AC44" s="115"/>
      <c r="AG44" s="117" t="s">
        <v>67</v>
      </c>
    </row>
    <row r="45" spans="1:33" ht="17.25" customHeight="1" x14ac:dyDescent="0.25">
      <c r="A45" s="627"/>
      <c r="B45" s="625"/>
      <c r="C45" s="625"/>
      <c r="D45" s="625"/>
      <c r="E45" s="625"/>
      <c r="F45" s="625"/>
      <c r="G45" s="625"/>
      <c r="H45" s="625"/>
      <c r="I45" s="625"/>
      <c r="J45" s="625"/>
      <c r="K45" s="625"/>
      <c r="L45" s="625"/>
      <c r="M45" s="625"/>
      <c r="N45" s="625"/>
      <c r="O45" s="625"/>
      <c r="P45" s="625"/>
      <c r="Q45" s="625"/>
      <c r="R45" s="625"/>
      <c r="S45" s="625"/>
      <c r="T45" s="62"/>
      <c r="U45" s="31"/>
      <c r="V45" s="31"/>
      <c r="W45" s="31"/>
      <c r="AG45" s="117" t="s">
        <v>68</v>
      </c>
    </row>
    <row r="46" spans="1:33" ht="15" customHeight="1" x14ac:dyDescent="0.25">
      <c r="A46" s="627" t="s">
        <v>57</v>
      </c>
      <c r="B46" s="699" t="s">
        <v>689</v>
      </c>
      <c r="C46" s="699"/>
      <c r="D46" s="699"/>
      <c r="E46" s="699"/>
      <c r="F46" s="699"/>
      <c r="G46" s="699"/>
      <c r="H46" s="699"/>
      <c r="I46" s="699"/>
      <c r="J46" s="699"/>
      <c r="K46" s="699"/>
      <c r="L46" s="699"/>
      <c r="M46" s="699"/>
      <c r="N46" s="699"/>
      <c r="O46" s="699"/>
      <c r="P46" s="699"/>
      <c r="Q46" s="699"/>
      <c r="R46" s="699"/>
      <c r="S46" s="699"/>
      <c r="T46" s="62"/>
      <c r="U46" s="31"/>
      <c r="V46" s="31"/>
      <c r="W46" s="31"/>
      <c r="X46" s="525" t="s">
        <v>673</v>
      </c>
      <c r="AG46" s="286"/>
    </row>
    <row r="47" spans="1:33" ht="15" customHeight="1" x14ac:dyDescent="0.25">
      <c r="A47" s="627"/>
      <c r="B47" s="699"/>
      <c r="C47" s="699"/>
      <c r="D47" s="699"/>
      <c r="E47" s="699"/>
      <c r="F47" s="699"/>
      <c r="G47" s="699"/>
      <c r="H47" s="699"/>
      <c r="I47" s="699"/>
      <c r="J47" s="699"/>
      <c r="K47" s="699"/>
      <c r="L47" s="699"/>
      <c r="M47" s="699"/>
      <c r="N47" s="699"/>
      <c r="O47" s="699"/>
      <c r="P47" s="699"/>
      <c r="Q47" s="699"/>
      <c r="R47" s="699"/>
      <c r="S47" s="699"/>
      <c r="T47" s="62"/>
      <c r="U47" s="31"/>
      <c r="V47" s="31"/>
      <c r="W47" s="31"/>
      <c r="X47" s="695" t="s">
        <v>492</v>
      </c>
      <c r="Y47" s="695"/>
      <c r="Z47" s="695"/>
      <c r="AA47" s="102">
        <v>10</v>
      </c>
      <c r="AG47" s="286"/>
    </row>
    <row r="48" spans="1:33" ht="16.5" customHeight="1" x14ac:dyDescent="0.25">
      <c r="A48" s="628"/>
      <c r="B48" s="565"/>
      <c r="C48" s="624"/>
      <c r="D48" s="624"/>
      <c r="E48" s="629"/>
      <c r="F48" s="629"/>
      <c r="G48" s="629"/>
      <c r="H48" s="629"/>
      <c r="I48" s="629"/>
      <c r="J48" s="629"/>
      <c r="K48" s="629"/>
      <c r="L48" s="629"/>
      <c r="M48" s="629"/>
      <c r="N48" s="629"/>
      <c r="O48" s="31"/>
      <c r="P48" s="31"/>
      <c r="Q48" s="31"/>
      <c r="R48" s="31"/>
      <c r="S48" s="31"/>
      <c r="T48" s="62"/>
      <c r="U48" s="31"/>
      <c r="V48" s="31"/>
      <c r="W48" s="31"/>
      <c r="X48" s="695" t="s">
        <v>58</v>
      </c>
      <c r="Y48" s="695"/>
      <c r="Z48" s="695"/>
      <c r="AA48" s="104">
        <f>365-90</f>
        <v>275</v>
      </c>
      <c r="AG48" s="117" t="s">
        <v>69</v>
      </c>
    </row>
    <row r="49" spans="1:39" x14ac:dyDescent="0.25">
      <c r="A49" s="627" t="s">
        <v>681</v>
      </c>
      <c r="B49" s="699" t="s">
        <v>679</v>
      </c>
      <c r="C49" s="699"/>
      <c r="D49" s="699"/>
      <c r="E49" s="699"/>
      <c r="F49" s="699"/>
      <c r="G49" s="699"/>
      <c r="H49" s="699"/>
      <c r="I49" s="699"/>
      <c r="J49" s="699"/>
      <c r="K49" s="699"/>
      <c r="L49" s="699"/>
      <c r="M49" s="699"/>
      <c r="N49" s="699"/>
      <c r="O49" s="699"/>
      <c r="P49" s="699"/>
      <c r="Q49" s="699"/>
      <c r="R49" s="699"/>
      <c r="S49" s="699"/>
      <c r="T49" s="14"/>
      <c r="W49" s="31"/>
      <c r="X49" s="240"/>
      <c r="Y49" s="240"/>
      <c r="Z49" s="240"/>
      <c r="AA49" s="241"/>
    </row>
    <row r="50" spans="1:39" ht="15" customHeight="1" x14ac:dyDescent="0.25">
      <c r="A50" s="627"/>
      <c r="B50" s="699"/>
      <c r="C50" s="699"/>
      <c r="D50" s="699"/>
      <c r="E50" s="699"/>
      <c r="F50" s="699"/>
      <c r="G50" s="699"/>
      <c r="H50" s="699"/>
      <c r="I50" s="699"/>
      <c r="J50" s="699"/>
      <c r="K50" s="699"/>
      <c r="L50" s="699"/>
      <c r="M50" s="699"/>
      <c r="N50" s="699"/>
      <c r="O50" s="699"/>
      <c r="P50" s="699"/>
      <c r="Q50" s="699"/>
      <c r="R50" s="699"/>
      <c r="S50" s="699"/>
      <c r="T50" s="14"/>
      <c r="U50" s="14"/>
      <c r="V50" s="14"/>
      <c r="W50" s="31"/>
      <c r="X50" s="27" t="s">
        <v>674</v>
      </c>
      <c r="Y50" s="547"/>
      <c r="Z50" s="547"/>
    </row>
    <row r="51" spans="1:39" ht="18" customHeight="1" x14ac:dyDescent="0.25">
      <c r="A51" s="627"/>
      <c r="B51" s="699"/>
      <c r="C51" s="699"/>
      <c r="D51" s="699"/>
      <c r="E51" s="699"/>
      <c r="F51" s="699"/>
      <c r="G51" s="699"/>
      <c r="H51" s="699"/>
      <c r="I51" s="699"/>
      <c r="J51" s="699"/>
      <c r="K51" s="699"/>
      <c r="L51" s="699"/>
      <c r="M51" s="699"/>
      <c r="N51" s="699"/>
      <c r="O51" s="699"/>
      <c r="P51" s="699"/>
      <c r="Q51" s="699"/>
      <c r="R51" s="699"/>
      <c r="S51" s="699"/>
      <c r="W51" s="31"/>
      <c r="X51" s="700" t="s">
        <v>158</v>
      </c>
      <c r="Y51" s="700"/>
      <c r="Z51" s="700"/>
      <c r="AA51" s="176">
        <v>1.42</v>
      </c>
      <c r="AG51" s="117" t="s">
        <v>70</v>
      </c>
    </row>
    <row r="52" spans="1:39" x14ac:dyDescent="0.25">
      <c r="A52" s="628"/>
      <c r="B52" s="699"/>
      <c r="C52" s="699"/>
      <c r="D52" s="699"/>
      <c r="E52" s="699"/>
      <c r="F52" s="699"/>
      <c r="G52" s="699"/>
      <c r="H52" s="699"/>
      <c r="I52" s="699"/>
      <c r="J52" s="699"/>
      <c r="K52" s="699"/>
      <c r="L52" s="699"/>
      <c r="M52" s="699"/>
      <c r="N52" s="699"/>
      <c r="O52" s="699"/>
      <c r="P52" s="699"/>
      <c r="Q52" s="699"/>
      <c r="R52" s="699"/>
      <c r="S52" s="699"/>
      <c r="T52" s="31"/>
      <c r="U52" s="31"/>
      <c r="V52" s="31"/>
      <c r="W52" s="31"/>
      <c r="X52" s="283" t="s">
        <v>494</v>
      </c>
      <c r="Y52" s="283"/>
      <c r="Z52" s="283"/>
      <c r="AA52" s="176">
        <f>$AA$51*$AC$19</f>
        <v>1.2211999999999998</v>
      </c>
      <c r="AG52" s="112" t="s">
        <v>71</v>
      </c>
    </row>
    <row r="53" spans="1:39" x14ac:dyDescent="0.25">
      <c r="A53" s="628"/>
      <c r="B53" s="565"/>
      <c r="C53" s="624"/>
      <c r="D53" s="624"/>
      <c r="E53" s="629"/>
      <c r="F53" s="629"/>
      <c r="G53" s="629"/>
      <c r="H53" s="31"/>
      <c r="I53" s="31"/>
      <c r="J53" s="31"/>
      <c r="K53" s="31"/>
      <c r="L53" s="31"/>
      <c r="M53" s="31"/>
      <c r="N53" s="31"/>
      <c r="O53" s="31"/>
      <c r="P53" s="31"/>
      <c r="Q53" s="31"/>
      <c r="R53" s="31"/>
      <c r="S53" s="31"/>
      <c r="T53" s="31"/>
      <c r="U53" s="31"/>
      <c r="V53" s="31"/>
      <c r="W53" s="31"/>
      <c r="X53" s="283" t="s">
        <v>493</v>
      </c>
      <c r="Y53" s="283"/>
      <c r="Z53" s="283"/>
      <c r="AA53" s="176">
        <f>$AA$51*$AC$18</f>
        <v>0</v>
      </c>
    </row>
    <row r="54" spans="1:39" x14ac:dyDescent="0.25">
      <c r="A54" s="628" t="s">
        <v>690</v>
      </c>
      <c r="B54" s="699" t="s">
        <v>680</v>
      </c>
      <c r="C54" s="699"/>
      <c r="D54" s="699"/>
      <c r="E54" s="699"/>
      <c r="F54" s="699"/>
      <c r="G54" s="699"/>
      <c r="H54" s="699"/>
      <c r="I54" s="699"/>
      <c r="J54" s="699"/>
      <c r="K54" s="699"/>
      <c r="L54" s="699"/>
      <c r="M54" s="699"/>
      <c r="N54" s="699"/>
      <c r="O54" s="699"/>
      <c r="P54" s="699"/>
      <c r="Q54" s="699"/>
      <c r="R54" s="699"/>
      <c r="S54" s="699"/>
      <c r="W54" s="31"/>
      <c r="AH54" s="119"/>
      <c r="AI54" s="119"/>
      <c r="AJ54" s="119"/>
      <c r="AK54" s="119"/>
    </row>
    <row r="55" spans="1:39" x14ac:dyDescent="0.25">
      <c r="A55" s="627"/>
      <c r="B55" s="699"/>
      <c r="C55" s="699"/>
      <c r="D55" s="699"/>
      <c r="E55" s="699"/>
      <c r="F55" s="699"/>
      <c r="G55" s="699"/>
      <c r="H55" s="699"/>
      <c r="I55" s="699"/>
      <c r="J55" s="699"/>
      <c r="K55" s="699"/>
      <c r="L55" s="699"/>
      <c r="M55" s="699"/>
      <c r="N55" s="699"/>
      <c r="O55" s="699"/>
      <c r="P55" s="699"/>
      <c r="Q55" s="699"/>
      <c r="R55" s="699"/>
      <c r="S55" s="699"/>
      <c r="T55" s="26"/>
      <c r="U55" s="26"/>
      <c r="V55" s="26"/>
      <c r="W55" s="31"/>
      <c r="X55" s="525" t="s">
        <v>675</v>
      </c>
      <c r="AG55" s="704" t="s">
        <v>72</v>
      </c>
      <c r="AH55" s="704"/>
      <c r="AI55" s="704"/>
      <c r="AJ55" s="704"/>
      <c r="AK55" s="704"/>
      <c r="AL55" s="704"/>
      <c r="AM55" s="704"/>
    </row>
    <row r="56" spans="1:39" x14ac:dyDescent="0.25">
      <c r="A56" s="627"/>
      <c r="B56" s="699"/>
      <c r="C56" s="699"/>
      <c r="D56" s="699"/>
      <c r="E56" s="699"/>
      <c r="F56" s="699"/>
      <c r="G56" s="699"/>
      <c r="H56" s="699"/>
      <c r="I56" s="699"/>
      <c r="J56" s="699"/>
      <c r="K56" s="699"/>
      <c r="L56" s="699"/>
      <c r="M56" s="699"/>
      <c r="N56" s="699"/>
      <c r="O56" s="699"/>
      <c r="P56" s="699"/>
      <c r="Q56" s="699"/>
      <c r="R56" s="699"/>
      <c r="S56" s="699"/>
      <c r="W56" s="31"/>
      <c r="X56" s="698" t="s">
        <v>59</v>
      </c>
      <c r="Y56" s="698"/>
      <c r="Z56" s="105">
        <v>0.105</v>
      </c>
      <c r="AG56" s="704"/>
      <c r="AH56" s="704"/>
      <c r="AI56" s="704"/>
      <c r="AJ56" s="704"/>
      <c r="AK56" s="704"/>
      <c r="AL56" s="704"/>
      <c r="AM56" s="704"/>
    </row>
    <row r="57" spans="1:39" ht="15" customHeight="1" x14ac:dyDescent="0.25">
      <c r="W57" s="31"/>
      <c r="X57" s="705"/>
      <c r="Y57" s="705"/>
    </row>
    <row r="58" spans="1:39" x14ac:dyDescent="0.25">
      <c r="W58" s="31"/>
      <c r="X58" s="130" t="s">
        <v>676</v>
      </c>
      <c r="Y58" s="547"/>
      <c r="Z58" s="547"/>
    </row>
    <row r="59" spans="1:39" x14ac:dyDescent="0.25">
      <c r="W59" s="31"/>
      <c r="X59" s="696" t="s">
        <v>76</v>
      </c>
      <c r="Y59" s="697"/>
      <c r="Z59" s="575">
        <f>113.468/78.025</f>
        <v>1.4542518423582185</v>
      </c>
    </row>
    <row r="60" spans="1:39" x14ac:dyDescent="0.25">
      <c r="W60" s="31"/>
      <c r="X60" s="696" t="s">
        <v>75</v>
      </c>
      <c r="Y60" s="697"/>
      <c r="Z60" s="575">
        <v>1.26</v>
      </c>
    </row>
    <row r="61" spans="1:39" x14ac:dyDescent="0.25">
      <c r="W61" s="31"/>
      <c r="Z61" s="107"/>
    </row>
    <row r="62" spans="1:39" x14ac:dyDescent="0.25">
      <c r="W62" s="31"/>
      <c r="X62" s="309" t="s">
        <v>644</v>
      </c>
    </row>
    <row r="63" spans="1:39" x14ac:dyDescent="0.25">
      <c r="X63" s="695" t="s">
        <v>60</v>
      </c>
      <c r="Y63" s="695"/>
      <c r="Z63" s="118">
        <v>0</v>
      </c>
    </row>
    <row r="64" spans="1:39" x14ac:dyDescent="0.25">
      <c r="X64" s="695" t="s">
        <v>61</v>
      </c>
      <c r="Y64" s="695"/>
      <c r="Z64" s="282">
        <v>0.75</v>
      </c>
      <c r="AG64" s="112" t="s">
        <v>62</v>
      </c>
    </row>
    <row r="65" spans="24:26" x14ac:dyDescent="0.25">
      <c r="X65" s="623"/>
      <c r="Y65" s="623"/>
      <c r="Z65" s="623"/>
    </row>
  </sheetData>
  <mergeCells count="55">
    <mergeCell ref="B54:S56"/>
    <mergeCell ref="B42:S44"/>
    <mergeCell ref="B46:S47"/>
    <mergeCell ref="B49:S52"/>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39:S40"/>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D6704-7359-478A-8015-0E7B1AC19A73}">
  <sheetPr>
    <tabColor rgb="FF00B050"/>
  </sheetPr>
  <dimension ref="A1:AW65"/>
  <sheetViews>
    <sheetView view="pageBreakPreview" topLeftCell="A24" zoomScale="85" zoomScaleNormal="100" zoomScaleSheetLayoutView="85" workbookViewId="0">
      <selection activeCell="C37" sqref="C37"/>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2.57031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118</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2029</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 Shingle Crk NAR'!$Z$3,'Original Build Years'!$A$1:$A$20,'Original Build Years'!$D$1:$D$20,0)+30</f>
        <v>2027</v>
      </c>
      <c r="AU6" s="292" t="s">
        <v>122</v>
      </c>
      <c r="AW6" s="292" t="s">
        <v>160</v>
      </c>
    </row>
    <row r="7" spans="1:49" ht="18.75" customHeight="1" x14ac:dyDescent="0.25">
      <c r="A7" s="75">
        <f>(G7+D7)*2.38</f>
        <v>3908.5398244720695</v>
      </c>
      <c r="B7" s="291">
        <f>$Y$5</f>
        <v>2029</v>
      </c>
      <c r="C7" s="256">
        <f>IF(OR($B7&lt;$Y$6,$B7&gt;'Project Data and Assumptions'!$C$8),0,$AC$35*(1+$AA$15)^($B7-2020))</f>
        <v>21971.059818580012</v>
      </c>
      <c r="D7" s="255">
        <f>IF(OR($B7&lt;$Y$6,$B7&gt;'Project Data and Assumptions'!$C$8),0,$AB$34*(1+$AA$15)^($B7-2020))</f>
        <v>1642.2436237277605</v>
      </c>
      <c r="E7" s="257">
        <f>IF(OR($B7&lt;$Y$6,$B7&gt;'Project Data and Assumptions'!$C$8),0,$AC$34*(1+$AA$15)^($B7-2020))</f>
        <v>12880.999307198008</v>
      </c>
      <c r="F7" s="256">
        <f>IF($B7&gt;'Project Data and Assumptions'!$C$8,0,$AC$30*(1+$AA$15)^($B7-2020))</f>
        <v>0</v>
      </c>
      <c r="G7" s="255">
        <f>IF($B7&gt;'Project Data and Assumptions'!$C$8,0,$AB$29*(1+$AA$15)^($B7-2020))</f>
        <v>0</v>
      </c>
      <c r="H7" s="257">
        <f>IF($B7&gt;'Project Data and Assumptions'!$C$8,0,$AC$29*(1+$AA$15)^($B7-2020))</f>
        <v>0</v>
      </c>
      <c r="I7" s="85">
        <f t="shared" ref="I7:I29" si="0">C7*$AA$47*$Z$60</f>
        <v>276835.35371410818</v>
      </c>
      <c r="J7" s="324">
        <f>(D7*$AA$40)*$AA$38*$AA$39</f>
        <v>3925.6191581588391</v>
      </c>
      <c r="K7" s="89">
        <f>C7*$AA$43+SUM(D7:E7)*$AA$44</f>
        <v>247196.76640968805</v>
      </c>
      <c r="L7" s="89">
        <f t="shared" ref="L7:L29" si="1">E7*$AA$47*$Z$60</f>
        <v>162300.59127069489</v>
      </c>
      <c r="M7" s="89">
        <f>SUM(D7:E7)*$AA$52</f>
        <v>17323.324168008254</v>
      </c>
      <c r="N7" s="122">
        <f t="shared" ref="N7:N29" si="2">D7*$AC$19*$Z$56*$Z$60</f>
        <v>182.50581839211347</v>
      </c>
      <c r="O7" s="85">
        <f t="shared" ref="O7:O29" si="3">F7*$AA$47*$Z$60</f>
        <v>0</v>
      </c>
      <c r="P7" s="89">
        <f>(G7*$AA$40)*$AA$38*$AA$39</f>
        <v>0</v>
      </c>
      <c r="Q7" s="89">
        <f>F7*$AA$43+SUM(G7:H7)*$AA$44</f>
        <v>0</v>
      </c>
      <c r="R7" s="89">
        <f t="shared" ref="R7:R29" si="4">H7*$AA$47*$Z$60</f>
        <v>0</v>
      </c>
      <c r="S7" s="89">
        <f>SUM(G7:H7)*$AA$52</f>
        <v>0</v>
      </c>
      <c r="T7" s="122">
        <f t="shared" ref="T7:T29" si="5">G7*$AC$19*$Z$56*$Z$60</f>
        <v>0</v>
      </c>
      <c r="U7" s="85">
        <f>SUM(I7:T7)</f>
        <v>707764.16053905035</v>
      </c>
      <c r="V7" s="133">
        <f t="shared" ref="V7:V29" si="6">$U7*(1+0.07)^-($B7-$Y$4)</f>
        <v>384976.80870893347</v>
      </c>
      <c r="X7" s="282" t="s">
        <v>470</v>
      </c>
      <c r="Y7" s="243">
        <f>IFERROR((_xlfn.XLOOKUP($Z$3,'Trail Project Summary'!$B$3:$B$32,'Trail Project Summary'!$I$3:$I$32)),0)</f>
        <v>8.4</v>
      </c>
      <c r="AU7" s="292" t="s">
        <v>123</v>
      </c>
      <c r="AW7" s="292" t="s">
        <v>161</v>
      </c>
    </row>
    <row r="8" spans="1:49" x14ac:dyDescent="0.25">
      <c r="A8" s="75">
        <f t="shared" ref="A8:A29" si="7">(G8+D8)*2.38</f>
        <v>3986.7106209615108</v>
      </c>
      <c r="B8" s="2">
        <f>B7+1</f>
        <v>2030</v>
      </c>
      <c r="C8" s="260">
        <f>IF(OR($B8&lt;$Y$6,$B8&gt;'Project Data and Assumptions'!$C$8),0,$AC$35*(1+$AA$15)^($B8-2020))</f>
        <v>22410.481014951616</v>
      </c>
      <c r="D8" s="91">
        <f>IF(OR($B8&lt;$Y$6,$B8&gt;'Project Data and Assumptions'!$C$8),0,$AB$34*(1+$AA$15)^($B8-2020))</f>
        <v>1675.0884962023156</v>
      </c>
      <c r="E8" s="258">
        <f>IF(OR($B8&lt;$Y$6,$B8&gt;'Project Data and Assumptions'!$C$8),0,$AC$34*(1+$AA$15)^($B8-2020))</f>
        <v>13138.61929334197</v>
      </c>
      <c r="F8" s="260">
        <f>IF($B8&gt;'Project Data and Assumptions'!$C$8,0,$AC$30*(1+$AA$15)^($B8-2020))</f>
        <v>0</v>
      </c>
      <c r="G8" s="91">
        <f>IF($B8&gt;'Project Data and Assumptions'!$C$8,0,$AB$29*(1+$AA$15)^($B8-2020))</f>
        <v>0</v>
      </c>
      <c r="H8" s="258">
        <f>IF($B8&gt;'Project Data and Assumptions'!$C$8,0,$AC$29*(1+$AA$15)^($B8-2020))</f>
        <v>0</v>
      </c>
      <c r="I8" s="17">
        <f t="shared" si="0"/>
        <v>282372.06078839034</v>
      </c>
      <c r="J8" s="325">
        <f t="shared" ref="J8:J26" si="8">(D8*$AA$40)*$AA$38*$AA$39</f>
        <v>4004.1315413220154</v>
      </c>
      <c r="K8" s="90">
        <f t="shared" ref="K8:K26" si="9">C8*$AA$43+SUM(D8:E8)*$AA$44</f>
        <v>252140.70173788187</v>
      </c>
      <c r="L8" s="90">
        <f t="shared" si="1"/>
        <v>165546.60309610883</v>
      </c>
      <c r="M8" s="90">
        <f t="shared" ref="M8:M26" si="10">SUM(D8:E8)*$AA$52</f>
        <v>17669.790651368421</v>
      </c>
      <c r="N8" s="92">
        <f t="shared" si="2"/>
        <v>186.1559347599557</v>
      </c>
      <c r="O8" s="17">
        <f t="shared" si="3"/>
        <v>0</v>
      </c>
      <c r="P8" s="90">
        <f t="shared" ref="P8:P26" si="11">(G8*$AA$40)*$AA$38*$AA$39</f>
        <v>0</v>
      </c>
      <c r="Q8" s="90">
        <f t="shared" ref="Q8:Q26" si="12">F8*$AA$43+SUM(G8:H8)*$AA$44</f>
        <v>0</v>
      </c>
      <c r="R8" s="90">
        <f t="shared" si="4"/>
        <v>0</v>
      </c>
      <c r="S8" s="90">
        <f t="shared" ref="S8:S26" si="13">SUM(G8:H8)*$AA$52</f>
        <v>0</v>
      </c>
      <c r="T8" s="92">
        <f t="shared" si="5"/>
        <v>0</v>
      </c>
      <c r="U8" s="17">
        <f t="shared" ref="U8:U26" si="14">SUM(I8:T8)</f>
        <v>721919.44374983164</v>
      </c>
      <c r="V8" s="6">
        <f t="shared" si="6"/>
        <v>366987.23820851615</v>
      </c>
      <c r="X8" s="282" t="s">
        <v>471</v>
      </c>
      <c r="Y8" s="243">
        <f>IFERROR(_xlfn.XLOOKUP($Z$3,'Trail Project Summary'!$B$3:$B$32,'Trail Project Summary'!$C$3:$C$32),0)</f>
        <v>0</v>
      </c>
      <c r="AU8" s="292" t="s">
        <v>124</v>
      </c>
      <c r="AW8" s="292" t="s">
        <v>163</v>
      </c>
    </row>
    <row r="9" spans="1:49" x14ac:dyDescent="0.25">
      <c r="A9" s="75">
        <f t="shared" si="7"/>
        <v>4066.4448333807409</v>
      </c>
      <c r="B9" s="2">
        <f t="shared" ref="B9:B29" si="15">B8+1</f>
        <v>2031</v>
      </c>
      <c r="C9" s="260">
        <f>IF(OR($B9&lt;$Y$6,$B9&gt;'Project Data and Assumptions'!$C$8),0,$AC$35*(1+$AA$15)^($B9-2020))</f>
        <v>22858.690635250641</v>
      </c>
      <c r="D9" s="91">
        <f>IF(OR($B9&lt;$Y$6,$B9&gt;'Project Data and Assumptions'!$C$8),0,$AB$34*(1+$AA$15)^($B9-2020))</f>
        <v>1708.5902661263617</v>
      </c>
      <c r="E9" s="258">
        <f>IF(OR($B9&lt;$Y$6,$B9&gt;'Project Data and Assumptions'!$C$8),0,$AC$34*(1+$AA$15)^($B9-2020))</f>
        <v>13401.391679208806</v>
      </c>
      <c r="F9" s="260">
        <f>IF($B9&gt;'Project Data and Assumptions'!$C$8,0,$AC$30*(1+$AA$15)^($B9-2020))</f>
        <v>0</v>
      </c>
      <c r="G9" s="91">
        <f>IF($B9&gt;'Project Data and Assumptions'!$C$8,0,$AB$29*(1+$AA$15)^($B9-2020))</f>
        <v>0</v>
      </c>
      <c r="H9" s="258">
        <f>IF($B9&gt;'Project Data and Assumptions'!$C$8,0,$AC$29*(1+$AA$15)^($B9-2020))</f>
        <v>0</v>
      </c>
      <c r="I9" s="17">
        <f t="shared" si="0"/>
        <v>288019.5020041581</v>
      </c>
      <c r="J9" s="325">
        <f t="shared" si="8"/>
        <v>4084.2141721484554</v>
      </c>
      <c r="K9" s="90">
        <f t="shared" si="9"/>
        <v>257183.51577263942</v>
      </c>
      <c r="L9" s="90">
        <f t="shared" si="1"/>
        <v>168857.53515803098</v>
      </c>
      <c r="M9" s="90">
        <f t="shared" si="10"/>
        <v>18023.186464395785</v>
      </c>
      <c r="N9" s="92">
        <f t="shared" si="2"/>
        <v>189.8790534551548</v>
      </c>
      <c r="O9" s="17">
        <f t="shared" si="3"/>
        <v>0</v>
      </c>
      <c r="P9" s="90">
        <f t="shared" si="11"/>
        <v>0</v>
      </c>
      <c r="Q9" s="90">
        <f t="shared" si="12"/>
        <v>0</v>
      </c>
      <c r="R9" s="90">
        <f t="shared" si="4"/>
        <v>0</v>
      </c>
      <c r="S9" s="90">
        <f t="shared" si="13"/>
        <v>0</v>
      </c>
      <c r="T9" s="92">
        <f t="shared" si="5"/>
        <v>0</v>
      </c>
      <c r="U9" s="17">
        <f t="shared" si="14"/>
        <v>736357.83262482786</v>
      </c>
      <c r="V9" s="6">
        <f t="shared" si="6"/>
        <v>349838.30184363195</v>
      </c>
      <c r="X9" s="118" t="s">
        <v>473</v>
      </c>
      <c r="Y9" s="243">
        <f>IFERROR(_xlfn.XLOOKUP($Z$3,'Trail Project Summary'!$B$3:$B$32,'Trail Project Summary'!$D$3:$D$32),0)</f>
        <v>0.84</v>
      </c>
      <c r="AU9" s="292" t="s">
        <v>150</v>
      </c>
      <c r="AW9" s="292" t="s">
        <v>162</v>
      </c>
    </row>
    <row r="10" spans="1:49" x14ac:dyDescent="0.25">
      <c r="A10" s="75">
        <f t="shared" si="7"/>
        <v>4147.7737300483559</v>
      </c>
      <c r="B10" s="2">
        <f t="shared" si="15"/>
        <v>2032</v>
      </c>
      <c r="C10" s="260">
        <f>IF(OR($B10&lt;$Y$6,$B10&gt;'Project Data and Assumptions'!$C$8),0,$AC$35*(1+$AA$15)^($B10-2020))</f>
        <v>23315.864447955661</v>
      </c>
      <c r="D10" s="91">
        <f>IF(OR($B10&lt;$Y$6,$B10&gt;'Project Data and Assumptions'!$C$8),0,$AB$34*(1+$AA$15)^($B10-2020))</f>
        <v>1742.7620714488892</v>
      </c>
      <c r="E10" s="258">
        <f>IF(OR($B10&lt;$Y$6,$B10&gt;'Project Data and Assumptions'!$C$8),0,$AC$34*(1+$AA$15)^($B10-2020))</f>
        <v>13669.419512792985</v>
      </c>
      <c r="F10" s="260">
        <f>IF($B10&gt;'Project Data and Assumptions'!$C$8,0,$AC$30*(1+$AA$15)^($B10-2020))</f>
        <v>0</v>
      </c>
      <c r="G10" s="91">
        <f>IF($B10&gt;'Project Data and Assumptions'!$C$8,0,$AB$29*(1+$AA$15)^($B10-2020))</f>
        <v>0</v>
      </c>
      <c r="H10" s="258">
        <f>IF($B10&gt;'Project Data and Assumptions'!$C$8,0,$AC$29*(1+$AA$15)^($B10-2020))</f>
        <v>0</v>
      </c>
      <c r="I10" s="17">
        <f t="shared" si="0"/>
        <v>293779.89204424131</v>
      </c>
      <c r="J10" s="325">
        <f t="shared" si="8"/>
        <v>4165.8984555914249</v>
      </c>
      <c r="K10" s="90">
        <f t="shared" si="9"/>
        <v>262327.18608809233</v>
      </c>
      <c r="L10" s="90">
        <f t="shared" si="1"/>
        <v>172234.68586119163</v>
      </c>
      <c r="M10" s="90">
        <f t="shared" si="10"/>
        <v>18383.650193683705</v>
      </c>
      <c r="N10" s="92">
        <f t="shared" si="2"/>
        <v>193.67663452425793</v>
      </c>
      <c r="O10" s="17">
        <f t="shared" si="3"/>
        <v>0</v>
      </c>
      <c r="P10" s="90">
        <f t="shared" si="11"/>
        <v>0</v>
      </c>
      <c r="Q10" s="90">
        <f t="shared" si="12"/>
        <v>0</v>
      </c>
      <c r="R10" s="90">
        <f t="shared" si="4"/>
        <v>0</v>
      </c>
      <c r="S10" s="90">
        <f t="shared" si="13"/>
        <v>0</v>
      </c>
      <c r="T10" s="92">
        <f t="shared" si="5"/>
        <v>0</v>
      </c>
      <c r="U10" s="17">
        <f t="shared" si="14"/>
        <v>751084.98927732464</v>
      </c>
      <c r="V10" s="6">
        <f t="shared" si="6"/>
        <v>333490.71764533158</v>
      </c>
      <c r="X10" s="118" t="s">
        <v>472</v>
      </c>
      <c r="Y10" s="243">
        <f>IFERROR(_xlfn.XLOOKUP($Z$3,'Trail Project Summary'!$B$3:$B$32,'Trail Project Summary'!$E$3:$E$32),0)</f>
        <v>0</v>
      </c>
    </row>
    <row r="11" spans="1:49" x14ac:dyDescent="0.25">
      <c r="A11" s="75">
        <f t="shared" si="7"/>
        <v>4230.729204649323</v>
      </c>
      <c r="B11" s="2">
        <f t="shared" si="15"/>
        <v>2033</v>
      </c>
      <c r="C11" s="260">
        <f>IF(OR($B11&lt;$Y$6,$B11&gt;'Project Data and Assumptions'!$C$8),0,$AC$35*(1+$AA$15)^($B11-2020))</f>
        <v>23782.181736914772</v>
      </c>
      <c r="D11" s="91">
        <f>IF(OR($B11&lt;$Y$6,$B11&gt;'Project Data and Assumptions'!$C$8),0,$AB$34*(1+$AA$15)^($B11-2020))</f>
        <v>1777.6173128778669</v>
      </c>
      <c r="E11" s="258">
        <f>IF(OR($B11&lt;$Y$6,$B11&gt;'Project Data and Assumptions'!$C$8),0,$AC$34*(1+$AA$15)^($B11-2020))</f>
        <v>13942.807903048844</v>
      </c>
      <c r="F11" s="260">
        <f>IF($B11&gt;'Project Data and Assumptions'!$C$8,0,$AC$30*(1+$AA$15)^($B11-2020))</f>
        <v>0</v>
      </c>
      <c r="G11" s="91">
        <f>IF($B11&gt;'Project Data and Assumptions'!$C$8,0,$AB$29*(1+$AA$15)^($B11-2020))</f>
        <v>0</v>
      </c>
      <c r="H11" s="258">
        <f>IF($B11&gt;'Project Data and Assumptions'!$C$8,0,$AC$29*(1+$AA$15)^($B11-2020))</f>
        <v>0</v>
      </c>
      <c r="I11" s="17">
        <f t="shared" si="0"/>
        <v>299655.48988512612</v>
      </c>
      <c r="J11" s="325">
        <f t="shared" si="8"/>
        <v>4249.2164247032533</v>
      </c>
      <c r="K11" s="90">
        <f t="shared" si="9"/>
        <v>267573.72980985412</v>
      </c>
      <c r="L11" s="90">
        <f t="shared" si="1"/>
        <v>175679.37957841545</v>
      </c>
      <c r="M11" s="90">
        <f t="shared" si="10"/>
        <v>18751.32319755738</v>
      </c>
      <c r="N11" s="92">
        <f t="shared" si="2"/>
        <v>197.55016721474308</v>
      </c>
      <c r="O11" s="17">
        <f t="shared" si="3"/>
        <v>0</v>
      </c>
      <c r="P11" s="90">
        <f t="shared" si="11"/>
        <v>0</v>
      </c>
      <c r="Q11" s="90">
        <f t="shared" si="12"/>
        <v>0</v>
      </c>
      <c r="R11" s="90">
        <f t="shared" si="4"/>
        <v>0</v>
      </c>
      <c r="S11" s="90">
        <f t="shared" si="13"/>
        <v>0</v>
      </c>
      <c r="T11" s="92">
        <f t="shared" si="5"/>
        <v>0</v>
      </c>
      <c r="U11" s="17">
        <f t="shared" si="14"/>
        <v>766106.68906287104</v>
      </c>
      <c r="V11" s="6">
        <f t="shared" si="6"/>
        <v>317907.03925068985</v>
      </c>
      <c r="X11" s="28"/>
      <c r="Y11" s="60"/>
      <c r="Z11" s="28"/>
      <c r="AA11" s="28"/>
      <c r="AB11" s="28"/>
      <c r="AC11" s="28"/>
      <c r="AD11" s="28"/>
      <c r="AE11" s="28"/>
      <c r="AF11" s="28"/>
    </row>
    <row r="12" spans="1:49" x14ac:dyDescent="0.25">
      <c r="A12" s="75">
        <f t="shared" si="7"/>
        <v>4315.3437887423097</v>
      </c>
      <c r="B12" s="2">
        <f t="shared" si="15"/>
        <v>2034</v>
      </c>
      <c r="C12" s="260">
        <f>IF(OR($B12&lt;$Y$6,$B12&gt;'Project Data and Assumptions'!$C$8),0,$AC$35*(1+$AA$15)^($B12-2020))</f>
        <v>24257.825371653067</v>
      </c>
      <c r="D12" s="91">
        <f>IF(OR($B12&lt;$Y$6,$B12&gt;'Project Data and Assumptions'!$C$8),0,$AB$34*(1+$AA$15)^($B12-2020))</f>
        <v>1813.1696591354244</v>
      </c>
      <c r="E12" s="258">
        <f>IF(OR($B12&lt;$Y$6,$B12&gt;'Project Data and Assumptions'!$C$8),0,$AC$34*(1+$AA$15)^($B12-2020))</f>
        <v>14221.664061109821</v>
      </c>
      <c r="F12" s="260">
        <f>IF($B12&gt;'Project Data and Assumptions'!$C$8,0,$AC$30*(1+$AA$15)^($B12-2020))</f>
        <v>0</v>
      </c>
      <c r="G12" s="91">
        <f>IF($B12&gt;'Project Data and Assumptions'!$C$8,0,$AB$29*(1+$AA$15)^($B12-2020))</f>
        <v>0</v>
      </c>
      <c r="H12" s="258">
        <f>IF($B12&gt;'Project Data and Assumptions'!$C$8,0,$AC$29*(1+$AA$15)^($B12-2020))</f>
        <v>0</v>
      </c>
      <c r="I12" s="17">
        <f t="shared" si="0"/>
        <v>305648.59968282864</v>
      </c>
      <c r="J12" s="325">
        <f t="shared" si="8"/>
        <v>4334.2007531973195</v>
      </c>
      <c r="K12" s="90">
        <f t="shared" si="9"/>
        <v>272925.2044060512</v>
      </c>
      <c r="L12" s="90">
        <f t="shared" si="1"/>
        <v>179192.96716998375</v>
      </c>
      <c r="M12" s="90">
        <f t="shared" si="10"/>
        <v>19126.349661508528</v>
      </c>
      <c r="N12" s="92">
        <f t="shared" si="2"/>
        <v>201.50117055903797</v>
      </c>
      <c r="O12" s="17">
        <f t="shared" si="3"/>
        <v>0</v>
      </c>
      <c r="P12" s="90">
        <f t="shared" si="11"/>
        <v>0</v>
      </c>
      <c r="Q12" s="90">
        <f t="shared" si="12"/>
        <v>0</v>
      </c>
      <c r="R12" s="90">
        <f t="shared" si="4"/>
        <v>0</v>
      </c>
      <c r="S12" s="90">
        <f t="shared" si="13"/>
        <v>0</v>
      </c>
      <c r="T12" s="92">
        <f t="shared" si="5"/>
        <v>0</v>
      </c>
      <c r="U12" s="17">
        <f t="shared" si="14"/>
        <v>781428.82284412859</v>
      </c>
      <c r="V12" s="6">
        <f t="shared" si="6"/>
        <v>303051.57012682589</v>
      </c>
      <c r="X12" s="30"/>
      <c r="Y12" s="30"/>
    </row>
    <row r="13" spans="1:49" x14ac:dyDescent="0.25">
      <c r="A13" s="75">
        <f t="shared" si="7"/>
        <v>4401.6506645171548</v>
      </c>
      <c r="B13" s="2">
        <f t="shared" si="15"/>
        <v>2035</v>
      </c>
      <c r="C13" s="260">
        <f>IF(OR($B13&lt;$Y$6,$B13&gt;'Project Data and Assumptions'!$C$8),0,$AC$35*(1+$AA$15)^($B13-2020))</f>
        <v>24742.981879086125</v>
      </c>
      <c r="D13" s="91">
        <f>IF(OR($B13&lt;$Y$6,$B13&gt;'Project Data and Assumptions'!$C$8),0,$AB$34*(1+$AA$15)^($B13-2020))</f>
        <v>1849.4330523181322</v>
      </c>
      <c r="E13" s="258">
        <f>IF(OR($B13&lt;$Y$6,$B13&gt;'Project Data and Assumptions'!$C$8),0,$AC$34*(1+$AA$15)^($B13-2020))</f>
        <v>14506.097342332014</v>
      </c>
      <c r="F13" s="260">
        <f>IF($B13&gt;'Project Data and Assumptions'!$C$8,0,$AC$30*(1+$AA$15)^($B13-2020))</f>
        <v>0</v>
      </c>
      <c r="G13" s="91">
        <f>IF($B13&gt;'Project Data and Assumptions'!$C$8,0,$AB$29*(1+$AA$15)^($B13-2020))</f>
        <v>0</v>
      </c>
      <c r="H13" s="258">
        <f>IF($B13&gt;'Project Data and Assumptions'!$C$8,0,$AC$29*(1+$AA$15)^($B13-2020))</f>
        <v>0</v>
      </c>
      <c r="I13" s="17">
        <f t="shared" si="0"/>
        <v>311761.57167648512</v>
      </c>
      <c r="J13" s="325">
        <f t="shared" si="8"/>
        <v>4420.8847682612641</v>
      </c>
      <c r="K13" s="90">
        <f t="shared" si="9"/>
        <v>278383.7084941722</v>
      </c>
      <c r="L13" s="90">
        <f t="shared" si="1"/>
        <v>182776.82651338336</v>
      </c>
      <c r="M13" s="90">
        <f t="shared" si="10"/>
        <v>19508.876654738691</v>
      </c>
      <c r="N13" s="92">
        <f t="shared" si="2"/>
        <v>205.53119397021865</v>
      </c>
      <c r="O13" s="17">
        <f t="shared" si="3"/>
        <v>0</v>
      </c>
      <c r="P13" s="90">
        <f t="shared" si="11"/>
        <v>0</v>
      </c>
      <c r="Q13" s="90">
        <f t="shared" si="12"/>
        <v>0</v>
      </c>
      <c r="R13" s="90">
        <f t="shared" si="4"/>
        <v>0</v>
      </c>
      <c r="S13" s="90">
        <f t="shared" si="13"/>
        <v>0</v>
      </c>
      <c r="T13" s="92">
        <f t="shared" si="5"/>
        <v>0</v>
      </c>
      <c r="U13" s="17">
        <f t="shared" si="14"/>
        <v>797057.39930101077</v>
      </c>
      <c r="V13" s="6">
        <f t="shared" si="6"/>
        <v>288890.28180314228</v>
      </c>
      <c r="AU13" s="292" t="s">
        <v>489</v>
      </c>
      <c r="AV13" s="292" t="s">
        <v>503</v>
      </c>
    </row>
    <row r="14" spans="1:49" x14ac:dyDescent="0.25">
      <c r="A14" s="75">
        <f t="shared" si="7"/>
        <v>4489.6836778074985</v>
      </c>
      <c r="B14" s="2">
        <f t="shared" si="15"/>
        <v>2036</v>
      </c>
      <c r="C14" s="260">
        <f>IF(OR($B14&lt;$Y$6,$B14&gt;'Project Data and Assumptions'!$C$8),0,$AC$35*(1+$AA$15)^($B14-2020))</f>
        <v>25237.84151666785</v>
      </c>
      <c r="D14" s="91">
        <f>IF(OR($B14&lt;$Y$6,$B14&gt;'Project Data and Assumptions'!$C$8),0,$AB$34*(1+$AA$15)^($B14-2020))</f>
        <v>1886.4217133644954</v>
      </c>
      <c r="E14" s="258">
        <f>IF(OR($B14&lt;$Y$6,$B14&gt;'Project Data and Assumptions'!$C$8),0,$AC$34*(1+$AA$15)^($B14-2020))</f>
        <v>14796.219289178656</v>
      </c>
      <c r="F14" s="260">
        <f>IF($B14&gt;'Project Data and Assumptions'!$C$8,0,$AC$30*(1+$AA$15)^($B14-2020))</f>
        <v>0</v>
      </c>
      <c r="G14" s="91">
        <f>IF($B14&gt;'Project Data and Assumptions'!$C$8,0,$AB$29*(1+$AA$15)^($B14-2020))</f>
        <v>0</v>
      </c>
      <c r="H14" s="258">
        <f>IF($B14&gt;'Project Data and Assumptions'!$C$8,0,$AC$29*(1+$AA$15)^($B14-2020))</f>
        <v>0</v>
      </c>
      <c r="I14" s="17">
        <f t="shared" si="0"/>
        <v>317996.80311001488</v>
      </c>
      <c r="J14" s="325">
        <f t="shared" si="8"/>
        <v>4509.3024636264909</v>
      </c>
      <c r="K14" s="90">
        <f t="shared" si="9"/>
        <v>283951.38266405568</v>
      </c>
      <c r="L14" s="90">
        <f t="shared" si="1"/>
        <v>186432.36304365107</v>
      </c>
      <c r="M14" s="90">
        <f t="shared" si="10"/>
        <v>19899.054187833466</v>
      </c>
      <c r="N14" s="92">
        <f t="shared" si="2"/>
        <v>209.6418178496231</v>
      </c>
      <c r="O14" s="17">
        <f t="shared" si="3"/>
        <v>0</v>
      </c>
      <c r="P14" s="90">
        <f t="shared" si="11"/>
        <v>0</v>
      </c>
      <c r="Q14" s="90">
        <f t="shared" si="12"/>
        <v>0</v>
      </c>
      <c r="R14" s="90">
        <f t="shared" si="4"/>
        <v>0</v>
      </c>
      <c r="S14" s="90">
        <f t="shared" si="13"/>
        <v>0</v>
      </c>
      <c r="T14" s="92">
        <f t="shared" si="5"/>
        <v>0</v>
      </c>
      <c r="U14" s="17">
        <f t="shared" si="14"/>
        <v>812998.54728703119</v>
      </c>
      <c r="V14" s="6">
        <f t="shared" si="6"/>
        <v>275390.73592449084</v>
      </c>
      <c r="X14" s="175" t="s">
        <v>83</v>
      </c>
      <c r="AU14" s="292" t="s">
        <v>490</v>
      </c>
      <c r="AV14" s="292" t="s">
        <v>504</v>
      </c>
    </row>
    <row r="15" spans="1:49" ht="17.25" x14ac:dyDescent="0.25">
      <c r="A15" s="75">
        <f t="shared" si="7"/>
        <v>4579.4773513636492</v>
      </c>
      <c r="B15" s="2">
        <f t="shared" si="15"/>
        <v>2037</v>
      </c>
      <c r="C15" s="260">
        <f>IF(OR($B15&lt;$Y$6,$B15&gt;'Project Data and Assumptions'!$C$8),0,$AC$35*(1+$AA$15)^($B15-2020))</f>
        <v>25742.598347001211</v>
      </c>
      <c r="D15" s="91">
        <f>IF(OR($B15&lt;$Y$6,$B15&gt;'Project Data and Assumptions'!$C$8),0,$AB$34*(1+$AA$15)^($B15-2020))</f>
        <v>1924.1501476317853</v>
      </c>
      <c r="E15" s="258">
        <f>IF(OR($B15&lt;$Y$6,$B15&gt;'Project Data and Assumptions'!$C$8),0,$AC$34*(1+$AA$15)^($B15-2020))</f>
        <v>15092.143674962232</v>
      </c>
      <c r="F15" s="260">
        <f>IF($B15&gt;'Project Data and Assumptions'!$C$8,0,$AC$30*(1+$AA$15)^($B15-2020))</f>
        <v>0</v>
      </c>
      <c r="G15" s="91">
        <f>IF($B15&gt;'Project Data and Assumptions'!$C$8,0,$AB$29*(1+$AA$15)^($B15-2020))</f>
        <v>0</v>
      </c>
      <c r="H15" s="258">
        <f>IF($B15&gt;'Project Data and Assumptions'!$C$8,0,$AC$29*(1+$AA$15)^($B15-2020))</f>
        <v>0</v>
      </c>
      <c r="I15" s="17">
        <f t="shared" si="0"/>
        <v>324356.73917221528</v>
      </c>
      <c r="J15" s="325">
        <f t="shared" si="8"/>
        <v>4599.48851289902</v>
      </c>
      <c r="K15" s="90">
        <f t="shared" si="9"/>
        <v>289630.41031733679</v>
      </c>
      <c r="L15" s="90">
        <f t="shared" si="1"/>
        <v>190161.01030452413</v>
      </c>
      <c r="M15" s="90">
        <f t="shared" si="10"/>
        <v>20297.035271590139</v>
      </c>
      <c r="N15" s="92">
        <f t="shared" si="2"/>
        <v>213.83465420661554</v>
      </c>
      <c r="O15" s="17">
        <f t="shared" si="3"/>
        <v>0</v>
      </c>
      <c r="P15" s="90">
        <f t="shared" si="11"/>
        <v>0</v>
      </c>
      <c r="Q15" s="90">
        <f t="shared" si="12"/>
        <v>0</v>
      </c>
      <c r="R15" s="90">
        <f t="shared" si="4"/>
        <v>0</v>
      </c>
      <c r="S15" s="90">
        <f t="shared" si="13"/>
        <v>0</v>
      </c>
      <c r="T15" s="92">
        <f t="shared" si="5"/>
        <v>0</v>
      </c>
      <c r="U15" s="17">
        <f t="shared" si="14"/>
        <v>829258.51823277189</v>
      </c>
      <c r="V15" s="6">
        <f t="shared" si="6"/>
        <v>262522.00994671095</v>
      </c>
      <c r="X15" s="700" t="s">
        <v>677</v>
      </c>
      <c r="Y15" s="700"/>
      <c r="Z15" s="700"/>
      <c r="AA15" s="569">
        <v>0.02</v>
      </c>
      <c r="AB15" s="569">
        <v>0.05</v>
      </c>
      <c r="AU15" s="292" t="s">
        <v>491</v>
      </c>
    </row>
    <row r="16" spans="1:49" x14ac:dyDescent="0.25">
      <c r="A16" s="75">
        <f t="shared" si="7"/>
        <v>4671.0668983909218</v>
      </c>
      <c r="B16" s="2">
        <f t="shared" si="15"/>
        <v>2038</v>
      </c>
      <c r="C16" s="260">
        <f>IF(OR($B16&lt;$Y$6,$B16&gt;'Project Data and Assumptions'!$C$8),0,$AC$35*(1+$AA$15)^($B16-2020))</f>
        <v>26257.45031394123</v>
      </c>
      <c r="D16" s="91">
        <f>IF(OR($B16&lt;$Y$6,$B16&gt;'Project Data and Assumptions'!$C$8),0,$AB$34*(1+$AA$15)^($B16-2020))</f>
        <v>1962.6331505844209</v>
      </c>
      <c r="E16" s="258">
        <f>IF(OR($B16&lt;$Y$6,$B16&gt;'Project Data and Assumptions'!$C$8),0,$AC$34*(1+$AA$15)^($B16-2020))</f>
        <v>15393.986548461475</v>
      </c>
      <c r="F16" s="260">
        <f>IF($B16&gt;'Project Data and Assumptions'!$C$8,0,$AC$30*(1+$AA$15)^($B16-2020))</f>
        <v>0</v>
      </c>
      <c r="G16" s="91">
        <f>IF($B16&gt;'Project Data and Assumptions'!$C$8,0,$AB$29*(1+$AA$15)^($B16-2020))</f>
        <v>0</v>
      </c>
      <c r="H16" s="258">
        <f>IF($B16&gt;'Project Data and Assumptions'!$C$8,0,$AC$29*(1+$AA$15)^($B16-2020))</f>
        <v>0</v>
      </c>
      <c r="I16" s="17">
        <f t="shared" si="0"/>
        <v>330843.87395565951</v>
      </c>
      <c r="J16" s="325">
        <f t="shared" si="8"/>
        <v>4691.4782831570001</v>
      </c>
      <c r="K16" s="90">
        <f t="shared" si="9"/>
        <v>295423.01852368348</v>
      </c>
      <c r="L16" s="90">
        <f t="shared" si="1"/>
        <v>193964.23051061458</v>
      </c>
      <c r="M16" s="90">
        <f t="shared" si="10"/>
        <v>20702.975977021943</v>
      </c>
      <c r="N16" s="92">
        <f t="shared" si="2"/>
        <v>218.11134729074783</v>
      </c>
      <c r="O16" s="17">
        <f t="shared" si="3"/>
        <v>0</v>
      </c>
      <c r="P16" s="90">
        <f t="shared" si="11"/>
        <v>0</v>
      </c>
      <c r="Q16" s="90">
        <f t="shared" si="12"/>
        <v>0</v>
      </c>
      <c r="R16" s="90">
        <f t="shared" si="4"/>
        <v>0</v>
      </c>
      <c r="S16" s="90">
        <f t="shared" si="13"/>
        <v>0</v>
      </c>
      <c r="T16" s="92">
        <f t="shared" si="5"/>
        <v>0</v>
      </c>
      <c r="U16" s="17">
        <f t="shared" si="14"/>
        <v>845843.68859742733</v>
      </c>
      <c r="V16" s="6">
        <f t="shared" si="6"/>
        <v>250254.62630434125</v>
      </c>
      <c r="X16" s="695" t="s">
        <v>498</v>
      </c>
      <c r="Y16" s="695"/>
      <c r="Z16" s="695"/>
      <c r="AA16" s="177">
        <v>0.86</v>
      </c>
      <c r="AB16" s="113"/>
      <c r="AU16" s="292" t="s">
        <v>502</v>
      </c>
      <c r="AV16" s="292" t="s">
        <v>505</v>
      </c>
      <c r="AW16" s="292" t="s">
        <v>506</v>
      </c>
    </row>
    <row r="17" spans="1:33" x14ac:dyDescent="0.25">
      <c r="A17" s="75">
        <f t="shared" si="7"/>
        <v>4764.4882363587403</v>
      </c>
      <c r="B17" s="2">
        <f t="shared" si="15"/>
        <v>2039</v>
      </c>
      <c r="C17" s="260">
        <f>IF(OR($B17&lt;$Y$6,$B17&gt;'Project Data and Assumptions'!$C$8),0,$AC$35*(1+$AA$15)^($B17-2020))</f>
        <v>26782.599320220055</v>
      </c>
      <c r="D17" s="91">
        <f>IF(OR($B17&lt;$Y$6,$B17&gt;'Project Data and Assumptions'!$C$8),0,$AB$34*(1+$AA$15)^($B17-2020))</f>
        <v>2001.8858135961093</v>
      </c>
      <c r="E17" s="258">
        <f>IF(OR($B17&lt;$Y$6,$B17&gt;'Project Data and Assumptions'!$C$8),0,$AC$34*(1+$AA$15)^($B17-2020))</f>
        <v>15701.866279430704</v>
      </c>
      <c r="F17" s="260">
        <f>IF($B17&gt;'Project Data and Assumptions'!$C$8,0,$AC$30*(1+$AA$15)^($B17-2020))</f>
        <v>0</v>
      </c>
      <c r="G17" s="91">
        <f>IF($B17&gt;'Project Data and Assumptions'!$C$8,0,$AB$29*(1+$AA$15)^($B17-2020))</f>
        <v>0</v>
      </c>
      <c r="H17" s="258">
        <f>IF($B17&gt;'Project Data and Assumptions'!$C$8,0,$AC$29*(1+$AA$15)^($B17-2020))</f>
        <v>0</v>
      </c>
      <c r="I17" s="17">
        <f t="shared" si="0"/>
        <v>337460.75143477274</v>
      </c>
      <c r="J17" s="325">
        <f t="shared" si="8"/>
        <v>4785.30784882014</v>
      </c>
      <c r="K17" s="90">
        <f t="shared" si="9"/>
        <v>301331.47889415716</v>
      </c>
      <c r="L17" s="90">
        <f t="shared" si="1"/>
        <v>197843.51512082689</v>
      </c>
      <c r="M17" s="90">
        <f t="shared" si="10"/>
        <v>21117.035496562381</v>
      </c>
      <c r="N17" s="92">
        <f t="shared" si="2"/>
        <v>222.4735742365628</v>
      </c>
      <c r="O17" s="17">
        <f t="shared" si="3"/>
        <v>0</v>
      </c>
      <c r="P17" s="90">
        <f t="shared" si="11"/>
        <v>0</v>
      </c>
      <c r="Q17" s="90">
        <f t="shared" si="12"/>
        <v>0</v>
      </c>
      <c r="R17" s="90">
        <f t="shared" si="4"/>
        <v>0</v>
      </c>
      <c r="S17" s="90">
        <f t="shared" si="13"/>
        <v>0</v>
      </c>
      <c r="T17" s="92">
        <f t="shared" si="5"/>
        <v>0</v>
      </c>
      <c r="U17" s="17">
        <f t="shared" si="14"/>
        <v>862760.56236937596</v>
      </c>
      <c r="V17" s="6">
        <f t="shared" si="6"/>
        <v>238560.48488825056</v>
      </c>
      <c r="X17" s="695" t="s">
        <v>499</v>
      </c>
      <c r="Y17" s="695"/>
      <c r="Z17" s="695"/>
      <c r="AA17" s="265">
        <f>MIN(Y7,2.38)</f>
        <v>2.38</v>
      </c>
      <c r="AB17" s="266" t="s">
        <v>500</v>
      </c>
      <c r="AC17" s="284" t="s">
        <v>501</v>
      </c>
    </row>
    <row r="18" spans="1:33" x14ac:dyDescent="0.25">
      <c r="A18" s="75">
        <f t="shared" si="7"/>
        <v>4859.7780010859151</v>
      </c>
      <c r="B18" s="2">
        <f t="shared" si="15"/>
        <v>2040</v>
      </c>
      <c r="C18" s="260">
        <f>IF(OR($B18&lt;$Y$6,$B18&gt;'Project Data and Assumptions'!$C$8),0,$AC$35*(1+$AA$15)^($B18-2020))</f>
        <v>27318.251306624457</v>
      </c>
      <c r="D18" s="91">
        <f>IF(OR($B18&lt;$Y$6,$B18&gt;'Project Data and Assumptions'!$C$8),0,$AB$34*(1+$AA$15)^($B18-2020))</f>
        <v>2041.9235298680317</v>
      </c>
      <c r="E18" s="258">
        <f>IF(OR($B18&lt;$Y$6,$B18&gt;'Project Data and Assumptions'!$C$8),0,$AC$34*(1+$AA$15)^($B18-2020))</f>
        <v>16015.903605019319</v>
      </c>
      <c r="F18" s="260">
        <f>IF($B18&gt;'Project Data and Assumptions'!$C$8,0,$AC$30*(1+$AA$15)^($B18-2020))</f>
        <v>0</v>
      </c>
      <c r="G18" s="91">
        <f>IF($B18&gt;'Project Data and Assumptions'!$C$8,0,$AB$29*(1+$AA$15)^($B18-2020))</f>
        <v>0</v>
      </c>
      <c r="H18" s="258">
        <f>IF($B18&gt;'Project Data and Assumptions'!$C$8,0,$AC$29*(1+$AA$15)^($B18-2020))</f>
        <v>0</v>
      </c>
      <c r="I18" s="17">
        <f t="shared" si="0"/>
        <v>344209.96646346815</v>
      </c>
      <c r="J18" s="325">
        <f t="shared" si="8"/>
        <v>4881.0140057965427</v>
      </c>
      <c r="K18" s="90">
        <f t="shared" si="9"/>
        <v>307358.10847204033</v>
      </c>
      <c r="L18" s="90">
        <f t="shared" si="1"/>
        <v>201800.38542324342</v>
      </c>
      <c r="M18" s="90">
        <f t="shared" si="10"/>
        <v>21539.376206493627</v>
      </c>
      <c r="N18" s="92">
        <f t="shared" si="2"/>
        <v>226.92304572129407</v>
      </c>
      <c r="O18" s="17">
        <f t="shared" si="3"/>
        <v>0</v>
      </c>
      <c r="P18" s="90">
        <f t="shared" si="11"/>
        <v>0</v>
      </c>
      <c r="Q18" s="90">
        <f t="shared" si="12"/>
        <v>0</v>
      </c>
      <c r="R18" s="90">
        <f t="shared" si="4"/>
        <v>0</v>
      </c>
      <c r="S18" s="90">
        <f t="shared" si="13"/>
        <v>0</v>
      </c>
      <c r="T18" s="92">
        <f t="shared" si="5"/>
        <v>0</v>
      </c>
      <c r="U18" s="17">
        <f t="shared" si="14"/>
        <v>880015.77361676318</v>
      </c>
      <c r="V18" s="6">
        <f t="shared" si="6"/>
        <v>227412.79867851918</v>
      </c>
      <c r="X18" s="695" t="s">
        <v>495</v>
      </c>
      <c r="Y18" s="695"/>
      <c r="Z18" s="695"/>
      <c r="AA18" s="695"/>
      <c r="AB18" s="177">
        <f>MIN($AA$16,$Y8)</f>
        <v>0</v>
      </c>
      <c r="AC18" s="177">
        <f>MIN($AA$17,$Y8)</f>
        <v>0</v>
      </c>
    </row>
    <row r="19" spans="1:33" x14ac:dyDescent="0.25">
      <c r="A19" s="75">
        <f t="shared" si="7"/>
        <v>4956.973561107633</v>
      </c>
      <c r="B19" s="2">
        <f t="shared" si="15"/>
        <v>2041</v>
      </c>
      <c r="C19" s="260">
        <f>IF(OR($B19&lt;$Y$6,$B19&gt;'Project Data and Assumptions'!$C$8),0,$AC$35*(1+$AA$15)^($B19-2020))</f>
        <v>27864.616332756945</v>
      </c>
      <c r="D19" s="91">
        <f>IF(OR($B19&lt;$Y$6,$B19&gt;'Project Data and Assumptions'!$C$8),0,$AB$34*(1+$AA$15)^($B19-2020))</f>
        <v>2082.7620004653922</v>
      </c>
      <c r="E19" s="258">
        <f>IF(OR($B19&lt;$Y$6,$B19&gt;'Project Data and Assumptions'!$C$8),0,$AC$34*(1+$AA$15)^($B19-2020))</f>
        <v>16336.221677119704</v>
      </c>
      <c r="F19" s="260">
        <f>IF($B19&gt;'Project Data and Assumptions'!$C$8,0,$AC$30*(1+$AA$15)^($B19-2020))</f>
        <v>0</v>
      </c>
      <c r="G19" s="91">
        <f>IF($B19&gt;'Project Data and Assumptions'!$C$8,0,$AB$29*(1+$AA$15)^($B19-2020))</f>
        <v>0</v>
      </c>
      <c r="H19" s="258">
        <f>IF($B19&gt;'Project Data and Assumptions'!$C$8,0,$AC$29*(1+$AA$15)^($B19-2020))</f>
        <v>0</v>
      </c>
      <c r="I19" s="17">
        <f t="shared" si="0"/>
        <v>351094.16579273751</v>
      </c>
      <c r="J19" s="325">
        <f t="shared" si="8"/>
        <v>4978.6342859124743</v>
      </c>
      <c r="K19" s="90">
        <f t="shared" si="9"/>
        <v>313505.27064148115</v>
      </c>
      <c r="L19" s="90">
        <f t="shared" si="1"/>
        <v>205836.39313170826</v>
      </c>
      <c r="M19" s="90">
        <f t="shared" si="10"/>
        <v>21970.163730623499</v>
      </c>
      <c r="N19" s="92">
        <f t="shared" si="2"/>
        <v>231.46150663571996</v>
      </c>
      <c r="O19" s="17">
        <f t="shared" si="3"/>
        <v>0</v>
      </c>
      <c r="P19" s="90">
        <f t="shared" si="11"/>
        <v>0</v>
      </c>
      <c r="Q19" s="90">
        <f t="shared" si="12"/>
        <v>0</v>
      </c>
      <c r="R19" s="90">
        <f t="shared" si="4"/>
        <v>0</v>
      </c>
      <c r="S19" s="90">
        <f t="shared" si="13"/>
        <v>0</v>
      </c>
      <c r="T19" s="92">
        <f t="shared" si="5"/>
        <v>0</v>
      </c>
      <c r="U19" s="17">
        <f t="shared" si="14"/>
        <v>897616.08908909874</v>
      </c>
      <c r="V19" s="6">
        <f t="shared" si="6"/>
        <v>216786.0323851305</v>
      </c>
      <c r="X19" s="695" t="s">
        <v>496</v>
      </c>
      <c r="Y19" s="695"/>
      <c r="Z19" s="695"/>
      <c r="AA19" s="695"/>
      <c r="AB19" s="177">
        <f>MIN($AA$16,SUM($Y9:$Y10))</f>
        <v>0.84</v>
      </c>
      <c r="AC19" s="177">
        <f>MIN($AA$16,SUM($Y9:$Y10))</f>
        <v>0.84</v>
      </c>
    </row>
    <row r="20" spans="1:33" x14ac:dyDescent="0.25">
      <c r="A20" s="75">
        <f t="shared" si="7"/>
        <v>5056.1130323297857</v>
      </c>
      <c r="B20" s="2">
        <f t="shared" si="15"/>
        <v>2042</v>
      </c>
      <c r="C20" s="260">
        <f>IF(OR($B20&lt;$Y$6,$B20&gt;'Project Data and Assumptions'!$C$8),0,$AC$35*(1+$AA$15)^($B20-2020))</f>
        <v>28421.908659412085</v>
      </c>
      <c r="D20" s="91">
        <f>IF(OR($B20&lt;$Y$6,$B20&gt;'Project Data and Assumptions'!$C$8),0,$AB$34*(1+$AA$15)^($B20-2020))</f>
        <v>2124.4172404747001</v>
      </c>
      <c r="E20" s="258">
        <f>IF(OR($B20&lt;$Y$6,$B20&gt;'Project Data and Assumptions'!$C$8),0,$AC$34*(1+$AA$15)^($B20-2020))</f>
        <v>16662.946110662098</v>
      </c>
      <c r="F20" s="260">
        <f>IF($B20&gt;'Project Data and Assumptions'!$C$8,0,$AC$30*(1+$AA$15)^($B20-2020))</f>
        <v>0</v>
      </c>
      <c r="G20" s="91">
        <f>IF($B20&gt;'Project Data and Assumptions'!$C$8,0,$AB$29*(1+$AA$15)^($B20-2020))</f>
        <v>0</v>
      </c>
      <c r="H20" s="258">
        <f>IF($B20&gt;'Project Data and Assumptions'!$C$8,0,$AC$29*(1+$AA$15)^($B20-2020))</f>
        <v>0</v>
      </c>
      <c r="I20" s="17">
        <f t="shared" si="0"/>
        <v>358116.04910859227</v>
      </c>
      <c r="J20" s="325">
        <f t="shared" si="8"/>
        <v>5078.2069716307233</v>
      </c>
      <c r="K20" s="90">
        <f t="shared" si="9"/>
        <v>319775.37605431076</v>
      </c>
      <c r="L20" s="90">
        <f t="shared" si="1"/>
        <v>209953.12099434246</v>
      </c>
      <c r="M20" s="90">
        <f t="shared" si="10"/>
        <v>22409.567005235971</v>
      </c>
      <c r="N20" s="92">
        <f t="shared" si="2"/>
        <v>236.09073676843434</v>
      </c>
      <c r="O20" s="17">
        <f t="shared" si="3"/>
        <v>0</v>
      </c>
      <c r="P20" s="90">
        <f t="shared" si="11"/>
        <v>0</v>
      </c>
      <c r="Q20" s="90">
        <f t="shared" si="12"/>
        <v>0</v>
      </c>
      <c r="R20" s="90">
        <f t="shared" si="4"/>
        <v>0</v>
      </c>
      <c r="S20" s="90">
        <f t="shared" si="13"/>
        <v>0</v>
      </c>
      <c r="T20" s="92">
        <f t="shared" si="5"/>
        <v>0</v>
      </c>
      <c r="U20" s="17">
        <f t="shared" si="14"/>
        <v>915568.41087088059</v>
      </c>
      <c r="V20" s="6">
        <f t="shared" si="6"/>
        <v>206655.84395591877</v>
      </c>
      <c r="X20" s="568"/>
      <c r="Y20" s="568"/>
      <c r="Z20" s="286"/>
      <c r="AA20" s="93"/>
    </row>
    <row r="21" spans="1:33" x14ac:dyDescent="0.25">
      <c r="A21" s="75">
        <f t="shared" si="7"/>
        <v>5157.2352929763811</v>
      </c>
      <c r="B21" s="2">
        <f t="shared" si="15"/>
        <v>2043</v>
      </c>
      <c r="C21" s="260">
        <f>IF(OR($B21&lt;$Y$6,$B21&gt;'Project Data and Assumptions'!$C$8),0,$AC$35*(1+$AA$15)^($B21-2020))</f>
        <v>28990.34683260032</v>
      </c>
      <c r="D21" s="91">
        <f>IF(OR($B21&lt;$Y$6,$B21&gt;'Project Data and Assumptions'!$C$8),0,$AB$34*(1+$AA$15)^($B21-2020))</f>
        <v>2166.9055852841939</v>
      </c>
      <c r="E21" s="258">
        <f>IF(OR($B21&lt;$Y$6,$B21&gt;'Project Data and Assumptions'!$C$8),0,$AC$34*(1+$AA$15)^($B21-2020))</f>
        <v>16996.205032875339</v>
      </c>
      <c r="F21" s="260">
        <f>IF($B21&gt;'Project Data and Assumptions'!$C$8,0,$AC$30*(1+$AA$15)^($B21-2020))</f>
        <v>0</v>
      </c>
      <c r="G21" s="91">
        <f>IF($B21&gt;'Project Data and Assumptions'!$C$8,0,$AB$29*(1+$AA$15)^($B21-2020))</f>
        <v>0</v>
      </c>
      <c r="H21" s="258">
        <f>IF($B21&gt;'Project Data and Assumptions'!$C$8,0,$AC$29*(1+$AA$15)^($B21-2020))</f>
        <v>0</v>
      </c>
      <c r="I21" s="17">
        <f t="shared" si="0"/>
        <v>365278.37009076402</v>
      </c>
      <c r="J21" s="325">
        <f t="shared" si="8"/>
        <v>5179.7711110633372</v>
      </c>
      <c r="K21" s="90">
        <f t="shared" si="9"/>
        <v>326170.8835753969</v>
      </c>
      <c r="L21" s="90">
        <f t="shared" si="1"/>
        <v>214152.18341422928</v>
      </c>
      <c r="M21" s="90">
        <f t="shared" si="10"/>
        <v>22857.758345340688</v>
      </c>
      <c r="N21" s="92">
        <f t="shared" si="2"/>
        <v>240.81255150380304</v>
      </c>
      <c r="O21" s="17">
        <f t="shared" si="3"/>
        <v>0</v>
      </c>
      <c r="P21" s="90">
        <f t="shared" si="11"/>
        <v>0</v>
      </c>
      <c r="Q21" s="90">
        <f t="shared" si="12"/>
        <v>0</v>
      </c>
      <c r="R21" s="90">
        <f t="shared" si="4"/>
        <v>0</v>
      </c>
      <c r="S21" s="90">
        <f t="shared" si="13"/>
        <v>0</v>
      </c>
      <c r="T21" s="92">
        <f t="shared" si="5"/>
        <v>0</v>
      </c>
      <c r="U21" s="17">
        <f t="shared" si="14"/>
        <v>933879.77908829809</v>
      </c>
      <c r="V21" s="6">
        <f t="shared" si="6"/>
        <v>196999.02881779167</v>
      </c>
      <c r="X21" s="28"/>
      <c r="Y21" s="28"/>
      <c r="Z21" s="570"/>
      <c r="AA21" s="570"/>
      <c r="AB21" s="570"/>
      <c r="AC21" s="570"/>
      <c r="AD21" s="547"/>
    </row>
    <row r="22" spans="1:33" x14ac:dyDescent="0.25">
      <c r="A22" s="75">
        <f t="shared" si="7"/>
        <v>5260.3799988359087</v>
      </c>
      <c r="B22" s="2">
        <f t="shared" si="15"/>
        <v>2044</v>
      </c>
      <c r="C22" s="260">
        <f>IF(OR($B22&lt;$Y$6,$B22&gt;'Project Data and Assumptions'!$C$8),0,$AC$35*(1+$AA$15)^($B22-2020))</f>
        <v>29570.153769252331</v>
      </c>
      <c r="D22" s="91">
        <f>IF(OR($B22&lt;$Y$6,$B22&gt;'Project Data and Assumptions'!$C$8),0,$AB$34*(1+$AA$15)^($B22-2020))</f>
        <v>2210.2436969898777</v>
      </c>
      <c r="E22" s="258">
        <f>IF(OR($B22&lt;$Y$6,$B22&gt;'Project Data and Assumptions'!$C$8),0,$AC$34*(1+$AA$15)^($B22-2020))</f>
        <v>17336.129133532846</v>
      </c>
      <c r="F22" s="260">
        <f>IF($B22&gt;'Project Data and Assumptions'!$C$8,0,$AC$30*(1+$AA$15)^($B22-2020))</f>
        <v>0</v>
      </c>
      <c r="G22" s="91">
        <f>IF($B22&gt;'Project Data and Assumptions'!$C$8,0,$AB$29*(1+$AA$15)^($B22-2020))</f>
        <v>0</v>
      </c>
      <c r="H22" s="258">
        <f>IF($B22&gt;'Project Data and Assumptions'!$C$8,0,$AC$29*(1+$AA$15)^($B22-2020))</f>
        <v>0</v>
      </c>
      <c r="I22" s="17">
        <f t="shared" si="0"/>
        <v>372583.9374925794</v>
      </c>
      <c r="J22" s="325">
        <f t="shared" si="8"/>
        <v>5283.366533284604</v>
      </c>
      <c r="K22" s="90">
        <f t="shared" si="9"/>
        <v>332694.30124690488</v>
      </c>
      <c r="L22" s="90">
        <f t="shared" si="1"/>
        <v>218435.22708251385</v>
      </c>
      <c r="M22" s="90">
        <f t="shared" si="10"/>
        <v>23314.913512247502</v>
      </c>
      <c r="N22" s="92">
        <f t="shared" si="2"/>
        <v>245.62880253387908</v>
      </c>
      <c r="O22" s="17">
        <f t="shared" si="3"/>
        <v>0</v>
      </c>
      <c r="P22" s="90">
        <f t="shared" si="11"/>
        <v>0</v>
      </c>
      <c r="Q22" s="90">
        <f t="shared" si="12"/>
        <v>0</v>
      </c>
      <c r="R22" s="90">
        <f t="shared" si="4"/>
        <v>0</v>
      </c>
      <c r="S22" s="90">
        <f t="shared" si="13"/>
        <v>0</v>
      </c>
      <c r="T22" s="92">
        <f t="shared" si="5"/>
        <v>0</v>
      </c>
      <c r="U22" s="17">
        <f t="shared" si="14"/>
        <v>952557.37467006408</v>
      </c>
      <c r="V22" s="6">
        <f t="shared" si="6"/>
        <v>187793.46672350235</v>
      </c>
      <c r="X22" s="571" t="s">
        <v>640</v>
      </c>
      <c r="Y22" s="28"/>
      <c r="Z22" s="570"/>
      <c r="AA22" s="570"/>
      <c r="AB22" s="570"/>
      <c r="AC22" s="570"/>
      <c r="AD22" s="547"/>
    </row>
    <row r="23" spans="1:33" x14ac:dyDescent="0.25">
      <c r="A23" s="75">
        <f t="shared" si="7"/>
        <v>5365.5875988126263</v>
      </c>
      <c r="B23" s="2">
        <f t="shared" si="15"/>
        <v>2045</v>
      </c>
      <c r="C23" s="260">
        <f>IF(OR($B23&lt;$Y$6,$B23&gt;'Project Data and Assumptions'!$C$8),0,$AC$35*(1+$AA$15)^($B23-2020))</f>
        <v>30161.556844637376</v>
      </c>
      <c r="D23" s="91">
        <f>IF(OR($B23&lt;$Y$6,$B23&gt;'Project Data and Assumptions'!$C$8),0,$AB$34*(1+$AA$15)^($B23-2020))</f>
        <v>2254.448570929675</v>
      </c>
      <c r="E23" s="258">
        <f>IF(OR($B23&lt;$Y$6,$B23&gt;'Project Data and Assumptions'!$C$8),0,$AC$34*(1+$AA$15)^($B23-2020))</f>
        <v>17682.851716203502</v>
      </c>
      <c r="F23" s="260">
        <f>IF($B23&gt;'Project Data and Assumptions'!$C$8,0,$AC$30*(1+$AA$15)^($B23-2020))</f>
        <v>0</v>
      </c>
      <c r="G23" s="91">
        <f>IF($B23&gt;'Project Data and Assumptions'!$C$8,0,$AB$29*(1+$AA$15)^($B23-2020))</f>
        <v>0</v>
      </c>
      <c r="H23" s="258">
        <f>IF($B23&gt;'Project Data and Assumptions'!$C$8,0,$AC$29*(1+$AA$15)^($B23-2020))</f>
        <v>0</v>
      </c>
      <c r="I23" s="17">
        <f t="shared" si="0"/>
        <v>380035.61624243093</v>
      </c>
      <c r="J23" s="325">
        <f t="shared" si="8"/>
        <v>5389.0338639502961</v>
      </c>
      <c r="K23" s="90">
        <f t="shared" si="9"/>
        <v>339348.18727184297</v>
      </c>
      <c r="L23" s="90">
        <f t="shared" si="1"/>
        <v>222803.93162416414</v>
      </c>
      <c r="M23" s="90">
        <f t="shared" si="10"/>
        <v>23781.21178249245</v>
      </c>
      <c r="N23" s="92">
        <f t="shared" si="2"/>
        <v>250.54137858455664</v>
      </c>
      <c r="O23" s="17">
        <f t="shared" si="3"/>
        <v>0</v>
      </c>
      <c r="P23" s="90">
        <f t="shared" si="11"/>
        <v>0</v>
      </c>
      <c r="Q23" s="90">
        <f t="shared" si="12"/>
        <v>0</v>
      </c>
      <c r="R23" s="90">
        <f t="shared" si="4"/>
        <v>0</v>
      </c>
      <c r="S23" s="90">
        <f t="shared" si="13"/>
        <v>0</v>
      </c>
      <c r="T23" s="92">
        <f t="shared" si="5"/>
        <v>0</v>
      </c>
      <c r="U23" s="17">
        <f t="shared" si="14"/>
        <v>971608.52216346527</v>
      </c>
      <c r="V23" s="6">
        <f t="shared" si="6"/>
        <v>179018.07108221715</v>
      </c>
      <c r="X23" s="547"/>
      <c r="Y23" s="547"/>
      <c r="Z23" s="288" t="s">
        <v>23</v>
      </c>
      <c r="AA23" s="288" t="s">
        <v>468</v>
      </c>
      <c r="AB23" s="288" t="s">
        <v>53</v>
      </c>
      <c r="AC23" s="288" t="s">
        <v>261</v>
      </c>
      <c r="AD23" s="288" t="s">
        <v>486</v>
      </c>
    </row>
    <row r="24" spans="1:33" x14ac:dyDescent="0.25">
      <c r="A24" s="75">
        <f t="shared" si="7"/>
        <v>5472.899350788879</v>
      </c>
      <c r="B24" s="2">
        <f t="shared" si="15"/>
        <v>2046</v>
      </c>
      <c r="C24" s="260">
        <f>IF(OR($B24&lt;$Y$6,$B24&gt;'Project Data and Assumptions'!$C$8),0,$AC$35*(1+$AA$15)^($B24-2020))</f>
        <v>30764.787981530128</v>
      </c>
      <c r="D24" s="91">
        <f>IF(OR($B24&lt;$Y$6,$B24&gt;'Project Data and Assumptions'!$C$8),0,$AB$34*(1+$AA$15)^($B24-2020))</f>
        <v>2299.5375423482687</v>
      </c>
      <c r="E24" s="258">
        <f>IF(OR($B24&lt;$Y$6,$B24&gt;'Project Data and Assumptions'!$C$8),0,$AC$34*(1+$AA$15)^($B24-2020))</f>
        <v>18036.508750527573</v>
      </c>
      <c r="F24" s="260">
        <f>IF($B24&gt;'Project Data and Assumptions'!$C$8,0,$AC$30*(1+$AA$15)^($B24-2020))</f>
        <v>0</v>
      </c>
      <c r="G24" s="91">
        <f>IF($B24&gt;'Project Data and Assumptions'!$C$8,0,$AB$29*(1+$AA$15)^($B24-2020))</f>
        <v>0</v>
      </c>
      <c r="H24" s="258">
        <f>IF($B24&gt;'Project Data and Assumptions'!$C$8,0,$AC$29*(1+$AA$15)^($B24-2020))</f>
        <v>0</v>
      </c>
      <c r="I24" s="17">
        <f t="shared" si="0"/>
        <v>387636.32856727962</v>
      </c>
      <c r="J24" s="325">
        <f t="shared" si="8"/>
        <v>5496.8145412293015</v>
      </c>
      <c r="K24" s="90">
        <f t="shared" si="9"/>
        <v>346135.15101727983</v>
      </c>
      <c r="L24" s="90">
        <f t="shared" si="1"/>
        <v>227260.01025664742</v>
      </c>
      <c r="M24" s="90">
        <f t="shared" si="10"/>
        <v>24256.836018142301</v>
      </c>
      <c r="N24" s="92">
        <f t="shared" si="2"/>
        <v>255.55220615624776</v>
      </c>
      <c r="O24" s="17">
        <f t="shared" si="3"/>
        <v>0</v>
      </c>
      <c r="P24" s="90">
        <f t="shared" si="11"/>
        <v>0</v>
      </c>
      <c r="Q24" s="90">
        <f t="shared" si="12"/>
        <v>0</v>
      </c>
      <c r="R24" s="90">
        <f t="shared" si="4"/>
        <v>0</v>
      </c>
      <c r="S24" s="90">
        <f t="shared" si="13"/>
        <v>0</v>
      </c>
      <c r="T24" s="92">
        <f t="shared" si="5"/>
        <v>0</v>
      </c>
      <c r="U24" s="17">
        <f t="shared" si="14"/>
        <v>991040.69260673469</v>
      </c>
      <c r="V24" s="6">
        <f t="shared" si="6"/>
        <v>170652.74065781455</v>
      </c>
      <c r="X24" s="709" t="s">
        <v>191</v>
      </c>
      <c r="Y24" s="709"/>
      <c r="Z24" s="327">
        <f>'Shingle Creek'!$B$6*'Shingle Creek'!$B$3</f>
        <v>121524</v>
      </c>
      <c r="AA24" s="327">
        <f>Z24*(SUM('Shingle Creek'!$B$27:$B$30)+'Shingle Creek'!$B$26*5/7)</f>
        <v>93635.283634285719</v>
      </c>
      <c r="AB24" s="327">
        <f>SUM($Z24:$Z25)*'Shingle Creek'!$C$11</f>
        <v>13741.56</v>
      </c>
      <c r="AC24" s="327">
        <f>Z24-AB24</f>
        <v>107782.44</v>
      </c>
      <c r="AD24" s="328">
        <f>AA24/Z24</f>
        <v>0.77050857142857143</v>
      </c>
    </row>
    <row r="25" spans="1:33" x14ac:dyDescent="0.25">
      <c r="A25" s="75">
        <f t="shared" si="7"/>
        <v>5582.3573378046558</v>
      </c>
      <c r="B25" s="2">
        <f t="shared" si="15"/>
        <v>2047</v>
      </c>
      <c r="C25" s="260">
        <f>IF(OR($B25&lt;$Y$6,$B25&gt;'Project Data and Assumptions'!$C$8),0,$AC$35*(1+$AA$15)^($B25-2020))</f>
        <v>31380.083741160724</v>
      </c>
      <c r="D25" s="91">
        <f>IF(OR($B25&lt;$Y$6,$B25&gt;'Project Data and Assumptions'!$C$8),0,$AB$34*(1+$AA$15)^($B25-2020))</f>
        <v>2345.5282931952338</v>
      </c>
      <c r="E25" s="258">
        <f>IF(OR($B25&lt;$Y$6,$B25&gt;'Project Data and Assumptions'!$C$8),0,$AC$34*(1+$AA$15)^($B25-2020))</f>
        <v>18397.238925538124</v>
      </c>
      <c r="F25" s="260">
        <f>IF($B25&gt;'Project Data and Assumptions'!$C$8,0,$AC$30*(1+$AA$15)^($B25-2020))</f>
        <v>0</v>
      </c>
      <c r="G25" s="91">
        <f>IF($B25&gt;'Project Data and Assumptions'!$C$8,0,$AB$29*(1+$AA$15)^($B25-2020))</f>
        <v>0</v>
      </c>
      <c r="H25" s="258">
        <f>IF($B25&gt;'Project Data and Assumptions'!$C$8,0,$AC$29*(1+$AA$15)^($B25-2020))</f>
        <v>0</v>
      </c>
      <c r="I25" s="17">
        <f t="shared" si="0"/>
        <v>395389.05513862515</v>
      </c>
      <c r="J25" s="325">
        <f t="shared" si="8"/>
        <v>5606.7508320538873</v>
      </c>
      <c r="K25" s="90">
        <f t="shared" si="9"/>
        <v>353057.85403762542</v>
      </c>
      <c r="L25" s="90">
        <f t="shared" si="1"/>
        <v>231805.21046178037</v>
      </c>
      <c r="M25" s="90">
        <f t="shared" si="10"/>
        <v>24741.972738505148</v>
      </c>
      <c r="N25" s="92">
        <f t="shared" si="2"/>
        <v>260.66325027937273</v>
      </c>
      <c r="O25" s="17">
        <f t="shared" si="3"/>
        <v>0</v>
      </c>
      <c r="P25" s="90">
        <f t="shared" si="11"/>
        <v>0</v>
      </c>
      <c r="Q25" s="90">
        <f t="shared" si="12"/>
        <v>0</v>
      </c>
      <c r="R25" s="90">
        <f t="shared" si="4"/>
        <v>0</v>
      </c>
      <c r="S25" s="90">
        <f t="shared" si="13"/>
        <v>0</v>
      </c>
      <c r="T25" s="92">
        <f t="shared" si="5"/>
        <v>0</v>
      </c>
      <c r="U25" s="17">
        <f t="shared" si="14"/>
        <v>1010861.5064588694</v>
      </c>
      <c r="V25" s="6">
        <f t="shared" si="6"/>
        <v>162678.31352427177</v>
      </c>
      <c r="X25" s="709" t="s">
        <v>190</v>
      </c>
      <c r="Y25" s="709"/>
      <c r="Z25" s="327">
        <f>'Shingle Creek'!$B$6*SUM('Shingle Creek'!C3:D3)</f>
        <v>183844.00000000003</v>
      </c>
      <c r="AA25" s="327">
        <f>Z25*(SUM('Shingle Creek'!$B$27:$B$30)+'Shingle Creek'!$B$26*5/7)</f>
        <v>141653.37780571432</v>
      </c>
      <c r="AB25" s="327">
        <v>0</v>
      </c>
      <c r="AC25" s="327">
        <f>Z25-AB25</f>
        <v>183844.00000000003</v>
      </c>
      <c r="AD25" s="328">
        <f>AA25/Z25</f>
        <v>0.77050857142857154</v>
      </c>
      <c r="AG25" s="112" t="s">
        <v>64</v>
      </c>
    </row>
    <row r="26" spans="1:33" x14ac:dyDescent="0.25">
      <c r="A26" s="75">
        <f t="shared" si="7"/>
        <v>5694.0044845607499</v>
      </c>
      <c r="B26" s="361">
        <f t="shared" si="15"/>
        <v>2048</v>
      </c>
      <c r="C26" s="362">
        <f>IF(OR($B26&lt;$Y$6,$B26&gt;'Project Data and Assumptions'!$C$8),0,$AC$35*(1+$AA$15)^($B26-2020))</f>
        <v>32007.685415983946</v>
      </c>
      <c r="D26" s="363">
        <f>IF(OR($B26&lt;$Y$6,$B26&gt;'Project Data and Assumptions'!$C$8),0,$AB$34*(1+$AA$15)^($B26-2020))</f>
        <v>2392.4388590591388</v>
      </c>
      <c r="E26" s="364">
        <f>IF(OR($B26&lt;$Y$6,$B26&gt;'Project Data and Assumptions'!$C$8),0,$AC$34*(1+$AA$15)^($B26-2020))</f>
        <v>18765.18370404889</v>
      </c>
      <c r="F26" s="362">
        <f>IF($B26&gt;'Project Data and Assumptions'!$C$8,0,$AC$30*(1+$AA$15)^($B26-2020))</f>
        <v>0</v>
      </c>
      <c r="G26" s="363">
        <f>IF($B26&gt;'Project Data and Assumptions'!$C$8,0,$AB$29*(1+$AA$15)^($B26-2020))</f>
        <v>0</v>
      </c>
      <c r="H26" s="364">
        <f>IF($B26&gt;'Project Data and Assumptions'!$C$8,0,$AC$29*(1+$AA$15)^($B26-2020))</f>
        <v>0</v>
      </c>
      <c r="I26" s="120">
        <f t="shared" si="0"/>
        <v>403296.83624139772</v>
      </c>
      <c r="J26" s="326">
        <f t="shared" si="8"/>
        <v>5718.8858486949666</v>
      </c>
      <c r="K26" s="121">
        <f t="shared" si="9"/>
        <v>360119.01111837802</v>
      </c>
      <c r="L26" s="121">
        <f t="shared" si="1"/>
        <v>236441.31467101601</v>
      </c>
      <c r="M26" s="121">
        <f t="shared" si="10"/>
        <v>25236.812193275255</v>
      </c>
      <c r="N26" s="123">
        <f t="shared" si="2"/>
        <v>265.87651528496019</v>
      </c>
      <c r="O26" s="120">
        <f t="shared" si="3"/>
        <v>0</v>
      </c>
      <c r="P26" s="121">
        <f t="shared" si="11"/>
        <v>0</v>
      </c>
      <c r="Q26" s="121">
        <f t="shared" si="12"/>
        <v>0</v>
      </c>
      <c r="R26" s="121">
        <f t="shared" si="4"/>
        <v>0</v>
      </c>
      <c r="S26" s="121">
        <f t="shared" si="13"/>
        <v>0</v>
      </c>
      <c r="T26" s="123">
        <f t="shared" si="5"/>
        <v>0</v>
      </c>
      <c r="U26" s="120">
        <f t="shared" si="14"/>
        <v>1031078.736588047</v>
      </c>
      <c r="V26" s="369">
        <f t="shared" si="6"/>
        <v>155076.52317267034</v>
      </c>
      <c r="X26" s="28"/>
      <c r="Y26" s="28"/>
      <c r="Z26" s="573"/>
      <c r="AA26" s="573"/>
      <c r="AB26" s="573"/>
      <c r="AC26" s="570"/>
      <c r="AD26" s="547"/>
      <c r="AG26" s="112" t="s">
        <v>65</v>
      </c>
    </row>
    <row r="27" spans="1:33" x14ac:dyDescent="0.25">
      <c r="A27" s="75">
        <f t="shared" si="7"/>
        <v>5807.8845742519643</v>
      </c>
      <c r="B27" s="2">
        <f t="shared" si="15"/>
        <v>2049</v>
      </c>
      <c r="C27" s="260">
        <f>IF(OR($B27&lt;$Y$6,$B27&gt;'Project Data and Assumptions'!$C$8),0,$AC$35*(1+$AA$15)^($B27-2020))</f>
        <v>32647.83912430362</v>
      </c>
      <c r="D27" s="91">
        <f>IF(OR($B27&lt;$Y$6,$B27&gt;'Project Data and Assumptions'!$C$8),0,$AB$34*(1+$AA$15)^($B27-2020))</f>
        <v>2440.2876362403213</v>
      </c>
      <c r="E27" s="258">
        <f>IF(OR($B27&lt;$Y$6,$B27&gt;'Project Data and Assumptions'!$C$8),0,$AC$34*(1+$AA$15)^($B27-2020))</f>
        <v>19140.487378129863</v>
      </c>
      <c r="F27" s="260">
        <f>IF($B27&gt;'Project Data and Assumptions'!$C$8,0,$AC$30*(1+$AA$15)^($B27-2020))</f>
        <v>0</v>
      </c>
      <c r="G27" s="91">
        <f>IF($B27&gt;'Project Data and Assumptions'!$C$8,0,$AB$29*(1+$AA$15)^($B27-2020))</f>
        <v>0</v>
      </c>
      <c r="H27" s="258">
        <f>IF($B27&gt;'Project Data and Assumptions'!$C$8,0,$AC$29*(1+$AA$15)^($B27-2020))</f>
        <v>0</v>
      </c>
      <c r="I27" s="120">
        <f t="shared" si="0"/>
        <v>411362.77296622563</v>
      </c>
      <c r="J27" s="326">
        <f t="shared" ref="J27:J29" si="16">(D27*$AA$40)*$AA$38*$AA$39</f>
        <v>5833.2635656688653</v>
      </c>
      <c r="K27" s="121">
        <f t="shared" ref="K27:K29" si="17">C27*$AA$43+SUM(D27:E27)*$AA$44</f>
        <v>367321.3913407455</v>
      </c>
      <c r="L27" s="121">
        <f t="shared" si="1"/>
        <v>241170.14096443629</v>
      </c>
      <c r="M27" s="121">
        <f t="shared" ref="M27:M29" si="18">SUM(D27:E27)*$AA$52</f>
        <v>25741.548437140755</v>
      </c>
      <c r="N27" s="123">
        <f t="shared" si="2"/>
        <v>271.19404559065936</v>
      </c>
      <c r="O27" s="120">
        <f t="shared" si="3"/>
        <v>0</v>
      </c>
      <c r="P27" s="121">
        <f t="shared" ref="P27:P29" si="19">(G27*$AA$40)*$AA$38*$AA$39</f>
        <v>0</v>
      </c>
      <c r="Q27" s="121">
        <f t="shared" ref="Q27:Q29" si="20">F27*$AA$43+SUM(G27:H27)*$AA$44</f>
        <v>0</v>
      </c>
      <c r="R27" s="121">
        <f t="shared" si="4"/>
        <v>0</v>
      </c>
      <c r="S27" s="121">
        <f t="shared" ref="S27:S29" si="21">SUM(G27:H27)*$AA$52</f>
        <v>0</v>
      </c>
      <c r="T27" s="123">
        <f t="shared" si="5"/>
        <v>0</v>
      </c>
      <c r="U27" s="17">
        <f t="shared" ref="U27:U29" si="22">SUM(I27:T27)</f>
        <v>1051700.3113198075</v>
      </c>
      <c r="V27" s="6">
        <f t="shared" si="6"/>
        <v>147829.95666927448</v>
      </c>
      <c r="X27" s="32" t="s">
        <v>641</v>
      </c>
      <c r="Y27" s="30"/>
      <c r="Z27" s="100"/>
      <c r="AA27" s="100"/>
      <c r="AB27" s="100"/>
      <c r="AC27" s="100"/>
    </row>
    <row r="28" spans="1:33" x14ac:dyDescent="0.25">
      <c r="A28" s="75">
        <f t="shared" si="7"/>
        <v>5924.0422657370054</v>
      </c>
      <c r="B28" s="2">
        <f t="shared" si="15"/>
        <v>2050</v>
      </c>
      <c r="C28" s="260">
        <f>IF(OR($B28&lt;$Y$6,$B28&gt;'Project Data and Assumptions'!$C$8),0,$AC$35*(1+$AA$15)^($B28-2020))</f>
        <v>33300.795906789695</v>
      </c>
      <c r="D28" s="91">
        <f>IF(OR($B28&lt;$Y$6,$B28&gt;'Project Data and Assumptions'!$C$8),0,$AB$34*(1+$AA$15)^($B28-2020))</f>
        <v>2489.0933889651283</v>
      </c>
      <c r="E28" s="258">
        <f>IF(OR($B28&lt;$Y$6,$B28&gt;'Project Data and Assumptions'!$C$8),0,$AC$34*(1+$AA$15)^($B28-2020))</f>
        <v>19523.297125692461</v>
      </c>
      <c r="F28" s="260">
        <f>IF($B28&gt;'Project Data and Assumptions'!$C$8,0,$AC$30*(1+$AA$15)^($B28-2020))</f>
        <v>0</v>
      </c>
      <c r="G28" s="91">
        <f>IF($B28&gt;'Project Data and Assumptions'!$C$8,0,$AB$29*(1+$AA$15)^($B28-2020))</f>
        <v>0</v>
      </c>
      <c r="H28" s="258">
        <f>IF($B28&gt;'Project Data and Assumptions'!$C$8,0,$AC$29*(1+$AA$15)^($B28-2020))</f>
        <v>0</v>
      </c>
      <c r="I28" s="120">
        <f t="shared" si="0"/>
        <v>419590.02842555015</v>
      </c>
      <c r="J28" s="326">
        <f t="shared" si="16"/>
        <v>5949.9288369822434</v>
      </c>
      <c r="K28" s="121">
        <f t="shared" si="17"/>
        <v>374667.81916756043</v>
      </c>
      <c r="L28" s="121">
        <f t="shared" si="1"/>
        <v>245993.54378372501</v>
      </c>
      <c r="M28" s="121">
        <f t="shared" si="18"/>
        <v>26256.37940588357</v>
      </c>
      <c r="N28" s="123">
        <f t="shared" si="2"/>
        <v>276.61792650247264</v>
      </c>
      <c r="O28" s="120">
        <f t="shared" si="3"/>
        <v>0</v>
      </c>
      <c r="P28" s="121">
        <f t="shared" si="19"/>
        <v>0</v>
      </c>
      <c r="Q28" s="121">
        <f t="shared" si="20"/>
        <v>0</v>
      </c>
      <c r="R28" s="121">
        <f t="shared" si="4"/>
        <v>0</v>
      </c>
      <c r="S28" s="121">
        <f t="shared" si="21"/>
        <v>0</v>
      </c>
      <c r="T28" s="123">
        <f t="shared" si="5"/>
        <v>0</v>
      </c>
      <c r="U28" s="17">
        <f t="shared" si="22"/>
        <v>1072734.3175462037</v>
      </c>
      <c r="V28" s="6">
        <f t="shared" si="6"/>
        <v>140922.01476884109</v>
      </c>
      <c r="Z28" s="94" t="s">
        <v>23</v>
      </c>
      <c r="AA28" s="94" t="s">
        <v>468</v>
      </c>
      <c r="AB28" s="94" t="s">
        <v>53</v>
      </c>
      <c r="AC28" s="94" t="s">
        <v>261</v>
      </c>
      <c r="AD28" s="288" t="s">
        <v>486</v>
      </c>
    </row>
    <row r="29" spans="1:33" ht="15.75" thickBot="1" x14ac:dyDescent="0.3">
      <c r="A29" s="75">
        <f t="shared" si="7"/>
        <v>0</v>
      </c>
      <c r="B29" s="365">
        <f t="shared" si="15"/>
        <v>2051</v>
      </c>
      <c r="C29" s="366">
        <f>IF(OR($B29&lt;$Y$6,$B29&gt;'Project Data and Assumptions'!$C$8),0,$AC$35*(1+$AA$15)^($B29-2020))</f>
        <v>0</v>
      </c>
      <c r="D29" s="367">
        <f>IF(OR($B29&lt;$Y$6,$B29&gt;'Project Data and Assumptions'!$C$8),0,$AB$34*(1+$AA$15)^($B29-2020))</f>
        <v>0</v>
      </c>
      <c r="E29" s="368">
        <f>IF(OR($B29&lt;$Y$6,$B29&gt;'Project Data and Assumptions'!$C$8),0,$AC$34*(1+$AA$15)^($B29-2020))</f>
        <v>0</v>
      </c>
      <c r="F29" s="366">
        <f>IF($B29&gt;'Project Data and Assumptions'!$C$8,0,$AC$30*(1+$AA$15)^($B29-2020))</f>
        <v>0</v>
      </c>
      <c r="G29" s="367">
        <f>IF($B29&gt;'Project Data and Assumptions'!$C$8,0,$AB$29*(1+$AA$15)^($B29-2020))</f>
        <v>0</v>
      </c>
      <c r="H29" s="368">
        <f>IF($B29&gt;'Project Data and Assumptions'!$C$8,0,$AC$29*(1+$AA$15)^($B29-2020))</f>
        <v>0</v>
      </c>
      <c r="I29" s="120">
        <f t="shared" si="0"/>
        <v>0</v>
      </c>
      <c r="J29" s="326">
        <f t="shared" si="16"/>
        <v>0</v>
      </c>
      <c r="K29" s="121">
        <f t="shared" si="17"/>
        <v>0</v>
      </c>
      <c r="L29" s="121">
        <f t="shared" si="1"/>
        <v>0</v>
      </c>
      <c r="M29" s="121">
        <f t="shared" si="18"/>
        <v>0</v>
      </c>
      <c r="N29" s="123">
        <f t="shared" si="2"/>
        <v>0</v>
      </c>
      <c r="O29" s="120">
        <f t="shared" si="3"/>
        <v>0</v>
      </c>
      <c r="P29" s="121">
        <f t="shared" si="19"/>
        <v>0</v>
      </c>
      <c r="Q29" s="121">
        <f t="shared" si="20"/>
        <v>0</v>
      </c>
      <c r="R29" s="121">
        <f t="shared" si="4"/>
        <v>0</v>
      </c>
      <c r="S29" s="121">
        <f t="shared" si="21"/>
        <v>0</v>
      </c>
      <c r="T29" s="123">
        <f t="shared" si="5"/>
        <v>0</v>
      </c>
      <c r="U29" s="143">
        <f t="shared" si="22"/>
        <v>0</v>
      </c>
      <c r="V29" s="144">
        <f t="shared" si="6"/>
        <v>0</v>
      </c>
      <c r="X29" s="698" t="s">
        <v>191</v>
      </c>
      <c r="Y29" s="698"/>
      <c r="Z29" s="327">
        <f>$Y$8/$Y$7*Z24</f>
        <v>0</v>
      </c>
      <c r="AA29" s="289">
        <f>Z29*(SUM('Shingle Creek'!$B$27:$B$30)+'Shingle Creek'!$B$26*5/7)</f>
        <v>0</v>
      </c>
      <c r="AB29" s="289">
        <f>SUM($Z29:$Z30)*'Shingle Creek'!$C$11</f>
        <v>0</v>
      </c>
      <c r="AC29" s="327">
        <f>Z29-AB29</f>
        <v>0</v>
      </c>
      <c r="AD29" s="328">
        <f>IFERROR(AA29/Z29,0)</f>
        <v>0</v>
      </c>
    </row>
    <row r="30" spans="1:33" ht="15.75" thickBot="1" x14ac:dyDescent="0.3">
      <c r="A30" s="75"/>
      <c r="B30" s="4"/>
      <c r="D30" s="4"/>
      <c r="G30" s="4"/>
      <c r="H30" s="97" t="s">
        <v>2</v>
      </c>
      <c r="I30" s="140">
        <f>SUM(I7:I29)</f>
        <v>7557323.7639976507</v>
      </c>
      <c r="J30" s="141">
        <f t="shared" ref="J30:N30" si="23">SUM(J7:J29)</f>
        <v>107165.41277815247</v>
      </c>
      <c r="K30" s="141">
        <f t="shared" si="23"/>
        <v>6748220.457061179</v>
      </c>
      <c r="L30" s="141">
        <f t="shared" si="23"/>
        <v>4430641.1694352319</v>
      </c>
      <c r="M30" s="141">
        <f t="shared" si="23"/>
        <v>472909.14129964943</v>
      </c>
      <c r="N30" s="142">
        <f t="shared" si="23"/>
        <v>4982.2233320204314</v>
      </c>
      <c r="O30" s="140">
        <f t="shared" ref="O30" si="24">SUM(O7:O29)</f>
        <v>0</v>
      </c>
      <c r="P30" s="141">
        <f t="shared" ref="P30" si="25">SUM(P7:P29)</f>
        <v>0</v>
      </c>
      <c r="Q30" s="141">
        <f t="shared" ref="Q30" si="26">SUM(Q7:Q29)</f>
        <v>0</v>
      </c>
      <c r="R30" s="141">
        <f t="shared" ref="R30" si="27">SUM(R7:R29)</f>
        <v>0</v>
      </c>
      <c r="S30" s="141">
        <f t="shared" ref="S30" si="28">SUM(S7:S29)</f>
        <v>0</v>
      </c>
      <c r="T30" s="142">
        <f t="shared" ref="T30" si="29">SUM(T7:T29)</f>
        <v>0</v>
      </c>
      <c r="U30" s="143">
        <f t="shared" ref="U30" si="30">SUM(U7:U29)</f>
        <v>19321242.167903885</v>
      </c>
      <c r="V30" s="144">
        <f t="shared" ref="V30" si="31">SUM(V7:V29)</f>
        <v>5363694.6050868155</v>
      </c>
      <c r="X30" s="698" t="s">
        <v>190</v>
      </c>
      <c r="Y30" s="698"/>
      <c r="Z30" s="327">
        <f>$Y$8/$Y$7*Z25</f>
        <v>0</v>
      </c>
      <c r="AA30" s="289">
        <f>Z30*(SUM('Shingle Creek'!$B$27:$B$30)+'Shingle Creek'!$B$26*5/7)</f>
        <v>0</v>
      </c>
      <c r="AB30" s="289">
        <f>SUM($Z29:$Z30)*'Shingle Creek'!$C$11</f>
        <v>0</v>
      </c>
      <c r="AC30" s="327">
        <f>Z30-AB30</f>
        <v>0</v>
      </c>
      <c r="AD30" s="328">
        <f>IFERROR(AA30/Z30,0)</f>
        <v>0</v>
      </c>
    </row>
    <row r="31" spans="1:33" ht="15" customHeight="1" x14ac:dyDescent="0.25">
      <c r="A31" s="75"/>
      <c r="B31" s="4"/>
      <c r="D31" s="4"/>
      <c r="F31" s="97"/>
      <c r="G31" s="4"/>
      <c r="H31" s="4"/>
      <c r="I31" s="98"/>
      <c r="J31" s="98"/>
      <c r="K31" s="98"/>
      <c r="L31" s="98"/>
      <c r="M31" s="98"/>
      <c r="N31" s="98"/>
      <c r="O31" s="98"/>
      <c r="P31" s="98"/>
      <c r="Q31" s="98"/>
      <c r="R31" s="98"/>
      <c r="S31" s="98"/>
      <c r="T31" s="98"/>
      <c r="U31" s="98"/>
      <c r="V31" s="98"/>
      <c r="X31" s="30"/>
      <c r="Y31" s="30"/>
      <c r="Z31" s="114"/>
      <c r="AA31" s="114"/>
      <c r="AB31" s="114"/>
      <c r="AC31" s="100"/>
    </row>
    <row r="32" spans="1:33" ht="15" customHeight="1" x14ac:dyDescent="0.25">
      <c r="D32" s="99"/>
      <c r="U32" s="30"/>
      <c r="X32" s="32" t="s">
        <v>642</v>
      </c>
      <c r="Y32" s="30"/>
      <c r="Z32" s="100"/>
      <c r="AA32" s="100"/>
      <c r="AB32" s="100"/>
      <c r="AC32" s="100"/>
    </row>
    <row r="33" spans="1:33" ht="15" customHeight="1" x14ac:dyDescent="0.25">
      <c r="D33" s="99"/>
      <c r="U33" s="30"/>
      <c r="Z33" s="94" t="s">
        <v>23</v>
      </c>
      <c r="AA33" s="94" t="s">
        <v>468</v>
      </c>
      <c r="AB33" s="94" t="s">
        <v>53</v>
      </c>
      <c r="AC33" s="94" t="s">
        <v>261</v>
      </c>
      <c r="AD33" s="288" t="s">
        <v>486</v>
      </c>
    </row>
    <row r="34" spans="1:33" ht="17.25" customHeight="1" x14ac:dyDescent="0.25">
      <c r="B34" s="175" t="s">
        <v>3</v>
      </c>
      <c r="H34" s="175"/>
      <c r="U34" s="30"/>
      <c r="X34" s="698" t="s">
        <v>191</v>
      </c>
      <c r="Y34" s="698"/>
      <c r="Z34" s="95">
        <f>$Y$9/$Y$7*Z24</f>
        <v>12152.4</v>
      </c>
      <c r="AA34" s="289">
        <f>Z34*(SUM('Shingle Creek'!$B$27:$B$30)+'Shingle Creek'!$B$26*5/7)</f>
        <v>9363.5283634285715</v>
      </c>
      <c r="AB34" s="289">
        <f>SUM($Z34:$Z35)*'Shingle Creek'!$C$11</f>
        <v>1374.1560000000002</v>
      </c>
      <c r="AC34" s="95">
        <f>Z34-AB34</f>
        <v>10778.243999999999</v>
      </c>
      <c r="AD34" s="254">
        <f>AA34/Z34</f>
        <v>0.77050857142857143</v>
      </c>
    </row>
    <row r="35" spans="1:33" ht="17.25" customHeight="1" x14ac:dyDescent="0.25">
      <c r="A35" s="582" t="s">
        <v>18</v>
      </c>
      <c r="B35" s="565" t="s">
        <v>687</v>
      </c>
      <c r="C35" s="581"/>
      <c r="D35" s="581"/>
      <c r="E35" s="31"/>
      <c r="F35" s="31"/>
      <c r="G35" s="31"/>
      <c r="H35" s="31"/>
      <c r="I35" s="31"/>
      <c r="J35" s="31"/>
      <c r="K35" s="31"/>
      <c r="L35" s="31"/>
      <c r="M35" s="31"/>
      <c r="N35" s="31"/>
      <c r="O35" s="31"/>
      <c r="P35" s="31"/>
      <c r="Q35" s="31"/>
      <c r="R35" s="31"/>
      <c r="S35" s="31"/>
      <c r="T35" s="62"/>
      <c r="U35" s="62"/>
      <c r="V35" s="31"/>
      <c r="X35" s="698" t="s">
        <v>190</v>
      </c>
      <c r="Y35" s="698"/>
      <c r="Z35" s="95">
        <f>$Y$9/$Y$7*Z25</f>
        <v>18384.400000000001</v>
      </c>
      <c r="AA35" s="289">
        <f>Z35*(SUM('Shingle Creek'!$B$27:$B$30)+'Shingle Creek'!$B$26*5/7)</f>
        <v>14165.33778057143</v>
      </c>
      <c r="AB35" s="329">
        <v>0</v>
      </c>
      <c r="AC35" s="95">
        <f>Z35-AB35</f>
        <v>18384.400000000001</v>
      </c>
      <c r="AD35" s="254">
        <f>AA35/Z35</f>
        <v>0.77050857142857143</v>
      </c>
    </row>
    <row r="36" spans="1:33" ht="17.25" customHeight="1" x14ac:dyDescent="0.25">
      <c r="A36" s="582"/>
      <c r="B36" s="565"/>
      <c r="C36" s="581"/>
      <c r="D36" s="581"/>
      <c r="E36" s="31"/>
      <c r="F36" s="31"/>
      <c r="G36" s="31"/>
      <c r="H36" s="31"/>
      <c r="I36" s="31"/>
      <c r="J36" s="59"/>
      <c r="K36" s="59"/>
      <c r="L36" s="31"/>
      <c r="M36" s="31"/>
      <c r="N36" s="31"/>
      <c r="O36" s="31"/>
      <c r="P36" s="59"/>
      <c r="Q36" s="59"/>
      <c r="R36" s="31"/>
      <c r="S36" s="31"/>
      <c r="T36" s="62"/>
      <c r="U36" s="62"/>
      <c r="V36" s="31"/>
      <c r="X36" s="30"/>
      <c r="Y36" s="30"/>
      <c r="Z36" s="100"/>
      <c r="AA36" s="100"/>
      <c r="AB36" s="100"/>
      <c r="AC36" s="100"/>
    </row>
    <row r="37" spans="1:33" ht="15" customHeight="1" x14ac:dyDescent="0.25">
      <c r="A37" s="582" t="s">
        <v>17</v>
      </c>
      <c r="B37" s="565" t="s">
        <v>645</v>
      </c>
      <c r="C37" s="581"/>
      <c r="D37" s="581"/>
      <c r="E37" s="31"/>
      <c r="F37" s="31"/>
      <c r="G37" s="31"/>
      <c r="H37" s="31"/>
      <c r="I37" s="31"/>
      <c r="J37" s="31"/>
      <c r="K37" s="31"/>
      <c r="L37" s="31"/>
      <c r="M37" s="31"/>
      <c r="N37" s="31"/>
      <c r="O37" s="31"/>
      <c r="P37" s="31"/>
      <c r="Q37" s="31"/>
      <c r="R37" s="31"/>
      <c r="S37" s="31"/>
      <c r="T37" s="62"/>
      <c r="U37" s="62"/>
      <c r="V37" s="31"/>
      <c r="X37" s="175" t="s">
        <v>643</v>
      </c>
      <c r="Z37" s="100"/>
      <c r="AA37" s="100"/>
      <c r="AB37" s="100"/>
      <c r="AC37" s="100"/>
    </row>
    <row r="38" spans="1:33" ht="17.25" customHeight="1" x14ac:dyDescent="0.25">
      <c r="A38" s="582"/>
      <c r="B38" s="565"/>
      <c r="C38" s="581"/>
      <c r="D38" s="581"/>
      <c r="E38" s="31"/>
      <c r="F38" s="31"/>
      <c r="G38" s="31"/>
      <c r="H38" s="31"/>
      <c r="I38" s="31"/>
      <c r="J38" s="31"/>
      <c r="K38" s="31"/>
      <c r="L38" s="31"/>
      <c r="M38" s="31"/>
      <c r="N38" s="31"/>
      <c r="O38" s="31"/>
      <c r="P38" s="31"/>
      <c r="Q38" s="31"/>
      <c r="R38" s="31"/>
      <c r="S38" s="31"/>
      <c r="T38" s="62"/>
      <c r="U38" s="62"/>
      <c r="V38" s="31"/>
      <c r="X38" s="698" t="s">
        <v>54</v>
      </c>
      <c r="Y38" s="698"/>
      <c r="Z38" s="698"/>
      <c r="AA38" s="101">
        <v>21.6</v>
      </c>
    </row>
    <row r="39" spans="1:33" ht="15" customHeight="1" x14ac:dyDescent="0.25">
      <c r="A39" s="582" t="s">
        <v>19</v>
      </c>
      <c r="B39" s="787" t="s">
        <v>688</v>
      </c>
      <c r="C39" s="787"/>
      <c r="D39" s="787"/>
      <c r="E39" s="787"/>
      <c r="F39" s="787"/>
      <c r="G39" s="787"/>
      <c r="H39" s="787"/>
      <c r="I39" s="787"/>
      <c r="J39" s="787"/>
      <c r="K39" s="787"/>
      <c r="L39" s="787"/>
      <c r="M39" s="787"/>
      <c r="N39" s="787"/>
      <c r="O39" s="787"/>
      <c r="P39" s="787"/>
      <c r="Q39" s="787"/>
      <c r="R39" s="787"/>
      <c r="S39" s="787"/>
      <c r="T39" s="579"/>
      <c r="U39" s="579"/>
      <c r="V39" s="253"/>
      <c r="X39" s="700" t="s">
        <v>78</v>
      </c>
      <c r="Y39" s="700"/>
      <c r="Z39" s="700"/>
      <c r="AA39" s="134">
        <f>16.6/60</f>
        <v>0.27666666666666667</v>
      </c>
      <c r="AB39" s="155"/>
    </row>
    <row r="40" spans="1:33" ht="15" customHeight="1" x14ac:dyDescent="0.25">
      <c r="A40" s="582"/>
      <c r="B40" s="787"/>
      <c r="C40" s="787"/>
      <c r="D40" s="787"/>
      <c r="E40" s="787"/>
      <c r="F40" s="787"/>
      <c r="G40" s="787"/>
      <c r="H40" s="787"/>
      <c r="I40" s="787"/>
      <c r="J40" s="787"/>
      <c r="K40" s="787"/>
      <c r="L40" s="787"/>
      <c r="M40" s="787"/>
      <c r="N40" s="787"/>
      <c r="O40" s="787"/>
      <c r="P40" s="787"/>
      <c r="Q40" s="787"/>
      <c r="R40" s="787"/>
      <c r="S40" s="787"/>
      <c r="T40" s="14"/>
      <c r="U40" s="14"/>
      <c r="X40" s="695" t="s">
        <v>56</v>
      </c>
      <c r="Y40" s="695"/>
      <c r="Z40" s="695"/>
      <c r="AA40" s="116">
        <v>0.4</v>
      </c>
    </row>
    <row r="41" spans="1:33" ht="17.25" customHeight="1" x14ac:dyDescent="0.25">
      <c r="A41" s="582"/>
      <c r="B41" s="623"/>
      <c r="C41" s="623"/>
      <c r="D41" s="623"/>
      <c r="E41" s="623"/>
      <c r="F41" s="623"/>
      <c r="G41" s="623"/>
      <c r="H41" s="623"/>
      <c r="I41" s="623"/>
      <c r="J41" s="623"/>
      <c r="K41" s="623"/>
      <c r="L41" s="623"/>
      <c r="M41" s="623"/>
      <c r="N41" s="623"/>
      <c r="O41" s="623"/>
      <c r="P41" s="623"/>
      <c r="Q41" s="623"/>
      <c r="R41" s="623"/>
      <c r="S41" s="623"/>
      <c r="T41" s="623"/>
      <c r="U41" s="623"/>
      <c r="V41" s="253"/>
      <c r="AG41" s="117" t="s">
        <v>66</v>
      </c>
    </row>
    <row r="42" spans="1:33" ht="17.25" customHeight="1" x14ac:dyDescent="0.25">
      <c r="A42" s="582" t="s">
        <v>20</v>
      </c>
      <c r="B42" s="788" t="s">
        <v>660</v>
      </c>
      <c r="C42" s="788"/>
      <c r="D42" s="788"/>
      <c r="E42" s="788"/>
      <c r="F42" s="788"/>
      <c r="G42" s="788"/>
      <c r="H42" s="788"/>
      <c r="I42" s="788"/>
      <c r="J42" s="788"/>
      <c r="K42" s="788"/>
      <c r="L42" s="788"/>
      <c r="M42" s="788"/>
      <c r="N42" s="788"/>
      <c r="O42" s="788"/>
      <c r="P42" s="788"/>
      <c r="Q42" s="788"/>
      <c r="R42" s="788"/>
      <c r="S42" s="788"/>
      <c r="T42" s="14"/>
      <c r="U42" s="14"/>
      <c r="W42" s="31"/>
      <c r="X42" s="525" t="s">
        <v>672</v>
      </c>
      <c r="AG42" s="117" t="s">
        <v>66</v>
      </c>
    </row>
    <row r="43" spans="1:33" ht="15" customHeight="1" x14ac:dyDescent="0.25">
      <c r="A43" s="582"/>
      <c r="B43" s="788"/>
      <c r="C43" s="788"/>
      <c r="D43" s="788"/>
      <c r="E43" s="788"/>
      <c r="F43" s="788"/>
      <c r="G43" s="788"/>
      <c r="H43" s="788"/>
      <c r="I43" s="788"/>
      <c r="J43" s="788"/>
      <c r="K43" s="788"/>
      <c r="L43" s="788"/>
      <c r="M43" s="788"/>
      <c r="N43" s="788"/>
      <c r="O43" s="788"/>
      <c r="P43" s="788"/>
      <c r="Q43" s="788"/>
      <c r="R43" s="788"/>
      <c r="S43" s="788"/>
      <c r="T43" s="62"/>
      <c r="U43" s="62"/>
      <c r="V43" s="549"/>
      <c r="W43" s="31"/>
      <c r="X43" s="262" t="s">
        <v>164</v>
      </c>
      <c r="Y43" s="263"/>
      <c r="Z43" s="263"/>
      <c r="AA43" s="185">
        <v>7.08</v>
      </c>
      <c r="AG43" s="127" t="s">
        <v>55</v>
      </c>
    </row>
    <row r="44" spans="1:33" ht="15" customHeight="1" x14ac:dyDescent="0.25">
      <c r="A44" s="627"/>
      <c r="B44" s="788"/>
      <c r="C44" s="788"/>
      <c r="D44" s="788"/>
      <c r="E44" s="788"/>
      <c r="F44" s="788"/>
      <c r="G44" s="788"/>
      <c r="H44" s="788"/>
      <c r="I44" s="788"/>
      <c r="J44" s="788"/>
      <c r="K44" s="788"/>
      <c r="L44" s="788"/>
      <c r="M44" s="788"/>
      <c r="N44" s="788"/>
      <c r="O44" s="788"/>
      <c r="P44" s="788"/>
      <c r="Q44" s="788"/>
      <c r="R44" s="788"/>
      <c r="S44" s="788"/>
      <c r="T44" s="62"/>
      <c r="U44" s="62"/>
      <c r="V44" s="31"/>
      <c r="W44" s="31"/>
      <c r="X44" s="262" t="s">
        <v>165</v>
      </c>
      <c r="Y44" s="263"/>
      <c r="Z44" s="263"/>
      <c r="AA44" s="643">
        <v>6.31</v>
      </c>
      <c r="AC44" s="115"/>
      <c r="AG44" s="117" t="s">
        <v>67</v>
      </c>
    </row>
    <row r="45" spans="1:33" ht="17.25" customHeight="1" x14ac:dyDescent="0.25">
      <c r="A45" s="582"/>
      <c r="B45" s="583"/>
      <c r="C45" s="583"/>
      <c r="D45" s="583"/>
      <c r="E45" s="583"/>
      <c r="F45" s="583"/>
      <c r="G45" s="583"/>
      <c r="H45" s="583"/>
      <c r="I45" s="583"/>
      <c r="J45" s="583"/>
      <c r="K45" s="583"/>
      <c r="L45" s="583"/>
      <c r="M45" s="583"/>
      <c r="N45" s="583"/>
      <c r="O45" s="583"/>
      <c r="P45" s="583"/>
      <c r="Q45" s="583"/>
      <c r="R45" s="583"/>
      <c r="S45" s="583"/>
      <c r="T45" s="62"/>
      <c r="U45" s="62"/>
      <c r="V45" s="31"/>
      <c r="W45" s="31"/>
      <c r="AG45" s="117" t="s">
        <v>68</v>
      </c>
    </row>
    <row r="46" spans="1:33" ht="15" customHeight="1" x14ac:dyDescent="0.25">
      <c r="A46" s="582" t="s">
        <v>57</v>
      </c>
      <c r="B46" s="699" t="s">
        <v>689</v>
      </c>
      <c r="C46" s="699"/>
      <c r="D46" s="699"/>
      <c r="E46" s="699"/>
      <c r="F46" s="699"/>
      <c r="G46" s="699"/>
      <c r="H46" s="699"/>
      <c r="I46" s="699"/>
      <c r="J46" s="699"/>
      <c r="K46" s="699"/>
      <c r="L46" s="699"/>
      <c r="M46" s="699"/>
      <c r="N46" s="699"/>
      <c r="O46" s="699"/>
      <c r="P46" s="699"/>
      <c r="Q46" s="699"/>
      <c r="R46" s="699"/>
      <c r="S46" s="699"/>
      <c r="T46" s="62"/>
      <c r="U46" s="62"/>
      <c r="V46" s="31"/>
      <c r="W46" s="31"/>
      <c r="X46" s="525" t="s">
        <v>673</v>
      </c>
      <c r="AG46" s="286"/>
    </row>
    <row r="47" spans="1:33" ht="15" customHeight="1" x14ac:dyDescent="0.25">
      <c r="A47" s="582"/>
      <c r="B47" s="699"/>
      <c r="C47" s="699"/>
      <c r="D47" s="699"/>
      <c r="E47" s="699"/>
      <c r="F47" s="699"/>
      <c r="G47" s="699"/>
      <c r="H47" s="699"/>
      <c r="I47" s="699"/>
      <c r="J47" s="699"/>
      <c r="K47" s="699"/>
      <c r="L47" s="699"/>
      <c r="M47" s="699"/>
      <c r="N47" s="699"/>
      <c r="O47" s="699"/>
      <c r="P47" s="699"/>
      <c r="Q47" s="699"/>
      <c r="R47" s="699"/>
      <c r="S47" s="699"/>
      <c r="T47" s="62"/>
      <c r="U47" s="62"/>
      <c r="V47" s="31"/>
      <c r="W47" s="31"/>
      <c r="X47" s="695" t="s">
        <v>492</v>
      </c>
      <c r="Y47" s="695"/>
      <c r="Z47" s="695"/>
      <c r="AA47" s="102">
        <v>10</v>
      </c>
      <c r="AG47" s="286"/>
    </row>
    <row r="48" spans="1:33" x14ac:dyDescent="0.25">
      <c r="A48" s="628"/>
      <c r="B48" s="565"/>
      <c r="C48" s="580"/>
      <c r="D48" s="580"/>
      <c r="E48" s="629"/>
      <c r="F48" s="629"/>
      <c r="G48" s="629"/>
      <c r="H48" s="629"/>
      <c r="I48" s="629"/>
      <c r="J48" s="629"/>
      <c r="K48" s="629"/>
      <c r="L48" s="629"/>
      <c r="M48" s="629"/>
      <c r="N48" s="629"/>
      <c r="O48" s="31"/>
      <c r="P48" s="31"/>
      <c r="Q48" s="31"/>
      <c r="R48" s="31"/>
      <c r="S48" s="31"/>
      <c r="T48" s="62"/>
      <c r="U48" s="62"/>
      <c r="V48" s="31"/>
      <c r="W48" s="31"/>
      <c r="X48" s="695" t="s">
        <v>58</v>
      </c>
      <c r="Y48" s="695"/>
      <c r="Z48" s="695"/>
      <c r="AA48" s="104">
        <f>365-90</f>
        <v>275</v>
      </c>
      <c r="AG48" s="117" t="s">
        <v>69</v>
      </c>
    </row>
    <row r="49" spans="1:39" x14ac:dyDescent="0.25">
      <c r="A49" s="627" t="s">
        <v>681</v>
      </c>
      <c r="B49" s="699" t="s">
        <v>679</v>
      </c>
      <c r="C49" s="699"/>
      <c r="D49" s="699"/>
      <c r="E49" s="699"/>
      <c r="F49" s="699"/>
      <c r="G49" s="699"/>
      <c r="H49" s="699"/>
      <c r="I49" s="699"/>
      <c r="J49" s="699"/>
      <c r="K49" s="699"/>
      <c r="L49" s="699"/>
      <c r="M49" s="699"/>
      <c r="N49" s="699"/>
      <c r="O49" s="699"/>
      <c r="P49" s="699"/>
      <c r="Q49" s="699"/>
      <c r="R49" s="699"/>
      <c r="S49" s="699"/>
      <c r="T49" s="62"/>
      <c r="U49" s="62"/>
      <c r="W49" s="31"/>
      <c r="X49" s="240"/>
      <c r="Y49" s="240"/>
      <c r="Z49" s="240"/>
      <c r="AA49" s="241"/>
    </row>
    <row r="50" spans="1:39" ht="15" customHeight="1" x14ac:dyDescent="0.25">
      <c r="A50" s="627"/>
      <c r="B50" s="699"/>
      <c r="C50" s="699"/>
      <c r="D50" s="699"/>
      <c r="E50" s="699"/>
      <c r="F50" s="699"/>
      <c r="G50" s="699"/>
      <c r="H50" s="699"/>
      <c r="I50" s="699"/>
      <c r="J50" s="699"/>
      <c r="K50" s="699"/>
      <c r="L50" s="699"/>
      <c r="M50" s="699"/>
      <c r="N50" s="699"/>
      <c r="O50" s="699"/>
      <c r="P50" s="699"/>
      <c r="Q50" s="699"/>
      <c r="R50" s="699"/>
      <c r="S50" s="699"/>
      <c r="T50" s="14"/>
      <c r="U50" s="14"/>
      <c r="V50" s="14"/>
      <c r="W50" s="31"/>
      <c r="X50" s="27" t="s">
        <v>674</v>
      </c>
      <c r="Y50" s="547"/>
      <c r="Z50" s="547"/>
    </row>
    <row r="51" spans="1:39" ht="18" customHeight="1" x14ac:dyDescent="0.25">
      <c r="A51" s="627"/>
      <c r="B51" s="699"/>
      <c r="C51" s="699"/>
      <c r="D51" s="699"/>
      <c r="E51" s="699"/>
      <c r="F51" s="699"/>
      <c r="G51" s="699"/>
      <c r="H51" s="699"/>
      <c r="I51" s="699"/>
      <c r="J51" s="699"/>
      <c r="K51" s="699"/>
      <c r="L51" s="699"/>
      <c r="M51" s="699"/>
      <c r="N51" s="699"/>
      <c r="O51" s="699"/>
      <c r="P51" s="699"/>
      <c r="Q51" s="699"/>
      <c r="R51" s="699"/>
      <c r="S51" s="699"/>
      <c r="T51" s="14"/>
      <c r="U51" s="14"/>
      <c r="W51" s="31"/>
      <c r="X51" s="700" t="s">
        <v>158</v>
      </c>
      <c r="Y51" s="700"/>
      <c r="Z51" s="700"/>
      <c r="AA51" s="176">
        <v>1.42</v>
      </c>
      <c r="AG51" s="117" t="s">
        <v>70</v>
      </c>
    </row>
    <row r="52" spans="1:39" ht="15" customHeight="1" x14ac:dyDescent="0.25">
      <c r="A52" s="628"/>
      <c r="B52" s="699"/>
      <c r="C52" s="699"/>
      <c r="D52" s="699"/>
      <c r="E52" s="699"/>
      <c r="F52" s="699"/>
      <c r="G52" s="699"/>
      <c r="H52" s="699"/>
      <c r="I52" s="699"/>
      <c r="J52" s="699"/>
      <c r="K52" s="699"/>
      <c r="L52" s="699"/>
      <c r="M52" s="699"/>
      <c r="N52" s="699"/>
      <c r="O52" s="699"/>
      <c r="P52" s="699"/>
      <c r="Q52" s="699"/>
      <c r="R52" s="699"/>
      <c r="S52" s="699"/>
      <c r="T52" s="14"/>
      <c r="V52" s="31"/>
      <c r="W52" s="31"/>
      <c r="X52" s="283" t="s">
        <v>494</v>
      </c>
      <c r="Y52" s="283"/>
      <c r="Z52" s="283"/>
      <c r="AA52" s="176">
        <f>$AA$51*$AC$19</f>
        <v>1.1927999999999999</v>
      </c>
      <c r="AG52" s="112" t="s">
        <v>71</v>
      </c>
    </row>
    <row r="53" spans="1:39" x14ac:dyDescent="0.25">
      <c r="A53" s="628"/>
      <c r="B53" s="565"/>
      <c r="C53" s="624"/>
      <c r="D53" s="624"/>
      <c r="E53" s="629"/>
      <c r="F53" s="629"/>
      <c r="G53" s="629"/>
      <c r="H53" s="31"/>
      <c r="I53" s="31"/>
      <c r="J53" s="31"/>
      <c r="K53" s="31"/>
      <c r="L53" s="31"/>
      <c r="M53" s="31"/>
      <c r="N53" s="31"/>
      <c r="O53" s="31"/>
      <c r="P53" s="31"/>
      <c r="Q53" s="31"/>
      <c r="R53" s="31"/>
      <c r="S53" s="31"/>
      <c r="T53" s="62"/>
      <c r="U53" s="31"/>
      <c r="V53" s="31"/>
      <c r="W53" s="31"/>
      <c r="X53" s="283" t="s">
        <v>493</v>
      </c>
      <c r="Y53" s="283"/>
      <c r="Z53" s="283"/>
      <c r="AA53" s="176">
        <f>$AA$51*$AC$18</f>
        <v>0</v>
      </c>
    </row>
    <row r="54" spans="1:39" x14ac:dyDescent="0.25">
      <c r="A54" s="628" t="s">
        <v>690</v>
      </c>
      <c r="B54" s="699" t="s">
        <v>680</v>
      </c>
      <c r="C54" s="699"/>
      <c r="D54" s="699"/>
      <c r="E54" s="699"/>
      <c r="F54" s="699"/>
      <c r="G54" s="699"/>
      <c r="H54" s="699"/>
      <c r="I54" s="699"/>
      <c r="J54" s="699"/>
      <c r="K54" s="699"/>
      <c r="L54" s="699"/>
      <c r="M54" s="699"/>
      <c r="N54" s="699"/>
      <c r="O54" s="699"/>
      <c r="P54" s="699"/>
      <c r="Q54" s="699"/>
      <c r="R54" s="699"/>
      <c r="S54" s="699"/>
      <c r="T54" s="62"/>
      <c r="U54" s="31"/>
      <c r="W54" s="31"/>
      <c r="AH54" s="119"/>
      <c r="AI54" s="119"/>
      <c r="AJ54" s="119"/>
      <c r="AK54" s="119"/>
    </row>
    <row r="55" spans="1:39" x14ac:dyDescent="0.25">
      <c r="A55" s="627"/>
      <c r="B55" s="699"/>
      <c r="C55" s="699"/>
      <c r="D55" s="699"/>
      <c r="E55" s="699"/>
      <c r="F55" s="699"/>
      <c r="G55" s="699"/>
      <c r="H55" s="699"/>
      <c r="I55" s="699"/>
      <c r="J55" s="699"/>
      <c r="K55" s="699"/>
      <c r="L55" s="699"/>
      <c r="M55" s="699"/>
      <c r="N55" s="699"/>
      <c r="O55" s="699"/>
      <c r="P55" s="699"/>
      <c r="Q55" s="699"/>
      <c r="R55" s="699"/>
      <c r="S55" s="699"/>
      <c r="T55" s="14"/>
      <c r="V55" s="26"/>
      <c r="W55" s="31"/>
      <c r="X55" s="525" t="s">
        <v>675</v>
      </c>
      <c r="AG55" s="704" t="s">
        <v>72</v>
      </c>
      <c r="AH55" s="704"/>
      <c r="AI55" s="704"/>
      <c r="AJ55" s="704"/>
      <c r="AK55" s="704"/>
      <c r="AL55" s="704"/>
      <c r="AM55" s="704"/>
    </row>
    <row r="56" spans="1:39" x14ac:dyDescent="0.25">
      <c r="A56" s="627"/>
      <c r="B56" s="699"/>
      <c r="C56" s="699"/>
      <c r="D56" s="699"/>
      <c r="E56" s="699"/>
      <c r="F56" s="699"/>
      <c r="G56" s="699"/>
      <c r="H56" s="699"/>
      <c r="I56" s="699"/>
      <c r="J56" s="699"/>
      <c r="K56" s="699"/>
      <c r="L56" s="699"/>
      <c r="M56" s="699"/>
      <c r="N56" s="699"/>
      <c r="O56" s="699"/>
      <c r="P56" s="699"/>
      <c r="Q56" s="699"/>
      <c r="R56" s="699"/>
      <c r="S56" s="699"/>
      <c r="T56" s="26"/>
      <c r="U56" s="26"/>
      <c r="W56" s="31"/>
      <c r="X56" s="698" t="s">
        <v>59</v>
      </c>
      <c r="Y56" s="698"/>
      <c r="Z56" s="105">
        <v>0.105</v>
      </c>
      <c r="AG56" s="704"/>
      <c r="AH56" s="704"/>
      <c r="AI56" s="704"/>
      <c r="AJ56" s="704"/>
      <c r="AK56" s="704"/>
      <c r="AL56" s="704"/>
      <c r="AM56" s="704"/>
    </row>
    <row r="57" spans="1:39" ht="15" customHeight="1" x14ac:dyDescent="0.25">
      <c r="A57" s="628"/>
      <c r="B57" s="547"/>
      <c r="C57" s="547"/>
      <c r="D57" s="547"/>
      <c r="E57" s="547"/>
      <c r="F57" s="547"/>
      <c r="G57" s="547"/>
      <c r="H57" s="547"/>
      <c r="I57" s="547"/>
      <c r="J57" s="630"/>
      <c r="K57" s="630"/>
      <c r="L57" s="547"/>
      <c r="M57" s="547"/>
      <c r="N57" s="547"/>
      <c r="W57" s="31"/>
      <c r="X57" s="705"/>
      <c r="Y57" s="705"/>
    </row>
    <row r="58" spans="1:39" x14ac:dyDescent="0.25">
      <c r="W58" s="31"/>
      <c r="X58" s="130" t="s">
        <v>676</v>
      </c>
      <c r="Y58" s="547"/>
      <c r="Z58" s="547"/>
    </row>
    <row r="59" spans="1:39" x14ac:dyDescent="0.25">
      <c r="W59" s="31"/>
      <c r="X59" s="696" t="s">
        <v>76</v>
      </c>
      <c r="Y59" s="697"/>
      <c r="Z59" s="575">
        <f>113.468/78.025</f>
        <v>1.4542518423582185</v>
      </c>
    </row>
    <row r="60" spans="1:39" x14ac:dyDescent="0.25">
      <c r="W60" s="31"/>
      <c r="X60" s="696" t="s">
        <v>75</v>
      </c>
      <c r="Y60" s="697"/>
      <c r="Z60" s="575">
        <v>1.26</v>
      </c>
    </row>
    <row r="61" spans="1:39" x14ac:dyDescent="0.25">
      <c r="W61" s="31"/>
      <c r="Z61" s="107"/>
    </row>
    <row r="62" spans="1:39" x14ac:dyDescent="0.25">
      <c r="W62" s="31"/>
      <c r="X62" s="309" t="s">
        <v>644</v>
      </c>
    </row>
    <row r="63" spans="1:39" x14ac:dyDescent="0.25">
      <c r="X63" s="695" t="s">
        <v>60</v>
      </c>
      <c r="Y63" s="695"/>
      <c r="Z63" s="118">
        <v>0</v>
      </c>
    </row>
    <row r="64" spans="1:39" x14ac:dyDescent="0.25">
      <c r="X64" s="695" t="s">
        <v>61</v>
      </c>
      <c r="Y64" s="695"/>
      <c r="Z64" s="282">
        <v>0.75</v>
      </c>
      <c r="AG64" s="112" t="s">
        <v>62</v>
      </c>
    </row>
    <row r="65" spans="24:26" x14ac:dyDescent="0.25">
      <c r="X65" s="623"/>
      <c r="Y65" s="623"/>
      <c r="Z65" s="623"/>
    </row>
  </sheetData>
  <mergeCells count="55">
    <mergeCell ref="B42:S44"/>
    <mergeCell ref="B49:S52"/>
    <mergeCell ref="B54:S56"/>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39:S40"/>
    <mergeCell ref="B46:S47"/>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58999-3A81-4EAC-89EA-DCE90AAA1C98}">
  <sheetPr>
    <tabColor rgb="FF00B050"/>
    <pageSetUpPr fitToPage="1"/>
  </sheetPr>
  <dimension ref="A1:AE77"/>
  <sheetViews>
    <sheetView view="pageBreakPreview" zoomScale="85" zoomScaleNormal="85" zoomScaleSheetLayoutView="85" workbookViewId="0">
      <selection activeCell="O23" sqref="O23"/>
    </sheetView>
  </sheetViews>
  <sheetFormatPr defaultRowHeight="15" x14ac:dyDescent="0.25"/>
  <cols>
    <col min="1" max="1" width="9.140625" style="374"/>
    <col min="2" max="3" width="15.7109375" style="374" customWidth="1"/>
    <col min="4" max="5" width="18.5703125" style="374" customWidth="1"/>
    <col min="6" max="9" width="15.7109375" style="374" customWidth="1"/>
    <col min="10" max="10" width="16.140625" style="374" customWidth="1"/>
    <col min="11" max="15" width="15.7109375" style="374" customWidth="1"/>
    <col min="16" max="16" width="17.7109375" style="374" customWidth="1"/>
    <col min="17" max="17" width="15.7109375" style="374" customWidth="1"/>
    <col min="18" max="22" width="15.42578125" style="374" customWidth="1"/>
    <col min="23" max="23" width="27.140625" style="374" customWidth="1"/>
    <col min="24" max="24" width="15.7109375" style="374" customWidth="1"/>
    <col min="25" max="25" width="12.28515625" style="374" customWidth="1"/>
    <col min="26" max="26" width="19.140625" style="374" customWidth="1"/>
    <col min="27" max="27" width="13.85546875" style="374" customWidth="1"/>
    <col min="28" max="31" width="13.140625" style="374" customWidth="1"/>
    <col min="32" max="16384" width="9.140625" style="374"/>
  </cols>
  <sheetData>
    <row r="1" spans="2:31" ht="15.75" thickBot="1" x14ac:dyDescent="0.3">
      <c r="B1" s="175" t="s">
        <v>12</v>
      </c>
      <c r="C1" s="175"/>
      <c r="D1" s="175"/>
      <c r="E1" s="175"/>
    </row>
    <row r="2" spans="2:31" ht="15.75" thickBot="1" x14ac:dyDescent="0.3">
      <c r="C2" s="730" t="s">
        <v>587</v>
      </c>
      <c r="D2" s="731"/>
      <c r="E2" s="732"/>
      <c r="F2" s="701" t="s">
        <v>588</v>
      </c>
      <c r="G2" s="702"/>
      <c r="H2" s="702"/>
      <c r="I2" s="702"/>
      <c r="J2" s="702"/>
      <c r="K2" s="702"/>
      <c r="L2" s="702"/>
      <c r="M2" s="702"/>
      <c r="N2" s="702"/>
      <c r="O2" s="733" t="s">
        <v>589</v>
      </c>
      <c r="P2" s="734"/>
    </row>
    <row r="3" spans="2:31" ht="35.1" customHeight="1" x14ac:dyDescent="0.25">
      <c r="B3" s="735" t="s">
        <v>0</v>
      </c>
      <c r="C3" s="716" t="s">
        <v>590</v>
      </c>
      <c r="D3" s="714" t="s">
        <v>591</v>
      </c>
      <c r="E3" s="738" t="s">
        <v>592</v>
      </c>
      <c r="F3" s="716" t="s">
        <v>593</v>
      </c>
      <c r="G3" s="714" t="s">
        <v>594</v>
      </c>
      <c r="H3" s="720" t="s">
        <v>595</v>
      </c>
      <c r="I3" s="718" t="s">
        <v>596</v>
      </c>
      <c r="J3" s="714" t="s">
        <v>597</v>
      </c>
      <c r="K3" s="720" t="s">
        <v>598</v>
      </c>
      <c r="L3" s="718" t="s">
        <v>599</v>
      </c>
      <c r="M3" s="716" t="s">
        <v>600</v>
      </c>
      <c r="N3" s="745" t="s">
        <v>1</v>
      </c>
      <c r="O3" s="741" t="s">
        <v>43</v>
      </c>
      <c r="P3" s="743" t="s">
        <v>601</v>
      </c>
      <c r="R3" s="73"/>
    </row>
    <row r="4" spans="2:31" ht="35.1" customHeight="1" x14ac:dyDescent="0.25">
      <c r="B4" s="736"/>
      <c r="C4" s="717"/>
      <c r="D4" s="737"/>
      <c r="E4" s="739"/>
      <c r="F4" s="717"/>
      <c r="G4" s="737"/>
      <c r="H4" s="740"/>
      <c r="I4" s="749"/>
      <c r="J4" s="737"/>
      <c r="K4" s="740"/>
      <c r="L4" s="749"/>
      <c r="M4" s="717"/>
      <c r="N4" s="746"/>
      <c r="O4" s="742"/>
      <c r="P4" s="744"/>
    </row>
    <row r="5" spans="2:31" x14ac:dyDescent="0.25">
      <c r="B5" s="481">
        <v>2025</v>
      </c>
      <c r="C5" s="481">
        <f>($F5*$V$9)/10^6</f>
        <v>0</v>
      </c>
      <c r="D5" s="483">
        <f t="shared" ref="D5:D6" si="0">C5*_xlfn.XLOOKUP($B5,$R$15:$R$50,$V$15:$V$50)</f>
        <v>0</v>
      </c>
      <c r="E5" s="484">
        <f>D5*(1+0.03)^-($B5-'Project Data and Assumptions'!C3)</f>
        <v>0</v>
      </c>
      <c r="F5" s="481">
        <f>IFERROR(_xlfn.XLOOKUP($B5,'VMT Change'!$B$7:$B$34,'VMT Change'!$L$7:$L$34),0)</f>
        <v>0</v>
      </c>
      <c r="G5" s="483">
        <f>($F5*S$9)/10^6</f>
        <v>0</v>
      </c>
      <c r="H5" s="480">
        <f t="shared" ref="H5:I5" si="1">($F5*T$9)/10^6</f>
        <v>0</v>
      </c>
      <c r="I5" s="485">
        <f t="shared" si="1"/>
        <v>0</v>
      </c>
      <c r="J5" s="483">
        <f t="shared" ref="J5:J6" si="2">G5*_xlfn.XLOOKUP($B5,$R$15:$R$50,$S$15:$S$50)</f>
        <v>0</v>
      </c>
      <c r="K5" s="480">
        <f t="shared" ref="K5:K6" si="3">H5*_xlfn.XLOOKUP($B5,$R$15:$R$50,$T$15:$T$50)</f>
        <v>0</v>
      </c>
      <c r="L5" s="485">
        <f t="shared" ref="L5:L6" si="4">I5*_xlfn.XLOOKUP($B5,$R$15:$R$50,$U$15:$U$50)</f>
        <v>0</v>
      </c>
      <c r="M5" s="481">
        <f t="shared" ref="M5:M6" si="5">SUM(J5:L5)</f>
        <v>0</v>
      </c>
      <c r="N5" s="486">
        <f>M5*(1+0.07)^-(B5-'Project Data and Assumptions'!C3)</f>
        <v>0</v>
      </c>
      <c r="O5" s="487">
        <f t="shared" ref="O5:O6" si="6">M5+D5</f>
        <v>0</v>
      </c>
      <c r="P5" s="488">
        <f t="shared" ref="P5:P6" si="7">N5+E5</f>
        <v>0</v>
      </c>
    </row>
    <row r="6" spans="2:31" x14ac:dyDescent="0.25">
      <c r="B6" s="481">
        <v>2026</v>
      </c>
      <c r="C6" s="481">
        <f t="shared" ref="C6:C32" si="8">($F6*$V$9)/10^6</f>
        <v>0</v>
      </c>
      <c r="D6" s="483">
        <f t="shared" si="0"/>
        <v>0</v>
      </c>
      <c r="E6" s="484">
        <f>D6*(1+0.03)^-($B6-'Project Data and Assumptions'!C3)</f>
        <v>0</v>
      </c>
      <c r="F6" s="481">
        <f>IFERROR(_xlfn.XLOOKUP($B6,'VMT Change'!$B$7:$B$34,'VMT Change'!$L$7:$L$34),0)</f>
        <v>0</v>
      </c>
      <c r="G6" s="483">
        <f t="shared" ref="G6:G32" si="9">($F6*S$9)/10^6</f>
        <v>0</v>
      </c>
      <c r="H6" s="480">
        <f t="shared" ref="H6:H32" si="10">($F6*T$9)/10^6</f>
        <v>0</v>
      </c>
      <c r="I6" s="485">
        <f t="shared" ref="I6:I32" si="11">($F6*U$9)/10^6</f>
        <v>0</v>
      </c>
      <c r="J6" s="483">
        <f t="shared" si="2"/>
        <v>0</v>
      </c>
      <c r="K6" s="480">
        <f t="shared" si="3"/>
        <v>0</v>
      </c>
      <c r="L6" s="485">
        <f t="shared" si="4"/>
        <v>0</v>
      </c>
      <c r="M6" s="481">
        <f t="shared" si="5"/>
        <v>0</v>
      </c>
      <c r="N6" s="486">
        <f>M6*(1+0.07)^-(B6-'Project Data and Assumptions'!C3)</f>
        <v>0</v>
      </c>
      <c r="O6" s="487">
        <f t="shared" si="6"/>
        <v>0</v>
      </c>
      <c r="P6" s="488">
        <f t="shared" si="7"/>
        <v>0</v>
      </c>
    </row>
    <row r="7" spans="2:31" ht="17.25" x14ac:dyDescent="0.25">
      <c r="B7" s="54">
        <v>2027</v>
      </c>
      <c r="C7" s="482">
        <f t="shared" si="8"/>
        <v>0</v>
      </c>
      <c r="D7" s="435">
        <f t="shared" ref="D7:D25" si="12">C7*_xlfn.XLOOKUP($B7,$R$15:$R$50,$V$15:$V$50)</f>
        <v>0</v>
      </c>
      <c r="E7" s="436">
        <f>D7*(1+0.03)^-($B7-'Project Data and Assumptions'!C3)</f>
        <v>0</v>
      </c>
      <c r="F7" s="474">
        <f>IFERROR(_xlfn.XLOOKUP($B7,'VMT Change'!$B$7:$B$34,'VMT Change'!$L$7:$L$34),0)</f>
        <v>0</v>
      </c>
      <c r="G7" s="475">
        <f t="shared" si="9"/>
        <v>0</v>
      </c>
      <c r="H7" s="476">
        <f t="shared" si="10"/>
        <v>0</v>
      </c>
      <c r="I7" s="477">
        <f t="shared" si="11"/>
        <v>0</v>
      </c>
      <c r="J7" s="435">
        <f t="shared" ref="J7:J25" si="13">G7*_xlfn.XLOOKUP($B7,$R$15:$R$50,$S$15:$S$50)</f>
        <v>0</v>
      </c>
      <c r="K7" s="478">
        <f>H7*_xlfn.XLOOKUP($B7,$R$15:$R$50,$T$15:$T$50)</f>
        <v>0</v>
      </c>
      <c r="L7" s="436">
        <f>I7*_xlfn.XLOOKUP($B7,$R$15:$R$50,$U$15:$U$50)</f>
        <v>0</v>
      </c>
      <c r="M7" s="479">
        <f t="shared" ref="M7:M25" si="14">SUM(J7:L7)</f>
        <v>0</v>
      </c>
      <c r="N7" s="479">
        <f>M7*(1+0.07)^-(B7-'Project Data and Assumptions'!C3)</f>
        <v>0</v>
      </c>
      <c r="O7" s="435">
        <f t="shared" ref="O7:P22" si="15">M7+D7</f>
        <v>0</v>
      </c>
      <c r="P7" s="436">
        <f t="shared" si="15"/>
        <v>0</v>
      </c>
      <c r="R7" s="437" t="s">
        <v>602</v>
      </c>
      <c r="S7" s="437"/>
      <c r="T7" s="437"/>
      <c r="U7" s="437"/>
      <c r="V7" s="437"/>
      <c r="Y7" s="175" t="s">
        <v>603</v>
      </c>
    </row>
    <row r="8" spans="2:31" x14ac:dyDescent="0.25">
      <c r="B8" s="2">
        <f t="shared" ref="B8:B32" si="16">+B7+1</f>
        <v>2028</v>
      </c>
      <c r="C8" s="482">
        <f t="shared" si="8"/>
        <v>0</v>
      </c>
      <c r="D8" s="435">
        <f t="shared" si="12"/>
        <v>0</v>
      </c>
      <c r="E8" s="436">
        <f>D8*(1+0.03)^-($B8-'Project Data and Assumptions'!C3)</f>
        <v>0</v>
      </c>
      <c r="F8" s="438">
        <f>IFERROR(_xlfn.XLOOKUP($B8,'VMT Change'!$B$7:$B$34,'VMT Change'!$L$7:$L$34),0)</f>
        <v>0</v>
      </c>
      <c r="G8" s="439">
        <f t="shared" si="9"/>
        <v>0</v>
      </c>
      <c r="H8" s="440">
        <f t="shared" si="10"/>
        <v>0</v>
      </c>
      <c r="I8" s="441">
        <f t="shared" si="11"/>
        <v>0</v>
      </c>
      <c r="J8" s="445">
        <f t="shared" si="13"/>
        <v>0</v>
      </c>
      <c r="K8" s="442">
        <f t="shared" ref="K8:K25" si="17">H8*_xlfn.XLOOKUP($B8,$R$15:$R$50,$T$15:$T$50)</f>
        <v>0</v>
      </c>
      <c r="L8" s="443">
        <f t="shared" ref="L8:L25" si="18">I8*_xlfn.XLOOKUP($B8,$R$15:$R$50,$U$15:$U$50)</f>
        <v>0</v>
      </c>
      <c r="M8" s="444">
        <f t="shared" si="14"/>
        <v>0</v>
      </c>
      <c r="N8" s="444">
        <f>M8*(1+0.07)^-(B8-'Project Data and Assumptions'!C3)</f>
        <v>0</v>
      </c>
      <c r="O8" s="445">
        <f t="shared" si="15"/>
        <v>0</v>
      </c>
      <c r="P8" s="443">
        <f t="shared" si="15"/>
        <v>0</v>
      </c>
      <c r="R8" s="173" t="s">
        <v>13</v>
      </c>
      <c r="S8" s="145" t="s">
        <v>604</v>
      </c>
      <c r="T8" s="145" t="s">
        <v>605</v>
      </c>
      <c r="U8" s="145" t="s">
        <v>606</v>
      </c>
      <c r="V8" s="145" t="s">
        <v>607</v>
      </c>
      <c r="Y8" s="370" t="s">
        <v>608</v>
      </c>
      <c r="Z8" s="370" t="s">
        <v>609</v>
      </c>
      <c r="AA8" s="370" t="s">
        <v>610</v>
      </c>
      <c r="AB8" s="371" t="s">
        <v>604</v>
      </c>
      <c r="AC8" s="371" t="s">
        <v>605</v>
      </c>
      <c r="AD8" s="371" t="s">
        <v>606</v>
      </c>
      <c r="AE8" s="371" t="s">
        <v>607</v>
      </c>
    </row>
    <row r="9" spans="2:31" x14ac:dyDescent="0.25">
      <c r="B9" s="2">
        <f t="shared" si="16"/>
        <v>2029</v>
      </c>
      <c r="C9" s="482">
        <f t="shared" si="8"/>
        <v>5.0467909190313964</v>
      </c>
      <c r="D9" s="435">
        <f t="shared" si="12"/>
        <v>307.85424606091516</v>
      </c>
      <c r="E9" s="436">
        <f>D9*(1+0.03)^-($B9-'Project Data and Assumptions'!C3)</f>
        <v>235.94464530411747</v>
      </c>
      <c r="F9" s="438">
        <f>IFERROR(_xlfn.XLOOKUP($B9,'VMT Change'!$B$7:$B$34,'VMT Change'!$L$7:$L$34),0)</f>
        <v>15909.199994601824</v>
      </c>
      <c r="G9" s="439">
        <f t="shared" si="9"/>
        <v>3.6258632225211482E-3</v>
      </c>
      <c r="H9" s="440">
        <f t="shared" si="10"/>
        <v>3.2930460067274125E-5</v>
      </c>
      <c r="I9" s="441">
        <f t="shared" si="11"/>
        <v>9.25608644735271E-5</v>
      </c>
      <c r="J9" s="445">
        <f t="shared" si="13"/>
        <v>64.177779038624323</v>
      </c>
      <c r="K9" s="442">
        <f t="shared" si="17"/>
        <v>1.5872481752426129</v>
      </c>
      <c r="L9" s="443">
        <f t="shared" si="18"/>
        <v>79.046978260392137</v>
      </c>
      <c r="M9" s="444">
        <f t="shared" si="14"/>
        <v>144.81200547425908</v>
      </c>
      <c r="N9" s="444">
        <f>M9*(1+0.07)^-(B9-'Project Data and Assumptions'!C3)</f>
        <v>78.768136108729877</v>
      </c>
      <c r="O9" s="445">
        <f t="shared" si="15"/>
        <v>452.66625153517424</v>
      </c>
      <c r="P9" s="443">
        <f t="shared" si="15"/>
        <v>314.71278141284733</v>
      </c>
      <c r="R9" s="173" t="s">
        <v>34</v>
      </c>
      <c r="S9" s="446">
        <f>AB27</f>
        <v>0.22790983982547491</v>
      </c>
      <c r="T9" s="446">
        <f t="shared" ref="T9:V9" si="19">AC27</f>
        <v>2.0699004398994176E-3</v>
      </c>
      <c r="U9" s="446">
        <f t="shared" si="19"/>
        <v>5.8180715878192544E-3</v>
      </c>
      <c r="V9" s="446">
        <f t="shared" si="19"/>
        <v>317.22468262036</v>
      </c>
      <c r="Y9" s="371">
        <v>11</v>
      </c>
      <c r="Z9" s="370" t="s">
        <v>611</v>
      </c>
      <c r="AA9" s="370" t="s">
        <v>612</v>
      </c>
      <c r="AB9" s="447">
        <v>0.73690802096518104</v>
      </c>
      <c r="AC9" s="447">
        <v>2.4081927794970298E-3</v>
      </c>
      <c r="AD9" s="447">
        <v>1.78605259703664E-2</v>
      </c>
      <c r="AE9" s="447">
        <v>362.51238716242</v>
      </c>
    </row>
    <row r="10" spans="2:31" x14ac:dyDescent="0.25">
      <c r="B10" s="2">
        <f t="shared" si="16"/>
        <v>2030</v>
      </c>
      <c r="C10" s="482">
        <f t="shared" si="8"/>
        <v>11.735741937827189</v>
      </c>
      <c r="D10" s="435">
        <f t="shared" si="12"/>
        <v>727.61600014528574</v>
      </c>
      <c r="E10" s="436">
        <f>D10*(1+0.03)^-($B10-'Project Data and Assumptions'!C3)</f>
        <v>541.41463808960179</v>
      </c>
      <c r="F10" s="438">
        <f>IFERROR(_xlfn.XLOOKUP($B10,'VMT Change'!$B$7:$B$34,'VMT Change'!$L$7:$L$34),0)</f>
        <v>36995.046668143375</v>
      </c>
      <c r="G10" s="439">
        <f t="shared" si="9"/>
        <v>8.4315351604725263E-3</v>
      </c>
      <c r="H10" s="440">
        <f t="shared" si="10"/>
        <v>7.657606337248946E-5</v>
      </c>
      <c r="I10" s="441">
        <f t="shared" si="11"/>
        <v>2.1523982990997233E-4</v>
      </c>
      <c r="J10" s="445">
        <f t="shared" si="13"/>
        <v>152.61078640455273</v>
      </c>
      <c r="K10" s="442">
        <f t="shared" si="17"/>
        <v>3.7598847115892324</v>
      </c>
      <c r="L10" s="443">
        <f t="shared" si="18"/>
        <v>186.74207642989199</v>
      </c>
      <c r="M10" s="444">
        <f t="shared" si="14"/>
        <v>343.11274754603392</v>
      </c>
      <c r="N10" s="444">
        <f>M10*(1+0.07)^-(B10-'Project Data and Assumptions'!C3)</f>
        <v>174.42112233742446</v>
      </c>
      <c r="O10" s="445">
        <f t="shared" si="15"/>
        <v>1070.7287476913198</v>
      </c>
      <c r="P10" s="443">
        <f t="shared" si="15"/>
        <v>715.83576042702623</v>
      </c>
      <c r="R10" s="173" t="s">
        <v>35</v>
      </c>
      <c r="S10" s="446">
        <f t="shared" ref="S10:V10" si="20">AB28</f>
        <v>2.099484306313415</v>
      </c>
      <c r="T10" s="446">
        <f t="shared" si="20"/>
        <v>4.7858028693373951E-3</v>
      </c>
      <c r="U10" s="446">
        <f t="shared" si="20"/>
        <v>3.2505287070740692E-2</v>
      </c>
      <c r="V10" s="446">
        <f t="shared" si="20"/>
        <v>1238.7315972924489</v>
      </c>
      <c r="Y10" s="371">
        <v>21</v>
      </c>
      <c r="Z10" s="370" t="s">
        <v>613</v>
      </c>
      <c r="AA10" s="370" t="s">
        <v>612</v>
      </c>
      <c r="AB10" s="447">
        <v>3.7528759722247264E-2</v>
      </c>
      <c r="AC10" s="447">
        <v>1.6122938930079201E-3</v>
      </c>
      <c r="AD10" s="447">
        <v>1.1798384221972261E-3</v>
      </c>
      <c r="AE10" s="447">
        <v>243.79125643460799</v>
      </c>
    </row>
    <row r="11" spans="2:31" ht="15" customHeight="1" x14ac:dyDescent="0.25">
      <c r="B11" s="2">
        <f t="shared" si="16"/>
        <v>2031</v>
      </c>
      <c r="C11" s="482">
        <f t="shared" si="8"/>
        <v>30.448126119202691</v>
      </c>
      <c r="D11" s="435">
        <f t="shared" si="12"/>
        <v>1918.2319455097695</v>
      </c>
      <c r="E11" s="436">
        <f>D11*(1+0.03)^-($B11-'Project Data and Assumptions'!C3)</f>
        <v>1385.7715708876951</v>
      </c>
      <c r="F11" s="438">
        <f>IFERROR(_xlfn.XLOOKUP($B11,'VMT Change'!$B$7:$B$34,'VMT Change'!$L$7:$L$34),0)</f>
        <v>95982.84051446784</v>
      </c>
      <c r="G11" s="439">
        <f t="shared" si="9"/>
        <v>2.187543380764647E-2</v>
      </c>
      <c r="H11" s="440">
        <f t="shared" si="10"/>
        <v>1.9867492380369262E-4</v>
      </c>
      <c r="I11" s="441">
        <f t="shared" si="11"/>
        <v>5.5843503731541218E-4</v>
      </c>
      <c r="J11" s="445">
        <f t="shared" si="13"/>
        <v>395.94535191840112</v>
      </c>
      <c r="K11" s="442">
        <f t="shared" si="17"/>
        <v>9.7549387587613072</v>
      </c>
      <c r="L11" s="443">
        <f t="shared" si="18"/>
        <v>484.49823837485161</v>
      </c>
      <c r="M11" s="444">
        <f t="shared" si="14"/>
        <v>890.19852905201401</v>
      </c>
      <c r="N11" s="444">
        <f>M11*(1+0.07)^-(B11-'Project Data and Assumptions'!C3)</f>
        <v>422.92690850743764</v>
      </c>
      <c r="O11" s="445">
        <f t="shared" si="15"/>
        <v>2808.4304745617837</v>
      </c>
      <c r="P11" s="443">
        <f t="shared" si="15"/>
        <v>1808.6984793951328</v>
      </c>
      <c r="R11" s="175"/>
      <c r="S11" s="229"/>
      <c r="T11" s="448"/>
      <c r="U11" s="229"/>
      <c r="V11" s="449"/>
      <c r="Y11" s="371">
        <v>31</v>
      </c>
      <c r="Z11" s="370" t="s">
        <v>613</v>
      </c>
      <c r="AA11" s="370" t="s">
        <v>612</v>
      </c>
      <c r="AB11" s="447">
        <v>5.602001301010253E-2</v>
      </c>
      <c r="AC11" s="447">
        <v>2.0534055761767299E-3</v>
      </c>
      <c r="AD11" s="447">
        <v>1.6834690354423085E-3</v>
      </c>
      <c r="AE11" s="447">
        <v>318.590574637288</v>
      </c>
    </row>
    <row r="12" spans="2:31" x14ac:dyDescent="0.25">
      <c r="B12" s="2">
        <f t="shared" si="16"/>
        <v>2032</v>
      </c>
      <c r="C12" s="482">
        <f t="shared" si="8"/>
        <v>31.057088641586763</v>
      </c>
      <c r="D12" s="435">
        <f t="shared" si="12"/>
        <v>1987.6536730615528</v>
      </c>
      <c r="E12" s="436">
        <f>D12*(1+0.03)^-($B12-'Project Data and Assumptions'!C3)</f>
        <v>1394.1002950770351</v>
      </c>
      <c r="F12" s="438">
        <f>IFERROR(_xlfn.XLOOKUP($B12,'VMT Change'!$B$7:$B$34,'VMT Change'!$L$7:$L$34),0)</f>
        <v>97902.497324757249</v>
      </c>
      <c r="G12" s="439">
        <f t="shared" si="9"/>
        <v>2.2312942483799413E-2</v>
      </c>
      <c r="H12" s="440">
        <f t="shared" si="10"/>
        <v>2.0264842227976659E-4</v>
      </c>
      <c r="I12" s="441">
        <f t="shared" si="11"/>
        <v>5.696037380617207E-4</v>
      </c>
      <c r="J12" s="445">
        <f t="shared" si="13"/>
        <v>403.86425895676939</v>
      </c>
      <c r="K12" s="442">
        <f t="shared" si="17"/>
        <v>9.9500375339365394</v>
      </c>
      <c r="L12" s="443">
        <f t="shared" si="18"/>
        <v>494.18820314234887</v>
      </c>
      <c r="M12" s="444">
        <f t="shared" si="14"/>
        <v>908.00249963305487</v>
      </c>
      <c r="N12" s="444">
        <f>M12*(1+0.07)^-(B12-'Project Data and Assumptions'!C3)</f>
        <v>403.16396885755773</v>
      </c>
      <c r="O12" s="445">
        <f t="shared" si="15"/>
        <v>2895.6561726946074</v>
      </c>
      <c r="P12" s="443">
        <f t="shared" si="15"/>
        <v>1797.2642639345927</v>
      </c>
      <c r="S12" s="376"/>
      <c r="T12" s="376"/>
      <c r="U12" s="376"/>
      <c r="V12" s="376"/>
      <c r="Y12" s="371">
        <v>32</v>
      </c>
      <c r="Z12" s="370" t="s">
        <v>613</v>
      </c>
      <c r="AA12" s="370" t="s">
        <v>612</v>
      </c>
      <c r="AB12" s="447">
        <v>8.1182565604368817E-2</v>
      </c>
      <c r="AC12" s="447">
        <v>2.2057095109159902E-3</v>
      </c>
      <c r="AD12" s="447">
        <v>2.5484529232710825E-3</v>
      </c>
      <c r="AE12" s="447">
        <v>344.00451224712401</v>
      </c>
    </row>
    <row r="13" spans="2:31" ht="17.25" x14ac:dyDescent="0.25">
      <c r="B13" s="2">
        <f t="shared" si="16"/>
        <v>2033</v>
      </c>
      <c r="C13" s="482">
        <f t="shared" si="8"/>
        <v>31.67823041441849</v>
      </c>
      <c r="D13" s="435">
        <f t="shared" si="12"/>
        <v>2059.0849769372016</v>
      </c>
      <c r="E13" s="436">
        <f>D13*(1+0.03)^-($B13-'Project Data and Assumptions'!C3)</f>
        <v>1402.1366742052094</v>
      </c>
      <c r="F13" s="438">
        <f>IFERROR(_xlfn.XLOOKUP($B13,'VMT Change'!$B$7:$B$34,'VMT Change'!$L$7:$L$34),0)</f>
        <v>99860.547271252362</v>
      </c>
      <c r="G13" s="439">
        <f t="shared" si="9"/>
        <v>2.2759201333475389E-2</v>
      </c>
      <c r="H13" s="440">
        <f t="shared" si="10"/>
        <v>2.0670139072536184E-4</v>
      </c>
      <c r="I13" s="441">
        <f t="shared" si="11"/>
        <v>5.8099581282295494E-4</v>
      </c>
      <c r="J13" s="445">
        <f t="shared" si="13"/>
        <v>411.94154413590456</v>
      </c>
      <c r="K13" s="442">
        <f t="shared" si="17"/>
        <v>10.149038284615266</v>
      </c>
      <c r="L13" s="443">
        <f t="shared" si="18"/>
        <v>504.07196720519573</v>
      </c>
      <c r="M13" s="444">
        <f t="shared" si="14"/>
        <v>926.16254962571554</v>
      </c>
      <c r="N13" s="444">
        <f>M13*(1+0.07)^-(B13-'Project Data and Assumptions'!C3)</f>
        <v>384.32453106047535</v>
      </c>
      <c r="O13" s="445">
        <f t="shared" si="15"/>
        <v>2985.2475265629173</v>
      </c>
      <c r="P13" s="443">
        <f t="shared" si="15"/>
        <v>1786.4612052656848</v>
      </c>
      <c r="R13" s="175" t="s">
        <v>614</v>
      </c>
      <c r="Y13" s="371">
        <v>41</v>
      </c>
      <c r="Z13" s="370" t="s">
        <v>615</v>
      </c>
      <c r="AA13" s="370" t="s">
        <v>616</v>
      </c>
      <c r="AB13" s="447">
        <v>2.237602310868759</v>
      </c>
      <c r="AC13" s="447">
        <v>5.5717265564873301E-3</v>
      </c>
      <c r="AD13" s="447">
        <v>1.658066855283262E-2</v>
      </c>
      <c r="AE13" s="447">
        <v>1406.7823013201701</v>
      </c>
    </row>
    <row r="14" spans="2:31" x14ac:dyDescent="0.25">
      <c r="B14" s="2">
        <f t="shared" si="16"/>
        <v>2034</v>
      </c>
      <c r="C14" s="482">
        <f t="shared" si="8"/>
        <v>33.587086533701495</v>
      </c>
      <c r="D14" s="435">
        <f t="shared" si="12"/>
        <v>2216.7477112242987</v>
      </c>
      <c r="E14" s="436">
        <f>D14*(1+0.03)^-($B14-'Project Data and Assumptions'!C3)</f>
        <v>1465.5313828980545</v>
      </c>
      <c r="F14" s="438">
        <f>IFERROR(_xlfn.XLOOKUP($B14,'VMT Change'!$B$7:$B$34,'VMT Change'!$L$7:$L$34),0)</f>
        <v>105877.91043327162</v>
      </c>
      <c r="G14" s="439">
        <f t="shared" si="9"/>
        <v>2.4130617607902912E-2</v>
      </c>
      <c r="H14" s="440">
        <f t="shared" si="10"/>
        <v>2.1915673338146008E-4</v>
      </c>
      <c r="I14" s="441">
        <f t="shared" si="11"/>
        <v>6.1600526246948948E-4</v>
      </c>
      <c r="J14" s="445">
        <f t="shared" si="13"/>
        <v>436.76417870304272</v>
      </c>
      <c r="K14" s="442">
        <f t="shared" si="17"/>
        <v>10.760595609029689</v>
      </c>
      <c r="L14" s="443">
        <f t="shared" si="18"/>
        <v>534.44616571852907</v>
      </c>
      <c r="M14" s="444">
        <f t="shared" si="14"/>
        <v>981.97094003060147</v>
      </c>
      <c r="N14" s="444">
        <f>M14*(1+0.07)^-(B14-'Project Data and Assumptions'!C3)</f>
        <v>380.82526072185686</v>
      </c>
      <c r="O14" s="445">
        <f t="shared" si="15"/>
        <v>3198.7186512549001</v>
      </c>
      <c r="P14" s="443">
        <f t="shared" si="15"/>
        <v>1846.3566436199114</v>
      </c>
      <c r="R14" s="450" t="s">
        <v>80</v>
      </c>
      <c r="S14" s="135" t="s">
        <v>604</v>
      </c>
      <c r="T14" s="135" t="s">
        <v>605</v>
      </c>
      <c r="U14" s="135" t="s">
        <v>606</v>
      </c>
      <c r="V14" s="135" t="s">
        <v>607</v>
      </c>
      <c r="Y14" s="371">
        <v>42</v>
      </c>
      <c r="Z14" s="370" t="s">
        <v>615</v>
      </c>
      <c r="AA14" s="370" t="s">
        <v>616</v>
      </c>
      <c r="AB14" s="447">
        <v>1.9658170115512426</v>
      </c>
      <c r="AC14" s="447">
        <v>5.4889920561794897E-3</v>
      </c>
      <c r="AD14" s="447">
        <v>1.2308421676718551E-2</v>
      </c>
      <c r="AE14" s="447">
        <v>1391.9649569298599</v>
      </c>
    </row>
    <row r="15" spans="2:31" ht="15" customHeight="1" x14ac:dyDescent="0.25">
      <c r="B15" s="2">
        <f t="shared" si="16"/>
        <v>2035</v>
      </c>
      <c r="C15" s="482">
        <f t="shared" si="8"/>
        <v>34.258828264375516</v>
      </c>
      <c r="D15" s="435">
        <f t="shared" si="12"/>
        <v>2295.3414937131597</v>
      </c>
      <c r="E15" s="436">
        <f>D15*(1+0.03)^-($B15-'Project Data and Assumptions'!C3)</f>
        <v>1473.2923610952193</v>
      </c>
      <c r="F15" s="438">
        <f>IFERROR(_xlfn.XLOOKUP($B15,'VMT Change'!$B$7:$B$34,'VMT Change'!$L$7:$L$34),0)</f>
        <v>107995.46864193704</v>
      </c>
      <c r="G15" s="439">
        <f t="shared" si="9"/>
        <v>2.4613229960060969E-2</v>
      </c>
      <c r="H15" s="440">
        <f t="shared" si="10"/>
        <v>2.2353986804908926E-4</v>
      </c>
      <c r="I15" s="441">
        <f t="shared" si="11"/>
        <v>6.2832536771887922E-4</v>
      </c>
      <c r="J15" s="445">
        <f t="shared" si="13"/>
        <v>445.49946227710353</v>
      </c>
      <c r="K15" s="442">
        <f t="shared" si="17"/>
        <v>10.975807521210283</v>
      </c>
      <c r="L15" s="443">
        <f t="shared" si="18"/>
        <v>545.1350890328996</v>
      </c>
      <c r="M15" s="444">
        <f t="shared" si="14"/>
        <v>1001.6103588312135</v>
      </c>
      <c r="N15" s="444">
        <f>M15*(1+0.07)^-(B15-'Project Data and Assumptions'!C3)</f>
        <v>363.0296877909289</v>
      </c>
      <c r="O15" s="445">
        <f t="shared" si="15"/>
        <v>3296.9518525443732</v>
      </c>
      <c r="P15" s="443">
        <f t="shared" si="15"/>
        <v>1836.3220488861482</v>
      </c>
      <c r="R15" s="146">
        <v>2021</v>
      </c>
      <c r="S15" s="451">
        <v>15600</v>
      </c>
      <c r="T15" s="451">
        <v>41500</v>
      </c>
      <c r="U15" s="451">
        <v>748600</v>
      </c>
      <c r="V15" s="451">
        <v>52</v>
      </c>
      <c r="Y15" s="371">
        <v>43</v>
      </c>
      <c r="Z15" s="370" t="s">
        <v>615</v>
      </c>
      <c r="AA15" s="370" t="s">
        <v>616</v>
      </c>
      <c r="AB15" s="447">
        <v>1.9469017025302577</v>
      </c>
      <c r="AC15" s="447">
        <v>3.66910948950592E-3</v>
      </c>
      <c r="AD15" s="447">
        <v>5.5096995199883071E-2</v>
      </c>
      <c r="AE15" s="447">
        <v>1071.1129065416801</v>
      </c>
    </row>
    <row r="16" spans="2:31" x14ac:dyDescent="0.25">
      <c r="B16" s="2">
        <f t="shared" si="16"/>
        <v>2036</v>
      </c>
      <c r="C16" s="482">
        <f t="shared" si="8"/>
        <v>34.944004829663029</v>
      </c>
      <c r="D16" s="435">
        <f t="shared" si="12"/>
        <v>2411.136333246749</v>
      </c>
      <c r="E16" s="436">
        <f>D16*(1+0.03)^-($B16-'Project Data and Assumptions'!C3)</f>
        <v>1502.5404488317863</v>
      </c>
      <c r="F16" s="438">
        <f>IFERROR(_xlfn.XLOOKUP($B16,'VMT Change'!$B$7:$B$34,'VMT Change'!$L$7:$L$34),0)</f>
        <v>110155.37801477578</v>
      </c>
      <c r="G16" s="439">
        <f t="shared" si="9"/>
        <v>2.5105494559262188E-2</v>
      </c>
      <c r="H16" s="440">
        <f t="shared" si="10"/>
        <v>2.2801066541007102E-4</v>
      </c>
      <c r="I16" s="441">
        <f t="shared" si="11"/>
        <v>6.4089187507325679E-4</v>
      </c>
      <c r="J16" s="445">
        <f t="shared" si="13"/>
        <v>454.40945152264561</v>
      </c>
      <c r="K16" s="442">
        <f t="shared" si="17"/>
        <v>11.195323671634487</v>
      </c>
      <c r="L16" s="443">
        <f t="shared" si="18"/>
        <v>556.03779081355754</v>
      </c>
      <c r="M16" s="444">
        <f t="shared" si="14"/>
        <v>1021.6425660078376</v>
      </c>
      <c r="N16" s="444">
        <f>M16*(1+0.07)^-(B16-'Project Data and Assumptions'!C3)</f>
        <v>346.06568368854903</v>
      </c>
      <c r="O16" s="445">
        <f t="shared" si="15"/>
        <v>3432.7788992545866</v>
      </c>
      <c r="P16" s="443">
        <f t="shared" si="15"/>
        <v>1848.6061325203354</v>
      </c>
      <c r="R16" s="146">
        <v>2022</v>
      </c>
      <c r="S16" s="451">
        <v>15800</v>
      </c>
      <c r="T16" s="451">
        <v>42300</v>
      </c>
      <c r="U16" s="451">
        <v>761600</v>
      </c>
      <c r="V16" s="451">
        <v>53</v>
      </c>
      <c r="Y16" s="371">
        <v>51</v>
      </c>
      <c r="Z16" s="370" t="s">
        <v>617</v>
      </c>
      <c r="AA16" s="370" t="s">
        <v>616</v>
      </c>
      <c r="AB16" s="447">
        <v>2.48942987946789</v>
      </c>
      <c r="AC16" s="447">
        <v>5.2833773025508703E-3</v>
      </c>
      <c r="AD16" s="447">
        <v>3.4321389281753531E-2</v>
      </c>
      <c r="AE16" s="447">
        <v>1427.83446247497</v>
      </c>
    </row>
    <row r="17" spans="2:31" x14ac:dyDescent="0.25">
      <c r="B17" s="2">
        <f t="shared" si="16"/>
        <v>2037</v>
      </c>
      <c r="C17" s="482">
        <f t="shared" si="8"/>
        <v>35.642884926256293</v>
      </c>
      <c r="D17" s="435">
        <f t="shared" si="12"/>
        <v>2495.0019448379408</v>
      </c>
      <c r="E17" s="436">
        <f>D17*(1+0.03)^-($B17-'Project Data and Assumptions'!C3)</f>
        <v>1509.5172090416429</v>
      </c>
      <c r="F17" s="438">
        <f>IFERROR(_xlfn.XLOOKUP($B17,'VMT Change'!$B$7:$B$34,'VMT Change'!$L$7:$L$34),0)</f>
        <v>112358.4855750713</v>
      </c>
      <c r="G17" s="439">
        <f t="shared" si="9"/>
        <v>2.5607604450447435E-2</v>
      </c>
      <c r="H17" s="440">
        <f t="shared" si="10"/>
        <v>2.3257087871827247E-4</v>
      </c>
      <c r="I17" s="441">
        <f t="shared" si="11"/>
        <v>6.5370971257472182E-4</v>
      </c>
      <c r="J17" s="445">
        <f t="shared" si="13"/>
        <v>463.49764055309856</v>
      </c>
      <c r="K17" s="442">
        <f t="shared" si="17"/>
        <v>11.419230145067178</v>
      </c>
      <c r="L17" s="443">
        <f t="shared" si="18"/>
        <v>567.15854662982861</v>
      </c>
      <c r="M17" s="444">
        <f t="shared" si="14"/>
        <v>1042.0754173279943</v>
      </c>
      <c r="N17" s="444">
        <f>M17*(1+0.07)^-(B17-'Project Data and Assumptions'!C3)</f>
        <v>329.894390058243</v>
      </c>
      <c r="O17" s="445">
        <f t="shared" si="15"/>
        <v>3537.077362165935</v>
      </c>
      <c r="P17" s="443">
        <f t="shared" si="15"/>
        <v>1839.411599099886</v>
      </c>
      <c r="R17" s="146">
        <v>2023</v>
      </c>
      <c r="S17" s="451">
        <v>16000</v>
      </c>
      <c r="T17" s="451">
        <v>43100</v>
      </c>
      <c r="U17" s="451">
        <v>774700</v>
      </c>
      <c r="V17" s="451">
        <v>54</v>
      </c>
      <c r="Y17" s="371">
        <v>52</v>
      </c>
      <c r="Z17" s="370" t="s">
        <v>617</v>
      </c>
      <c r="AA17" s="370" t="s">
        <v>616</v>
      </c>
      <c r="AB17" s="447">
        <v>0.95074648895471525</v>
      </c>
      <c r="AC17" s="447">
        <v>3.5321878667988801E-3</v>
      </c>
      <c r="AD17" s="447">
        <v>1.5158170819293781E-2</v>
      </c>
      <c r="AE17" s="447">
        <v>862.616489254057</v>
      </c>
    </row>
    <row r="18" spans="2:31" x14ac:dyDescent="0.25">
      <c r="B18" s="2">
        <f t="shared" si="16"/>
        <v>2038</v>
      </c>
      <c r="C18" s="482">
        <f t="shared" si="8"/>
        <v>36.355742624781413</v>
      </c>
      <c r="D18" s="435">
        <f t="shared" si="12"/>
        <v>2581.2577263594803</v>
      </c>
      <c r="E18" s="436">
        <f>D18*(1+0.03)^-($B18-'Project Data and Assumptions'!C3)</f>
        <v>1516.216869331425</v>
      </c>
      <c r="F18" s="438">
        <f>IFERROR(_xlfn.XLOOKUP($B18,'VMT Change'!$B$7:$B$34,'VMT Change'!$L$7:$L$34),0)</f>
        <v>114605.65528657271</v>
      </c>
      <c r="G18" s="439">
        <f t="shared" si="9"/>
        <v>2.611975653945638E-2</v>
      </c>
      <c r="H18" s="440">
        <f t="shared" si="10"/>
        <v>2.3722229629263787E-4</v>
      </c>
      <c r="I18" s="441">
        <f t="shared" si="11"/>
        <v>6.6678390682621623E-4</v>
      </c>
      <c r="J18" s="445">
        <f t="shared" si="13"/>
        <v>472.76759336416046</v>
      </c>
      <c r="K18" s="442">
        <f t="shared" si="17"/>
        <v>11.64761474796852</v>
      </c>
      <c r="L18" s="443">
        <f t="shared" si="18"/>
        <v>578.50171756242514</v>
      </c>
      <c r="M18" s="444">
        <f t="shared" si="14"/>
        <v>1062.916925674554</v>
      </c>
      <c r="N18" s="444">
        <f>M18*(1+0.07)^-(B18-'Project Data and Assumptions'!C3)</f>
        <v>314.4787643545867</v>
      </c>
      <c r="O18" s="445">
        <f t="shared" si="15"/>
        <v>3644.1746520340344</v>
      </c>
      <c r="P18" s="443">
        <f t="shared" si="15"/>
        <v>1830.6956336860117</v>
      </c>
      <c r="R18" s="146">
        <v>2024</v>
      </c>
      <c r="S18" s="451">
        <v>16200</v>
      </c>
      <c r="T18" s="451">
        <v>44000</v>
      </c>
      <c r="U18" s="451">
        <v>788100</v>
      </c>
      <c r="V18" s="451">
        <v>55</v>
      </c>
      <c r="Y18" s="371">
        <v>53</v>
      </c>
      <c r="Z18" s="370" t="s">
        <v>617</v>
      </c>
      <c r="AA18" s="370" t="s">
        <v>616</v>
      </c>
      <c r="AB18" s="447">
        <v>0.89067775827536644</v>
      </c>
      <c r="AC18" s="447">
        <v>3.4020765235606102E-3</v>
      </c>
      <c r="AD18" s="447">
        <v>1.349939126139434E-2</v>
      </c>
      <c r="AE18" s="447">
        <v>829.46088804247995</v>
      </c>
    </row>
    <row r="19" spans="2:31" x14ac:dyDescent="0.25">
      <c r="B19" s="2">
        <f t="shared" si="16"/>
        <v>2039</v>
      </c>
      <c r="C19" s="482">
        <f t="shared" si="8"/>
        <v>37.082857477277038</v>
      </c>
      <c r="D19" s="435">
        <f t="shared" si="12"/>
        <v>2669.9657383639469</v>
      </c>
      <c r="E19" s="436">
        <f>D19*(1+0.03)^-($B19-'Project Data and Assumptions'!C3)</f>
        <v>1522.6441526555429</v>
      </c>
      <c r="F19" s="438">
        <f>IFERROR(_xlfn.XLOOKUP($B19,'VMT Change'!$B$7:$B$34,'VMT Change'!$L$7:$L$34),0)</f>
        <v>116897.76839230416</v>
      </c>
      <c r="G19" s="439">
        <f t="shared" si="9"/>
        <v>2.6642151670245504E-2</v>
      </c>
      <c r="H19" s="440">
        <f t="shared" si="10"/>
        <v>2.4196674221849061E-4</v>
      </c>
      <c r="I19" s="441">
        <f t="shared" si="11"/>
        <v>6.8011958496274054E-4</v>
      </c>
      <c r="J19" s="445">
        <f t="shared" si="13"/>
        <v>482.22294523144365</v>
      </c>
      <c r="K19" s="442">
        <f t="shared" si="17"/>
        <v>11.88056704292789</v>
      </c>
      <c r="L19" s="443">
        <f t="shared" si="18"/>
        <v>590.07175191367367</v>
      </c>
      <c r="M19" s="444">
        <f t="shared" si="14"/>
        <v>1084.1752641880453</v>
      </c>
      <c r="N19" s="444">
        <f>M19*(1+0.07)^-(B19-'Project Data and Assumptions'!C3)</f>
        <v>299.78349499222293</v>
      </c>
      <c r="O19" s="445">
        <f t="shared" si="15"/>
        <v>3754.1410025519922</v>
      </c>
      <c r="P19" s="443">
        <f t="shared" si="15"/>
        <v>1822.4276476477658</v>
      </c>
      <c r="R19" s="146">
        <v>2025</v>
      </c>
      <c r="S19" s="451">
        <v>16500</v>
      </c>
      <c r="T19" s="451">
        <v>44900</v>
      </c>
      <c r="U19" s="451">
        <v>801700</v>
      </c>
      <c r="V19" s="451">
        <v>56</v>
      </c>
      <c r="Y19" s="371">
        <v>54</v>
      </c>
      <c r="Z19" s="370" t="s">
        <v>617</v>
      </c>
      <c r="AA19" s="370" t="s">
        <v>616</v>
      </c>
      <c r="AB19" s="447">
        <v>1.6481032166429217</v>
      </c>
      <c r="AC19" s="447">
        <v>6.0326542026046303E-3</v>
      </c>
      <c r="AD19" s="447">
        <v>4.2864875162321965E-2</v>
      </c>
      <c r="AE19" s="447">
        <v>1166.1048437433201</v>
      </c>
    </row>
    <row r="20" spans="2:31" x14ac:dyDescent="0.25">
      <c r="B20" s="2">
        <f t="shared" si="16"/>
        <v>2040</v>
      </c>
      <c r="C20" s="482">
        <f t="shared" si="8"/>
        <v>37.824514626822591</v>
      </c>
      <c r="D20" s="435">
        <f t="shared" si="12"/>
        <v>2761.1895677580492</v>
      </c>
      <c r="E20" s="436">
        <f>D20*(1+0.03)^-($B20-'Project Data and Assumptions'!C3)</f>
        <v>1528.8037163798781</v>
      </c>
      <c r="F20" s="438">
        <f>IFERROR(_xlfn.XLOOKUP($B20,'VMT Change'!$B$7:$B$34,'VMT Change'!$L$7:$L$34),0)</f>
        <v>119235.72376015027</v>
      </c>
      <c r="G20" s="439">
        <f t="shared" si="9"/>
        <v>2.717499470365042E-2</v>
      </c>
      <c r="H20" s="440">
        <f t="shared" si="10"/>
        <v>2.4680607706286046E-4</v>
      </c>
      <c r="I20" s="441">
        <f t="shared" si="11"/>
        <v>6.9372197666199553E-4</v>
      </c>
      <c r="J20" s="445">
        <f t="shared" si="13"/>
        <v>491.86740413607259</v>
      </c>
      <c r="K20" s="442">
        <f t="shared" si="17"/>
        <v>12.118178383786448</v>
      </c>
      <c r="L20" s="443">
        <f t="shared" si="18"/>
        <v>601.87318695194733</v>
      </c>
      <c r="M20" s="444">
        <f t="shared" si="14"/>
        <v>1105.8587694718065</v>
      </c>
      <c r="N20" s="444">
        <f>M20*(1+0.07)^-(B20-'Project Data and Assumptions'!C3)</f>
        <v>285.77492045987611</v>
      </c>
      <c r="O20" s="445">
        <f t="shared" si="15"/>
        <v>3867.0483372298559</v>
      </c>
      <c r="P20" s="443">
        <f t="shared" si="15"/>
        <v>1814.5786368397542</v>
      </c>
      <c r="R20" s="146">
        <v>2026</v>
      </c>
      <c r="S20" s="451">
        <v>16800</v>
      </c>
      <c r="T20" s="451">
        <v>45700</v>
      </c>
      <c r="U20" s="451">
        <v>814500</v>
      </c>
      <c r="V20" s="451">
        <v>57</v>
      </c>
      <c r="Y20" s="371">
        <v>61</v>
      </c>
      <c r="Z20" s="370" t="s">
        <v>618</v>
      </c>
      <c r="AA20" s="370" t="s">
        <v>616</v>
      </c>
      <c r="AB20" s="447">
        <v>3.0234078113615883</v>
      </c>
      <c r="AC20" s="447">
        <v>4.9760807160904204E-3</v>
      </c>
      <c r="AD20" s="447">
        <v>4.3407648080982714E-2</v>
      </c>
      <c r="AE20" s="447">
        <v>1463.90880302132</v>
      </c>
    </row>
    <row r="21" spans="2:31" x14ac:dyDescent="0.25">
      <c r="B21" s="2">
        <f t="shared" si="16"/>
        <v>2041</v>
      </c>
      <c r="C21" s="482">
        <f t="shared" si="8"/>
        <v>38.581004919359039</v>
      </c>
      <c r="D21" s="435">
        <f t="shared" si="12"/>
        <v>2854.9943640325687</v>
      </c>
      <c r="E21" s="436">
        <f>D21*(1+0.03)^-($B21-'Project Data and Assumptions'!C3)</f>
        <v>1534.7001531101635</v>
      </c>
      <c r="F21" s="438">
        <f>IFERROR(_xlfn.XLOOKUP($B21,'VMT Change'!$B$7:$B$34,'VMT Change'!$L$7:$L$34),0)</f>
        <v>121620.43823535327</v>
      </c>
      <c r="G21" s="439">
        <f t="shared" si="9"/>
        <v>2.7718494597723426E-2</v>
      </c>
      <c r="H21" s="440">
        <f t="shared" si="10"/>
        <v>2.5174219860411769E-4</v>
      </c>
      <c r="I21" s="441">
        <f t="shared" si="11"/>
        <v>7.075964161952354E-4</v>
      </c>
      <c r="J21" s="445">
        <f t="shared" si="13"/>
        <v>501.704752218794</v>
      </c>
      <c r="K21" s="442">
        <f t="shared" si="17"/>
        <v>12.360541951462178</v>
      </c>
      <c r="L21" s="443">
        <f t="shared" si="18"/>
        <v>613.91065069098624</v>
      </c>
      <c r="M21" s="444">
        <f t="shared" si="14"/>
        <v>1127.9759448612424</v>
      </c>
      <c r="N21" s="444">
        <f>M21*(1+0.07)^-(B21-'Project Data and Assumptions'!C3)</f>
        <v>272.42095221408749</v>
      </c>
      <c r="O21" s="445">
        <f t="shared" si="15"/>
        <v>3982.9703088938113</v>
      </c>
      <c r="P21" s="443">
        <f t="shared" si="15"/>
        <v>1807.1211053242509</v>
      </c>
      <c r="R21" s="146">
        <v>2027</v>
      </c>
      <c r="S21" s="451">
        <v>17100</v>
      </c>
      <c r="T21" s="451">
        <v>46500</v>
      </c>
      <c r="U21" s="451">
        <v>827400</v>
      </c>
      <c r="V21" s="451">
        <v>58</v>
      </c>
      <c r="Y21" s="371">
        <v>62</v>
      </c>
      <c r="Z21" s="370" t="s">
        <v>618</v>
      </c>
      <c r="AA21" s="370" t="s">
        <v>616</v>
      </c>
      <c r="AB21" s="447">
        <v>3.7426725771679936</v>
      </c>
      <c r="AC21" s="447">
        <v>5.1160211102583997E-3</v>
      </c>
      <c r="AD21" s="447">
        <v>5.9310023601485649E-2</v>
      </c>
      <c r="AE21" s="447">
        <v>1528.79872430418</v>
      </c>
    </row>
    <row r="22" spans="2:31" x14ac:dyDescent="0.25">
      <c r="B22" s="2">
        <f t="shared" si="16"/>
        <v>2042</v>
      </c>
      <c r="C22" s="482">
        <f t="shared" si="8"/>
        <v>39.35262501774622</v>
      </c>
      <c r="D22" s="435">
        <f t="shared" si="12"/>
        <v>2951.4468763309665</v>
      </c>
      <c r="E22" s="436">
        <f>D22*(1+0.03)^-($B22-'Project Data and Assumptions'!C3)</f>
        <v>1540.3379915104633</v>
      </c>
      <c r="F22" s="438">
        <f>IFERROR(_xlfn.XLOOKUP($B22,'VMT Change'!$B$7:$B$34,'VMT Change'!$L$7:$L$34),0)</f>
        <v>124052.84700006034</v>
      </c>
      <c r="G22" s="439">
        <f t="shared" si="9"/>
        <v>2.8272864489677897E-2</v>
      </c>
      <c r="H22" s="440">
        <f t="shared" si="10"/>
        <v>2.5677704257620008E-4</v>
      </c>
      <c r="I22" s="441">
        <f t="shared" si="11"/>
        <v>7.2174834451914013E-4</v>
      </c>
      <c r="J22" s="445">
        <f t="shared" si="13"/>
        <v>511.73884726316993</v>
      </c>
      <c r="K22" s="442">
        <f t="shared" si="17"/>
        <v>12.607752790491423</v>
      </c>
      <c r="L22" s="443">
        <f t="shared" si="18"/>
        <v>626.18886370480595</v>
      </c>
      <c r="M22" s="444">
        <f t="shared" si="14"/>
        <v>1150.5354637584674</v>
      </c>
      <c r="N22" s="444">
        <f>M22*(1+0.07)^-(B22-'Project Data and Assumptions'!C3)</f>
        <v>259.69100117604603</v>
      </c>
      <c r="O22" s="445">
        <f t="shared" si="15"/>
        <v>4101.9823400894338</v>
      </c>
      <c r="P22" s="443">
        <f t="shared" si="15"/>
        <v>1800.0289926865094</v>
      </c>
      <c r="R22" s="146">
        <v>2028</v>
      </c>
      <c r="S22" s="451">
        <v>17400</v>
      </c>
      <c r="T22" s="451">
        <v>47300</v>
      </c>
      <c r="U22" s="451">
        <v>840600</v>
      </c>
      <c r="V22" s="451">
        <v>60</v>
      </c>
    </row>
    <row r="23" spans="2:31" x14ac:dyDescent="0.25">
      <c r="B23" s="2">
        <f t="shared" si="16"/>
        <v>2043</v>
      </c>
      <c r="C23" s="482">
        <f t="shared" si="8"/>
        <v>40.139677518101131</v>
      </c>
      <c r="D23" s="435">
        <f t="shared" si="12"/>
        <v>3090.755168893787</v>
      </c>
      <c r="E23" s="436">
        <f>D23*(1+0.03)^-($B23-'Project Data and Assumptions'!C3)</f>
        <v>1566.0601404949091</v>
      </c>
      <c r="F23" s="438">
        <f>IFERROR(_xlfn.XLOOKUP($B23,'VMT Change'!$B$7:$B$34,'VMT Change'!$L$7:$L$34),0)</f>
        <v>126533.90394006151</v>
      </c>
      <c r="G23" s="439">
        <f t="shared" si="9"/>
        <v>2.8838321779471446E-2</v>
      </c>
      <c r="H23" s="440">
        <f t="shared" si="10"/>
        <v>2.6191258342772399E-4</v>
      </c>
      <c r="I23" s="441">
        <f t="shared" si="11"/>
        <v>7.3618331140952269E-4</v>
      </c>
      <c r="J23" s="445">
        <f t="shared" si="13"/>
        <v>521.97362420843319</v>
      </c>
      <c r="K23" s="442">
        <f t="shared" si="17"/>
        <v>12.859907846301248</v>
      </c>
      <c r="L23" s="443">
        <f t="shared" si="18"/>
        <v>638.71264097890185</v>
      </c>
      <c r="M23" s="444">
        <f t="shared" si="14"/>
        <v>1173.5461730336363</v>
      </c>
      <c r="N23" s="444">
        <f>M23*(1+0.07)^-(B23-'Project Data and Assumptions'!C3)</f>
        <v>247.55590766314657</v>
      </c>
      <c r="O23" s="445">
        <f t="shared" ref="O23:P25" si="21">M23+D23</f>
        <v>4264.301341927423</v>
      </c>
      <c r="P23" s="443">
        <f t="shared" si="21"/>
        <v>1813.6160481580557</v>
      </c>
      <c r="R23" s="146">
        <v>2029</v>
      </c>
      <c r="S23" s="451">
        <v>17700</v>
      </c>
      <c r="T23" s="451">
        <v>48200</v>
      </c>
      <c r="U23" s="451">
        <v>854000</v>
      </c>
      <c r="V23" s="451">
        <v>61</v>
      </c>
    </row>
    <row r="24" spans="2:31" x14ac:dyDescent="0.25">
      <c r="B24" s="2">
        <f t="shared" si="16"/>
        <v>2044</v>
      </c>
      <c r="C24" s="482">
        <f t="shared" si="8"/>
        <v>40.942471068463163</v>
      </c>
      <c r="D24" s="435">
        <f t="shared" si="12"/>
        <v>3193.5127433401267</v>
      </c>
      <c r="E24" s="436">
        <f>D24*(1+0.03)^-($B24-'Project Data and Assumptions'!C3)</f>
        <v>1570.9966558791452</v>
      </c>
      <c r="F24" s="438">
        <f>IFERROR(_xlfn.XLOOKUP($B24,'VMT Change'!$B$7:$B$34,'VMT Change'!$L$7:$L$34),0)</f>
        <v>129064.58201886277</v>
      </c>
      <c r="G24" s="439">
        <f t="shared" si="9"/>
        <v>2.9415088215060885E-2</v>
      </c>
      <c r="H24" s="440">
        <f t="shared" si="10"/>
        <v>2.6715083509627849E-4</v>
      </c>
      <c r="I24" s="441">
        <f t="shared" si="11"/>
        <v>7.5090697763771337E-4</v>
      </c>
      <c r="J24" s="445">
        <f t="shared" si="13"/>
        <v>532.41309669260204</v>
      </c>
      <c r="K24" s="442">
        <f t="shared" si="17"/>
        <v>13.117106003227274</v>
      </c>
      <c r="L24" s="443">
        <f t="shared" si="18"/>
        <v>651.48689379848008</v>
      </c>
      <c r="M24" s="444">
        <f t="shared" si="14"/>
        <v>1197.0170964943095</v>
      </c>
      <c r="N24" s="444">
        <f>M24*(1+0.07)^-(B24-'Project Data and Assumptions'!C3)</f>
        <v>235.98787459477535</v>
      </c>
      <c r="O24" s="445">
        <f t="shared" si="21"/>
        <v>4390.5298398344366</v>
      </c>
      <c r="P24" s="443">
        <f t="shared" si="21"/>
        <v>1806.9845304739206</v>
      </c>
      <c r="R24" s="146">
        <v>2030</v>
      </c>
      <c r="S24" s="451">
        <v>18100</v>
      </c>
      <c r="T24" s="451">
        <v>49100</v>
      </c>
      <c r="U24" s="451">
        <v>867600</v>
      </c>
      <c r="V24" s="451">
        <v>62</v>
      </c>
    </row>
    <row r="25" spans="2:31" x14ac:dyDescent="0.25">
      <c r="B25" s="2">
        <f t="shared" si="16"/>
        <v>2045</v>
      </c>
      <c r="C25" s="482">
        <f t="shared" si="8"/>
        <v>41.761320489832414</v>
      </c>
      <c r="D25" s="435">
        <f t="shared" si="12"/>
        <v>3299.1443186967608</v>
      </c>
      <c r="E25" s="436">
        <f>D25*(1+0.03)^-($B25-'Project Data and Assumptions'!C3)</f>
        <v>1575.6897004075367</v>
      </c>
      <c r="F25" s="438">
        <f>IFERROR(_xlfn.XLOOKUP($B25,'VMT Change'!$B$7:$B$34,'VMT Change'!$L$7:$L$34),0)</f>
        <v>131645.87365923999</v>
      </c>
      <c r="G25" s="439">
        <f t="shared" si="9"/>
        <v>3.0003389979362093E-2</v>
      </c>
      <c r="H25" s="440">
        <f t="shared" si="10"/>
        <v>2.7249385179820403E-4</v>
      </c>
      <c r="I25" s="441">
        <f t="shared" si="11"/>
        <v>7.6592511719046738E-4</v>
      </c>
      <c r="J25" s="445">
        <f t="shared" si="13"/>
        <v>543.06135862645385</v>
      </c>
      <c r="K25" s="442">
        <f t="shared" si="17"/>
        <v>13.379448123291818</v>
      </c>
      <c r="L25" s="443">
        <f t="shared" si="18"/>
        <v>664.51663167444951</v>
      </c>
      <c r="M25" s="444">
        <f t="shared" si="14"/>
        <v>1220.9574384241951</v>
      </c>
      <c r="N25" s="444">
        <f>M25*(1+0.07)^-(B25-'Project Data and Assumptions'!C3)</f>
        <v>224.9604038193184</v>
      </c>
      <c r="O25" s="445">
        <f t="shared" si="21"/>
        <v>4520.1017571209559</v>
      </c>
      <c r="P25" s="443">
        <f t="shared" si="21"/>
        <v>1800.6501042268551</v>
      </c>
      <c r="R25" s="146">
        <v>2031</v>
      </c>
      <c r="S25" s="451">
        <v>18100</v>
      </c>
      <c r="T25" s="451">
        <v>49100</v>
      </c>
      <c r="U25" s="451">
        <v>867600</v>
      </c>
      <c r="V25" s="451">
        <v>63</v>
      </c>
    </row>
    <row r="26" spans="2:31" ht="15" customHeight="1" x14ac:dyDescent="0.25">
      <c r="B26" s="2">
        <f t="shared" si="16"/>
        <v>2046</v>
      </c>
      <c r="C26" s="482">
        <f t="shared" si="8"/>
        <v>42.596546899629068</v>
      </c>
      <c r="D26" s="435">
        <f t="shared" ref="D26:D32" si="22">C26*_xlfn.XLOOKUP($B26,$R$15:$R$50,$V$15:$V$50)</f>
        <v>3407.7237519703253</v>
      </c>
      <c r="E26" s="436">
        <f>D26*(1+0.03)^-($B26-'Project Data and Assumptions'!C3)</f>
        <v>1580.1435363555979</v>
      </c>
      <c r="F26" s="438">
        <f>IFERROR(_xlfn.XLOOKUP($B26,'VMT Change'!$B$7:$B$34,'VMT Change'!$L$7:$L$34),0)</f>
        <v>134278.79113242481</v>
      </c>
      <c r="G26" s="439">
        <f t="shared" si="9"/>
        <v>3.0603457778949343E-2</v>
      </c>
      <c r="H26" s="440">
        <f t="shared" si="10"/>
        <v>2.7794372883416815E-4</v>
      </c>
      <c r="I26" s="441">
        <f t="shared" si="11"/>
        <v>7.8124361953427679E-4</v>
      </c>
      <c r="J26" s="445">
        <f t="shared" ref="J26:J32" si="23">G26*_xlfn.XLOOKUP($B26,$R$15:$R$50,$S$15:$S$50)</f>
        <v>553.92258579898316</v>
      </c>
      <c r="K26" s="442">
        <f t="shared" ref="K26:K32" si="24">H26*_xlfn.XLOOKUP($B26,$R$15:$R$50,$T$15:$T$50)</f>
        <v>13.647037085757656</v>
      </c>
      <c r="L26" s="443">
        <f t="shared" ref="L26:L32" si="25">I26*_xlfn.XLOOKUP($B26,$R$15:$R$50,$U$15:$U$50)</f>
        <v>677.80696430793853</v>
      </c>
      <c r="M26" s="444">
        <f t="shared" ref="M26:M32" si="26">SUM(J26:L26)</f>
        <v>1245.3765871926794</v>
      </c>
      <c r="N26" s="444">
        <f>M26*(1+0.07)^-(B26-'Project Data and Assumptions'!C3)</f>
        <v>214.44823541654662</v>
      </c>
      <c r="O26" s="445">
        <f t="shared" ref="O26:O32" si="27">M26+D26</f>
        <v>4653.1003391630047</v>
      </c>
      <c r="P26" s="443">
        <f t="shared" ref="P26:P32" si="28">N26+E26</f>
        <v>1794.5917717721445</v>
      </c>
      <c r="R26" s="146">
        <v>2032</v>
      </c>
      <c r="S26" s="451">
        <v>18100</v>
      </c>
      <c r="T26" s="451">
        <v>49100</v>
      </c>
      <c r="U26" s="451">
        <v>867600</v>
      </c>
      <c r="V26" s="451">
        <v>64</v>
      </c>
      <c r="AA26" s="173" t="s">
        <v>13</v>
      </c>
      <c r="AB26" s="145" t="s">
        <v>604</v>
      </c>
      <c r="AC26" s="145" t="s">
        <v>605</v>
      </c>
      <c r="AD26" s="145" t="s">
        <v>606</v>
      </c>
      <c r="AE26" s="145" t="s">
        <v>607</v>
      </c>
    </row>
    <row r="27" spans="2:31" x14ac:dyDescent="0.25">
      <c r="B27" s="2">
        <f t="shared" si="16"/>
        <v>2047</v>
      </c>
      <c r="C27" s="482">
        <f t="shared" si="8"/>
        <v>43.448477837621645</v>
      </c>
      <c r="D27" s="435">
        <f t="shared" si="22"/>
        <v>3519.3267048473531</v>
      </c>
      <c r="E27" s="436">
        <f>D27*(1+0.03)^-($B27-'Project Data and Assumptions'!C3)</f>
        <v>1584.3623661856734</v>
      </c>
      <c r="F27" s="438">
        <f>IFERROR(_xlfn.XLOOKUP($B27,'VMT Change'!$B$7:$B$34,'VMT Change'!$L$7:$L$34),0)</f>
        <v>136964.36695507329</v>
      </c>
      <c r="G27" s="439">
        <f t="shared" si="9"/>
        <v>3.1215526934528323E-2</v>
      </c>
      <c r="H27" s="440">
        <f t="shared" si="10"/>
        <v>2.8350260341085149E-4</v>
      </c>
      <c r="I27" s="441">
        <f t="shared" si="11"/>
        <v>7.968684919249623E-4</v>
      </c>
      <c r="J27" s="445">
        <f t="shared" si="23"/>
        <v>565.0010375149626</v>
      </c>
      <c r="K27" s="442">
        <f t="shared" si="24"/>
        <v>13.919977827472808</v>
      </c>
      <c r="L27" s="443">
        <f t="shared" si="25"/>
        <v>691.36310359409731</v>
      </c>
      <c r="M27" s="444">
        <f t="shared" si="26"/>
        <v>1270.2841189365326</v>
      </c>
      <c r="N27" s="444">
        <f>M27*(1+0.07)^-(B27-'Project Data and Assumptions'!C3)</f>
        <v>204.42728983633407</v>
      </c>
      <c r="O27" s="445">
        <f t="shared" si="27"/>
        <v>4789.6108237838853</v>
      </c>
      <c r="P27" s="443">
        <f t="shared" si="28"/>
        <v>1788.7896560220074</v>
      </c>
      <c r="R27" s="146">
        <v>2033</v>
      </c>
      <c r="S27" s="451">
        <v>18100</v>
      </c>
      <c r="T27" s="451">
        <v>49100</v>
      </c>
      <c r="U27" s="451">
        <v>867600</v>
      </c>
      <c r="V27" s="451">
        <v>65</v>
      </c>
      <c r="AA27" s="173" t="s">
        <v>34</v>
      </c>
      <c r="AB27" s="446">
        <f>AVERAGE(AB9:AB12)</f>
        <v>0.22790983982547491</v>
      </c>
      <c r="AC27" s="446">
        <f t="shared" ref="AC27:AE27" si="29">AVERAGE(AC9:AC12)</f>
        <v>2.0699004398994176E-3</v>
      </c>
      <c r="AD27" s="446">
        <f t="shared" si="29"/>
        <v>5.8180715878192544E-3</v>
      </c>
      <c r="AE27" s="446">
        <f t="shared" si="29"/>
        <v>317.22468262036</v>
      </c>
    </row>
    <row r="28" spans="2:31" x14ac:dyDescent="0.25">
      <c r="B28" s="2">
        <f t="shared" si="16"/>
        <v>2048</v>
      </c>
      <c r="C28" s="482">
        <f t="shared" si="8"/>
        <v>44.317447394374085</v>
      </c>
      <c r="D28" s="435">
        <f t="shared" si="22"/>
        <v>3634.030686338675</v>
      </c>
      <c r="E28" s="436">
        <f>D28*(1+0.03)^-($B28-'Project Data and Assumptions'!C3)</f>
        <v>1588.3503333066014</v>
      </c>
      <c r="F28" s="438">
        <f>IFERROR(_xlfn.XLOOKUP($B28,'VMT Change'!$B$7:$B$34,'VMT Change'!$L$7:$L$34),0)</f>
        <v>139703.65429417478</v>
      </c>
      <c r="G28" s="439">
        <f t="shared" si="9"/>
        <v>3.183983747321889E-2</v>
      </c>
      <c r="H28" s="440">
        <f t="shared" si="10"/>
        <v>2.8917265547906851E-4</v>
      </c>
      <c r="I28" s="441">
        <f t="shared" si="11"/>
        <v>8.1280586176346158E-4</v>
      </c>
      <c r="J28" s="445">
        <f t="shared" si="23"/>
        <v>576.30105826526187</v>
      </c>
      <c r="K28" s="442">
        <f t="shared" si="24"/>
        <v>14.198377384022264</v>
      </c>
      <c r="L28" s="443">
        <f t="shared" si="25"/>
        <v>705.19036566597924</v>
      </c>
      <c r="M28" s="444">
        <f t="shared" si="26"/>
        <v>1295.6898013152634</v>
      </c>
      <c r="N28" s="444">
        <f>M28*(1+0.07)^-(B28-'Project Data and Assumptions'!C3)</f>
        <v>194.87461274117831</v>
      </c>
      <c r="O28" s="445">
        <f t="shared" si="27"/>
        <v>4929.7204876539381</v>
      </c>
      <c r="P28" s="443">
        <f t="shared" si="28"/>
        <v>1783.2249460477797</v>
      </c>
      <c r="R28" s="146">
        <v>2034</v>
      </c>
      <c r="S28" s="451">
        <v>18100</v>
      </c>
      <c r="T28" s="451">
        <v>49100</v>
      </c>
      <c r="U28" s="451">
        <v>867600</v>
      </c>
      <c r="V28" s="451">
        <v>66</v>
      </c>
      <c r="AA28" s="173" t="s">
        <v>35</v>
      </c>
      <c r="AB28" s="446">
        <f>AVERAGE(AB13:AB21)</f>
        <v>2.099484306313415</v>
      </c>
      <c r="AC28" s="446">
        <f t="shared" ref="AC28:AE28" si="30">AVERAGE(AC13:AC21)</f>
        <v>4.7858028693373951E-3</v>
      </c>
      <c r="AD28" s="446">
        <f t="shared" si="30"/>
        <v>3.2505287070740692E-2</v>
      </c>
      <c r="AE28" s="446">
        <f t="shared" si="30"/>
        <v>1238.7315972924489</v>
      </c>
    </row>
    <row r="29" spans="2:31" x14ac:dyDescent="0.25">
      <c r="B29" s="2">
        <f t="shared" si="16"/>
        <v>2049</v>
      </c>
      <c r="C29" s="482">
        <f t="shared" si="8"/>
        <v>45.203796342261576</v>
      </c>
      <c r="D29" s="435">
        <f t="shared" si="22"/>
        <v>3751.9150964077107</v>
      </c>
      <c r="E29" s="436">
        <f>D29*(1+0.03)^-($B29-'Project Data and Assumptions'!C3)</f>
        <v>1592.1115228242588</v>
      </c>
      <c r="F29" s="438">
        <f>IFERROR(_xlfn.XLOOKUP($B29,'VMT Change'!$B$7:$B$34,'VMT Change'!$L$7:$L$34),0)</f>
        <v>142497.72738005829</v>
      </c>
      <c r="G29" s="439">
        <f t="shared" si="9"/>
        <v>3.2476634222683272E-2</v>
      </c>
      <c r="H29" s="440">
        <f t="shared" si="10"/>
        <v>2.9495610858864998E-4</v>
      </c>
      <c r="I29" s="441">
        <f t="shared" si="11"/>
        <v>8.2906197899873101E-4</v>
      </c>
      <c r="J29" s="445">
        <f t="shared" si="23"/>
        <v>587.82707943056721</v>
      </c>
      <c r="K29" s="442">
        <f t="shared" si="24"/>
        <v>14.482344931702714</v>
      </c>
      <c r="L29" s="443">
        <f t="shared" si="25"/>
        <v>719.29417297929899</v>
      </c>
      <c r="M29" s="444">
        <f t="shared" si="26"/>
        <v>1321.603597341569</v>
      </c>
      <c r="N29" s="444">
        <f>M29*(1+0.07)^-(B29-'Project Data and Assumptions'!C3)</f>
        <v>185.76832242617004</v>
      </c>
      <c r="O29" s="445">
        <f t="shared" si="27"/>
        <v>5073.5186937492799</v>
      </c>
      <c r="P29" s="443">
        <f t="shared" si="28"/>
        <v>1777.8798452504288</v>
      </c>
      <c r="R29" s="146">
        <v>2035</v>
      </c>
      <c r="S29" s="451">
        <v>18100</v>
      </c>
      <c r="T29" s="451">
        <v>49100</v>
      </c>
      <c r="U29" s="451">
        <v>867600</v>
      </c>
      <c r="V29" s="451">
        <v>67</v>
      </c>
    </row>
    <row r="30" spans="2:31" ht="15" customHeight="1" x14ac:dyDescent="0.25">
      <c r="B30" s="2">
        <f t="shared" si="16"/>
        <v>2050</v>
      </c>
      <c r="C30" s="482">
        <f t="shared" si="8"/>
        <v>46.107872269106799</v>
      </c>
      <c r="D30" s="435">
        <f t="shared" si="22"/>
        <v>3919.1691428740778</v>
      </c>
      <c r="E30" s="436">
        <f>D30*(1+0.03)^-($B30-'Project Data and Assumptions'!C3)</f>
        <v>1614.6457951674256</v>
      </c>
      <c r="F30" s="438">
        <f>IFERROR(_xlfn.XLOOKUP($B30,'VMT Change'!$B$7:$B$34,'VMT Change'!$L$7:$L$34),0)</f>
        <v>145347.68192765943</v>
      </c>
      <c r="G30" s="439">
        <f t="shared" si="9"/>
        <v>3.3126166907136941E-2</v>
      </c>
      <c r="H30" s="440">
        <f t="shared" si="10"/>
        <v>3.0085523076042291E-4</v>
      </c>
      <c r="I30" s="441">
        <f t="shared" si="11"/>
        <v>8.4564321857870546E-4</v>
      </c>
      <c r="J30" s="445">
        <f t="shared" si="23"/>
        <v>599.58362101917862</v>
      </c>
      <c r="K30" s="442">
        <f t="shared" si="24"/>
        <v>14.771991830336765</v>
      </c>
      <c r="L30" s="443">
        <f t="shared" si="25"/>
        <v>733.68005643888489</v>
      </c>
      <c r="M30" s="444">
        <f t="shared" si="26"/>
        <v>1348.0356692884002</v>
      </c>
      <c r="N30" s="444">
        <f>M30*(1+0.07)^-(B30-'Project Data and Assumptions'!C3)</f>
        <v>177.08755969597516</v>
      </c>
      <c r="O30" s="445">
        <f t="shared" si="27"/>
        <v>5267.2048121624775</v>
      </c>
      <c r="P30" s="443">
        <f t="shared" si="28"/>
        <v>1791.7333548634008</v>
      </c>
      <c r="R30" s="146">
        <v>2036</v>
      </c>
      <c r="S30" s="451">
        <v>18100</v>
      </c>
      <c r="T30" s="451">
        <v>49100</v>
      </c>
      <c r="U30" s="451">
        <v>867600</v>
      </c>
      <c r="V30" s="451">
        <v>69</v>
      </c>
    </row>
    <row r="31" spans="2:31" x14ac:dyDescent="0.25">
      <c r="B31" s="2">
        <f t="shared" si="16"/>
        <v>2051</v>
      </c>
      <c r="C31" s="482">
        <f t="shared" si="8"/>
        <v>0</v>
      </c>
      <c r="D31" s="435">
        <f t="shared" si="22"/>
        <v>0</v>
      </c>
      <c r="E31" s="436">
        <f>D31*(1+0.03)^-($B31-'Project Data and Assumptions'!C3)</f>
        <v>0</v>
      </c>
      <c r="F31" s="438">
        <f>IFERROR(_xlfn.XLOOKUP($B31,'VMT Change'!$B$7:$B$34,'VMT Change'!$L$7:$L$34),0)</f>
        <v>0</v>
      </c>
      <c r="G31" s="439">
        <f t="shared" si="9"/>
        <v>0</v>
      </c>
      <c r="H31" s="440">
        <f t="shared" si="10"/>
        <v>0</v>
      </c>
      <c r="I31" s="441">
        <f t="shared" si="11"/>
        <v>0</v>
      </c>
      <c r="J31" s="445">
        <f t="shared" si="23"/>
        <v>0</v>
      </c>
      <c r="K31" s="442">
        <f t="shared" si="24"/>
        <v>0</v>
      </c>
      <c r="L31" s="443">
        <f t="shared" si="25"/>
        <v>0</v>
      </c>
      <c r="M31" s="444">
        <f t="shared" si="26"/>
        <v>0</v>
      </c>
      <c r="N31" s="444">
        <f>M31*(1+0.07)^-(B31-'Project Data and Assumptions'!C3)</f>
        <v>0</v>
      </c>
      <c r="O31" s="445">
        <f t="shared" si="27"/>
        <v>0</v>
      </c>
      <c r="P31" s="443">
        <f t="shared" si="28"/>
        <v>0</v>
      </c>
      <c r="R31" s="146">
        <v>2037</v>
      </c>
      <c r="S31" s="451">
        <v>18100</v>
      </c>
      <c r="T31" s="451">
        <v>49100</v>
      </c>
      <c r="U31" s="451">
        <v>867600</v>
      </c>
      <c r="V31" s="451">
        <v>70</v>
      </c>
    </row>
    <row r="32" spans="2:31" ht="15.75" thickBot="1" x14ac:dyDescent="0.3">
      <c r="B32" s="3">
        <f t="shared" si="16"/>
        <v>2052</v>
      </c>
      <c r="C32" s="596">
        <f t="shared" si="8"/>
        <v>0</v>
      </c>
      <c r="D32" s="597">
        <f t="shared" si="22"/>
        <v>0</v>
      </c>
      <c r="E32" s="598">
        <f>D32*(1+0.03)^-($B32-'Project Data and Assumptions'!C3)</f>
        <v>0</v>
      </c>
      <c r="F32" s="599">
        <f>IFERROR(_xlfn.XLOOKUP($B32,'VMT Change'!$B$7:$B$34,'VMT Change'!$L$7:$L$34),0)</f>
        <v>0</v>
      </c>
      <c r="G32" s="600">
        <f t="shared" si="9"/>
        <v>0</v>
      </c>
      <c r="H32" s="601">
        <f t="shared" si="10"/>
        <v>0</v>
      </c>
      <c r="I32" s="602">
        <f t="shared" si="11"/>
        <v>0</v>
      </c>
      <c r="J32" s="597">
        <f t="shared" si="23"/>
        <v>0</v>
      </c>
      <c r="K32" s="603">
        <f t="shared" si="24"/>
        <v>0</v>
      </c>
      <c r="L32" s="598">
        <f t="shared" si="25"/>
        <v>0</v>
      </c>
      <c r="M32" s="604">
        <f t="shared" si="26"/>
        <v>0</v>
      </c>
      <c r="N32" s="604">
        <f>M32*(1+0.07)^-(B32-'Project Data and Assumptions'!C3)</f>
        <v>0</v>
      </c>
      <c r="O32" s="597">
        <f t="shared" si="27"/>
        <v>0</v>
      </c>
      <c r="P32" s="598">
        <f t="shared" si="28"/>
        <v>0</v>
      </c>
      <c r="R32" s="146">
        <v>2038</v>
      </c>
      <c r="S32" s="451">
        <v>18100</v>
      </c>
      <c r="T32" s="451">
        <v>49100</v>
      </c>
      <c r="U32" s="451">
        <v>867600</v>
      </c>
      <c r="V32" s="451">
        <v>71</v>
      </c>
    </row>
    <row r="33" spans="1:22" x14ac:dyDescent="0.25">
      <c r="B33" s="4"/>
      <c r="C33" s="4"/>
      <c r="D33" s="452" t="s">
        <v>2</v>
      </c>
      <c r="E33" s="453">
        <f>SUM(E5:E32)</f>
        <v>31225.312159038986</v>
      </c>
      <c r="F33" s="491">
        <f>SUM(F5:F32)</f>
        <v>2465486.388420274</v>
      </c>
      <c r="G33" s="4"/>
      <c r="H33" s="4"/>
      <c r="I33" s="4"/>
      <c r="J33" s="4"/>
      <c r="K33" s="4"/>
      <c r="L33" s="4"/>
      <c r="M33" s="452" t="s">
        <v>2</v>
      </c>
      <c r="N33" s="453">
        <f>SUM(N5:N32)</f>
        <v>6000.6790285214674</v>
      </c>
      <c r="O33" s="453">
        <f>SUM(O5:O32)</f>
        <v>80916.66067446013</v>
      </c>
      <c r="P33" s="5">
        <f>SUM(P5:P32)</f>
        <v>37225.991187560438</v>
      </c>
      <c r="R33" s="146">
        <v>2039</v>
      </c>
      <c r="S33" s="451">
        <v>18100</v>
      </c>
      <c r="T33" s="451">
        <v>49100</v>
      </c>
      <c r="U33" s="451">
        <v>867600</v>
      </c>
      <c r="V33" s="451">
        <v>72</v>
      </c>
    </row>
    <row r="34" spans="1:22" x14ac:dyDescent="0.25">
      <c r="H34" s="490"/>
      <c r="M34" s="544"/>
      <c r="R34" s="146">
        <v>2040</v>
      </c>
      <c r="S34" s="451">
        <v>18100</v>
      </c>
      <c r="T34" s="451">
        <v>49100</v>
      </c>
      <c r="U34" s="451">
        <v>867600</v>
      </c>
      <c r="V34" s="451">
        <v>73</v>
      </c>
    </row>
    <row r="35" spans="1:22" x14ac:dyDescent="0.25">
      <c r="B35" s="175" t="s">
        <v>3</v>
      </c>
      <c r="C35" s="175"/>
      <c r="D35" s="175"/>
      <c r="E35" s="175"/>
      <c r="H35" s="490"/>
      <c r="R35" s="146">
        <v>2041</v>
      </c>
      <c r="S35" s="451">
        <v>18100</v>
      </c>
      <c r="T35" s="451">
        <v>49100</v>
      </c>
      <c r="U35" s="451">
        <v>867600</v>
      </c>
      <c r="V35" s="451">
        <v>74</v>
      </c>
    </row>
    <row r="36" spans="1:22" x14ac:dyDescent="0.25">
      <c r="A36" s="375" t="s">
        <v>18</v>
      </c>
      <c r="B36" s="747" t="s">
        <v>619</v>
      </c>
      <c r="C36" s="747"/>
      <c r="D36" s="747"/>
      <c r="E36" s="747"/>
      <c r="F36" s="747"/>
      <c r="G36" s="747"/>
      <c r="H36" s="747"/>
      <c r="I36" s="747"/>
      <c r="J36" s="747"/>
      <c r="K36" s="747"/>
      <c r="L36" s="747"/>
      <c r="M36" s="747"/>
      <c r="R36" s="146">
        <v>2042</v>
      </c>
      <c r="S36" s="451">
        <v>18100</v>
      </c>
      <c r="T36" s="451">
        <v>49100</v>
      </c>
      <c r="U36" s="451">
        <v>867600</v>
      </c>
      <c r="V36" s="451">
        <v>75</v>
      </c>
    </row>
    <row r="37" spans="1:22" x14ac:dyDescent="0.25">
      <c r="B37" s="747"/>
      <c r="C37" s="747"/>
      <c r="D37" s="747"/>
      <c r="E37" s="747"/>
      <c r="F37" s="747"/>
      <c r="G37" s="747"/>
      <c r="H37" s="747"/>
      <c r="I37" s="747"/>
      <c r="J37" s="747"/>
      <c r="K37" s="747"/>
      <c r="L37" s="747"/>
      <c r="M37" s="747"/>
      <c r="Q37" s="454"/>
      <c r="R37" s="146">
        <v>2043</v>
      </c>
      <c r="S37" s="451">
        <v>18100</v>
      </c>
      <c r="T37" s="451">
        <v>49100</v>
      </c>
      <c r="U37" s="451">
        <v>867600</v>
      </c>
      <c r="V37" s="451">
        <v>77</v>
      </c>
    </row>
    <row r="38" spans="1:22" x14ac:dyDescent="0.25">
      <c r="B38" s="747"/>
      <c r="C38" s="747"/>
      <c r="D38" s="747"/>
      <c r="E38" s="747"/>
      <c r="F38" s="747"/>
      <c r="G38" s="747"/>
      <c r="H38" s="747"/>
      <c r="I38" s="747"/>
      <c r="J38" s="747"/>
      <c r="K38" s="747"/>
      <c r="L38" s="747"/>
      <c r="M38" s="747"/>
      <c r="Q38" s="454"/>
      <c r="R38" s="146">
        <v>2044</v>
      </c>
      <c r="S38" s="451">
        <v>18100</v>
      </c>
      <c r="T38" s="451">
        <v>49100</v>
      </c>
      <c r="U38" s="451">
        <v>867600</v>
      </c>
      <c r="V38" s="451">
        <v>78</v>
      </c>
    </row>
    <row r="39" spans="1:22" x14ac:dyDescent="0.25">
      <c r="B39" s="175"/>
      <c r="C39" s="175"/>
      <c r="D39" s="175"/>
      <c r="E39" s="175"/>
      <c r="R39" s="146">
        <v>2045</v>
      </c>
      <c r="S39" s="451">
        <v>18100</v>
      </c>
      <c r="T39" s="451">
        <v>49100</v>
      </c>
      <c r="U39" s="451">
        <v>867600</v>
      </c>
      <c r="V39" s="451">
        <v>79</v>
      </c>
    </row>
    <row r="40" spans="1:22" ht="15" customHeight="1" x14ac:dyDescent="0.25">
      <c r="A40" s="375" t="s">
        <v>17</v>
      </c>
      <c r="B40" s="747" t="s">
        <v>620</v>
      </c>
      <c r="C40" s="747"/>
      <c r="D40" s="747"/>
      <c r="E40" s="747"/>
      <c r="F40" s="747"/>
      <c r="G40" s="747"/>
      <c r="H40" s="747"/>
      <c r="I40" s="747"/>
      <c r="J40" s="747"/>
      <c r="K40" s="747"/>
      <c r="L40" s="747"/>
      <c r="M40" s="747"/>
      <c r="R40" s="146">
        <v>2046</v>
      </c>
      <c r="S40" s="451">
        <v>18100</v>
      </c>
      <c r="T40" s="451">
        <v>49100</v>
      </c>
      <c r="U40" s="451">
        <v>867600</v>
      </c>
      <c r="V40" s="451">
        <v>80</v>
      </c>
    </row>
    <row r="41" spans="1:22" x14ac:dyDescent="0.25">
      <c r="B41" s="747"/>
      <c r="C41" s="747"/>
      <c r="D41" s="747"/>
      <c r="E41" s="747"/>
      <c r="F41" s="747"/>
      <c r="G41" s="747"/>
      <c r="H41" s="747"/>
      <c r="I41" s="747"/>
      <c r="J41" s="747"/>
      <c r="K41" s="747"/>
      <c r="L41" s="747"/>
      <c r="M41" s="747"/>
      <c r="R41" s="146">
        <v>2047</v>
      </c>
      <c r="S41" s="451">
        <v>18100</v>
      </c>
      <c r="T41" s="451">
        <v>49100</v>
      </c>
      <c r="U41" s="451">
        <v>867600</v>
      </c>
      <c r="V41" s="451">
        <v>81</v>
      </c>
    </row>
    <row r="42" spans="1:22" x14ac:dyDescent="0.25">
      <c r="A42" s="375"/>
      <c r="B42" s="62"/>
      <c r="C42" s="62"/>
      <c r="D42" s="62"/>
      <c r="E42" s="62"/>
      <c r="F42" s="31"/>
      <c r="G42" s="454"/>
      <c r="H42" s="454"/>
      <c r="I42" s="31"/>
      <c r="R42" s="146">
        <v>2048</v>
      </c>
      <c r="S42" s="451">
        <v>18100</v>
      </c>
      <c r="T42" s="451">
        <v>49100</v>
      </c>
      <c r="U42" s="451">
        <v>867600</v>
      </c>
      <c r="V42" s="451">
        <v>82</v>
      </c>
    </row>
    <row r="43" spans="1:22" x14ac:dyDescent="0.25">
      <c r="A43" s="375" t="s">
        <v>19</v>
      </c>
      <c r="B43" s="748" t="s">
        <v>621</v>
      </c>
      <c r="C43" s="748"/>
      <c r="D43" s="748"/>
      <c r="E43" s="748"/>
      <c r="F43" s="748"/>
      <c r="G43" s="748"/>
      <c r="H43" s="748"/>
      <c r="I43" s="748"/>
      <c r="J43" s="748"/>
      <c r="K43" s="748"/>
      <c r="L43" s="748"/>
      <c r="M43" s="748"/>
      <c r="R43" s="146">
        <v>2049</v>
      </c>
      <c r="S43" s="451">
        <v>18100</v>
      </c>
      <c r="T43" s="451">
        <v>49100</v>
      </c>
      <c r="U43" s="451">
        <v>867600</v>
      </c>
      <c r="V43" s="451">
        <v>83</v>
      </c>
    </row>
    <row r="44" spans="1:22" ht="15" customHeight="1" x14ac:dyDescent="0.25">
      <c r="B44" s="748"/>
      <c r="C44" s="748"/>
      <c r="D44" s="748"/>
      <c r="E44" s="748"/>
      <c r="F44" s="748"/>
      <c r="G44" s="748"/>
      <c r="H44" s="748"/>
      <c r="I44" s="748"/>
      <c r="J44" s="748"/>
      <c r="K44" s="748"/>
      <c r="L44" s="748"/>
      <c r="M44" s="748"/>
      <c r="R44" s="146">
        <v>2050</v>
      </c>
      <c r="S44" s="451">
        <v>18100</v>
      </c>
      <c r="T44" s="451">
        <v>49100</v>
      </c>
      <c r="U44" s="451">
        <v>867600</v>
      </c>
      <c r="V44" s="451">
        <v>85</v>
      </c>
    </row>
    <row r="45" spans="1:22" ht="15.75" customHeight="1" x14ac:dyDescent="0.25">
      <c r="A45" s="375"/>
      <c r="B45" s="748"/>
      <c r="C45" s="748"/>
      <c r="D45" s="748"/>
      <c r="E45" s="748"/>
      <c r="F45" s="748"/>
      <c r="G45" s="748"/>
      <c r="H45" s="748"/>
      <c r="I45" s="748"/>
      <c r="J45" s="748"/>
      <c r="K45" s="748"/>
      <c r="L45" s="748"/>
      <c r="M45" s="748"/>
      <c r="R45" s="489">
        <v>2051</v>
      </c>
      <c r="S45" s="451">
        <v>18100</v>
      </c>
      <c r="T45" s="451">
        <v>49100</v>
      </c>
      <c r="U45" s="451">
        <v>867600</v>
      </c>
      <c r="V45" s="451">
        <v>86.3333333333333</v>
      </c>
    </row>
    <row r="46" spans="1:22" x14ac:dyDescent="0.25">
      <c r="A46" s="375"/>
      <c r="B46" s="372"/>
      <c r="C46" s="372"/>
      <c r="D46" s="372"/>
      <c r="E46" s="372"/>
      <c r="F46" s="372"/>
      <c r="G46" s="372"/>
      <c r="H46" s="372"/>
      <c r="I46" s="372"/>
      <c r="R46" s="489">
        <v>2052</v>
      </c>
      <c r="S46" s="451">
        <v>18100</v>
      </c>
      <c r="T46" s="451">
        <v>49100</v>
      </c>
      <c r="U46" s="451">
        <v>867600</v>
      </c>
      <c r="V46" s="451">
        <v>87.8333333333333</v>
      </c>
    </row>
    <row r="47" spans="1:22" ht="15" customHeight="1" x14ac:dyDescent="0.25">
      <c r="A47" s="375"/>
      <c r="B47" s="372"/>
      <c r="C47" s="372"/>
      <c r="D47" s="372"/>
      <c r="E47" s="372"/>
      <c r="F47" s="372"/>
      <c r="G47" s="372"/>
      <c r="H47" s="372"/>
      <c r="I47" s="372"/>
    </row>
    <row r="48" spans="1:22" x14ac:dyDescent="0.25">
      <c r="A48" s="375"/>
      <c r="B48" s="372"/>
      <c r="C48" s="372"/>
      <c r="D48" s="372"/>
      <c r="E48" s="372"/>
      <c r="F48" s="372"/>
      <c r="G48" s="372"/>
      <c r="H48" s="372"/>
      <c r="I48" s="372"/>
    </row>
    <row r="49" spans="1:24" x14ac:dyDescent="0.25">
      <c r="A49" s="375"/>
      <c r="B49" s="372"/>
      <c r="C49" s="372"/>
      <c r="D49" s="372"/>
      <c r="E49" s="372"/>
      <c r="F49" s="372"/>
      <c r="G49" s="372"/>
      <c r="H49" s="372"/>
      <c r="I49" s="372"/>
    </row>
    <row r="50" spans="1:24" x14ac:dyDescent="0.25">
      <c r="A50" s="375"/>
      <c r="B50" s="372"/>
      <c r="C50" s="372"/>
      <c r="D50" s="372"/>
      <c r="E50" s="372"/>
      <c r="F50" s="372"/>
      <c r="G50" s="372"/>
      <c r="H50" s="372"/>
      <c r="I50" s="372"/>
    </row>
    <row r="51" spans="1:24" x14ac:dyDescent="0.25">
      <c r="A51" s="375"/>
      <c r="B51" s="62"/>
      <c r="C51" s="62"/>
      <c r="D51" s="62"/>
      <c r="E51" s="62"/>
      <c r="F51" s="31"/>
      <c r="G51" s="31"/>
      <c r="H51" s="31"/>
      <c r="I51" s="31"/>
      <c r="N51" s="455"/>
      <c r="O51" s="455"/>
      <c r="P51" s="455"/>
    </row>
    <row r="52" spans="1:24" x14ac:dyDescent="0.25">
      <c r="B52" s="62"/>
      <c r="C52" s="62"/>
      <c r="D52" s="62"/>
      <c r="E52" s="62"/>
      <c r="F52" s="31"/>
      <c r="G52" s="31"/>
      <c r="H52" s="31"/>
      <c r="I52" s="31"/>
      <c r="N52" s="455"/>
      <c r="O52" s="455"/>
      <c r="P52" s="455"/>
    </row>
    <row r="53" spans="1:24" x14ac:dyDescent="0.25">
      <c r="B53" s="62"/>
      <c r="C53" s="62"/>
      <c r="D53" s="62"/>
      <c r="E53" s="62"/>
      <c r="F53" s="31"/>
      <c r="G53" s="31"/>
      <c r="H53" s="31"/>
      <c r="I53" s="31"/>
      <c r="J53" s="215"/>
      <c r="L53" s="454"/>
      <c r="M53" s="454"/>
      <c r="N53" s="455"/>
      <c r="O53" s="455"/>
      <c r="P53" s="455"/>
    </row>
    <row r="54" spans="1:24" x14ac:dyDescent="0.25">
      <c r="B54" s="62"/>
      <c r="C54" s="62"/>
      <c r="D54" s="62"/>
      <c r="E54" s="62"/>
      <c r="F54" s="31"/>
      <c r="G54" s="31"/>
      <c r="H54" s="31"/>
      <c r="I54" s="31"/>
      <c r="J54" s="215"/>
      <c r="L54" s="454"/>
      <c r="M54" s="454"/>
    </row>
    <row r="55" spans="1:24" x14ac:dyDescent="0.25">
      <c r="A55" s="375"/>
      <c r="B55" s="62"/>
      <c r="C55" s="62"/>
      <c r="D55" s="62"/>
      <c r="E55" s="62"/>
      <c r="F55" s="31"/>
      <c r="G55" s="31"/>
      <c r="H55" s="31"/>
      <c r="I55" s="31"/>
      <c r="L55" s="454"/>
      <c r="M55" s="454"/>
    </row>
    <row r="56" spans="1:24" x14ac:dyDescent="0.25">
      <c r="B56" s="62"/>
      <c r="C56" s="62"/>
      <c r="D56" s="62"/>
      <c r="E56" s="62"/>
      <c r="F56" s="31"/>
      <c r="G56" s="31"/>
      <c r="H56" s="31"/>
      <c r="I56" s="31"/>
      <c r="L56" s="454"/>
      <c r="M56" s="454"/>
    </row>
    <row r="57" spans="1:24" x14ac:dyDescent="0.25">
      <c r="B57" s="62"/>
      <c r="C57" s="62"/>
      <c r="D57" s="62"/>
      <c r="E57" s="62"/>
      <c r="F57" s="31"/>
      <c r="G57" s="31"/>
      <c r="H57" s="31"/>
      <c r="I57" s="31"/>
      <c r="J57" s="454"/>
      <c r="K57" s="454"/>
      <c r="L57" s="454"/>
      <c r="M57" s="454"/>
      <c r="W57" s="175" t="s">
        <v>622</v>
      </c>
    </row>
    <row r="58" spans="1:24" x14ac:dyDescent="0.25">
      <c r="B58" s="62"/>
      <c r="C58" s="62"/>
      <c r="D58" s="62"/>
      <c r="E58" s="62"/>
      <c r="F58" s="31"/>
      <c r="G58" s="31"/>
      <c r="H58" s="31"/>
      <c r="I58" s="31"/>
      <c r="K58" s="454"/>
      <c r="L58" s="454"/>
      <c r="M58" s="454"/>
      <c r="W58" s="495" t="s">
        <v>623</v>
      </c>
      <c r="X58" s="496">
        <f>SUM('Air Quality'!C5:C32)</f>
        <v>782.11313707143916</v>
      </c>
    </row>
    <row r="59" spans="1:24" x14ac:dyDescent="0.25">
      <c r="B59" s="62"/>
      <c r="C59" s="62"/>
      <c r="D59" s="62"/>
      <c r="E59" s="62"/>
      <c r="F59" s="31"/>
      <c r="G59" s="31"/>
      <c r="H59" s="31"/>
      <c r="I59" s="31"/>
      <c r="J59" s="31"/>
      <c r="L59" s="454"/>
      <c r="M59" s="454"/>
      <c r="W59" s="495" t="s">
        <v>624</v>
      </c>
      <c r="X59" s="496">
        <f>SUM('Air Quality'!G5:G32)*1000</f>
        <v>561.90860787675331</v>
      </c>
    </row>
    <row r="60" spans="1:24" x14ac:dyDescent="0.25">
      <c r="B60" s="62"/>
      <c r="C60" s="62"/>
      <c r="D60" s="62"/>
      <c r="E60" s="62"/>
      <c r="F60" s="31"/>
      <c r="G60" s="31"/>
      <c r="H60" s="31"/>
      <c r="I60" s="31"/>
      <c r="J60" s="31"/>
      <c r="W60" s="495" t="s">
        <v>625</v>
      </c>
      <c r="X60" s="496">
        <f>SUM('Air Quality'!H5:H32)*1000</f>
        <v>5.1033113599571518</v>
      </c>
    </row>
    <row r="61" spans="1:24" x14ac:dyDescent="0.25">
      <c r="B61" s="62"/>
      <c r="C61" s="62"/>
      <c r="D61" s="62"/>
      <c r="E61" s="62"/>
      <c r="F61" s="31"/>
      <c r="G61" s="31"/>
      <c r="H61" s="31"/>
      <c r="I61" s="31"/>
      <c r="J61" s="31"/>
      <c r="K61" s="31"/>
      <c r="W61" s="495" t="s">
        <v>626</v>
      </c>
      <c r="X61" s="496">
        <f>SUM('Air Quality'!I5:I32)*1000</f>
        <v>14.344376306623102</v>
      </c>
    </row>
    <row r="62" spans="1:24" x14ac:dyDescent="0.25">
      <c r="B62" s="62"/>
      <c r="C62" s="62"/>
      <c r="D62" s="62"/>
      <c r="E62" s="62"/>
      <c r="F62" s="31"/>
      <c r="G62" s="31"/>
      <c r="H62" s="31"/>
      <c r="I62" s="31"/>
      <c r="J62" s="31"/>
      <c r="K62" s="31"/>
    </row>
    <row r="63" spans="1:24" x14ac:dyDescent="0.25">
      <c r="A63" s="375"/>
      <c r="B63" s="62"/>
      <c r="C63" s="62"/>
      <c r="D63" s="62"/>
      <c r="E63" s="62"/>
      <c r="F63" s="31"/>
      <c r="G63" s="31"/>
      <c r="H63" s="31"/>
      <c r="I63" s="31"/>
      <c r="J63" s="31"/>
      <c r="K63" s="31"/>
    </row>
    <row r="64" spans="1:24" x14ac:dyDescent="0.25">
      <c r="J64" s="31"/>
      <c r="K64" s="31"/>
      <c r="W64" s="374" t="s">
        <v>623</v>
      </c>
      <c r="X64" s="374">
        <v>1141.4232474302319</v>
      </c>
    </row>
    <row r="65" spans="1:24" x14ac:dyDescent="0.25">
      <c r="F65" s="454"/>
      <c r="I65" s="454"/>
      <c r="J65" s="31"/>
      <c r="K65" s="31"/>
      <c r="W65" s="374" t="s">
        <v>624</v>
      </c>
      <c r="X65" s="374">
        <v>1201.5341539131907</v>
      </c>
    </row>
    <row r="66" spans="1:24" x14ac:dyDescent="0.25">
      <c r="B66" s="454"/>
      <c r="C66" s="454"/>
      <c r="D66" s="454"/>
      <c r="E66" s="454"/>
      <c r="F66" s="454"/>
      <c r="I66" s="454"/>
      <c r="J66" s="31"/>
      <c r="K66" s="31"/>
      <c r="W66" s="374" t="s">
        <v>625</v>
      </c>
      <c r="X66" s="374">
        <v>6.4079673685350045</v>
      </c>
    </row>
    <row r="67" spans="1:24" x14ac:dyDescent="0.25">
      <c r="J67" s="31"/>
      <c r="K67" s="31"/>
      <c r="W67" s="374" t="s">
        <v>626</v>
      </c>
      <c r="X67" s="374">
        <v>24.020889083603318</v>
      </c>
    </row>
    <row r="68" spans="1:24" x14ac:dyDescent="0.25">
      <c r="A68" s="375"/>
      <c r="B68" s="31"/>
      <c r="C68" s="31"/>
      <c r="D68" s="31"/>
      <c r="E68" s="31"/>
      <c r="F68" s="31"/>
      <c r="G68" s="31"/>
      <c r="H68" s="31"/>
      <c r="I68" s="31"/>
      <c r="J68" s="31"/>
      <c r="K68" s="31"/>
    </row>
    <row r="69" spans="1:24" x14ac:dyDescent="0.25">
      <c r="B69" s="31"/>
      <c r="C69" s="31"/>
      <c r="D69" s="31"/>
      <c r="E69" s="31"/>
      <c r="F69" s="31"/>
      <c r="G69" s="31"/>
      <c r="H69" s="31"/>
      <c r="J69" s="31"/>
      <c r="K69" s="31"/>
    </row>
    <row r="70" spans="1:24" x14ac:dyDescent="0.25">
      <c r="J70" s="31"/>
      <c r="K70" s="31"/>
    </row>
    <row r="71" spans="1:24" x14ac:dyDescent="0.25">
      <c r="A71" s="375"/>
      <c r="J71" s="31"/>
      <c r="K71" s="31"/>
    </row>
    <row r="72" spans="1:24" x14ac:dyDescent="0.25">
      <c r="J72" s="31"/>
      <c r="K72" s="31"/>
    </row>
    <row r="74" spans="1:24" x14ac:dyDescent="0.25">
      <c r="J74" s="454"/>
    </row>
    <row r="75" spans="1:24" x14ac:dyDescent="0.25">
      <c r="J75" s="454"/>
      <c r="L75" s="31"/>
    </row>
    <row r="77" spans="1:24" x14ac:dyDescent="0.25">
      <c r="J77" s="31"/>
      <c r="K77" s="31"/>
    </row>
  </sheetData>
  <mergeCells count="21">
    <mergeCell ref="B36:M38"/>
    <mergeCell ref="B40:M41"/>
    <mergeCell ref="B43:M45"/>
    <mergeCell ref="I3:I4"/>
    <mergeCell ref="J3:J4"/>
    <mergeCell ref="K3:K4"/>
    <mergeCell ref="L3:L4"/>
    <mergeCell ref="M3:M4"/>
    <mergeCell ref="C2:E2"/>
    <mergeCell ref="F2:N2"/>
    <mergeCell ref="O2:P2"/>
    <mergeCell ref="B3:B4"/>
    <mergeCell ref="C3:C4"/>
    <mergeCell ref="D3:D4"/>
    <mergeCell ref="E3:E4"/>
    <mergeCell ref="F3:F4"/>
    <mergeCell ref="G3:G4"/>
    <mergeCell ref="H3:H4"/>
    <mergeCell ref="O3:O4"/>
    <mergeCell ref="P3:P4"/>
    <mergeCell ref="N3:N4"/>
  </mergeCells>
  <phoneticPr fontId="48" type="noConversion"/>
  <pageMargins left="0.25" right="0.25" top="0.75" bottom="0.75" header="0.3" footer="0.3"/>
  <pageSetup paperSize="3" scale="4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43EA-24AD-4B7E-9AD8-332BE36531BF}">
  <sheetPr>
    <tabColor rgb="FF00B050"/>
    <pageSetUpPr fitToPage="1"/>
  </sheetPr>
  <dimension ref="A1:J44"/>
  <sheetViews>
    <sheetView view="pageBreakPreview" topLeftCell="A4" zoomScale="85" zoomScaleNormal="85" zoomScaleSheetLayoutView="85" workbookViewId="0">
      <selection activeCell="G23" sqref="G23"/>
    </sheetView>
  </sheetViews>
  <sheetFormatPr defaultColWidth="9.140625" defaultRowHeight="15" x14ac:dyDescent="0.25"/>
  <cols>
    <col min="1" max="1" width="3.7109375" style="498" customWidth="1"/>
    <col min="2" max="7" width="15.85546875" style="498" customWidth="1"/>
    <col min="8" max="8" width="32.42578125" style="498" bestFit="1" customWidth="1"/>
    <col min="9" max="9" width="7.7109375" style="498" customWidth="1"/>
    <col min="10" max="10" width="32" style="498" customWidth="1"/>
    <col min="11" max="12" width="20" style="498" customWidth="1"/>
    <col min="13" max="16384" width="9.140625" style="498"/>
  </cols>
  <sheetData>
    <row r="1" spans="2:10" x14ac:dyDescent="0.25">
      <c r="B1" s="498">
        <v>1</v>
      </c>
      <c r="C1" s="498">
        <f>B1+1</f>
        <v>2</v>
      </c>
      <c r="D1" s="498">
        <f t="shared" ref="D1:G1" si="0">C1+1</f>
        <v>3</v>
      </c>
      <c r="E1" s="498">
        <f t="shared" si="0"/>
        <v>4</v>
      </c>
      <c r="F1" s="498">
        <f t="shared" si="0"/>
        <v>5</v>
      </c>
      <c r="G1" s="498">
        <f t="shared" si="0"/>
        <v>6</v>
      </c>
    </row>
    <row r="2" spans="2:10" x14ac:dyDescent="0.25">
      <c r="B2" s="525" t="s">
        <v>37</v>
      </c>
    </row>
    <row r="3" spans="2:10" ht="15.75" thickBot="1" x14ac:dyDescent="0.3">
      <c r="B3" s="525"/>
    </row>
    <row r="4" spans="2:10" ht="35.1" customHeight="1" x14ac:dyDescent="0.25">
      <c r="B4" s="716" t="s">
        <v>0</v>
      </c>
      <c r="C4" s="720" t="s">
        <v>628</v>
      </c>
      <c r="D4" s="753" t="s">
        <v>36</v>
      </c>
      <c r="E4" s="755" t="s">
        <v>1</v>
      </c>
    </row>
    <row r="5" spans="2:10" ht="43.5" customHeight="1" thickBot="1" x14ac:dyDescent="0.3">
      <c r="B5" s="752"/>
      <c r="C5" s="721"/>
      <c r="D5" s="754"/>
      <c r="E5" s="756"/>
      <c r="H5" s="750" t="s">
        <v>647</v>
      </c>
      <c r="I5" s="750"/>
    </row>
    <row r="6" spans="2:10" ht="18" customHeight="1" x14ac:dyDescent="0.25">
      <c r="B6" s="1">
        <v>2026</v>
      </c>
      <c r="C6" s="526">
        <f>_xlfn.XLOOKUP(B6,'VMT Change'!$B$7:$B$34,'VMT Change'!$L$7:$L$34,0)</f>
        <v>0</v>
      </c>
      <c r="D6" s="535">
        <f>C6*$I$14</f>
        <v>0</v>
      </c>
      <c r="E6" s="527">
        <f>D6*(1+0.07)^-($B6-'Project Data and Assumptions'!$C$3)</f>
        <v>0</v>
      </c>
      <c r="H6" s="492" t="s">
        <v>28</v>
      </c>
      <c r="I6" s="528">
        <v>0.45</v>
      </c>
    </row>
    <row r="7" spans="2:10" x14ac:dyDescent="0.25">
      <c r="B7" s="2">
        <f>B6+1</f>
        <v>2027</v>
      </c>
      <c r="C7" s="529">
        <f>_xlfn.XLOOKUP(B7,'VMT Change'!$B$7:$B$34,'VMT Change'!$L$7:$L$34,0)</f>
        <v>0</v>
      </c>
      <c r="D7" s="536">
        <f t="shared" ref="D7:D32" si="1">C7*$I$14</f>
        <v>0</v>
      </c>
      <c r="E7" s="530">
        <f>D7*(1+0.07)^-($B7-'Project Data and Assumptions'!$C$3)</f>
        <v>0</v>
      </c>
      <c r="H7" s="492" t="s">
        <v>29</v>
      </c>
      <c r="I7" s="79">
        <v>0.94</v>
      </c>
    </row>
    <row r="8" spans="2:10" x14ac:dyDescent="0.25">
      <c r="B8" s="2">
        <f t="shared" ref="B8:B32" si="2">B7+1</f>
        <v>2028</v>
      </c>
      <c r="C8" s="529">
        <f>_xlfn.XLOOKUP(B8,'VMT Change'!$B$7:$B$34,'VMT Change'!$L$7:$L$34,0)</f>
        <v>0</v>
      </c>
      <c r="D8" s="536">
        <f t="shared" si="1"/>
        <v>0</v>
      </c>
      <c r="E8" s="530">
        <f>D8*(1+0.07)^-($B8-'Project Data and Assumptions'!$C$3)</f>
        <v>0</v>
      </c>
      <c r="F8" s="75"/>
      <c r="G8" s="75"/>
      <c r="H8" s="493"/>
      <c r="I8" s="77"/>
      <c r="J8" s="75"/>
    </row>
    <row r="9" spans="2:10" ht="14.25" customHeight="1" x14ac:dyDescent="0.25">
      <c r="B9" s="2">
        <f t="shared" si="2"/>
        <v>2029</v>
      </c>
      <c r="C9" s="529">
        <f>_xlfn.XLOOKUP(B9,'VMT Change'!$B$7:$B$34,'VMT Change'!$L$7:$L$34,0)</f>
        <v>15909.199994601824</v>
      </c>
      <c r="D9" s="536">
        <f t="shared" si="1"/>
        <v>7159.1399975708209</v>
      </c>
      <c r="E9" s="530">
        <f>D9*(1+0.07)^-($B9-'Project Data and Assumptions'!$C$3)</f>
        <v>3894.0978125625652</v>
      </c>
      <c r="H9" s="750" t="s">
        <v>648</v>
      </c>
      <c r="I9" s="750"/>
    </row>
    <row r="10" spans="2:10" x14ac:dyDescent="0.25">
      <c r="B10" s="2">
        <f t="shared" si="2"/>
        <v>2030</v>
      </c>
      <c r="C10" s="529">
        <f>_xlfn.XLOOKUP(B10,'VMT Change'!$B$7:$B$34,'VMT Change'!$L$7:$L$34,0)</f>
        <v>36995.046668143375</v>
      </c>
      <c r="D10" s="536">
        <f t="shared" si="1"/>
        <v>16647.771000664521</v>
      </c>
      <c r="E10" s="530">
        <f>D10*(1+0.07)^-($B10-'Project Data and Assumptions'!$C$3)</f>
        <v>8462.8826038086918</v>
      </c>
      <c r="H10" s="492" t="s">
        <v>30</v>
      </c>
      <c r="I10" s="78">
        <v>1</v>
      </c>
    </row>
    <row r="11" spans="2:10" x14ac:dyDescent="0.25">
      <c r="B11" s="2">
        <f t="shared" si="2"/>
        <v>2031</v>
      </c>
      <c r="C11" s="529">
        <f>_xlfn.XLOOKUP(B11,'VMT Change'!$B$7:$B$34,'VMT Change'!$L$7:$L$34,0)</f>
        <v>95982.84051446784</v>
      </c>
      <c r="D11" s="536">
        <f t="shared" si="1"/>
        <v>43192.278231510529</v>
      </c>
      <c r="E11" s="530">
        <f>D11*(1+0.07)^-($B11-'Project Data and Assumptions'!$C$3)</f>
        <v>20520.340247359025</v>
      </c>
      <c r="H11" s="492" t="s">
        <v>31</v>
      </c>
      <c r="I11" s="78">
        <v>0</v>
      </c>
    </row>
    <row r="12" spans="2:10" x14ac:dyDescent="0.25">
      <c r="B12" s="2">
        <f t="shared" si="2"/>
        <v>2032</v>
      </c>
      <c r="C12" s="529">
        <f>_xlfn.XLOOKUP(B12,'VMT Change'!$B$7:$B$34,'VMT Change'!$L$7:$L$34,0)</f>
        <v>97902.497324757249</v>
      </c>
      <c r="D12" s="536">
        <f t="shared" si="1"/>
        <v>44056.123796140761</v>
      </c>
      <c r="E12" s="530">
        <f>D12*(1+0.07)^-($B12-'Project Data and Assumptions'!$C$3)</f>
        <v>19561.445843276841</v>
      </c>
      <c r="H12" s="493"/>
      <c r="I12" s="72"/>
    </row>
    <row r="13" spans="2:10" ht="15" customHeight="1" x14ac:dyDescent="0.25">
      <c r="B13" s="2">
        <f t="shared" si="2"/>
        <v>2033</v>
      </c>
      <c r="C13" s="529">
        <f>_xlfn.XLOOKUP(B13,'VMT Change'!$B$7:$B$34,'VMT Change'!$L$7:$L$34,0)</f>
        <v>99860.547271252362</v>
      </c>
      <c r="D13" s="536">
        <f t="shared" si="1"/>
        <v>44937.246272063567</v>
      </c>
      <c r="E13" s="530">
        <f>D13*(1+0.07)^-($B13-'Project Data and Assumptions'!$C$3)</f>
        <v>18647.359588918102</v>
      </c>
      <c r="H13" s="309" t="s">
        <v>32</v>
      </c>
      <c r="I13" s="523"/>
    </row>
    <row r="14" spans="2:10" x14ac:dyDescent="0.25">
      <c r="B14" s="2">
        <f t="shared" si="2"/>
        <v>2034</v>
      </c>
      <c r="C14" s="529">
        <f>_xlfn.XLOOKUP(B14,'VMT Change'!$B$7:$B$34,'VMT Change'!$L$7:$L$34,0)</f>
        <v>105877.91043327162</v>
      </c>
      <c r="D14" s="536">
        <f t="shared" si="1"/>
        <v>47645.059694972231</v>
      </c>
      <c r="E14" s="530">
        <f>D14*(1+0.07)^-($B14-'Project Data and Assumptions'!$C$3)</f>
        <v>18477.575599009877</v>
      </c>
      <c r="H14" s="499" t="s">
        <v>33</v>
      </c>
      <c r="I14" s="79">
        <f>I10*I6+I11*I7</f>
        <v>0.45</v>
      </c>
    </row>
    <row r="15" spans="2:10" x14ac:dyDescent="0.25">
      <c r="B15" s="2">
        <f t="shared" si="2"/>
        <v>2035</v>
      </c>
      <c r="C15" s="529">
        <f>_xlfn.XLOOKUP(B15,'VMT Change'!$B$7:$B$34,'VMT Change'!$L$7:$L$34,0)</f>
        <v>107995.46864193704</v>
      </c>
      <c r="D15" s="536">
        <f t="shared" si="1"/>
        <v>48597.960888871668</v>
      </c>
      <c r="E15" s="530">
        <f>D15*(1+0.07)^-($B15-'Project Data and Assumptions'!$C$3)</f>
        <v>17614.137486906609</v>
      </c>
    </row>
    <row r="16" spans="2:10" x14ac:dyDescent="0.25">
      <c r="B16" s="2">
        <f t="shared" si="2"/>
        <v>2036</v>
      </c>
      <c r="C16" s="529">
        <f>_xlfn.XLOOKUP(B16,'VMT Change'!$B$7:$B$34,'VMT Change'!$L$7:$L$34,0)</f>
        <v>110155.37801477578</v>
      </c>
      <c r="D16" s="536">
        <f t="shared" si="1"/>
        <v>49569.9201066491</v>
      </c>
      <c r="E16" s="530">
        <f>D16*(1+0.07)^-($B16-'Project Data and Assumptions'!$C$3)</f>
        <v>16791.046950135275</v>
      </c>
    </row>
    <row r="17" spans="2:5" x14ac:dyDescent="0.25">
      <c r="B17" s="2">
        <f t="shared" si="2"/>
        <v>2037</v>
      </c>
      <c r="C17" s="529">
        <f>_xlfn.XLOOKUP(B17,'VMT Change'!$B$7:$B$34,'VMT Change'!$L$7:$L$34,0)</f>
        <v>112358.4855750713</v>
      </c>
      <c r="D17" s="536">
        <f t="shared" si="1"/>
        <v>50561.318508782089</v>
      </c>
      <c r="E17" s="530">
        <f>D17*(1+0.07)^-($B17-'Project Data and Assumptions'!$C$3)</f>
        <v>16006.418587979422</v>
      </c>
    </row>
    <row r="18" spans="2:5" x14ac:dyDescent="0.25">
      <c r="B18" s="2">
        <f t="shared" si="2"/>
        <v>2038</v>
      </c>
      <c r="C18" s="529">
        <f>_xlfn.XLOOKUP(B18,'VMT Change'!$B$7:$B$34,'VMT Change'!$L$7:$L$34,0)</f>
        <v>114605.65528657271</v>
      </c>
      <c r="D18" s="536">
        <f t="shared" si="1"/>
        <v>51572.54487895772</v>
      </c>
      <c r="E18" s="530">
        <f>D18*(1+0.07)^-($B18-'Project Data and Assumptions'!$C$3)</f>
        <v>15258.455102559818</v>
      </c>
    </row>
    <row r="19" spans="2:5" x14ac:dyDescent="0.25">
      <c r="B19" s="2">
        <f t="shared" si="2"/>
        <v>2039</v>
      </c>
      <c r="C19" s="529">
        <f>_xlfn.XLOOKUP(B19,'VMT Change'!$B$7:$B$34,'VMT Change'!$L$7:$L$34,0)</f>
        <v>116897.76839230416</v>
      </c>
      <c r="D19" s="536">
        <f t="shared" si="1"/>
        <v>52603.995776536874</v>
      </c>
      <c r="E19" s="530">
        <f>D19*(1+0.07)^-($B19-'Project Data and Assumptions'!$C$3)</f>
        <v>14545.443181879453</v>
      </c>
    </row>
    <row r="20" spans="2:5" ht="14.25" customHeight="1" x14ac:dyDescent="0.25">
      <c r="B20" s="2">
        <f t="shared" si="2"/>
        <v>2040</v>
      </c>
      <c r="C20" s="529">
        <f>_xlfn.XLOOKUP(B20,'VMT Change'!$B$7:$B$34,'VMT Change'!$L$7:$L$34,0)</f>
        <v>119235.72376015027</v>
      </c>
      <c r="D20" s="536">
        <f t="shared" si="1"/>
        <v>53656.075692067621</v>
      </c>
      <c r="E20" s="530">
        <f>D20*(1+0.07)^-($B20-'Project Data and Assumptions'!$C$3)</f>
        <v>13865.749575249574</v>
      </c>
    </row>
    <row r="21" spans="2:5" x14ac:dyDescent="0.25">
      <c r="B21" s="2">
        <f t="shared" si="2"/>
        <v>2041</v>
      </c>
      <c r="C21" s="529">
        <f>_xlfn.XLOOKUP(B21,'VMT Change'!$B$7:$B$34,'VMT Change'!$L$7:$L$34,0)</f>
        <v>121620.43823535327</v>
      </c>
      <c r="D21" s="536">
        <f t="shared" si="1"/>
        <v>54729.197205908975</v>
      </c>
      <c r="E21" s="530">
        <f>D21*(1+0.07)^-($B21-'Project Data and Assumptions'!$C$3)</f>
        <v>13217.817352107071</v>
      </c>
    </row>
    <row r="22" spans="2:5" x14ac:dyDescent="0.25">
      <c r="B22" s="2">
        <f t="shared" si="2"/>
        <v>2042</v>
      </c>
      <c r="C22" s="529">
        <f>_xlfn.XLOOKUP(B22,'VMT Change'!$B$7:$B$34,'VMT Change'!$L$7:$L$34,0)</f>
        <v>124052.84700006034</v>
      </c>
      <c r="D22" s="536">
        <f t="shared" si="1"/>
        <v>55823.781150027156</v>
      </c>
      <c r="E22" s="530">
        <f>D22*(1+0.07)^-($B22-'Project Data and Assumptions'!$C$3)</f>
        <v>12600.162335653471</v>
      </c>
    </row>
    <row r="23" spans="2:5" x14ac:dyDescent="0.25">
      <c r="B23" s="2">
        <f t="shared" si="2"/>
        <v>2043</v>
      </c>
      <c r="C23" s="529">
        <f>_xlfn.XLOOKUP(B23,'VMT Change'!$B$7:$B$34,'VMT Change'!$L$7:$L$34,0)</f>
        <v>126533.90394006151</v>
      </c>
      <c r="D23" s="536">
        <f t="shared" si="1"/>
        <v>56940.256773027686</v>
      </c>
      <c r="E23" s="530">
        <f>D23*(1+0.07)^-($B23-'Project Data and Assumptions'!$C$3)</f>
        <v>12011.369703146294</v>
      </c>
    </row>
    <row r="24" spans="2:5" x14ac:dyDescent="0.25">
      <c r="B24" s="2">
        <f t="shared" si="2"/>
        <v>2044</v>
      </c>
      <c r="C24" s="529">
        <f>_xlfn.XLOOKUP(B24,'VMT Change'!$B$7:$B$34,'VMT Change'!$L$7:$L$34,0)</f>
        <v>129064.58201886277</v>
      </c>
      <c r="D24" s="536">
        <f t="shared" si="1"/>
        <v>58079.061908488249</v>
      </c>
      <c r="E24" s="530">
        <f>D24*(1+0.07)^-($B24-'Project Data and Assumptions'!$C$3)</f>
        <v>11450.09074505535</v>
      </c>
    </row>
    <row r="25" spans="2:5" ht="15" customHeight="1" x14ac:dyDescent="0.25">
      <c r="B25" s="2">
        <f t="shared" si="2"/>
        <v>2045</v>
      </c>
      <c r="C25" s="529">
        <f>_xlfn.XLOOKUP(B25,'VMT Change'!$B$7:$B$34,'VMT Change'!$L$7:$L$34,0)</f>
        <v>131645.87365923999</v>
      </c>
      <c r="D25" s="536">
        <f t="shared" si="1"/>
        <v>59240.643146657996</v>
      </c>
      <c r="E25" s="530">
        <f>D25*(1+0.07)^-($B25-'Project Data and Assumptions'!$C$3)</f>
        <v>10915.039775660234</v>
      </c>
    </row>
    <row r="26" spans="2:5" ht="15" customHeight="1" x14ac:dyDescent="0.25">
      <c r="B26" s="2">
        <f t="shared" si="2"/>
        <v>2046</v>
      </c>
      <c r="C26" s="529">
        <f>_xlfn.XLOOKUP(B26,'VMT Change'!$B$7:$B$34,'VMT Change'!$L$7:$L$34,0)</f>
        <v>134278.79113242481</v>
      </c>
      <c r="D26" s="533">
        <f t="shared" si="1"/>
        <v>60425.456009591166</v>
      </c>
      <c r="E26" s="530">
        <f>D26*(1+0.07)^-($B26-'Project Data and Assumptions'!$C$3)</f>
        <v>10404.991188012564</v>
      </c>
    </row>
    <row r="27" spans="2:5" ht="15" customHeight="1" x14ac:dyDescent="0.25">
      <c r="B27" s="2">
        <f t="shared" si="2"/>
        <v>2047</v>
      </c>
      <c r="C27" s="529">
        <f>_xlfn.XLOOKUP(B27,'VMT Change'!$B$7:$B$34,'VMT Change'!$L$7:$L$34,0)</f>
        <v>136964.36695507329</v>
      </c>
      <c r="D27" s="533">
        <f t="shared" si="1"/>
        <v>61633.965129782984</v>
      </c>
      <c r="E27" s="530">
        <f>D27*(1+0.07)^-($B27-'Project Data and Assumptions'!$C$3)</f>
        <v>9918.776646516646</v>
      </c>
    </row>
    <row r="28" spans="2:5" x14ac:dyDescent="0.25">
      <c r="B28" s="2">
        <f t="shared" si="2"/>
        <v>2048</v>
      </c>
      <c r="C28" s="529">
        <f>_xlfn.XLOOKUP(B28,'VMT Change'!$B$7:$B$34,'VMT Change'!$L$7:$L$34,0)</f>
        <v>139703.65429417478</v>
      </c>
      <c r="D28" s="533">
        <f t="shared" si="1"/>
        <v>62866.644432378649</v>
      </c>
      <c r="E28" s="530">
        <f>D28*(1+0.07)^-($B28-'Project Data and Assumptions'!$C$3)</f>
        <v>9455.2824106981134</v>
      </c>
    </row>
    <row r="29" spans="2:5" x14ac:dyDescent="0.25">
      <c r="B29" s="2">
        <f t="shared" si="2"/>
        <v>2049</v>
      </c>
      <c r="C29" s="529">
        <f>_xlfn.XLOOKUP(B29,'VMT Change'!$B$7:$B$34,'VMT Change'!$L$7:$L$34,0)</f>
        <v>142497.72738005829</v>
      </c>
      <c r="D29" s="533">
        <f t="shared" si="1"/>
        <v>64123.977321026236</v>
      </c>
      <c r="E29" s="530">
        <f>D29*(1+0.07)^-($B29-'Project Data and Assumptions'!$C$3)</f>
        <v>9013.4467840299803</v>
      </c>
    </row>
    <row r="30" spans="2:5" x14ac:dyDescent="0.25">
      <c r="B30" s="2">
        <f t="shared" si="2"/>
        <v>2050</v>
      </c>
      <c r="C30" s="529">
        <f>_xlfn.XLOOKUP(B30,'VMT Change'!$B$7:$B$34,'VMT Change'!$L$7:$L$34,0)</f>
        <v>145347.68192765943</v>
      </c>
      <c r="D30" s="533">
        <f t="shared" si="1"/>
        <v>65406.456867446745</v>
      </c>
      <c r="E30" s="530">
        <f>D30*(1+0.07)^-($B30-'Project Data and Assumptions'!$C$3)</f>
        <v>8592.2576819725018</v>
      </c>
    </row>
    <row r="31" spans="2:5" x14ac:dyDescent="0.25">
      <c r="B31" s="2">
        <f t="shared" si="2"/>
        <v>2051</v>
      </c>
      <c r="C31" s="529">
        <f>_xlfn.XLOOKUP(B31,'VMT Change'!$B$7:$B$34,'VMT Change'!$L$7:$L$34,0)</f>
        <v>0</v>
      </c>
      <c r="D31" s="533">
        <f t="shared" si="1"/>
        <v>0</v>
      </c>
      <c r="E31" s="530">
        <f>D31*(1+0.07)^-($B31-'Project Data and Assumptions'!$C$3)</f>
        <v>0</v>
      </c>
    </row>
    <row r="32" spans="2:5" ht="15.75" thickBot="1" x14ac:dyDescent="0.3">
      <c r="B32" s="3">
        <f t="shared" si="2"/>
        <v>2052</v>
      </c>
      <c r="C32" s="531">
        <f>_xlfn.XLOOKUP(B32,'VMT Change'!$B$7:$B$34,'VMT Change'!$L$7:$L$34,0)</f>
        <v>0</v>
      </c>
      <c r="D32" s="534">
        <f t="shared" si="1"/>
        <v>0</v>
      </c>
      <c r="E32" s="532">
        <f>D32*(1+0.07)^-($B32-'Project Data and Assumptions'!$C$3)</f>
        <v>0</v>
      </c>
    </row>
    <row r="33" spans="1:7" ht="15.75" thickBot="1" x14ac:dyDescent="0.3">
      <c r="B33" s="4"/>
      <c r="C33" s="537" t="s">
        <v>2</v>
      </c>
      <c r="D33" s="539">
        <f>SUM(D6:D32)</f>
        <v>1109468.8747891234</v>
      </c>
      <c r="E33" s="538">
        <f>SUM(E6:E32)</f>
        <v>291224.1872024975</v>
      </c>
    </row>
    <row r="35" spans="1:7" x14ac:dyDescent="0.25">
      <c r="B35" s="525" t="s">
        <v>3</v>
      </c>
    </row>
    <row r="36" spans="1:7" ht="15" customHeight="1" x14ac:dyDescent="0.25">
      <c r="A36" s="494" t="s">
        <v>18</v>
      </c>
      <c r="B36" s="699" t="s">
        <v>649</v>
      </c>
      <c r="C36" s="699"/>
      <c r="D36" s="699"/>
      <c r="E36" s="699"/>
      <c r="F36" s="699"/>
      <c r="G36" s="699"/>
    </row>
    <row r="37" spans="1:7" x14ac:dyDescent="0.25">
      <c r="B37" s="699"/>
      <c r="C37" s="699"/>
      <c r="D37" s="699"/>
      <c r="E37" s="699"/>
      <c r="F37" s="699"/>
      <c r="G37" s="699"/>
    </row>
    <row r="38" spans="1:7" x14ac:dyDescent="0.25">
      <c r="B38" s="699"/>
      <c r="C38" s="699"/>
      <c r="D38" s="699"/>
      <c r="E38" s="699"/>
      <c r="F38" s="699"/>
      <c r="G38" s="699"/>
    </row>
    <row r="39" spans="1:7" x14ac:dyDescent="0.25">
      <c r="B39" s="699"/>
      <c r="C39" s="699"/>
      <c r="D39" s="699"/>
      <c r="E39" s="699"/>
      <c r="F39" s="699"/>
      <c r="G39" s="699"/>
    </row>
    <row r="40" spans="1:7" x14ac:dyDescent="0.25">
      <c r="A40" s="494"/>
      <c r="B40" s="751"/>
      <c r="C40" s="751"/>
      <c r="D40" s="751"/>
      <c r="E40" s="751"/>
      <c r="F40" s="751"/>
      <c r="G40" s="751"/>
    </row>
    <row r="41" spans="1:7" x14ac:dyDescent="0.25">
      <c r="B41" s="751"/>
      <c r="C41" s="751"/>
      <c r="D41" s="751"/>
      <c r="E41" s="751"/>
      <c r="F41" s="751"/>
      <c r="G41" s="751"/>
    </row>
    <row r="42" spans="1:7" x14ac:dyDescent="0.25">
      <c r="B42" s="225"/>
      <c r="C42" s="225"/>
      <c r="D42" s="225"/>
      <c r="E42" s="225"/>
      <c r="F42" s="225"/>
      <c r="G42" s="225"/>
    </row>
    <row r="43" spans="1:7" x14ac:dyDescent="0.25">
      <c r="A43" s="494"/>
      <c r="B43" s="751"/>
      <c r="C43" s="751"/>
      <c r="D43" s="751"/>
      <c r="E43" s="751"/>
      <c r="F43" s="751"/>
      <c r="G43" s="751"/>
    </row>
    <row r="44" spans="1:7" x14ac:dyDescent="0.25">
      <c r="B44" s="751"/>
      <c r="C44" s="751"/>
      <c r="D44" s="751"/>
      <c r="E44" s="751"/>
      <c r="F44" s="751"/>
      <c r="G44" s="751"/>
    </row>
  </sheetData>
  <mergeCells count="9">
    <mergeCell ref="H5:I5"/>
    <mergeCell ref="H9:I9"/>
    <mergeCell ref="B40:G41"/>
    <mergeCell ref="B43:G44"/>
    <mergeCell ref="B4:B5"/>
    <mergeCell ref="C4:C5"/>
    <mergeCell ref="D4:D5"/>
    <mergeCell ref="E4:E5"/>
    <mergeCell ref="B36:G39"/>
  </mergeCells>
  <pageMargins left="0.25" right="0.25" top="0.75" bottom="0.75" header="0.3" footer="0.3"/>
  <pageSetup paperSize="11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2:AH41"/>
  <sheetViews>
    <sheetView view="pageBreakPreview" topLeftCell="A4" zoomScale="90" zoomScaleNormal="100" zoomScaleSheetLayoutView="90" workbookViewId="0">
      <selection activeCell="P25" sqref="P25"/>
    </sheetView>
  </sheetViews>
  <sheetFormatPr defaultRowHeight="15" x14ac:dyDescent="0.25"/>
  <cols>
    <col min="1" max="1" width="3.7109375" style="71" customWidth="1"/>
    <col min="2" max="2" width="10.5703125" style="71" customWidth="1"/>
    <col min="3" max="3" width="6.28515625" style="287" customWidth="1"/>
    <col min="4" max="4" width="12.7109375" style="292" customWidth="1"/>
    <col min="5" max="5" width="10.28515625" style="292" customWidth="1"/>
    <col min="6" max="6" width="6.28515625" style="292" customWidth="1"/>
    <col min="7" max="7" width="12.7109375" style="71" customWidth="1"/>
    <col min="8" max="8" width="11.7109375" style="292" customWidth="1"/>
    <col min="9" max="9" width="4.85546875" style="292" bestFit="1" customWidth="1"/>
    <col min="10" max="10" width="12.7109375" style="71" customWidth="1"/>
    <col min="11" max="11" width="11.140625" style="71" customWidth="1"/>
    <col min="12" max="12" width="4.85546875" style="292" bestFit="1" customWidth="1"/>
    <col min="13" max="13" width="12.7109375" style="292" customWidth="1"/>
    <col min="14" max="14" width="10.42578125" style="292" customWidth="1"/>
    <col min="15" max="15" width="4.85546875" style="292" bestFit="1" customWidth="1"/>
    <col min="16" max="16" width="12.7109375" style="292" customWidth="1"/>
    <col min="17" max="17" width="8.7109375" style="292" customWidth="1"/>
    <col min="18" max="18" width="4.85546875" style="292" bestFit="1" customWidth="1"/>
    <col min="19" max="19" width="12.7109375" style="292" customWidth="1"/>
    <col min="20" max="20" width="9.140625" style="71"/>
    <col min="21" max="21" width="4.85546875" style="292" bestFit="1" customWidth="1"/>
    <col min="22" max="22" width="12.7109375" style="71" customWidth="1"/>
    <col min="23" max="23" width="12.42578125" style="71" customWidth="1"/>
    <col min="24" max="24" width="11.85546875" style="71" customWidth="1"/>
    <col min="25" max="25" width="9.140625" style="71"/>
    <col min="26" max="26" width="8.28515625" style="71" bestFit="1" customWidth="1"/>
    <col min="27" max="27" width="9.7109375" style="292" bestFit="1" customWidth="1"/>
    <col min="28" max="28" width="11.42578125" style="71" bestFit="1" customWidth="1"/>
    <col min="29" max="29" width="9.140625" style="71"/>
    <col min="30" max="31" width="14.28515625" style="71" customWidth="1"/>
    <col min="32" max="16384" width="9.140625" style="71"/>
  </cols>
  <sheetData>
    <row r="2" spans="2:34" x14ac:dyDescent="0.25">
      <c r="B2" s="8" t="s">
        <v>38</v>
      </c>
      <c r="C2" s="76"/>
      <c r="D2" s="175"/>
      <c r="E2" s="175"/>
      <c r="F2" s="175"/>
      <c r="S2" s="763" t="s">
        <v>562</v>
      </c>
      <c r="T2" s="763"/>
      <c r="U2" s="763"/>
      <c r="V2" s="763"/>
      <c r="W2" s="552">
        <f>2500+200+3380</f>
        <v>6080</v>
      </c>
      <c r="AB2" s="547"/>
    </row>
    <row r="3" spans="2:34" s="292" customFormat="1" x14ac:dyDescent="0.25">
      <c r="B3" s="175"/>
      <c r="C3" s="76"/>
      <c r="D3" s="175"/>
      <c r="E3" s="175"/>
      <c r="F3" s="175"/>
      <c r="S3" s="763" t="s">
        <v>633</v>
      </c>
      <c r="T3" s="763"/>
      <c r="U3" s="763"/>
      <c r="V3" s="763"/>
      <c r="W3" s="552">
        <v>26000</v>
      </c>
      <c r="AB3" s="547"/>
    </row>
    <row r="4" spans="2:34" s="292" customFormat="1" ht="15.75" thickBot="1" x14ac:dyDescent="0.3">
      <c r="B4" s="175"/>
      <c r="C4" s="76"/>
      <c r="D4" s="175"/>
      <c r="E4" s="175"/>
      <c r="F4" s="175"/>
      <c r="S4" s="9"/>
      <c r="AB4" s="547"/>
    </row>
    <row r="5" spans="2:34" s="292" customFormat="1" x14ac:dyDescent="0.25">
      <c r="B5" s="175"/>
      <c r="C5" s="764" t="s">
        <v>572</v>
      </c>
      <c r="D5" s="765"/>
      <c r="E5" s="766"/>
      <c r="F5" s="764" t="s">
        <v>573</v>
      </c>
      <c r="G5" s="765"/>
      <c r="H5" s="766"/>
      <c r="I5" s="772" t="s">
        <v>550</v>
      </c>
      <c r="J5" s="772"/>
      <c r="K5" s="773"/>
      <c r="L5" s="764" t="s">
        <v>551</v>
      </c>
      <c r="M5" s="765"/>
      <c r="N5" s="766"/>
      <c r="O5" s="770" t="s">
        <v>319</v>
      </c>
      <c r="P5" s="765"/>
      <c r="Q5" s="771"/>
      <c r="R5" s="764" t="s">
        <v>463</v>
      </c>
      <c r="S5" s="765"/>
      <c r="T5" s="766"/>
      <c r="U5" s="774" t="s">
        <v>575</v>
      </c>
      <c r="V5" s="772"/>
      <c r="W5" s="770"/>
      <c r="X5" s="771" t="s">
        <v>574</v>
      </c>
      <c r="Y5" s="772"/>
      <c r="Z5" s="773"/>
      <c r="AA5" s="34"/>
      <c r="AE5" s="321"/>
    </row>
    <row r="6" spans="2:34" ht="15.75" thickBot="1" x14ac:dyDescent="0.3">
      <c r="C6" s="767" t="s">
        <v>654</v>
      </c>
      <c r="D6" s="768"/>
      <c r="E6" s="608">
        <f>'Trail Project Summary'!F3</f>
        <v>0.95</v>
      </c>
      <c r="F6" s="767" t="s">
        <v>45</v>
      </c>
      <c r="G6" s="768"/>
      <c r="H6" s="608">
        <f>'Trail Project Summary'!F8</f>
        <v>3.7</v>
      </c>
      <c r="I6" s="767" t="s">
        <v>45</v>
      </c>
      <c r="J6" s="768"/>
      <c r="K6" s="608">
        <f>'Trail Project Summary'!F11</f>
        <v>1.75</v>
      </c>
      <c r="L6" s="767" t="s">
        <v>45</v>
      </c>
      <c r="M6" s="768"/>
      <c r="N6" s="608">
        <f>'Trail Project Summary'!F15</f>
        <v>3</v>
      </c>
      <c r="O6" s="769" t="s">
        <v>45</v>
      </c>
      <c r="P6" s="768"/>
      <c r="Q6" s="609">
        <f>'Trail Project Summary'!F18</f>
        <v>3.75</v>
      </c>
      <c r="R6" s="767" t="s">
        <v>45</v>
      </c>
      <c r="S6" s="768"/>
      <c r="T6" s="608">
        <f>'Trail Project Summary'!F22</f>
        <v>0.4</v>
      </c>
      <c r="U6" s="769" t="s">
        <v>45</v>
      </c>
      <c r="V6" s="768"/>
      <c r="W6" s="610">
        <f>'Trail Project Summary'!F28</f>
        <v>1</v>
      </c>
      <c r="X6" s="768" t="s">
        <v>45</v>
      </c>
      <c r="Y6" s="768"/>
      <c r="Z6" s="608">
        <f>'Trail Project Summary'!F29</f>
        <v>0.84</v>
      </c>
      <c r="AA6" s="49">
        <f>SUM(E6,H6,K6,N6,Q6,T6,W6,Z6)</f>
        <v>15.39</v>
      </c>
      <c r="AD6" s="292"/>
      <c r="AE6" s="292"/>
      <c r="AG6" s="321"/>
      <c r="AH6" s="292"/>
    </row>
    <row r="7" spans="2:34" ht="35.1" customHeight="1" x14ac:dyDescent="0.25">
      <c r="B7" s="735" t="s">
        <v>0</v>
      </c>
      <c r="C7" s="761" t="s">
        <v>80</v>
      </c>
      <c r="D7" s="758" t="s">
        <v>39</v>
      </c>
      <c r="E7" s="717" t="s">
        <v>559</v>
      </c>
      <c r="F7" s="761" t="s">
        <v>80</v>
      </c>
      <c r="G7" s="758" t="s">
        <v>39</v>
      </c>
      <c r="H7" s="717" t="s">
        <v>559</v>
      </c>
      <c r="I7" s="761" t="s">
        <v>80</v>
      </c>
      <c r="J7" s="758" t="s">
        <v>39</v>
      </c>
      <c r="K7" s="717" t="s">
        <v>559</v>
      </c>
      <c r="L7" s="717" t="s">
        <v>80</v>
      </c>
      <c r="M7" s="758" t="s">
        <v>39</v>
      </c>
      <c r="N7" s="717" t="s">
        <v>559</v>
      </c>
      <c r="O7" s="717" t="s">
        <v>80</v>
      </c>
      <c r="P7" s="758" t="s">
        <v>39</v>
      </c>
      <c r="Q7" s="717" t="s">
        <v>559</v>
      </c>
      <c r="R7" s="717" t="s">
        <v>80</v>
      </c>
      <c r="S7" s="758" t="s">
        <v>39</v>
      </c>
      <c r="T7" s="717" t="s">
        <v>559</v>
      </c>
      <c r="U7" s="717" t="s">
        <v>80</v>
      </c>
      <c r="V7" s="758" t="s">
        <v>39</v>
      </c>
      <c r="W7" s="717" t="s">
        <v>559</v>
      </c>
      <c r="X7" s="717" t="s">
        <v>80</v>
      </c>
      <c r="Y7" s="758" t="s">
        <v>39</v>
      </c>
      <c r="Z7" s="717" t="s">
        <v>559</v>
      </c>
      <c r="AA7" s="716" t="s">
        <v>576</v>
      </c>
      <c r="AB7" s="759" t="s">
        <v>1</v>
      </c>
      <c r="AD7" s="292"/>
      <c r="AE7" s="292"/>
      <c r="AF7" s="292"/>
      <c r="AG7" s="292"/>
      <c r="AH7" s="292"/>
    </row>
    <row r="8" spans="2:34" ht="35.1" customHeight="1" thickBot="1" x14ac:dyDescent="0.3">
      <c r="B8" s="757"/>
      <c r="C8" s="762"/>
      <c r="D8" s="757"/>
      <c r="E8" s="752"/>
      <c r="F8" s="762"/>
      <c r="G8" s="757"/>
      <c r="H8" s="752"/>
      <c r="I8" s="762"/>
      <c r="J8" s="757"/>
      <c r="K8" s="752"/>
      <c r="L8" s="752"/>
      <c r="M8" s="757"/>
      <c r="N8" s="752"/>
      <c r="O8" s="752"/>
      <c r="P8" s="757"/>
      <c r="Q8" s="752"/>
      <c r="R8" s="752"/>
      <c r="S8" s="757"/>
      <c r="T8" s="752"/>
      <c r="U8" s="752"/>
      <c r="V8" s="757"/>
      <c r="W8" s="752"/>
      <c r="X8" s="752"/>
      <c r="Y8" s="757"/>
      <c r="Z8" s="752"/>
      <c r="AA8" s="752"/>
      <c r="AB8" s="760"/>
      <c r="AD8" s="292"/>
      <c r="AE8" s="292"/>
      <c r="AF8" s="292"/>
      <c r="AG8" s="28"/>
      <c r="AH8" s="292"/>
    </row>
    <row r="9" spans="2:34" s="292" customFormat="1" x14ac:dyDescent="0.25">
      <c r="B9" s="350">
        <v>2027</v>
      </c>
      <c r="C9" s="351">
        <f>IF(D9&gt;0,1,0)</f>
        <v>0</v>
      </c>
      <c r="D9" s="125">
        <f>IF(B9&gt;'QoL Benefits - BCRT'!$Y$5,'Operation and Maintenance'!$E$6*'Operation and Maintenance'!$W$2,0)</f>
        <v>0</v>
      </c>
      <c r="E9" s="124" t="str">
        <f>IF(OR(C9=7,C9=14,C9=21),$W$3*E$6,"-")</f>
        <v>-</v>
      </c>
      <c r="F9" s="351">
        <f>IF(G9&gt;0,1,0)</f>
        <v>0</v>
      </c>
      <c r="G9" s="125">
        <f>IF(B9&gt;'QoL Benefits - Bryant RT'!$Y$5,'Operation and Maintenance'!$H$6*'Operation and Maintenance'!$W$2,0)</f>
        <v>0</v>
      </c>
      <c r="H9" s="124" t="str">
        <f>IF(OR(F9=7,F9=14,F9=21),$W$3*H$6,"-")</f>
        <v>-</v>
      </c>
      <c r="I9" s="351">
        <f>IF(J9&gt;0,1,0)</f>
        <v>0</v>
      </c>
      <c r="J9" s="124">
        <f>IF(B9&gt;'QoL Benefits - CP RT'!$Y$5,'Operation and Maintenance'!$K$6*'Operation and Maintenance'!$W$2,0)</f>
        <v>0</v>
      </c>
      <c r="K9" s="124" t="str">
        <f>IF(OR(I9=7,I9=14,I9=21),$W$3*K$6,"-")</f>
        <v>-</v>
      </c>
      <c r="L9" s="351">
        <f>IF(M9&gt;0,1,0)</f>
        <v>0</v>
      </c>
      <c r="M9" s="125">
        <f>IF(B9&gt;'QoL Benefits -Eagle RT'!$Y$5,'Operation and Maintenance'!N$6*'Operation and Maintenance'!$W$2,0)</f>
        <v>0</v>
      </c>
      <c r="N9" s="124" t="str">
        <f>IF(OR(L9=7,L9=14,L9=21),$W$3*N$6,"-")</f>
        <v>-</v>
      </c>
      <c r="O9" s="351">
        <f>IF(P9&gt;0,1,0)</f>
        <v>0</v>
      </c>
      <c r="P9" s="125">
        <f>IF(B9&gt;'QoL Benefits - Med Lake RT'!Y5,'Operation and Maintenance'!N$6*'Operation and Maintenance'!$W$2,0)</f>
        <v>0</v>
      </c>
      <c r="Q9" s="124" t="str">
        <f>IF(OR(O9=7,O9=14,O9=21),$W$3*Q$6,"-")</f>
        <v>-</v>
      </c>
      <c r="R9" s="351">
        <f>IF(S9&gt;0,1,0)</f>
        <v>0</v>
      </c>
      <c r="S9" s="125">
        <f>IF(B9&gt;'QoL Benefits - 9Mi RT'!$Y$5,'Operation and Maintenance'!T$6*'Operation and Maintenance'!$W$2,0)</f>
        <v>0</v>
      </c>
      <c r="T9" s="124" t="str">
        <f>IF(OR(R9=7,R9=14,R9=21),$W$3*T$6,"-")</f>
        <v>-</v>
      </c>
      <c r="U9" s="351">
        <f>IF(V9&gt;0,1,0)</f>
        <v>0</v>
      </c>
      <c r="V9" s="125">
        <f>IF(B9&gt;'QoL Benefits - Shingle Crk BCR'!$Y$5,'Operation and Maintenance'!T$6*'Operation and Maintenance'!$W$2,0)</f>
        <v>0</v>
      </c>
      <c r="W9" s="124" t="str">
        <f>IF(OR(U9=7,U9=14,U9=21),$W$3*W$6,"-")</f>
        <v>-</v>
      </c>
      <c r="X9" s="351">
        <f>IF(Y9&gt;0,1,0)</f>
        <v>0</v>
      </c>
      <c r="Y9" s="125">
        <f>IF(B9&gt;'QoL Benefits - Shingle Crk NAR'!Y5,'Operation and Maintenance'!Z$6*'Operation and Maintenance'!$W$2,0)</f>
        <v>0</v>
      </c>
      <c r="Z9" s="124" t="str">
        <f>IF(OR(X9=7,X9=14,X9=21),$W$3*Z$6,"-")</f>
        <v>-</v>
      </c>
      <c r="AA9" s="124">
        <f>SUM(D9:E9,G9:H9,J9:K9,M9:N9,P9:Q9,S9:T9,V9:W9,Y9:Z9)</f>
        <v>0</v>
      </c>
      <c r="AB9" s="355">
        <f>AA9*(1+0.07)^-(B9-'Project Data and Assumptions'!$C$3)</f>
        <v>0</v>
      </c>
      <c r="AG9" s="28"/>
    </row>
    <row r="10" spans="2:34" s="292" customFormat="1" x14ac:dyDescent="0.25">
      <c r="B10" s="2">
        <f t="shared" ref="B10:B32" si="0">+B9+1</f>
        <v>2028</v>
      </c>
      <c r="C10" s="351">
        <f t="shared" ref="C10:C32" si="1">IF(D10&gt;0,C9+1,0)</f>
        <v>0</v>
      </c>
      <c r="D10" s="125">
        <f>IF(B10&gt;'QoL Benefits - BCRT'!$Y$5,'Operation and Maintenance'!$E$6*'Operation and Maintenance'!$W$2,0)</f>
        <v>0</v>
      </c>
      <c r="E10" s="124" t="str">
        <f t="shared" ref="E10:E32" si="2">IF(OR(C10=7,C10=14,C10=21),$W$3*E$6,"-")</f>
        <v>-</v>
      </c>
      <c r="F10" s="351">
        <f>IF(G10&gt;0,F9+1,0)</f>
        <v>0</v>
      </c>
      <c r="G10" s="125">
        <f>IF(B10&gt;'QoL Benefits - Bryant RT'!$Y$5,'Operation and Maintenance'!$H$6*'Operation and Maintenance'!$W$2,0)</f>
        <v>0</v>
      </c>
      <c r="H10" s="124" t="str">
        <f t="shared" ref="H10:H32" si="3">IF(OR(F10=7,F10=14,F10=21),$W$3*H$6,"-")</f>
        <v>-</v>
      </c>
      <c r="I10" s="351">
        <f>IF(J10&gt;0,I9+1,0)</f>
        <v>0</v>
      </c>
      <c r="J10" s="124">
        <f>IF(B10&gt;'QoL Benefits - CP RT'!$Y$5,'Operation and Maintenance'!$K$6*'Operation and Maintenance'!$W$2,0)</f>
        <v>0</v>
      </c>
      <c r="K10" s="124" t="str">
        <f t="shared" ref="K10:K32" si="4">IF(OR(I10=7,I10=14,I10=21),$W$3*K$6,"-")</f>
        <v>-</v>
      </c>
      <c r="L10" s="351">
        <f>IF(M10&gt;0,L9+1,0)</f>
        <v>0</v>
      </c>
      <c r="M10" s="125">
        <f>IF(B10&gt;'QoL Benefits -Eagle RT'!$Y$5,'Operation and Maintenance'!N$6*'Operation and Maintenance'!$W$2,0)</f>
        <v>0</v>
      </c>
      <c r="N10" s="124" t="str">
        <f t="shared" ref="N10:N32" si="5">IF(OR(L10=7,L10=14,L10=21),$W$3*N$6,"-")</f>
        <v>-</v>
      </c>
      <c r="O10" s="351">
        <f>IF(P10&gt;0,O9+1,0)</f>
        <v>1</v>
      </c>
      <c r="P10" s="125">
        <f>IF(B10&gt;'QoL Benefits - Med Lake RT'!Y6,'Operation and Maintenance'!N$6*'Operation and Maintenance'!$W$2,0)</f>
        <v>18240</v>
      </c>
      <c r="Q10" s="124" t="str">
        <f t="shared" ref="Q10:Q32" si="6">IF(OR(O10=7,O10=14,O10=21),$W$3*Q$6,"-")</f>
        <v>-</v>
      </c>
      <c r="R10" s="351">
        <f>IF(S10&gt;0,R9+1,0)</f>
        <v>0</v>
      </c>
      <c r="S10" s="125">
        <f>IF(B10&gt;'QoL Benefits - 9Mi RT'!$Y$5,'Operation and Maintenance'!T$6*'Operation and Maintenance'!$W$2,0)</f>
        <v>0</v>
      </c>
      <c r="T10" s="124" t="str">
        <f t="shared" ref="T10:T32" si="7">IF(OR(R10=7,R10=14,R10=21),$W$3*T$6,"-")</f>
        <v>-</v>
      </c>
      <c r="U10" s="351">
        <f>IF(V10&gt;0,U9+1,0)</f>
        <v>0</v>
      </c>
      <c r="V10" s="125">
        <f>IF(B10&gt;'QoL Benefits - Shingle Crk BCR'!$Y$5,'Operation and Maintenance'!T$6*'Operation and Maintenance'!$W$2,0)</f>
        <v>0</v>
      </c>
      <c r="W10" s="124" t="str">
        <f t="shared" ref="W10:W32" si="8">IF(OR(U10=7,U10=14,U10=21),$W$3*W$6,"-")</f>
        <v>-</v>
      </c>
      <c r="X10" s="351">
        <f>IF(Y10&gt;0,X9+1,0)</f>
        <v>1</v>
      </c>
      <c r="Y10" s="125">
        <f>IF(B10&gt;'QoL Benefits - Shingle Crk NAR'!Y6,'Operation and Maintenance'!Z$6*'Operation and Maintenance'!$W$2,0)</f>
        <v>5107.2</v>
      </c>
      <c r="Z10" s="124" t="str">
        <f t="shared" ref="Z10:Z32" si="9">IF(OR(X10=7,X10=14,X10=21),$W$3*Z$6,"-")</f>
        <v>-</v>
      </c>
      <c r="AA10" s="124">
        <f t="shared" ref="AA10:AA32" si="10">SUM(D10:E10,G10:H10,J10:K10,M10:N10,P10:Q10,S10:T10,V10:W10,Y10:Z10)</f>
        <v>23347.200000000001</v>
      </c>
      <c r="AB10" s="355">
        <f>AA10*(1+0.07)^-(B10-'Project Data and Assumptions'!$C$3)</f>
        <v>13588.282966100865</v>
      </c>
      <c r="AG10" s="28"/>
    </row>
    <row r="11" spans="2:34" x14ac:dyDescent="0.25">
      <c r="B11" s="2">
        <f t="shared" si="0"/>
        <v>2029</v>
      </c>
      <c r="C11" s="351">
        <f t="shared" si="1"/>
        <v>0</v>
      </c>
      <c r="D11" s="125">
        <f>IF(B11&gt;'QoL Benefits - BCRT'!$Y$5,'Operation and Maintenance'!$E$6*'Operation and Maintenance'!$W$2,0)</f>
        <v>0</v>
      </c>
      <c r="E11" s="124" t="str">
        <f t="shared" si="2"/>
        <v>-</v>
      </c>
      <c r="F11" s="351">
        <f t="shared" ref="F11:F32" si="11">IF(G11&gt;0,F10+1,0)</f>
        <v>0</v>
      </c>
      <c r="G11" s="125">
        <f>IF(B11&gt;'QoL Benefits - Bryant RT'!$Y$5,'Operation and Maintenance'!$H$6*'Operation and Maintenance'!$W$2,0)</f>
        <v>0</v>
      </c>
      <c r="H11" s="124" t="str">
        <f t="shared" si="3"/>
        <v>-</v>
      </c>
      <c r="I11" s="351">
        <f t="shared" ref="I11:I32" si="12">IF(J11&gt;0,I10+1,0)</f>
        <v>0</v>
      </c>
      <c r="J11" s="124">
        <f>IF(B11&gt;'QoL Benefits - CP RT'!$Y$5,'Operation and Maintenance'!$K$6*'Operation and Maintenance'!$W$2,0)</f>
        <v>0</v>
      </c>
      <c r="K11" s="124" t="str">
        <f t="shared" si="4"/>
        <v>-</v>
      </c>
      <c r="L11" s="351">
        <f t="shared" ref="L11:L32" si="13">IF(M11&gt;0,L10+1,0)</f>
        <v>0</v>
      </c>
      <c r="M11" s="125">
        <f>IF(B11&gt;'QoL Benefits -Eagle RT'!$Y$5,'Operation and Maintenance'!N$6*'Operation and Maintenance'!$W$2,0)</f>
        <v>0</v>
      </c>
      <c r="N11" s="124" t="str">
        <f t="shared" si="5"/>
        <v>-</v>
      </c>
      <c r="O11" s="351">
        <f t="shared" ref="O11:O32" si="14">IF(P11&gt;0,O10+1,0)</f>
        <v>2</v>
      </c>
      <c r="P11" s="125">
        <f>IF(B11&gt;'QoL Benefits - Med Lake RT'!Y7,'Operation and Maintenance'!N$6*'Operation and Maintenance'!$W$2,0)</f>
        <v>18240</v>
      </c>
      <c r="Q11" s="124" t="str">
        <f t="shared" si="6"/>
        <v>-</v>
      </c>
      <c r="R11" s="351">
        <f t="shared" ref="R11:R32" si="15">IF(S11&gt;0,R10+1,0)</f>
        <v>0</v>
      </c>
      <c r="S11" s="125">
        <f>IF(B11&gt;'QoL Benefits - 9Mi RT'!$Y$5,'Operation and Maintenance'!T$6*'Operation and Maintenance'!$W$2,0)</f>
        <v>0</v>
      </c>
      <c r="T11" s="124" t="str">
        <f t="shared" si="7"/>
        <v>-</v>
      </c>
      <c r="U11" s="351">
        <f t="shared" ref="U11:U32" si="16">IF(V11&gt;0,U10+1,0)</f>
        <v>0</v>
      </c>
      <c r="V11" s="125">
        <f>IF(B11&gt;'QoL Benefits - Shingle Crk BCR'!$Y$5,'Operation and Maintenance'!T$6*'Operation and Maintenance'!$W$2,0)</f>
        <v>0</v>
      </c>
      <c r="W11" s="124" t="str">
        <f t="shared" si="8"/>
        <v>-</v>
      </c>
      <c r="X11" s="351">
        <f t="shared" ref="X11:X32" si="17">IF(Y11&gt;0,X10+1,0)</f>
        <v>2</v>
      </c>
      <c r="Y11" s="125">
        <f>IF(B11&gt;'QoL Benefits - Shingle Crk NAR'!Y7,'Operation and Maintenance'!Z$6*'Operation and Maintenance'!$W$2,0)</f>
        <v>5107.2</v>
      </c>
      <c r="Z11" s="124" t="str">
        <f t="shared" si="9"/>
        <v>-</v>
      </c>
      <c r="AA11" s="124">
        <f t="shared" si="10"/>
        <v>23347.200000000001</v>
      </c>
      <c r="AB11" s="355">
        <f>AA11*(1+0.07)^-(B11-'Project Data and Assumptions'!$C$3)</f>
        <v>12699.329874860621</v>
      </c>
      <c r="AD11" s="292" t="s">
        <v>561</v>
      </c>
      <c r="AE11" s="292"/>
      <c r="AF11" s="292"/>
      <c r="AG11" s="292"/>
      <c r="AH11" s="292"/>
    </row>
    <row r="12" spans="2:34" x14ac:dyDescent="0.25">
      <c r="B12" s="2">
        <f t="shared" si="0"/>
        <v>2030</v>
      </c>
      <c r="C12" s="351">
        <f t="shared" si="1"/>
        <v>1</v>
      </c>
      <c r="D12" s="125">
        <f>IF(B12&gt;'QoL Benefits - BCRT'!$Y$5,'Operation and Maintenance'!$E$6*'Operation and Maintenance'!$W$2,0)</f>
        <v>5776</v>
      </c>
      <c r="E12" s="124" t="str">
        <f t="shared" si="2"/>
        <v>-</v>
      </c>
      <c r="F12" s="351">
        <f t="shared" si="11"/>
        <v>0</v>
      </c>
      <c r="G12" s="125">
        <f>IF(B12&gt;'QoL Benefits - Bryant RT'!$Y$5,'Operation and Maintenance'!$H$6*'Operation and Maintenance'!$W$2,0)</f>
        <v>0</v>
      </c>
      <c r="H12" s="124" t="str">
        <f t="shared" si="3"/>
        <v>-</v>
      </c>
      <c r="I12" s="351">
        <f t="shared" si="12"/>
        <v>0</v>
      </c>
      <c r="J12" s="124">
        <f>IF(B12&gt;'QoL Benefits - CP RT'!$Y$5,'Operation and Maintenance'!$K$6*'Operation and Maintenance'!$W$2,0)</f>
        <v>0</v>
      </c>
      <c r="K12" s="124" t="str">
        <f t="shared" si="4"/>
        <v>-</v>
      </c>
      <c r="L12" s="351">
        <f t="shared" si="13"/>
        <v>0</v>
      </c>
      <c r="M12" s="126">
        <f>IF(B12&gt;'QoL Benefits -Eagle RT'!$Y$5,'Operation and Maintenance'!N$6*'Operation and Maintenance'!$W$2,0)</f>
        <v>0</v>
      </c>
      <c r="N12" s="124" t="str">
        <f t="shared" si="5"/>
        <v>-</v>
      </c>
      <c r="O12" s="351">
        <f t="shared" si="14"/>
        <v>3</v>
      </c>
      <c r="P12" s="126">
        <f>IF(B12&gt;'QoL Benefits - Med Lake RT'!Y8,'Operation and Maintenance'!N$6*'Operation and Maintenance'!$W$2,0)</f>
        <v>18240</v>
      </c>
      <c r="Q12" s="124" t="str">
        <f t="shared" si="6"/>
        <v>-</v>
      </c>
      <c r="R12" s="351">
        <f t="shared" si="15"/>
        <v>1</v>
      </c>
      <c r="S12" s="125">
        <f>IF(B12&gt;'QoL Benefits - 9Mi RT'!$Y$5,'Operation and Maintenance'!T$6*'Operation and Maintenance'!$W$2,0)</f>
        <v>2432</v>
      </c>
      <c r="T12" s="124" t="str">
        <f t="shared" si="7"/>
        <v>-</v>
      </c>
      <c r="U12" s="351">
        <f t="shared" si="16"/>
        <v>1</v>
      </c>
      <c r="V12" s="126">
        <f>IF(B12&gt;'QoL Benefits - Shingle Crk BCR'!$Y$5,'Operation and Maintenance'!T$6*'Operation and Maintenance'!$W$2,0)</f>
        <v>2432</v>
      </c>
      <c r="W12" s="124" t="str">
        <f t="shared" si="8"/>
        <v>-</v>
      </c>
      <c r="X12" s="351">
        <f t="shared" si="17"/>
        <v>3</v>
      </c>
      <c r="Y12" s="126">
        <f>IF(B12&gt;'QoL Benefits - Shingle Crk NAR'!Y8,'Operation and Maintenance'!Z$6*'Operation and Maintenance'!$W$2,0)</f>
        <v>5107.2</v>
      </c>
      <c r="Z12" s="124" t="str">
        <f t="shared" si="9"/>
        <v>-</v>
      </c>
      <c r="AA12" s="124">
        <f t="shared" si="10"/>
        <v>33987.199999999997</v>
      </c>
      <c r="AB12" s="355">
        <f>AA12*(1+0.07)^-(B12-'Project Data and Assumptions'!$C$3)</f>
        <v>17277.369061641079</v>
      </c>
      <c r="AD12" s="292" t="s">
        <v>560</v>
      </c>
      <c r="AE12" s="292"/>
      <c r="AF12" s="292"/>
      <c r="AG12" s="292"/>
      <c r="AH12" s="292"/>
    </row>
    <row r="13" spans="2:34" x14ac:dyDescent="0.25">
      <c r="B13" s="2">
        <f t="shared" si="0"/>
        <v>2031</v>
      </c>
      <c r="C13" s="351">
        <f t="shared" si="1"/>
        <v>2</v>
      </c>
      <c r="D13" s="125">
        <f>IF(B13&gt;'QoL Benefits - BCRT'!$Y$5,'Operation and Maintenance'!$E$6*'Operation and Maintenance'!$W$2,0)</f>
        <v>5776</v>
      </c>
      <c r="E13" s="124" t="str">
        <f t="shared" si="2"/>
        <v>-</v>
      </c>
      <c r="F13" s="351">
        <f t="shared" si="11"/>
        <v>0</v>
      </c>
      <c r="G13" s="125">
        <f>IF(B13&gt;'QoL Benefits - Bryant RT'!$Y$5,'Operation and Maintenance'!$H$6*'Operation and Maintenance'!$W$2,0)</f>
        <v>0</v>
      </c>
      <c r="H13" s="124" t="str">
        <f t="shared" si="3"/>
        <v>-</v>
      </c>
      <c r="I13" s="351">
        <f t="shared" si="12"/>
        <v>1</v>
      </c>
      <c r="J13" s="124">
        <f>IF(B13&gt;'QoL Benefits - CP RT'!$Y$5,'Operation and Maintenance'!$K$6*'Operation and Maintenance'!$W$2,0)</f>
        <v>10640</v>
      </c>
      <c r="K13" s="124" t="str">
        <f t="shared" si="4"/>
        <v>-</v>
      </c>
      <c r="L13" s="351">
        <f t="shared" si="13"/>
        <v>0</v>
      </c>
      <c r="M13" s="126">
        <f>IF(B13&gt;'QoL Benefits -Eagle RT'!$Y$5,'Operation and Maintenance'!N$6*'Operation and Maintenance'!$W$2,0)</f>
        <v>0</v>
      </c>
      <c r="N13" s="124" t="str">
        <f t="shared" si="5"/>
        <v>-</v>
      </c>
      <c r="O13" s="351">
        <f t="shared" si="14"/>
        <v>4</v>
      </c>
      <c r="P13" s="126">
        <f>IF(B13&gt;'QoL Benefits - Med Lake RT'!Y9,'Operation and Maintenance'!N$6*'Operation and Maintenance'!$W$2,0)</f>
        <v>18240</v>
      </c>
      <c r="Q13" s="124" t="str">
        <f t="shared" si="6"/>
        <v>-</v>
      </c>
      <c r="R13" s="351">
        <f t="shared" si="15"/>
        <v>2</v>
      </c>
      <c r="S13" s="125">
        <f>IF(B13&gt;'QoL Benefits - 9Mi RT'!$Y$5,'Operation and Maintenance'!T$6*'Operation and Maintenance'!$W$2,0)</f>
        <v>2432</v>
      </c>
      <c r="T13" s="124" t="str">
        <f t="shared" si="7"/>
        <v>-</v>
      </c>
      <c r="U13" s="351">
        <f t="shared" si="16"/>
        <v>2</v>
      </c>
      <c r="V13" s="126">
        <f>IF(B13&gt;'QoL Benefits - Shingle Crk BCR'!$Y$5,'Operation and Maintenance'!T$6*'Operation and Maintenance'!$W$2,0)</f>
        <v>2432</v>
      </c>
      <c r="W13" s="124" t="str">
        <f t="shared" si="8"/>
        <v>-</v>
      </c>
      <c r="X13" s="351">
        <f t="shared" si="17"/>
        <v>4</v>
      </c>
      <c r="Y13" s="126">
        <f>IF(B13&gt;'QoL Benefits - Shingle Crk NAR'!Y9,'Operation and Maintenance'!Z$6*'Operation and Maintenance'!$W$2,0)</f>
        <v>5107.2</v>
      </c>
      <c r="Z13" s="124" t="str">
        <f t="shared" si="9"/>
        <v>-</v>
      </c>
      <c r="AA13" s="124">
        <f t="shared" si="10"/>
        <v>44627.199999999997</v>
      </c>
      <c r="AB13" s="355">
        <f>AA13*(1+0.07)^-(B13-'Project Data and Assumptions'!$C$3)</f>
        <v>21202.061242948108</v>
      </c>
      <c r="AD13" s="292"/>
      <c r="AE13" s="292"/>
      <c r="AF13" s="292"/>
      <c r="AG13" s="292"/>
      <c r="AH13" s="292"/>
    </row>
    <row r="14" spans="2:34" x14ac:dyDescent="0.25">
      <c r="B14" s="2">
        <f t="shared" si="0"/>
        <v>2032</v>
      </c>
      <c r="C14" s="351">
        <f t="shared" si="1"/>
        <v>3</v>
      </c>
      <c r="D14" s="125">
        <f>IF(B14&gt;'QoL Benefits - BCRT'!$Y$5,'Operation and Maintenance'!$E$6*'Operation and Maintenance'!$W$2,0)</f>
        <v>5776</v>
      </c>
      <c r="E14" s="124" t="str">
        <f t="shared" si="2"/>
        <v>-</v>
      </c>
      <c r="F14" s="351">
        <f t="shared" si="11"/>
        <v>1</v>
      </c>
      <c r="G14" s="125">
        <f>IF(B14&gt;'QoL Benefits - Bryant RT'!$Y$5,'Operation and Maintenance'!$H$6*'Operation and Maintenance'!$W$2,0)</f>
        <v>22496</v>
      </c>
      <c r="H14" s="124" t="str">
        <f t="shared" si="3"/>
        <v>-</v>
      </c>
      <c r="I14" s="351">
        <f t="shared" si="12"/>
        <v>2</v>
      </c>
      <c r="J14" s="124">
        <f>IF(B14&gt;'QoL Benefits - CP RT'!$Y$5,'Operation and Maintenance'!$K$6*'Operation and Maintenance'!$W$2,0)</f>
        <v>10640</v>
      </c>
      <c r="K14" s="124" t="str">
        <f t="shared" si="4"/>
        <v>-</v>
      </c>
      <c r="L14" s="351">
        <f t="shared" si="13"/>
        <v>1</v>
      </c>
      <c r="M14" s="126">
        <f>IF(B14&gt;'QoL Benefits -Eagle RT'!$Y$5,'Operation and Maintenance'!N$6*'Operation and Maintenance'!$W$2,0)</f>
        <v>18240</v>
      </c>
      <c r="N14" s="124" t="str">
        <f t="shared" si="5"/>
        <v>-</v>
      </c>
      <c r="O14" s="351">
        <f t="shared" si="14"/>
        <v>5</v>
      </c>
      <c r="P14" s="126">
        <f>IF(B14&gt;'QoL Benefits - Med Lake RT'!Y10,'Operation and Maintenance'!N$6*'Operation and Maintenance'!$W$2,0)</f>
        <v>18240</v>
      </c>
      <c r="Q14" s="124" t="str">
        <f t="shared" si="6"/>
        <v>-</v>
      </c>
      <c r="R14" s="351">
        <f t="shared" si="15"/>
        <v>3</v>
      </c>
      <c r="S14" s="125">
        <f>IF(B14&gt;'QoL Benefits - 9Mi RT'!$Y$5,'Operation and Maintenance'!T$6*'Operation and Maintenance'!$W$2,0)</f>
        <v>2432</v>
      </c>
      <c r="T14" s="124" t="str">
        <f t="shared" si="7"/>
        <v>-</v>
      </c>
      <c r="U14" s="351">
        <f t="shared" si="16"/>
        <v>3</v>
      </c>
      <c r="V14" s="126">
        <f>IF(B14&gt;'QoL Benefits - Shingle Crk BCR'!$Y$5,'Operation and Maintenance'!T$6*'Operation and Maintenance'!$W$2,0)</f>
        <v>2432</v>
      </c>
      <c r="W14" s="124" t="str">
        <f t="shared" si="8"/>
        <v>-</v>
      </c>
      <c r="X14" s="351">
        <f t="shared" si="17"/>
        <v>5</v>
      </c>
      <c r="Y14" s="126">
        <f>IF(B14&gt;'QoL Benefits - Shingle Crk NAR'!Y10,'Operation and Maintenance'!Z$6*'Operation and Maintenance'!$W$2,0)</f>
        <v>5107.2</v>
      </c>
      <c r="Z14" s="124" t="str">
        <f t="shared" si="9"/>
        <v>-</v>
      </c>
      <c r="AA14" s="124">
        <f t="shared" si="10"/>
        <v>85363.199999999997</v>
      </c>
      <c r="AB14" s="355">
        <f>AA14*(1+0.07)^-(B14-'Project Data and Assumptions'!$C$3)</f>
        <v>37902.281679058731</v>
      </c>
      <c r="AD14" s="607" t="s">
        <v>653</v>
      </c>
      <c r="AF14" s="292"/>
      <c r="AG14" s="292"/>
      <c r="AH14" s="292"/>
    </row>
    <row r="15" spans="2:34" x14ac:dyDescent="0.25">
      <c r="B15" s="2">
        <f t="shared" si="0"/>
        <v>2033</v>
      </c>
      <c r="C15" s="351">
        <f t="shared" si="1"/>
        <v>4</v>
      </c>
      <c r="D15" s="125">
        <f>IF(B15&gt;'QoL Benefits - BCRT'!$Y$5,'Operation and Maintenance'!$E$6*'Operation and Maintenance'!$W$2,0)</f>
        <v>5776</v>
      </c>
      <c r="E15" s="124" t="str">
        <f t="shared" si="2"/>
        <v>-</v>
      </c>
      <c r="F15" s="351">
        <f t="shared" si="11"/>
        <v>2</v>
      </c>
      <c r="G15" s="125">
        <f>IF(B15&gt;'QoL Benefits - Bryant RT'!$Y$5,'Operation and Maintenance'!$H$6*'Operation and Maintenance'!$W$2,0)</f>
        <v>22496</v>
      </c>
      <c r="H15" s="124" t="str">
        <f t="shared" si="3"/>
        <v>-</v>
      </c>
      <c r="I15" s="351">
        <f t="shared" si="12"/>
        <v>3</v>
      </c>
      <c r="J15" s="124">
        <f>IF(B15&gt;'QoL Benefits - CP RT'!$Y$5,'Operation and Maintenance'!$K$6*'Operation and Maintenance'!$W$2,0)</f>
        <v>10640</v>
      </c>
      <c r="K15" s="124" t="str">
        <f t="shared" si="4"/>
        <v>-</v>
      </c>
      <c r="L15" s="351">
        <f t="shared" si="13"/>
        <v>2</v>
      </c>
      <c r="M15" s="126">
        <f>IF(B15&gt;'QoL Benefits -Eagle RT'!$Y$5,'Operation and Maintenance'!N$6*'Operation and Maintenance'!$W$2,0)</f>
        <v>18240</v>
      </c>
      <c r="N15" s="124" t="str">
        <f t="shared" si="5"/>
        <v>-</v>
      </c>
      <c r="O15" s="351">
        <f t="shared" si="14"/>
        <v>6</v>
      </c>
      <c r="P15" s="126">
        <f>IF(B15&gt;'QoL Benefits - Med Lake RT'!Y11,'Operation and Maintenance'!N$6*'Operation and Maintenance'!$W$2,0)</f>
        <v>18240</v>
      </c>
      <c r="Q15" s="124" t="str">
        <f t="shared" si="6"/>
        <v>-</v>
      </c>
      <c r="R15" s="351">
        <f t="shared" si="15"/>
        <v>4</v>
      </c>
      <c r="S15" s="125">
        <f>IF(B15&gt;'QoL Benefits - 9Mi RT'!$Y$5,'Operation and Maintenance'!T$6*'Operation and Maintenance'!$W$2,0)</f>
        <v>2432</v>
      </c>
      <c r="T15" s="124" t="str">
        <f t="shared" si="7"/>
        <v>-</v>
      </c>
      <c r="U15" s="351">
        <f t="shared" si="16"/>
        <v>4</v>
      </c>
      <c r="V15" s="126">
        <f>IF(B15&gt;'QoL Benefits - Shingle Crk BCR'!$Y$5,'Operation and Maintenance'!T$6*'Operation and Maintenance'!$W$2,0)</f>
        <v>2432</v>
      </c>
      <c r="W15" s="124" t="str">
        <f t="shared" si="8"/>
        <v>-</v>
      </c>
      <c r="X15" s="351">
        <f t="shared" si="17"/>
        <v>6</v>
      </c>
      <c r="Y15" s="126">
        <f>IF(B15&gt;'QoL Benefits - Shingle Crk NAR'!Y11,'Operation and Maintenance'!Z$6*'Operation and Maintenance'!$W$2,0)</f>
        <v>5107.2</v>
      </c>
      <c r="Z15" s="124" t="str">
        <f t="shared" si="9"/>
        <v>-</v>
      </c>
      <c r="AA15" s="124">
        <f t="shared" si="10"/>
        <v>85363.199999999997</v>
      </c>
      <c r="AB15" s="355">
        <f>AA15*(1+0.07)^-(B15-'Project Data and Assumptions'!$C$3)</f>
        <v>35422.693157998809</v>
      </c>
      <c r="AD15" s="561" t="s">
        <v>151</v>
      </c>
      <c r="AE15" s="561" t="s">
        <v>152</v>
      </c>
      <c r="AF15" s="292"/>
      <c r="AG15" s="292"/>
      <c r="AH15" s="292"/>
    </row>
    <row r="16" spans="2:34" x14ac:dyDescent="0.25">
      <c r="B16" s="2">
        <f t="shared" si="0"/>
        <v>2034</v>
      </c>
      <c r="C16" s="351">
        <f t="shared" si="1"/>
        <v>5</v>
      </c>
      <c r="D16" s="125">
        <f>IF(B16&gt;'QoL Benefits - BCRT'!$Y$5,'Operation and Maintenance'!$E$6*'Operation and Maintenance'!$W$2,0)</f>
        <v>5776</v>
      </c>
      <c r="E16" s="124" t="str">
        <f t="shared" si="2"/>
        <v>-</v>
      </c>
      <c r="F16" s="351">
        <f t="shared" si="11"/>
        <v>3</v>
      </c>
      <c r="G16" s="125">
        <f>IF(B16&gt;'QoL Benefits - Bryant RT'!$Y$5,'Operation and Maintenance'!$H$6*'Operation and Maintenance'!$W$2,0)</f>
        <v>22496</v>
      </c>
      <c r="H16" s="124" t="str">
        <f t="shared" si="3"/>
        <v>-</v>
      </c>
      <c r="I16" s="351">
        <f t="shared" si="12"/>
        <v>4</v>
      </c>
      <c r="J16" s="124">
        <f>IF(B16&gt;'QoL Benefits - CP RT'!$Y$5,'Operation and Maintenance'!$K$6*'Operation and Maintenance'!$W$2,0)</f>
        <v>10640</v>
      </c>
      <c r="K16" s="124" t="str">
        <f t="shared" si="4"/>
        <v>-</v>
      </c>
      <c r="L16" s="351">
        <f t="shared" si="13"/>
        <v>3</v>
      </c>
      <c r="M16" s="126">
        <f>IF(B16&gt;'QoL Benefits -Eagle RT'!$Y$5,'Operation and Maintenance'!N$6*'Operation and Maintenance'!$W$2,0)</f>
        <v>18240</v>
      </c>
      <c r="N16" s="124" t="str">
        <f t="shared" si="5"/>
        <v>-</v>
      </c>
      <c r="O16" s="351">
        <f t="shared" si="14"/>
        <v>7</v>
      </c>
      <c r="P16" s="126">
        <f>IF(B16&gt;'QoL Benefits - Med Lake RT'!Y12,'Operation and Maintenance'!N$6*'Operation and Maintenance'!$W$2,0)</f>
        <v>18240</v>
      </c>
      <c r="Q16" s="124">
        <f t="shared" si="6"/>
        <v>97500</v>
      </c>
      <c r="R16" s="351">
        <f t="shared" si="15"/>
        <v>5</v>
      </c>
      <c r="S16" s="125">
        <f>IF(B16&gt;'QoL Benefits - 9Mi RT'!$Y$5,'Operation and Maintenance'!T$6*'Operation and Maintenance'!$W$2,0)</f>
        <v>2432</v>
      </c>
      <c r="T16" s="124" t="str">
        <f t="shared" si="7"/>
        <v>-</v>
      </c>
      <c r="U16" s="351">
        <f t="shared" si="16"/>
        <v>5</v>
      </c>
      <c r="V16" s="126">
        <f>IF(B16&gt;'QoL Benefits - Shingle Crk BCR'!$Y$5,'Operation and Maintenance'!T$6*'Operation and Maintenance'!$W$2,0)</f>
        <v>2432</v>
      </c>
      <c r="W16" s="124" t="str">
        <f t="shared" si="8"/>
        <v>-</v>
      </c>
      <c r="X16" s="351">
        <f t="shared" si="17"/>
        <v>7</v>
      </c>
      <c r="Y16" s="126">
        <f>IF(B16&gt;'QoL Benefits - Shingle Crk NAR'!Y12,'Operation and Maintenance'!Z$6*'Operation and Maintenance'!$W$2,0)</f>
        <v>5107.2</v>
      </c>
      <c r="Z16" s="124">
        <f t="shared" si="9"/>
        <v>21840</v>
      </c>
      <c r="AA16" s="124">
        <f t="shared" si="10"/>
        <v>204703.2</v>
      </c>
      <c r="AB16" s="355">
        <f>AA16*(1+0.07)^-(B16-'Project Data and Assumptions'!$C$3)</f>
        <v>79387.430251417667</v>
      </c>
      <c r="AD16" s="561" t="s">
        <v>153</v>
      </c>
      <c r="AE16" s="561" t="s">
        <v>152</v>
      </c>
      <c r="AF16" s="292"/>
      <c r="AG16" s="292"/>
      <c r="AH16" s="292"/>
    </row>
    <row r="17" spans="2:34" x14ac:dyDescent="0.25">
      <c r="B17" s="2">
        <f t="shared" si="0"/>
        <v>2035</v>
      </c>
      <c r="C17" s="351">
        <f t="shared" si="1"/>
        <v>6</v>
      </c>
      <c r="D17" s="125">
        <f>IF(B17&gt;'QoL Benefits - BCRT'!$Y$5,'Operation and Maintenance'!$E$6*'Operation and Maintenance'!$W$2,0)</f>
        <v>5776</v>
      </c>
      <c r="E17" s="124" t="str">
        <f t="shared" si="2"/>
        <v>-</v>
      </c>
      <c r="F17" s="351">
        <f t="shared" si="11"/>
        <v>4</v>
      </c>
      <c r="G17" s="125">
        <f>IF(B17&gt;'QoL Benefits - Bryant RT'!$Y$5,'Operation and Maintenance'!$H$6*'Operation and Maintenance'!$W$2,0)</f>
        <v>22496</v>
      </c>
      <c r="H17" s="124" t="str">
        <f t="shared" si="3"/>
        <v>-</v>
      </c>
      <c r="I17" s="351">
        <f t="shared" si="12"/>
        <v>5</v>
      </c>
      <c r="J17" s="124">
        <f>IF(B17&gt;'QoL Benefits - CP RT'!$Y$5,'Operation and Maintenance'!$K$6*'Operation and Maintenance'!$W$2,0)</f>
        <v>10640</v>
      </c>
      <c r="K17" s="124" t="str">
        <f t="shared" si="4"/>
        <v>-</v>
      </c>
      <c r="L17" s="351">
        <f t="shared" si="13"/>
        <v>4</v>
      </c>
      <c r="M17" s="126">
        <f>IF(B17&gt;'QoL Benefits -Eagle RT'!$Y$5,'Operation and Maintenance'!N$6*'Operation and Maintenance'!$W$2,0)</f>
        <v>18240</v>
      </c>
      <c r="N17" s="124" t="str">
        <f t="shared" si="5"/>
        <v>-</v>
      </c>
      <c r="O17" s="351">
        <f t="shared" si="14"/>
        <v>8</v>
      </c>
      <c r="P17" s="126">
        <f>IF(B17&gt;'QoL Benefits - Med Lake RT'!Y13,'Operation and Maintenance'!N$6*'Operation and Maintenance'!$W$2,0)</f>
        <v>18240</v>
      </c>
      <c r="Q17" s="124" t="str">
        <f t="shared" si="6"/>
        <v>-</v>
      </c>
      <c r="R17" s="351">
        <f t="shared" si="15"/>
        <v>6</v>
      </c>
      <c r="S17" s="125">
        <f>IF(B17&gt;'QoL Benefits - 9Mi RT'!$Y$5,'Operation and Maintenance'!T$6*'Operation and Maintenance'!$W$2,0)</f>
        <v>2432</v>
      </c>
      <c r="T17" s="124" t="str">
        <f t="shared" si="7"/>
        <v>-</v>
      </c>
      <c r="U17" s="351">
        <f t="shared" si="16"/>
        <v>6</v>
      </c>
      <c r="V17" s="126">
        <f>IF(B17&gt;'QoL Benefits - Shingle Crk BCR'!$Y$5,'Operation and Maintenance'!T$6*'Operation and Maintenance'!$W$2,0)</f>
        <v>2432</v>
      </c>
      <c r="W17" s="124" t="str">
        <f t="shared" si="8"/>
        <v>-</v>
      </c>
      <c r="X17" s="351">
        <f t="shared" si="17"/>
        <v>8</v>
      </c>
      <c r="Y17" s="126">
        <f>IF(B17&gt;'QoL Benefits - Shingle Crk NAR'!Y13,'Operation and Maintenance'!Z$6*'Operation and Maintenance'!$W$2,0)</f>
        <v>5107.2</v>
      </c>
      <c r="Z17" s="124" t="str">
        <f t="shared" si="9"/>
        <v>-</v>
      </c>
      <c r="AA17" s="124">
        <f t="shared" si="10"/>
        <v>85363.199999999997</v>
      </c>
      <c r="AB17" s="355">
        <f>AA17*(1+0.07)^-(B17-'Project Data and Assumptions'!$C$3)</f>
        <v>30939.552063934676</v>
      </c>
      <c r="AD17" s="561" t="s">
        <v>154</v>
      </c>
      <c r="AE17" s="561" t="s">
        <v>152</v>
      </c>
      <c r="AF17" s="292"/>
      <c r="AG17" s="292"/>
      <c r="AH17" s="292"/>
    </row>
    <row r="18" spans="2:34" x14ac:dyDescent="0.25">
      <c r="B18" s="2">
        <f t="shared" si="0"/>
        <v>2036</v>
      </c>
      <c r="C18" s="351">
        <f t="shared" si="1"/>
        <v>7</v>
      </c>
      <c r="D18" s="125">
        <f>IF(B18&gt;'QoL Benefits - BCRT'!$Y$5,'Operation and Maintenance'!$E$6*'Operation and Maintenance'!$W$2,0)</f>
        <v>5776</v>
      </c>
      <c r="E18" s="124">
        <f t="shared" si="2"/>
        <v>24700</v>
      </c>
      <c r="F18" s="351">
        <f t="shared" si="11"/>
        <v>5</v>
      </c>
      <c r="G18" s="125">
        <f>IF(B18&gt;'QoL Benefits - Bryant RT'!$Y$5,'Operation and Maintenance'!$H$6*'Operation and Maintenance'!$W$2,0)</f>
        <v>22496</v>
      </c>
      <c r="H18" s="124" t="str">
        <f t="shared" si="3"/>
        <v>-</v>
      </c>
      <c r="I18" s="351">
        <f t="shared" si="12"/>
        <v>6</v>
      </c>
      <c r="J18" s="124">
        <f>IF(B18&gt;'QoL Benefits - CP RT'!$Y$5,'Operation and Maintenance'!$K$6*'Operation and Maintenance'!$W$2,0)</f>
        <v>10640</v>
      </c>
      <c r="K18" s="124" t="str">
        <f t="shared" si="4"/>
        <v>-</v>
      </c>
      <c r="L18" s="351">
        <f t="shared" si="13"/>
        <v>5</v>
      </c>
      <c r="M18" s="126">
        <f>IF(B18&gt;'QoL Benefits -Eagle RT'!$Y$5,'Operation and Maintenance'!N$6*'Operation and Maintenance'!$W$2,0)</f>
        <v>18240</v>
      </c>
      <c r="N18" s="124" t="str">
        <f t="shared" si="5"/>
        <v>-</v>
      </c>
      <c r="O18" s="351">
        <f t="shared" si="14"/>
        <v>9</v>
      </c>
      <c r="P18" s="126">
        <f>IF(B18&gt;'QoL Benefits - Med Lake RT'!Y14,'Operation and Maintenance'!N$6*'Operation and Maintenance'!$W$2,0)</f>
        <v>18240</v>
      </c>
      <c r="Q18" s="124" t="str">
        <f t="shared" si="6"/>
        <v>-</v>
      </c>
      <c r="R18" s="351">
        <f t="shared" si="15"/>
        <v>7</v>
      </c>
      <c r="S18" s="125">
        <f>IF(B18&gt;'QoL Benefits - 9Mi RT'!$Y$5,'Operation and Maintenance'!T$6*'Operation and Maintenance'!$W$2,0)</f>
        <v>2432</v>
      </c>
      <c r="T18" s="124">
        <f t="shared" si="7"/>
        <v>10400</v>
      </c>
      <c r="U18" s="351">
        <f t="shared" si="16"/>
        <v>7</v>
      </c>
      <c r="V18" s="126">
        <f>IF(B18&gt;'QoL Benefits - Shingle Crk BCR'!$Y$5,'Operation and Maintenance'!T$6*'Operation and Maintenance'!$W$2,0)</f>
        <v>2432</v>
      </c>
      <c r="W18" s="124">
        <f t="shared" si="8"/>
        <v>26000</v>
      </c>
      <c r="X18" s="351">
        <f t="shared" si="17"/>
        <v>9</v>
      </c>
      <c r="Y18" s="126">
        <f>IF(B18&gt;'QoL Benefits - Shingle Crk NAR'!Y14,'Operation and Maintenance'!Z$6*'Operation and Maintenance'!$W$2,0)</f>
        <v>5107.2</v>
      </c>
      <c r="Z18" s="124" t="str">
        <f t="shared" si="9"/>
        <v>-</v>
      </c>
      <c r="AA18" s="124">
        <f t="shared" si="10"/>
        <v>146463.20000000001</v>
      </c>
      <c r="AB18" s="355">
        <f>AA18*(1+0.07)^-(B18-'Project Data and Assumptions'!$C$3)</f>
        <v>49612.153144002674</v>
      </c>
      <c r="AD18" s="561" t="s">
        <v>155</v>
      </c>
      <c r="AE18" s="561" t="s">
        <v>156</v>
      </c>
      <c r="AF18" s="292"/>
      <c r="AG18" s="292"/>
      <c r="AH18" s="292"/>
    </row>
    <row r="19" spans="2:34" x14ac:dyDescent="0.25">
      <c r="B19" s="2">
        <f t="shared" si="0"/>
        <v>2037</v>
      </c>
      <c r="C19" s="351">
        <f t="shared" si="1"/>
        <v>8</v>
      </c>
      <c r="D19" s="125">
        <f>IF(B19&gt;'QoL Benefits - BCRT'!$Y$5,'Operation and Maintenance'!$E$6*'Operation and Maintenance'!$W$2,0)</f>
        <v>5776</v>
      </c>
      <c r="E19" s="124" t="str">
        <f t="shared" si="2"/>
        <v>-</v>
      </c>
      <c r="F19" s="351">
        <f t="shared" si="11"/>
        <v>6</v>
      </c>
      <c r="G19" s="125">
        <f>IF(B19&gt;'QoL Benefits - Bryant RT'!$Y$5,'Operation and Maintenance'!$H$6*'Operation and Maintenance'!$W$2,0)</f>
        <v>22496</v>
      </c>
      <c r="H19" s="124" t="str">
        <f t="shared" si="3"/>
        <v>-</v>
      </c>
      <c r="I19" s="351">
        <f t="shared" si="12"/>
        <v>7</v>
      </c>
      <c r="J19" s="124">
        <f>IF(B19&gt;'QoL Benefits - CP RT'!$Y$5,'Operation and Maintenance'!$K$6*'Operation and Maintenance'!$W$2,0)</f>
        <v>10640</v>
      </c>
      <c r="K19" s="124">
        <f t="shared" si="4"/>
        <v>45500</v>
      </c>
      <c r="L19" s="351">
        <f t="shared" si="13"/>
        <v>6</v>
      </c>
      <c r="M19" s="126">
        <f>IF(B19&gt;'QoL Benefits -Eagle RT'!$Y$5,'Operation and Maintenance'!N$6*'Operation and Maintenance'!$W$2,0)</f>
        <v>18240</v>
      </c>
      <c r="N19" s="124" t="str">
        <f t="shared" si="5"/>
        <v>-</v>
      </c>
      <c r="O19" s="351">
        <f t="shared" si="14"/>
        <v>10</v>
      </c>
      <c r="P19" s="126">
        <f>IF(B19&gt;'QoL Benefits - Med Lake RT'!Y15,'Operation and Maintenance'!N$6*'Operation and Maintenance'!$W$2,0)</f>
        <v>18240</v>
      </c>
      <c r="Q19" s="124" t="str">
        <f t="shared" si="6"/>
        <v>-</v>
      </c>
      <c r="R19" s="351">
        <f t="shared" si="15"/>
        <v>8</v>
      </c>
      <c r="S19" s="125">
        <f>IF(B19&gt;'QoL Benefits - 9Mi RT'!$Y$5,'Operation and Maintenance'!T$6*'Operation and Maintenance'!$W$2,0)</f>
        <v>2432</v>
      </c>
      <c r="T19" s="124" t="str">
        <f t="shared" si="7"/>
        <v>-</v>
      </c>
      <c r="U19" s="351">
        <f t="shared" si="16"/>
        <v>8</v>
      </c>
      <c r="V19" s="126">
        <f>IF(B19&gt;'QoL Benefits - Shingle Crk BCR'!$Y$5,'Operation and Maintenance'!T$6*'Operation and Maintenance'!$W$2,0)</f>
        <v>2432</v>
      </c>
      <c r="W19" s="124" t="str">
        <f t="shared" si="8"/>
        <v>-</v>
      </c>
      <c r="X19" s="351">
        <f t="shared" si="17"/>
        <v>10</v>
      </c>
      <c r="Y19" s="126">
        <f>IF(B19&gt;'QoL Benefits - Shingle Crk NAR'!Y15,'Operation and Maintenance'!Z$6*'Operation and Maintenance'!$W$2,0)</f>
        <v>5107.2</v>
      </c>
      <c r="Z19" s="124" t="str">
        <f t="shared" si="9"/>
        <v>-</v>
      </c>
      <c r="AA19" s="124">
        <f t="shared" si="10"/>
        <v>130863.2</v>
      </c>
      <c r="AB19" s="355">
        <f>AA19*(1+0.07)^-(B19-'Project Data and Assumptions'!$C$3)</f>
        <v>41427.937774182945</v>
      </c>
      <c r="AD19" s="292"/>
      <c r="AE19" s="292"/>
      <c r="AF19" s="292"/>
      <c r="AG19" s="292"/>
      <c r="AH19" s="292"/>
    </row>
    <row r="20" spans="2:34" x14ac:dyDescent="0.25">
      <c r="B20" s="2">
        <f t="shared" si="0"/>
        <v>2038</v>
      </c>
      <c r="C20" s="351">
        <f t="shared" ref="C20:C22" si="18">IF(D20&gt;0,C19+1,0)</f>
        <v>9</v>
      </c>
      <c r="D20" s="125">
        <f>IF(B20&gt;'QoL Benefits - BCRT'!$Y$5,'Operation and Maintenance'!$E$6*'Operation and Maintenance'!$W$2,0)</f>
        <v>5776</v>
      </c>
      <c r="E20" s="124" t="str">
        <f t="shared" ref="E20:E22" si="19">IF(OR(C20=7,C20=14,C20=21),$W$3*E$6,"-")</f>
        <v>-</v>
      </c>
      <c r="F20" s="351">
        <f t="shared" ref="F20:F22" si="20">IF(G20&gt;0,F19+1,0)</f>
        <v>7</v>
      </c>
      <c r="G20" s="125">
        <f>IF(B20&gt;'QoL Benefits - Bryant RT'!$Y$5,'Operation and Maintenance'!$H$6*'Operation and Maintenance'!$W$2,0)</f>
        <v>22496</v>
      </c>
      <c r="H20" s="124">
        <f t="shared" ref="H20:H22" si="21">IF(OR(F20=7,F20=14,F20=21),$W$3*H$6,"-")</f>
        <v>96200</v>
      </c>
      <c r="I20" s="351">
        <f t="shared" ref="I20:I22" si="22">IF(J20&gt;0,I19+1,0)</f>
        <v>8</v>
      </c>
      <c r="J20" s="124">
        <f>IF(B20&gt;'QoL Benefits - CP RT'!$Y$5,'Operation and Maintenance'!$K$6*'Operation and Maintenance'!$W$2,0)</f>
        <v>10640</v>
      </c>
      <c r="K20" s="124" t="str">
        <f t="shared" ref="K20:K22" si="23">IF(OR(I20=7,I20=14,I20=21),$W$3*K$6,"-")</f>
        <v>-</v>
      </c>
      <c r="L20" s="351">
        <f t="shared" ref="L20:L22" si="24">IF(M20&gt;0,L19+1,0)</f>
        <v>7</v>
      </c>
      <c r="M20" s="126">
        <f>IF(B20&gt;'QoL Benefits -Eagle RT'!$Y$5,'Operation and Maintenance'!N$6*'Operation and Maintenance'!$W$2,0)</f>
        <v>18240</v>
      </c>
      <c r="N20" s="124">
        <f t="shared" ref="N20:N22" si="25">IF(OR(L20=7,L20=14,L20=21),$W$3*N$6,"-")</f>
        <v>78000</v>
      </c>
      <c r="O20" s="351">
        <f t="shared" ref="O20:O22" si="26">IF(P20&gt;0,O19+1,0)</f>
        <v>11</v>
      </c>
      <c r="P20" s="126">
        <f>IF(B20&gt;'QoL Benefits - Med Lake RT'!Y16,'Operation and Maintenance'!N$6*'Operation and Maintenance'!$W$2,0)</f>
        <v>18240</v>
      </c>
      <c r="Q20" s="124" t="str">
        <f t="shared" ref="Q20:Q22" si="27">IF(OR(O20=7,O20=14,O20=21),$W$3*Q$6,"-")</f>
        <v>-</v>
      </c>
      <c r="R20" s="351">
        <f t="shared" ref="R20:R22" si="28">IF(S20&gt;0,R19+1,0)</f>
        <v>9</v>
      </c>
      <c r="S20" s="125">
        <f>IF(B20&gt;'QoL Benefits - 9Mi RT'!$Y$5,'Operation and Maintenance'!T$6*'Operation and Maintenance'!$W$2,0)</f>
        <v>2432</v>
      </c>
      <c r="T20" s="124" t="str">
        <f t="shared" ref="T20:T22" si="29">IF(OR(R20=7,R20=14,R20=21),$W$3*T$6,"-")</f>
        <v>-</v>
      </c>
      <c r="U20" s="351">
        <f t="shared" ref="U20:U22" si="30">IF(V20&gt;0,U19+1,0)</f>
        <v>9</v>
      </c>
      <c r="V20" s="126">
        <f>IF(B20&gt;'QoL Benefits - Shingle Crk BCR'!$Y$5,'Operation and Maintenance'!T$6*'Operation and Maintenance'!$W$2,0)</f>
        <v>2432</v>
      </c>
      <c r="W20" s="124" t="str">
        <f t="shared" ref="W20:W22" si="31">IF(OR(U20=7,U20=14,U20=21),$W$3*W$6,"-")</f>
        <v>-</v>
      </c>
      <c r="X20" s="351">
        <f t="shared" ref="X20:X22" si="32">IF(Y20&gt;0,X19+1,0)</f>
        <v>11</v>
      </c>
      <c r="Y20" s="126">
        <f>IF(B20&gt;'QoL Benefits - Shingle Crk NAR'!Y16,'Operation and Maintenance'!Z$6*'Operation and Maintenance'!$W$2,0)</f>
        <v>5107.2</v>
      </c>
      <c r="Z20" s="124" t="str">
        <f t="shared" ref="Z20:Z22" si="33">IF(OR(X20=7,X20=14,X20=21),$W$3*Z$6,"-")</f>
        <v>-</v>
      </c>
      <c r="AA20" s="124">
        <f t="shared" ref="AA20:AA22" si="34">SUM(D20:E20,G20:H20,J20:K20,M20:N20,P20:Q20,S20:T20,V20:W20,Y20:Z20)</f>
        <v>259563.2</v>
      </c>
      <c r="AB20" s="355">
        <f>AA20*(1+0.07)^-(B20-'Project Data and Assumptions'!$C$3)</f>
        <v>76795.384884966275</v>
      </c>
      <c r="AD20" s="292"/>
      <c r="AE20" s="292"/>
      <c r="AF20" s="292"/>
      <c r="AG20" s="292"/>
      <c r="AH20" s="292"/>
    </row>
    <row r="21" spans="2:34" x14ac:dyDescent="0.25">
      <c r="B21" s="2">
        <f t="shared" si="0"/>
        <v>2039</v>
      </c>
      <c r="C21" s="351">
        <f t="shared" si="18"/>
        <v>10</v>
      </c>
      <c r="D21" s="125">
        <f>IF(B21&gt;'QoL Benefits - BCRT'!$Y$5,'Operation and Maintenance'!$E$6*'Operation and Maintenance'!$W$2,0)</f>
        <v>5776</v>
      </c>
      <c r="E21" s="124" t="str">
        <f t="shared" si="19"/>
        <v>-</v>
      </c>
      <c r="F21" s="351">
        <f t="shared" si="20"/>
        <v>8</v>
      </c>
      <c r="G21" s="125">
        <f>IF(B21&gt;'QoL Benefits - Bryant RT'!$Y$5,'Operation and Maintenance'!$H$6*'Operation and Maintenance'!$W$2,0)</f>
        <v>22496</v>
      </c>
      <c r="H21" s="124" t="str">
        <f t="shared" si="21"/>
        <v>-</v>
      </c>
      <c r="I21" s="351">
        <f t="shared" si="22"/>
        <v>9</v>
      </c>
      <c r="J21" s="124">
        <f>IF(B21&gt;'QoL Benefits - CP RT'!$Y$5,'Operation and Maintenance'!$K$6*'Operation and Maintenance'!$W$2,0)</f>
        <v>10640</v>
      </c>
      <c r="K21" s="124" t="str">
        <f t="shared" si="23"/>
        <v>-</v>
      </c>
      <c r="L21" s="351">
        <f t="shared" si="24"/>
        <v>8</v>
      </c>
      <c r="M21" s="126">
        <f>IF(B21&gt;'QoL Benefits -Eagle RT'!$Y$5,'Operation and Maintenance'!N$6*'Operation and Maintenance'!$W$2,0)</f>
        <v>18240</v>
      </c>
      <c r="N21" s="124" t="str">
        <f t="shared" si="25"/>
        <v>-</v>
      </c>
      <c r="O21" s="351">
        <f t="shared" si="26"/>
        <v>12</v>
      </c>
      <c r="P21" s="126">
        <f>IF(B21&gt;'QoL Benefits - Med Lake RT'!Y17,'Operation and Maintenance'!N$6*'Operation and Maintenance'!$W$2,0)</f>
        <v>18240</v>
      </c>
      <c r="Q21" s="124" t="str">
        <f t="shared" si="27"/>
        <v>-</v>
      </c>
      <c r="R21" s="351">
        <f t="shared" si="28"/>
        <v>10</v>
      </c>
      <c r="S21" s="125">
        <f>IF(B21&gt;'QoL Benefits - 9Mi RT'!$Y$5,'Operation and Maintenance'!T$6*'Operation and Maintenance'!$W$2,0)</f>
        <v>2432</v>
      </c>
      <c r="T21" s="124" t="str">
        <f t="shared" si="29"/>
        <v>-</v>
      </c>
      <c r="U21" s="351">
        <f t="shared" si="30"/>
        <v>10</v>
      </c>
      <c r="V21" s="126">
        <f>IF(B21&gt;'QoL Benefits - Shingle Crk BCR'!$Y$5,'Operation and Maintenance'!T$6*'Operation and Maintenance'!$W$2,0)</f>
        <v>2432</v>
      </c>
      <c r="W21" s="124" t="str">
        <f t="shared" si="31"/>
        <v>-</v>
      </c>
      <c r="X21" s="351">
        <f t="shared" si="32"/>
        <v>12</v>
      </c>
      <c r="Y21" s="126">
        <f>IF(B21&gt;'QoL Benefits - Shingle Crk NAR'!Y17,'Operation and Maintenance'!Z$6*'Operation and Maintenance'!$W$2,0)</f>
        <v>5107.2</v>
      </c>
      <c r="Z21" s="124" t="str">
        <f t="shared" si="33"/>
        <v>-</v>
      </c>
      <c r="AA21" s="124">
        <f t="shared" si="34"/>
        <v>85363.199999999997</v>
      </c>
      <c r="AB21" s="355">
        <f>AA21*(1+0.07)^-(B21-'Project Data and Assumptions'!$C$3)</f>
        <v>23603.636132470892</v>
      </c>
      <c r="AD21" s="292"/>
      <c r="AE21" s="292"/>
      <c r="AF21" s="292"/>
      <c r="AG21" s="292"/>
      <c r="AH21" s="292"/>
    </row>
    <row r="22" spans="2:34" x14ac:dyDescent="0.25">
      <c r="B22" s="2">
        <f t="shared" si="0"/>
        <v>2040</v>
      </c>
      <c r="C22" s="351">
        <f t="shared" si="18"/>
        <v>11</v>
      </c>
      <c r="D22" s="125">
        <f>IF(B22&gt;'QoL Benefits - BCRT'!$Y$5,'Operation and Maintenance'!$E$6*'Operation and Maintenance'!$W$2,0)</f>
        <v>5776</v>
      </c>
      <c r="E22" s="124" t="str">
        <f t="shared" si="19"/>
        <v>-</v>
      </c>
      <c r="F22" s="351">
        <f t="shared" si="20"/>
        <v>9</v>
      </c>
      <c r="G22" s="125">
        <f>IF(B22&gt;'QoL Benefits - Bryant RT'!$Y$5,'Operation and Maintenance'!$H$6*'Operation and Maintenance'!$W$2,0)</f>
        <v>22496</v>
      </c>
      <c r="H22" s="124" t="str">
        <f t="shared" si="21"/>
        <v>-</v>
      </c>
      <c r="I22" s="351">
        <f t="shared" si="22"/>
        <v>10</v>
      </c>
      <c r="J22" s="124">
        <f>IF(B22&gt;'QoL Benefits - CP RT'!$Y$5,'Operation and Maintenance'!$K$6*'Operation and Maintenance'!$W$2,0)</f>
        <v>10640</v>
      </c>
      <c r="K22" s="124" t="str">
        <f t="shared" si="23"/>
        <v>-</v>
      </c>
      <c r="L22" s="351">
        <f t="shared" si="24"/>
        <v>9</v>
      </c>
      <c r="M22" s="126">
        <f>IF(B22&gt;'QoL Benefits -Eagle RT'!$Y$5,'Operation and Maintenance'!N$6*'Operation and Maintenance'!$W$2,0)</f>
        <v>18240</v>
      </c>
      <c r="N22" s="124" t="str">
        <f t="shared" si="25"/>
        <v>-</v>
      </c>
      <c r="O22" s="351">
        <f t="shared" si="26"/>
        <v>13</v>
      </c>
      <c r="P22" s="126">
        <f>IF(B22&gt;'QoL Benefits - Med Lake RT'!Y18,'Operation and Maintenance'!N$6*'Operation and Maintenance'!$W$2,0)</f>
        <v>18240</v>
      </c>
      <c r="Q22" s="124" t="str">
        <f t="shared" si="27"/>
        <v>-</v>
      </c>
      <c r="R22" s="351">
        <f t="shared" si="28"/>
        <v>11</v>
      </c>
      <c r="S22" s="125">
        <f>IF(B22&gt;'QoL Benefits - 9Mi RT'!$Y$5,'Operation and Maintenance'!T$6*'Operation and Maintenance'!$W$2,0)</f>
        <v>2432</v>
      </c>
      <c r="T22" s="124" t="str">
        <f t="shared" si="29"/>
        <v>-</v>
      </c>
      <c r="U22" s="351">
        <f t="shared" si="30"/>
        <v>11</v>
      </c>
      <c r="V22" s="126">
        <f>IF(B22&gt;'QoL Benefits - Shingle Crk BCR'!$Y$5,'Operation and Maintenance'!T$6*'Operation and Maintenance'!$W$2,0)</f>
        <v>2432</v>
      </c>
      <c r="W22" s="124" t="str">
        <f t="shared" si="31"/>
        <v>-</v>
      </c>
      <c r="X22" s="351">
        <f t="shared" si="32"/>
        <v>13</v>
      </c>
      <c r="Y22" s="126">
        <f>IF(B22&gt;'QoL Benefits - Shingle Crk NAR'!Y18,'Operation and Maintenance'!Z$6*'Operation and Maintenance'!$W$2,0)</f>
        <v>5107.2</v>
      </c>
      <c r="Z22" s="124" t="str">
        <f t="shared" si="33"/>
        <v>-</v>
      </c>
      <c r="AA22" s="124">
        <f t="shared" si="34"/>
        <v>85363.199999999997</v>
      </c>
      <c r="AB22" s="355">
        <f>AA22*(1+0.07)^-(B22-'Project Data and Assumptions'!$C$3)</f>
        <v>22059.473021000835</v>
      </c>
      <c r="AD22" s="292"/>
      <c r="AE22" s="292"/>
      <c r="AF22" s="292"/>
      <c r="AG22" s="292"/>
      <c r="AH22" s="292"/>
    </row>
    <row r="23" spans="2:34" x14ac:dyDescent="0.25">
      <c r="B23" s="2">
        <f t="shared" si="0"/>
        <v>2041</v>
      </c>
      <c r="C23" s="351">
        <f t="shared" si="1"/>
        <v>12</v>
      </c>
      <c r="D23" s="125">
        <f>IF(B23&gt;'QoL Benefits - BCRT'!$Y$5,'Operation and Maintenance'!$E$6*'Operation and Maintenance'!$W$2,0)</f>
        <v>5776</v>
      </c>
      <c r="E23" s="124" t="str">
        <f t="shared" si="2"/>
        <v>-</v>
      </c>
      <c r="F23" s="351">
        <f t="shared" si="11"/>
        <v>10</v>
      </c>
      <c r="G23" s="125">
        <f>IF(B23&gt;'QoL Benefits - Bryant RT'!$Y$5,'Operation and Maintenance'!$H$6*'Operation and Maintenance'!$W$2,0)</f>
        <v>22496</v>
      </c>
      <c r="H23" s="124" t="str">
        <f t="shared" si="3"/>
        <v>-</v>
      </c>
      <c r="I23" s="351">
        <f t="shared" si="12"/>
        <v>11</v>
      </c>
      <c r="J23" s="124">
        <f>IF(B23&gt;'QoL Benefits - CP RT'!$Y$5,'Operation and Maintenance'!$K$6*'Operation and Maintenance'!$W$2,0)</f>
        <v>10640</v>
      </c>
      <c r="K23" s="124" t="str">
        <f t="shared" si="4"/>
        <v>-</v>
      </c>
      <c r="L23" s="351">
        <f t="shared" si="13"/>
        <v>10</v>
      </c>
      <c r="M23" s="126">
        <f>IF(B23&gt;'QoL Benefits -Eagle RT'!$Y$5,'Operation and Maintenance'!N$6*'Operation and Maintenance'!$W$2,0)</f>
        <v>18240</v>
      </c>
      <c r="N23" s="124" t="str">
        <f t="shared" si="5"/>
        <v>-</v>
      </c>
      <c r="O23" s="351">
        <f t="shared" si="14"/>
        <v>14</v>
      </c>
      <c r="P23" s="126">
        <f>IF(B23&gt;'QoL Benefits - Med Lake RT'!Y20,'Operation and Maintenance'!N$6*'Operation and Maintenance'!$W$2,0)</f>
        <v>18240</v>
      </c>
      <c r="Q23" s="124">
        <f t="shared" si="6"/>
        <v>97500</v>
      </c>
      <c r="R23" s="351">
        <f t="shared" si="15"/>
        <v>12</v>
      </c>
      <c r="S23" s="125">
        <f>IF(B23&gt;'QoL Benefits - 9Mi RT'!$Y$5,'Operation and Maintenance'!T$6*'Operation and Maintenance'!$W$2,0)</f>
        <v>2432</v>
      </c>
      <c r="T23" s="124" t="str">
        <f t="shared" si="7"/>
        <v>-</v>
      </c>
      <c r="U23" s="351">
        <f t="shared" si="16"/>
        <v>12</v>
      </c>
      <c r="V23" s="126">
        <f>IF(B23&gt;'QoL Benefits - Shingle Crk BCR'!$Y$5,'Operation and Maintenance'!T$6*'Operation and Maintenance'!$W$2,0)</f>
        <v>2432</v>
      </c>
      <c r="W23" s="124" t="str">
        <f t="shared" si="8"/>
        <v>-</v>
      </c>
      <c r="X23" s="351">
        <f t="shared" si="17"/>
        <v>14</v>
      </c>
      <c r="Y23" s="126">
        <f>IF(B23&gt;'QoL Benefits - Shingle Crk NAR'!Y20,'Operation and Maintenance'!Z$6*'Operation and Maintenance'!$W$2,0)</f>
        <v>5107.2</v>
      </c>
      <c r="Z23" s="124">
        <f t="shared" si="9"/>
        <v>21840</v>
      </c>
      <c r="AA23" s="124">
        <f t="shared" si="10"/>
        <v>204703.2</v>
      </c>
      <c r="AB23" s="355">
        <f>AA23*(1+0.07)^-(B23-'Project Data and Assumptions'!$C$3)</f>
        <v>49438.501697951338</v>
      </c>
      <c r="AD23" s="292"/>
      <c r="AE23" s="292"/>
      <c r="AF23" s="292"/>
      <c r="AG23" s="292"/>
      <c r="AH23" s="292"/>
    </row>
    <row r="24" spans="2:34" x14ac:dyDescent="0.25">
      <c r="B24" s="2">
        <f t="shared" si="0"/>
        <v>2042</v>
      </c>
      <c r="C24" s="351">
        <f t="shared" si="1"/>
        <v>13</v>
      </c>
      <c r="D24" s="125">
        <f>IF(B24&gt;'QoL Benefits - BCRT'!$Y$5,'Operation and Maintenance'!$E$6*'Operation and Maintenance'!$W$2,0)</f>
        <v>5776</v>
      </c>
      <c r="E24" s="124" t="str">
        <f t="shared" si="2"/>
        <v>-</v>
      </c>
      <c r="F24" s="351">
        <f t="shared" si="11"/>
        <v>11</v>
      </c>
      <c r="G24" s="125">
        <f>IF(B24&gt;'QoL Benefits - Bryant RT'!$Y$5,'Operation and Maintenance'!$H$6*'Operation and Maintenance'!$W$2,0)</f>
        <v>22496</v>
      </c>
      <c r="H24" s="124" t="str">
        <f t="shared" si="3"/>
        <v>-</v>
      </c>
      <c r="I24" s="351">
        <f t="shared" si="12"/>
        <v>12</v>
      </c>
      <c r="J24" s="124">
        <f>IF(B24&gt;'QoL Benefits - CP RT'!$Y$5,'Operation and Maintenance'!$K$6*'Operation and Maintenance'!$W$2,0)</f>
        <v>10640</v>
      </c>
      <c r="K24" s="124" t="str">
        <f t="shared" si="4"/>
        <v>-</v>
      </c>
      <c r="L24" s="351">
        <f t="shared" si="13"/>
        <v>11</v>
      </c>
      <c r="M24" s="126">
        <f>IF(B24&gt;'QoL Benefits -Eagle RT'!$Y$5,'Operation and Maintenance'!N$6*'Operation and Maintenance'!$W$2,0)</f>
        <v>18240</v>
      </c>
      <c r="N24" s="124" t="str">
        <f t="shared" si="5"/>
        <v>-</v>
      </c>
      <c r="O24" s="351">
        <f t="shared" si="14"/>
        <v>15</v>
      </c>
      <c r="P24" s="126">
        <f>IF(B24&gt;'QoL Benefits - Med Lake RT'!Y21,'Operation and Maintenance'!N$6*'Operation and Maintenance'!$W$2,0)</f>
        <v>18240</v>
      </c>
      <c r="Q24" s="124" t="str">
        <f t="shared" si="6"/>
        <v>-</v>
      </c>
      <c r="R24" s="351">
        <f t="shared" si="15"/>
        <v>13</v>
      </c>
      <c r="S24" s="125">
        <f>IF(B24&gt;'QoL Benefits - 9Mi RT'!$Y$5,'Operation and Maintenance'!T$6*'Operation and Maintenance'!$W$2,0)</f>
        <v>2432</v>
      </c>
      <c r="T24" s="124" t="str">
        <f t="shared" si="7"/>
        <v>-</v>
      </c>
      <c r="U24" s="351">
        <f t="shared" si="16"/>
        <v>13</v>
      </c>
      <c r="V24" s="126">
        <f>IF(B24&gt;'QoL Benefits - Shingle Crk BCR'!$Y$5,'Operation and Maintenance'!T$6*'Operation and Maintenance'!$W$2,0)</f>
        <v>2432</v>
      </c>
      <c r="W24" s="124" t="str">
        <f t="shared" si="8"/>
        <v>-</v>
      </c>
      <c r="X24" s="351">
        <f t="shared" si="17"/>
        <v>15</v>
      </c>
      <c r="Y24" s="126">
        <f>IF(B24&gt;'QoL Benefits - Shingle Crk NAR'!Y21,'Operation and Maintenance'!Z$6*'Operation and Maintenance'!$W$2,0)</f>
        <v>5107.2</v>
      </c>
      <c r="Z24" s="124" t="str">
        <f t="shared" si="9"/>
        <v>-</v>
      </c>
      <c r="AA24" s="124">
        <f t="shared" si="10"/>
        <v>85363.199999999997</v>
      </c>
      <c r="AB24" s="355">
        <f>AA24*(1+0.07)^-(B24-'Project Data and Assumptions'!$C$3)</f>
        <v>19267.598061840192</v>
      </c>
      <c r="AD24" s="292"/>
      <c r="AE24" s="292"/>
      <c r="AF24" s="292"/>
      <c r="AG24" s="292"/>
      <c r="AH24" s="292"/>
    </row>
    <row r="25" spans="2:34" x14ac:dyDescent="0.25">
      <c r="B25" s="2">
        <f t="shared" si="0"/>
        <v>2043</v>
      </c>
      <c r="C25" s="351">
        <f t="shared" si="1"/>
        <v>14</v>
      </c>
      <c r="D25" s="125">
        <f>IF(B25&gt;'QoL Benefits - BCRT'!$Y$5,'Operation and Maintenance'!$E$6*'Operation and Maintenance'!$W$2,0)</f>
        <v>5776</v>
      </c>
      <c r="E25" s="124">
        <f t="shared" si="2"/>
        <v>24700</v>
      </c>
      <c r="F25" s="351">
        <f t="shared" si="11"/>
        <v>12</v>
      </c>
      <c r="G25" s="125">
        <f>IF(B25&gt;'QoL Benefits - Bryant RT'!$Y$5,'Operation and Maintenance'!$H$6*'Operation and Maintenance'!$W$2,0)</f>
        <v>22496</v>
      </c>
      <c r="H25" s="124" t="str">
        <f t="shared" si="3"/>
        <v>-</v>
      </c>
      <c r="I25" s="351">
        <f t="shared" si="12"/>
        <v>13</v>
      </c>
      <c r="J25" s="124">
        <f>IF(B25&gt;'QoL Benefits - CP RT'!$Y$5,'Operation and Maintenance'!$K$6*'Operation and Maintenance'!$W$2,0)</f>
        <v>10640</v>
      </c>
      <c r="K25" s="124" t="str">
        <f t="shared" si="4"/>
        <v>-</v>
      </c>
      <c r="L25" s="351">
        <f t="shared" si="13"/>
        <v>12</v>
      </c>
      <c r="M25" s="126">
        <f>IF(B25&gt;'QoL Benefits -Eagle RT'!$Y$5,'Operation and Maintenance'!N$6*'Operation and Maintenance'!$W$2,0)</f>
        <v>18240</v>
      </c>
      <c r="N25" s="124" t="str">
        <f t="shared" si="5"/>
        <v>-</v>
      </c>
      <c r="O25" s="351">
        <f t="shared" si="14"/>
        <v>16</v>
      </c>
      <c r="P25" s="126">
        <f>IF(B25&gt;'QoL Benefits - Med Lake RT'!Y22,'Operation and Maintenance'!N$6*'Operation and Maintenance'!$W$2,0)</f>
        <v>18240</v>
      </c>
      <c r="Q25" s="124" t="str">
        <f t="shared" si="6"/>
        <v>-</v>
      </c>
      <c r="R25" s="351">
        <f t="shared" si="15"/>
        <v>14</v>
      </c>
      <c r="S25" s="125">
        <f>IF(B25&gt;'QoL Benefits - 9Mi RT'!$Y$5,'Operation and Maintenance'!T$6*'Operation and Maintenance'!$W$2,0)</f>
        <v>2432</v>
      </c>
      <c r="T25" s="124">
        <f t="shared" si="7"/>
        <v>10400</v>
      </c>
      <c r="U25" s="351">
        <f t="shared" si="16"/>
        <v>14</v>
      </c>
      <c r="V25" s="126">
        <f>IF(B25&gt;'QoL Benefits - Shingle Crk BCR'!$Y$5,'Operation and Maintenance'!T$6*'Operation and Maintenance'!$W$2,0)</f>
        <v>2432</v>
      </c>
      <c r="W25" s="124">
        <f t="shared" si="8"/>
        <v>26000</v>
      </c>
      <c r="X25" s="351">
        <f t="shared" si="17"/>
        <v>16</v>
      </c>
      <c r="Y25" s="126">
        <f>IF(B25&gt;'QoL Benefits - Shingle Crk NAR'!Y22,'Operation and Maintenance'!Z$6*'Operation and Maintenance'!$W$2,0)</f>
        <v>5107.2</v>
      </c>
      <c r="Z25" s="124" t="str">
        <f t="shared" si="9"/>
        <v>-</v>
      </c>
      <c r="AA25" s="124">
        <f t="shared" si="10"/>
        <v>146463.20000000001</v>
      </c>
      <c r="AB25" s="355">
        <f>AA25*(1+0.07)^-(B25-'Project Data and Assumptions'!$C$3)</f>
        <v>30895.955564766471</v>
      </c>
      <c r="AD25" s="292"/>
      <c r="AE25" s="292"/>
      <c r="AF25" s="292"/>
      <c r="AG25" s="292"/>
      <c r="AH25" s="292"/>
    </row>
    <row r="26" spans="2:34" x14ac:dyDescent="0.25">
      <c r="B26" s="2">
        <f t="shared" si="0"/>
        <v>2044</v>
      </c>
      <c r="C26" s="351">
        <f t="shared" ref="C26:C30" si="35">IF(D26&gt;0,C25+1,0)</f>
        <v>15</v>
      </c>
      <c r="D26" s="125">
        <f>IF(B26&gt;'QoL Benefits - BCRT'!$Y$5,'Operation and Maintenance'!$E$6*'Operation and Maintenance'!$W$2,0)</f>
        <v>5776</v>
      </c>
      <c r="E26" s="124" t="str">
        <f t="shared" ref="E26:E30" si="36">IF(OR(C26=7,C26=14,C26=21),$W$3*E$6,"-")</f>
        <v>-</v>
      </c>
      <c r="F26" s="351">
        <f t="shared" ref="F26:F30" si="37">IF(G26&gt;0,F25+1,0)</f>
        <v>13</v>
      </c>
      <c r="G26" s="125">
        <f>IF(B26&gt;'QoL Benefits - Bryant RT'!$Y$5,'Operation and Maintenance'!$H$6*'Operation and Maintenance'!$W$2,0)</f>
        <v>22496</v>
      </c>
      <c r="H26" s="124" t="str">
        <f t="shared" ref="H26:H30" si="38">IF(OR(F26=7,F26=14,F26=21),$W$3*H$6,"-")</f>
        <v>-</v>
      </c>
      <c r="I26" s="351">
        <f t="shared" ref="I26:I30" si="39">IF(J26&gt;0,I25+1,0)</f>
        <v>14</v>
      </c>
      <c r="J26" s="124">
        <f>IF(B26&gt;'QoL Benefits - CP RT'!$Y$5,'Operation and Maintenance'!$K$6*'Operation and Maintenance'!$W$2,0)</f>
        <v>10640</v>
      </c>
      <c r="K26" s="124">
        <f t="shared" ref="K26:K30" si="40">IF(OR(I26=7,I26=14,I26=21),$W$3*K$6,"-")</f>
        <v>45500</v>
      </c>
      <c r="L26" s="351">
        <f t="shared" ref="L26:L30" si="41">IF(M26&gt;0,L25+1,0)</f>
        <v>13</v>
      </c>
      <c r="M26" s="126">
        <f>IF(B26&gt;'QoL Benefits -Eagle RT'!$Y$5,'Operation and Maintenance'!N$6*'Operation and Maintenance'!$W$2,0)</f>
        <v>18240</v>
      </c>
      <c r="N26" s="124" t="str">
        <f t="shared" ref="N26:N30" si="42">IF(OR(L26=7,L26=14,L26=21),$W$3*N$6,"-")</f>
        <v>-</v>
      </c>
      <c r="O26" s="351">
        <f t="shared" ref="O26:O30" si="43">IF(P26&gt;0,O25+1,0)</f>
        <v>17</v>
      </c>
      <c r="P26" s="126">
        <f>IF(B26&gt;'QoL Benefits - Med Lake RT'!Y23,'Operation and Maintenance'!N$6*'Operation and Maintenance'!$W$2,0)</f>
        <v>18240</v>
      </c>
      <c r="Q26" s="124" t="str">
        <f t="shared" ref="Q26:Q30" si="44">IF(OR(O26=7,O26=14,O26=21),$W$3*Q$6,"-")</f>
        <v>-</v>
      </c>
      <c r="R26" s="351">
        <f t="shared" ref="R26:R30" si="45">IF(S26&gt;0,R25+1,0)</f>
        <v>15</v>
      </c>
      <c r="S26" s="125">
        <f>IF(B26&gt;'QoL Benefits - 9Mi RT'!$Y$5,'Operation and Maintenance'!T$6*'Operation and Maintenance'!$W$2,0)</f>
        <v>2432</v>
      </c>
      <c r="T26" s="124" t="str">
        <f t="shared" ref="T26:T30" si="46">IF(OR(R26=7,R26=14,R26=21),$W$3*T$6,"-")</f>
        <v>-</v>
      </c>
      <c r="U26" s="351">
        <f t="shared" ref="U26:U30" si="47">IF(V26&gt;0,U25+1,0)</f>
        <v>15</v>
      </c>
      <c r="V26" s="126">
        <f>IF(B26&gt;'QoL Benefits - Shingle Crk BCR'!$Y$5,'Operation and Maintenance'!T$6*'Operation and Maintenance'!$W$2,0)</f>
        <v>2432</v>
      </c>
      <c r="W26" s="124" t="str">
        <f t="shared" ref="W26:W30" si="48">IF(OR(U26=7,U26=14,U26=21),$W$3*W$6,"-")</f>
        <v>-</v>
      </c>
      <c r="X26" s="351">
        <f t="shared" ref="X26:X30" si="49">IF(Y26&gt;0,X25+1,0)</f>
        <v>17</v>
      </c>
      <c r="Y26" s="126">
        <f>IF(B26&gt;'QoL Benefits - Shingle Crk NAR'!Y23,'Operation and Maintenance'!Z$6*'Operation and Maintenance'!$W$2,0)</f>
        <v>5107.2</v>
      </c>
      <c r="Z26" s="124" t="str">
        <f t="shared" ref="Z26:Z30" si="50">IF(OR(X26=7,X26=14,X26=21),$W$3*Z$6,"-")</f>
        <v>-</v>
      </c>
      <c r="AA26" s="124">
        <f t="shared" ref="AA26:AA30" si="51">SUM(D26:E26,G26:H26,J26:K26,M26:N26,P26:Q26,S26:T26,V26:W26,Y26:Z26)</f>
        <v>130863.2</v>
      </c>
      <c r="AB26" s="355">
        <f>AA26*(1+0.07)^-(B26-'Project Data and Assumptions'!$C$3)</f>
        <v>25799.237555683329</v>
      </c>
      <c r="AD26" s="292"/>
      <c r="AE26" s="292"/>
      <c r="AF26" s="292"/>
      <c r="AG26" s="292"/>
      <c r="AH26" s="292"/>
    </row>
    <row r="27" spans="2:34" x14ac:dyDescent="0.25">
      <c r="B27" s="2">
        <f t="shared" si="0"/>
        <v>2045</v>
      </c>
      <c r="C27" s="351">
        <f t="shared" si="35"/>
        <v>16</v>
      </c>
      <c r="D27" s="125">
        <f>IF(B27&gt;'QoL Benefits - BCRT'!$Y$5,'Operation and Maintenance'!$E$6*'Operation and Maintenance'!$W$2,0)</f>
        <v>5776</v>
      </c>
      <c r="E27" s="124" t="str">
        <f t="shared" si="36"/>
        <v>-</v>
      </c>
      <c r="F27" s="351">
        <f t="shared" si="37"/>
        <v>14</v>
      </c>
      <c r="G27" s="125">
        <f>IF(B27&gt;'QoL Benefits - Bryant RT'!$Y$5,'Operation and Maintenance'!$H$6*'Operation and Maintenance'!$W$2,0)</f>
        <v>22496</v>
      </c>
      <c r="H27" s="124">
        <f t="shared" si="38"/>
        <v>96200</v>
      </c>
      <c r="I27" s="351">
        <f t="shared" si="39"/>
        <v>15</v>
      </c>
      <c r="J27" s="124">
        <f>IF(B27&gt;'QoL Benefits - CP RT'!$Y$5,'Operation and Maintenance'!$K$6*'Operation and Maintenance'!$W$2,0)</f>
        <v>10640</v>
      </c>
      <c r="K27" s="124" t="str">
        <f t="shared" si="40"/>
        <v>-</v>
      </c>
      <c r="L27" s="351">
        <f t="shared" si="41"/>
        <v>14</v>
      </c>
      <c r="M27" s="126">
        <f>IF(B27&gt;'QoL Benefits -Eagle RT'!$Y$5,'Operation and Maintenance'!N$6*'Operation and Maintenance'!$W$2,0)</f>
        <v>18240</v>
      </c>
      <c r="N27" s="124">
        <f t="shared" si="42"/>
        <v>78000</v>
      </c>
      <c r="O27" s="351">
        <f t="shared" si="43"/>
        <v>18</v>
      </c>
      <c r="P27" s="126">
        <f>IF(B27&gt;'QoL Benefits - Med Lake RT'!Y24,'Operation and Maintenance'!N$6*'Operation and Maintenance'!$W$2,0)</f>
        <v>18240</v>
      </c>
      <c r="Q27" s="124" t="str">
        <f t="shared" si="44"/>
        <v>-</v>
      </c>
      <c r="R27" s="351">
        <f t="shared" si="45"/>
        <v>16</v>
      </c>
      <c r="S27" s="125">
        <f>IF(B27&gt;'QoL Benefits - 9Mi RT'!$Y$5,'Operation and Maintenance'!T$6*'Operation and Maintenance'!$W$2,0)</f>
        <v>2432</v>
      </c>
      <c r="T27" s="124" t="str">
        <f t="shared" si="46"/>
        <v>-</v>
      </c>
      <c r="U27" s="351">
        <f t="shared" si="47"/>
        <v>16</v>
      </c>
      <c r="V27" s="126">
        <f>IF(B27&gt;'QoL Benefits - Shingle Crk BCR'!$Y$5,'Operation and Maintenance'!T$6*'Operation and Maintenance'!$W$2,0)</f>
        <v>2432</v>
      </c>
      <c r="W27" s="124" t="str">
        <f t="shared" si="48"/>
        <v>-</v>
      </c>
      <c r="X27" s="351">
        <f t="shared" si="49"/>
        <v>18</v>
      </c>
      <c r="Y27" s="126">
        <f>IF(B27&gt;'QoL Benefits - Shingle Crk NAR'!Y24,'Operation and Maintenance'!Z$6*'Operation and Maintenance'!$W$2,0)</f>
        <v>5107.2</v>
      </c>
      <c r="Z27" s="124" t="str">
        <f t="shared" si="50"/>
        <v>-</v>
      </c>
      <c r="AA27" s="124">
        <f t="shared" si="51"/>
        <v>259563.2</v>
      </c>
      <c r="AB27" s="355">
        <f>AA27*(1+0.07)^-(B27-'Project Data and Assumptions'!$C$3)</f>
        <v>47824.306115040577</v>
      </c>
      <c r="AD27" s="292"/>
      <c r="AE27" s="292"/>
      <c r="AF27" s="292"/>
      <c r="AG27" s="292"/>
      <c r="AH27" s="292"/>
    </row>
    <row r="28" spans="2:34" s="292" customFormat="1" x14ac:dyDescent="0.25">
      <c r="B28" s="2">
        <f t="shared" si="0"/>
        <v>2046</v>
      </c>
      <c r="C28" s="351">
        <f t="shared" si="35"/>
        <v>17</v>
      </c>
      <c r="D28" s="125">
        <f>IF(B28&gt;'QoL Benefits - BCRT'!$Y$5,'Operation and Maintenance'!$E$6*'Operation and Maintenance'!$W$2,0)</f>
        <v>5776</v>
      </c>
      <c r="E28" s="124" t="str">
        <f t="shared" si="36"/>
        <v>-</v>
      </c>
      <c r="F28" s="351">
        <f t="shared" si="37"/>
        <v>15</v>
      </c>
      <c r="G28" s="125">
        <f>IF(B28&gt;'QoL Benefits - Bryant RT'!$Y$5,'Operation and Maintenance'!$H$6*'Operation and Maintenance'!$W$2,0)</f>
        <v>22496</v>
      </c>
      <c r="H28" s="124" t="str">
        <f t="shared" si="38"/>
        <v>-</v>
      </c>
      <c r="I28" s="351">
        <f t="shared" si="39"/>
        <v>16</v>
      </c>
      <c r="J28" s="124">
        <f>IF(B28&gt;'QoL Benefits - CP RT'!$Y$5,'Operation and Maintenance'!$K$6*'Operation and Maintenance'!$W$2,0)</f>
        <v>10640</v>
      </c>
      <c r="K28" s="124" t="str">
        <f t="shared" si="40"/>
        <v>-</v>
      </c>
      <c r="L28" s="351">
        <f t="shared" si="41"/>
        <v>15</v>
      </c>
      <c r="M28" s="126">
        <f>IF(B28&gt;'QoL Benefits -Eagle RT'!$Y$5,'Operation and Maintenance'!N$6*'Operation and Maintenance'!$W$2,0)</f>
        <v>18240</v>
      </c>
      <c r="N28" s="124" t="str">
        <f t="shared" si="42"/>
        <v>-</v>
      </c>
      <c r="O28" s="351">
        <f t="shared" si="43"/>
        <v>19</v>
      </c>
      <c r="P28" s="126">
        <f>IF(B28&gt;'QoL Benefits - Med Lake RT'!Y25,'Operation and Maintenance'!N$6*'Operation and Maintenance'!$W$2,0)</f>
        <v>18240</v>
      </c>
      <c r="Q28" s="124" t="str">
        <f t="shared" si="44"/>
        <v>-</v>
      </c>
      <c r="R28" s="351">
        <f t="shared" si="45"/>
        <v>17</v>
      </c>
      <c r="S28" s="125">
        <f>IF(B28&gt;'QoL Benefits - 9Mi RT'!$Y$5,'Operation and Maintenance'!T$6*'Operation and Maintenance'!$W$2,0)</f>
        <v>2432</v>
      </c>
      <c r="T28" s="124" t="str">
        <f t="shared" si="46"/>
        <v>-</v>
      </c>
      <c r="U28" s="351">
        <f t="shared" si="47"/>
        <v>17</v>
      </c>
      <c r="V28" s="126">
        <f>IF(B28&gt;'QoL Benefits - Shingle Crk BCR'!$Y$5,'Operation and Maintenance'!T$6*'Operation and Maintenance'!$W$2,0)</f>
        <v>2432</v>
      </c>
      <c r="W28" s="124" t="str">
        <f t="shared" si="48"/>
        <v>-</v>
      </c>
      <c r="X28" s="351">
        <f t="shared" si="49"/>
        <v>19</v>
      </c>
      <c r="Y28" s="126">
        <f>IF(B28&gt;'QoL Benefits - Shingle Crk NAR'!Y25,'Operation and Maintenance'!Z$6*'Operation and Maintenance'!$W$2,0)</f>
        <v>5107.2</v>
      </c>
      <c r="Z28" s="124" t="str">
        <f t="shared" si="50"/>
        <v>-</v>
      </c>
      <c r="AA28" s="124">
        <f t="shared" si="51"/>
        <v>85363.199999999997</v>
      </c>
      <c r="AB28" s="355">
        <f>AA28*(1+0.07)^-(B28-'Project Data and Assumptions'!$C$3)</f>
        <v>14699.158309034059</v>
      </c>
    </row>
    <row r="29" spans="2:34" x14ac:dyDescent="0.25">
      <c r="B29" s="2">
        <f t="shared" si="0"/>
        <v>2047</v>
      </c>
      <c r="C29" s="351">
        <f t="shared" si="35"/>
        <v>18</v>
      </c>
      <c r="D29" s="125">
        <f>IF(B29&gt;'QoL Benefits - BCRT'!$Y$5,'Operation and Maintenance'!$E$6*'Operation and Maintenance'!$W$2,0)</f>
        <v>5776</v>
      </c>
      <c r="E29" s="124" t="str">
        <f t="shared" si="36"/>
        <v>-</v>
      </c>
      <c r="F29" s="351">
        <f t="shared" si="37"/>
        <v>16</v>
      </c>
      <c r="G29" s="125">
        <f>IF(B29&gt;'QoL Benefits - Bryant RT'!$Y$5,'Operation and Maintenance'!$H$6*'Operation and Maintenance'!$W$2,0)</f>
        <v>22496</v>
      </c>
      <c r="H29" s="124" t="str">
        <f t="shared" si="38"/>
        <v>-</v>
      </c>
      <c r="I29" s="351">
        <f t="shared" si="39"/>
        <v>17</v>
      </c>
      <c r="J29" s="124">
        <f>IF(B29&gt;'QoL Benefits - CP RT'!$Y$5,'Operation and Maintenance'!$K$6*'Operation and Maintenance'!$W$2,0)</f>
        <v>10640</v>
      </c>
      <c r="K29" s="124" t="str">
        <f t="shared" si="40"/>
        <v>-</v>
      </c>
      <c r="L29" s="351">
        <f t="shared" si="41"/>
        <v>16</v>
      </c>
      <c r="M29" s="126">
        <f>IF(B29&gt;'QoL Benefits -Eagle RT'!$Y$5,'Operation and Maintenance'!N$6*'Operation and Maintenance'!$W$2,0)</f>
        <v>18240</v>
      </c>
      <c r="N29" s="124" t="str">
        <f t="shared" si="42"/>
        <v>-</v>
      </c>
      <c r="O29" s="351">
        <f t="shared" si="43"/>
        <v>20</v>
      </c>
      <c r="P29" s="126">
        <f>IF(B29&gt;'QoL Benefits - Med Lake RT'!Y26,'Operation and Maintenance'!N$6*'Operation and Maintenance'!$W$2,0)</f>
        <v>18240</v>
      </c>
      <c r="Q29" s="124" t="str">
        <f t="shared" si="44"/>
        <v>-</v>
      </c>
      <c r="R29" s="351">
        <f t="shared" si="45"/>
        <v>18</v>
      </c>
      <c r="S29" s="125">
        <f>IF(B29&gt;'QoL Benefits - 9Mi RT'!$Y$5,'Operation and Maintenance'!T$6*'Operation and Maintenance'!$W$2,0)</f>
        <v>2432</v>
      </c>
      <c r="T29" s="124" t="str">
        <f t="shared" si="46"/>
        <v>-</v>
      </c>
      <c r="U29" s="351">
        <f t="shared" si="47"/>
        <v>18</v>
      </c>
      <c r="V29" s="126">
        <f>IF(B29&gt;'QoL Benefits - Shingle Crk BCR'!$Y$5,'Operation and Maintenance'!T$6*'Operation and Maintenance'!$W$2,0)</f>
        <v>2432</v>
      </c>
      <c r="W29" s="124" t="str">
        <f t="shared" si="48"/>
        <v>-</v>
      </c>
      <c r="X29" s="351">
        <f t="shared" si="49"/>
        <v>20</v>
      </c>
      <c r="Y29" s="126">
        <f>IF(B29&gt;'QoL Benefits - Shingle Crk NAR'!Y26,'Operation and Maintenance'!Z$6*'Operation and Maintenance'!$W$2,0)</f>
        <v>5107.2</v>
      </c>
      <c r="Z29" s="124" t="str">
        <f t="shared" si="50"/>
        <v>-</v>
      </c>
      <c r="AA29" s="124">
        <f t="shared" si="51"/>
        <v>85363.199999999997</v>
      </c>
      <c r="AB29" s="355">
        <f>AA29*(1+0.07)^-(B29-'Project Data and Assumptions'!$C$3)</f>
        <v>13737.53112993837</v>
      </c>
      <c r="AD29" s="292"/>
      <c r="AE29" s="292"/>
      <c r="AF29" s="292"/>
      <c r="AG29" s="292"/>
      <c r="AH29" s="292"/>
    </row>
    <row r="30" spans="2:34" s="292" customFormat="1" x14ac:dyDescent="0.25">
      <c r="B30" s="2">
        <f t="shared" si="0"/>
        <v>2048</v>
      </c>
      <c r="C30" s="351">
        <f t="shared" si="35"/>
        <v>19</v>
      </c>
      <c r="D30" s="125">
        <f>IF(B30&gt;'QoL Benefits - BCRT'!$Y$5,'Operation and Maintenance'!$E$6*'Operation and Maintenance'!$W$2,0)</f>
        <v>5776</v>
      </c>
      <c r="E30" s="124" t="str">
        <f t="shared" si="36"/>
        <v>-</v>
      </c>
      <c r="F30" s="351">
        <f t="shared" si="37"/>
        <v>17</v>
      </c>
      <c r="G30" s="125">
        <f>IF(B30&gt;'QoL Benefits - Bryant RT'!$Y$5,'Operation and Maintenance'!$H$6*'Operation and Maintenance'!$W$2,0)</f>
        <v>22496</v>
      </c>
      <c r="H30" s="124" t="str">
        <f t="shared" si="38"/>
        <v>-</v>
      </c>
      <c r="I30" s="351">
        <f t="shared" si="39"/>
        <v>18</v>
      </c>
      <c r="J30" s="124">
        <f>IF(B30&gt;'QoL Benefits - CP RT'!$Y$5,'Operation and Maintenance'!$K$6*'Operation and Maintenance'!$W$2,0)</f>
        <v>10640</v>
      </c>
      <c r="K30" s="124" t="str">
        <f t="shared" si="40"/>
        <v>-</v>
      </c>
      <c r="L30" s="351">
        <f t="shared" si="41"/>
        <v>17</v>
      </c>
      <c r="M30" s="126">
        <f>IF(B30&gt;'QoL Benefits -Eagle RT'!$Y$5,'Operation and Maintenance'!N$6*'Operation and Maintenance'!$W$2,0)</f>
        <v>18240</v>
      </c>
      <c r="N30" s="124" t="str">
        <f t="shared" si="42"/>
        <v>-</v>
      </c>
      <c r="O30" s="351">
        <f t="shared" si="43"/>
        <v>21</v>
      </c>
      <c r="P30" s="126">
        <f>IF(B30&gt;'QoL Benefits - Med Lake RT'!Y27,'Operation and Maintenance'!N$6*'Operation and Maintenance'!$W$2,0)</f>
        <v>18240</v>
      </c>
      <c r="Q30" s="124">
        <f t="shared" si="44"/>
        <v>97500</v>
      </c>
      <c r="R30" s="351">
        <f t="shared" si="45"/>
        <v>19</v>
      </c>
      <c r="S30" s="125">
        <f>IF(B30&gt;'QoL Benefits - 9Mi RT'!$Y$5,'Operation and Maintenance'!T$6*'Operation and Maintenance'!$W$2,0)</f>
        <v>2432</v>
      </c>
      <c r="T30" s="124" t="str">
        <f t="shared" si="46"/>
        <v>-</v>
      </c>
      <c r="U30" s="351">
        <f t="shared" si="47"/>
        <v>19</v>
      </c>
      <c r="V30" s="126">
        <f>IF(B30&gt;'QoL Benefits - Shingle Crk BCR'!$Y$5,'Operation and Maintenance'!T$6*'Operation and Maintenance'!$W$2,0)</f>
        <v>2432</v>
      </c>
      <c r="W30" s="124" t="str">
        <f t="shared" si="48"/>
        <v>-</v>
      </c>
      <c r="X30" s="351">
        <f t="shared" si="49"/>
        <v>21</v>
      </c>
      <c r="Y30" s="126">
        <f>IF(B30&gt;'QoL Benefits - Shingle Crk NAR'!Y27,'Operation and Maintenance'!Z$6*'Operation and Maintenance'!$W$2,0)</f>
        <v>5107.2</v>
      </c>
      <c r="Z30" s="124">
        <f t="shared" si="50"/>
        <v>21840</v>
      </c>
      <c r="AA30" s="124">
        <f t="shared" si="51"/>
        <v>204703.2</v>
      </c>
      <c r="AB30" s="355">
        <f>AA30*(1+0.07)^-(B30-'Project Data and Assumptions'!$C$3)</f>
        <v>30787.814171560116</v>
      </c>
    </row>
    <row r="31" spans="2:34" x14ac:dyDescent="0.25">
      <c r="B31" s="2">
        <f t="shared" si="0"/>
        <v>2049</v>
      </c>
      <c r="C31" s="351">
        <f t="shared" si="1"/>
        <v>20</v>
      </c>
      <c r="D31" s="125">
        <f>IF(B31&gt;'QoL Benefits - BCRT'!$Y$5,'Operation and Maintenance'!$E$6*'Operation and Maintenance'!$W$2,0)</f>
        <v>5776</v>
      </c>
      <c r="E31" s="124" t="str">
        <f t="shared" si="2"/>
        <v>-</v>
      </c>
      <c r="F31" s="351">
        <f t="shared" si="11"/>
        <v>18</v>
      </c>
      <c r="G31" s="125">
        <f>IF(B31&gt;'QoL Benefits - Bryant RT'!$Y$5,'Operation and Maintenance'!$H$6*'Operation and Maintenance'!$W$2,0)</f>
        <v>22496</v>
      </c>
      <c r="H31" s="124" t="str">
        <f t="shared" si="3"/>
        <v>-</v>
      </c>
      <c r="I31" s="351">
        <f t="shared" si="12"/>
        <v>19</v>
      </c>
      <c r="J31" s="124">
        <f>IF(B31&gt;'QoL Benefits - CP RT'!$Y$5,'Operation and Maintenance'!$K$6*'Operation and Maintenance'!$W$2,0)</f>
        <v>10640</v>
      </c>
      <c r="K31" s="124" t="str">
        <f t="shared" si="4"/>
        <v>-</v>
      </c>
      <c r="L31" s="351">
        <f t="shared" si="13"/>
        <v>18</v>
      </c>
      <c r="M31" s="126">
        <f>IF(B31&gt;'QoL Benefits -Eagle RT'!$Y$5,'Operation and Maintenance'!N$6*'Operation and Maintenance'!$W$2,0)</f>
        <v>18240</v>
      </c>
      <c r="N31" s="124" t="str">
        <f t="shared" si="5"/>
        <v>-</v>
      </c>
      <c r="O31" s="351">
        <f t="shared" si="14"/>
        <v>22</v>
      </c>
      <c r="P31" s="126">
        <f>IF(B31&gt;'QoL Benefits - Med Lake RT'!Y29,'Operation and Maintenance'!N$6*'Operation and Maintenance'!$W$2,0)</f>
        <v>18240</v>
      </c>
      <c r="Q31" s="124" t="str">
        <f t="shared" si="6"/>
        <v>-</v>
      </c>
      <c r="R31" s="351">
        <f t="shared" si="15"/>
        <v>20</v>
      </c>
      <c r="S31" s="125">
        <f>IF(B31&gt;'QoL Benefits - 9Mi RT'!$Y$5,'Operation and Maintenance'!T$6*'Operation and Maintenance'!$W$2,0)</f>
        <v>2432</v>
      </c>
      <c r="T31" s="124" t="str">
        <f t="shared" si="7"/>
        <v>-</v>
      </c>
      <c r="U31" s="351">
        <f t="shared" si="16"/>
        <v>20</v>
      </c>
      <c r="V31" s="126">
        <f>IF(B31&gt;'QoL Benefits - Shingle Crk BCR'!$Y$5,'Operation and Maintenance'!T$6*'Operation and Maintenance'!$W$2,0)</f>
        <v>2432</v>
      </c>
      <c r="W31" s="124" t="str">
        <f t="shared" si="8"/>
        <v>-</v>
      </c>
      <c r="X31" s="351">
        <f t="shared" si="17"/>
        <v>22</v>
      </c>
      <c r="Y31" s="126">
        <f>IF(B31&gt;'QoL Benefits - Shingle Crk NAR'!Y29,'Operation and Maintenance'!Z$6*'Operation and Maintenance'!$W$2,0)</f>
        <v>5107.2</v>
      </c>
      <c r="Z31" s="124" t="str">
        <f t="shared" si="9"/>
        <v>-</v>
      </c>
      <c r="AA31" s="124">
        <f t="shared" si="10"/>
        <v>85363.199999999997</v>
      </c>
      <c r="AB31" s="355">
        <f>AA31*(1+0.07)^-(B31-'Project Data and Assumptions'!$C$3)</f>
        <v>11998.891719747027</v>
      </c>
      <c r="AD31" s="292"/>
      <c r="AE31" s="292"/>
      <c r="AF31" s="292"/>
      <c r="AG31" s="292"/>
      <c r="AH31" s="292"/>
    </row>
    <row r="32" spans="2:34" s="292" customFormat="1" ht="15.75" thickBot="1" x14ac:dyDescent="0.3">
      <c r="B32" s="3">
        <f t="shared" si="0"/>
        <v>2050</v>
      </c>
      <c r="C32" s="615">
        <f t="shared" si="1"/>
        <v>21</v>
      </c>
      <c r="D32" s="616">
        <f>IF(B32&gt;'QoL Benefits - BCRT'!$Y$5,'Operation and Maintenance'!$E$6*'Operation and Maintenance'!$W$2,0)</f>
        <v>5776</v>
      </c>
      <c r="E32" s="617">
        <f t="shared" si="2"/>
        <v>24700</v>
      </c>
      <c r="F32" s="615">
        <f t="shared" si="11"/>
        <v>19</v>
      </c>
      <c r="G32" s="616">
        <f>IF(B32&gt;'QoL Benefits - Bryant RT'!$Y$5,'Operation and Maintenance'!$H$6*'Operation and Maintenance'!$W$2,0)</f>
        <v>22496</v>
      </c>
      <c r="H32" s="617" t="str">
        <f t="shared" si="3"/>
        <v>-</v>
      </c>
      <c r="I32" s="615">
        <f t="shared" si="12"/>
        <v>20</v>
      </c>
      <c r="J32" s="617">
        <f>IF(B32&gt;'QoL Benefits - CP RT'!$Y$5,'Operation and Maintenance'!$K$6*'Operation and Maintenance'!$W$2,0)</f>
        <v>10640</v>
      </c>
      <c r="K32" s="617" t="str">
        <f t="shared" si="4"/>
        <v>-</v>
      </c>
      <c r="L32" s="615">
        <f t="shared" si="13"/>
        <v>19</v>
      </c>
      <c r="M32" s="616">
        <f>IF(B32&gt;'QoL Benefits -Eagle RT'!$Y$5,'Operation and Maintenance'!N$6*'Operation and Maintenance'!$W$2,0)</f>
        <v>18240</v>
      </c>
      <c r="N32" s="617" t="str">
        <f t="shared" si="5"/>
        <v>-</v>
      </c>
      <c r="O32" s="615">
        <f t="shared" si="14"/>
        <v>23</v>
      </c>
      <c r="P32" s="616">
        <f>IF(B32&gt;'QoL Benefits - Med Lake RT'!Y30,'Operation and Maintenance'!N$6*'Operation and Maintenance'!$W$2,0)</f>
        <v>18240</v>
      </c>
      <c r="Q32" s="617" t="str">
        <f t="shared" si="6"/>
        <v>-</v>
      </c>
      <c r="R32" s="615">
        <f t="shared" si="15"/>
        <v>21</v>
      </c>
      <c r="S32" s="616">
        <f>IF(B32&gt;'QoL Benefits - 9Mi RT'!$Y$5,'Operation and Maintenance'!T$6*'Operation and Maintenance'!$W$2,0)</f>
        <v>2432</v>
      </c>
      <c r="T32" s="617">
        <f t="shared" si="7"/>
        <v>10400</v>
      </c>
      <c r="U32" s="615">
        <f t="shared" si="16"/>
        <v>21</v>
      </c>
      <c r="V32" s="616">
        <f>IF(B32&gt;'QoL Benefits - Shingle Crk BCR'!$Y$5,'Operation and Maintenance'!T$6*'Operation and Maintenance'!$W$2,0)</f>
        <v>2432</v>
      </c>
      <c r="W32" s="617">
        <f t="shared" si="8"/>
        <v>26000</v>
      </c>
      <c r="X32" s="615">
        <f t="shared" si="17"/>
        <v>23</v>
      </c>
      <c r="Y32" s="616">
        <f>IF(B32&gt;'QoL Benefits - Shingle Crk NAR'!Y30,'Operation and Maintenance'!Z$6*'Operation and Maintenance'!$W$2,0)</f>
        <v>5107.2</v>
      </c>
      <c r="Z32" s="617" t="str">
        <f t="shared" si="9"/>
        <v>-</v>
      </c>
      <c r="AA32" s="617">
        <f t="shared" si="10"/>
        <v>146463.20000000001</v>
      </c>
      <c r="AB32" s="618">
        <f>AA32*(1+0.07)^-(B32-'Project Data and Assumptions'!$C$3)</f>
        <v>19240.448353236123</v>
      </c>
    </row>
    <row r="33" spans="1:31" ht="15.75" thickBot="1" x14ac:dyDescent="0.3">
      <c r="B33" s="353"/>
      <c r="C33" s="352"/>
      <c r="D33" s="354"/>
      <c r="E33" s="354"/>
      <c r="F33" s="4"/>
      <c r="G33" s="4"/>
      <c r="H33" s="4"/>
      <c r="I33" s="4"/>
      <c r="J33" s="4"/>
      <c r="K33" s="4"/>
      <c r="L33" s="4"/>
      <c r="M33" s="4"/>
      <c r="N33" s="4"/>
      <c r="O33" s="4"/>
      <c r="P33" s="4"/>
      <c r="Q33" s="4"/>
      <c r="R33" s="4"/>
      <c r="S33" s="4"/>
      <c r="T33" s="4"/>
      <c r="U33" s="4"/>
      <c r="Y33" s="84" t="s">
        <v>4</v>
      </c>
      <c r="Z33" s="84"/>
      <c r="AA33" s="84"/>
      <c r="AB33" s="614">
        <f>SUM(AB9:AB32)</f>
        <v>725607.02793338161</v>
      </c>
      <c r="AC33" s="292"/>
      <c r="AD33" s="292"/>
      <c r="AE33" s="292"/>
    </row>
    <row r="35" spans="1:31" x14ac:dyDescent="0.25">
      <c r="B35" s="8" t="s">
        <v>3</v>
      </c>
      <c r="C35" s="76"/>
      <c r="D35" s="175"/>
      <c r="E35" s="175"/>
      <c r="F35" s="175"/>
    </row>
    <row r="36" spans="1:31" ht="15" customHeight="1" x14ac:dyDescent="0.25">
      <c r="A36" s="9" t="s">
        <v>18</v>
      </c>
      <c r="B36" s="747" t="s">
        <v>646</v>
      </c>
      <c r="C36" s="747"/>
      <c r="D36" s="747"/>
      <c r="E36" s="747"/>
      <c r="F36" s="747"/>
      <c r="G36" s="747"/>
      <c r="H36" s="747"/>
      <c r="I36" s="747"/>
      <c r="J36" s="747"/>
      <c r="K36" s="747"/>
      <c r="L36" s="747"/>
      <c r="M36" s="747"/>
      <c r="N36" s="747"/>
      <c r="O36" s="747"/>
      <c r="P36" s="747"/>
      <c r="Q36" s="747"/>
      <c r="R36" s="747"/>
      <c r="S36" s="747"/>
      <c r="T36" s="747"/>
      <c r="U36" s="285"/>
    </row>
    <row r="37" spans="1:31" x14ac:dyDescent="0.25">
      <c r="B37" s="747"/>
      <c r="C37" s="747"/>
      <c r="D37" s="747"/>
      <c r="E37" s="747"/>
      <c r="F37" s="747"/>
      <c r="G37" s="747"/>
      <c r="H37" s="747"/>
      <c r="I37" s="747"/>
      <c r="J37" s="747"/>
      <c r="K37" s="747"/>
      <c r="L37" s="747"/>
      <c r="M37" s="747"/>
      <c r="N37" s="747"/>
      <c r="O37" s="747"/>
      <c r="P37" s="747"/>
      <c r="Q37" s="747"/>
      <c r="R37" s="747"/>
      <c r="S37" s="747"/>
      <c r="T37" s="747"/>
      <c r="U37" s="285"/>
    </row>
    <row r="38" spans="1:31" x14ac:dyDescent="0.25">
      <c r="B38" s="747"/>
      <c r="C38" s="747"/>
      <c r="D38" s="747"/>
      <c r="E38" s="747"/>
      <c r="F38" s="747"/>
      <c r="G38" s="747"/>
      <c r="H38" s="747"/>
      <c r="I38" s="747"/>
      <c r="J38" s="747"/>
      <c r="K38" s="747"/>
      <c r="L38" s="747"/>
      <c r="M38" s="747"/>
      <c r="N38" s="747"/>
      <c r="O38" s="747"/>
      <c r="P38" s="747"/>
      <c r="Q38" s="747"/>
      <c r="R38" s="747"/>
      <c r="S38" s="747"/>
      <c r="T38" s="747"/>
      <c r="U38" s="285"/>
    </row>
    <row r="39" spans="1:31" x14ac:dyDescent="0.25">
      <c r="B39" s="747"/>
      <c r="C39" s="747"/>
      <c r="D39" s="747"/>
      <c r="E39" s="747"/>
      <c r="F39" s="747"/>
      <c r="G39" s="747"/>
      <c r="H39" s="747"/>
      <c r="I39" s="747"/>
      <c r="J39" s="747"/>
      <c r="K39" s="747"/>
      <c r="L39" s="747"/>
      <c r="M39" s="747"/>
      <c r="N39" s="747"/>
      <c r="O39" s="747"/>
      <c r="P39" s="747"/>
      <c r="Q39" s="747"/>
      <c r="R39" s="747"/>
      <c r="S39" s="747"/>
      <c r="T39" s="747"/>
      <c r="U39" s="285"/>
    </row>
    <row r="40" spans="1:31" x14ac:dyDescent="0.25">
      <c r="B40" s="747"/>
      <c r="C40" s="747"/>
      <c r="D40" s="747"/>
      <c r="E40" s="747"/>
      <c r="F40" s="747"/>
      <c r="G40" s="747"/>
      <c r="H40" s="747"/>
      <c r="I40" s="747"/>
      <c r="J40" s="747"/>
      <c r="K40" s="747"/>
      <c r="L40" s="747"/>
      <c r="M40" s="747"/>
      <c r="N40" s="747"/>
      <c r="O40" s="747"/>
      <c r="P40" s="747"/>
      <c r="Q40" s="747"/>
      <c r="R40" s="747"/>
      <c r="S40" s="747"/>
      <c r="T40" s="747"/>
      <c r="U40" s="285"/>
    </row>
    <row r="41" spans="1:31" x14ac:dyDescent="0.25">
      <c r="B41" s="747"/>
      <c r="C41" s="747"/>
      <c r="D41" s="747"/>
      <c r="E41" s="747"/>
      <c r="F41" s="747"/>
      <c r="G41" s="747"/>
      <c r="H41" s="747"/>
      <c r="I41" s="747"/>
      <c r="J41" s="747"/>
      <c r="K41" s="747"/>
      <c r="L41" s="747"/>
      <c r="M41" s="747"/>
      <c r="N41" s="747"/>
      <c r="O41" s="747"/>
      <c r="P41" s="747"/>
      <c r="Q41" s="747"/>
      <c r="R41" s="747"/>
      <c r="S41" s="747"/>
      <c r="T41" s="747"/>
      <c r="U41" s="285"/>
    </row>
  </sheetData>
  <mergeCells count="46">
    <mergeCell ref="R5:T5"/>
    <mergeCell ref="U6:V6"/>
    <mergeCell ref="X6:Y6"/>
    <mergeCell ref="U7:U8"/>
    <mergeCell ref="U5:W5"/>
    <mergeCell ref="X5:Z5"/>
    <mergeCell ref="Z7:Z8"/>
    <mergeCell ref="O6:P6"/>
    <mergeCell ref="O5:Q5"/>
    <mergeCell ref="L5:N5"/>
    <mergeCell ref="I5:K5"/>
    <mergeCell ref="I7:I8"/>
    <mergeCell ref="J7:J8"/>
    <mergeCell ref="K7:K8"/>
    <mergeCell ref="I6:J6"/>
    <mergeCell ref="S3:V3"/>
    <mergeCell ref="S2:V2"/>
    <mergeCell ref="C5:E5"/>
    <mergeCell ref="R6:S6"/>
    <mergeCell ref="Y7:Y8"/>
    <mergeCell ref="G7:G8"/>
    <mergeCell ref="H7:H8"/>
    <mergeCell ref="L6:M6"/>
    <mergeCell ref="P7:P8"/>
    <mergeCell ref="Q7:Q8"/>
    <mergeCell ref="S7:S8"/>
    <mergeCell ref="T7:T8"/>
    <mergeCell ref="V7:V8"/>
    <mergeCell ref="F5:H5"/>
    <mergeCell ref="C6:D6"/>
    <mergeCell ref="F6:G6"/>
    <mergeCell ref="B7:B8"/>
    <mergeCell ref="M7:M8"/>
    <mergeCell ref="AB7:AB8"/>
    <mergeCell ref="B36:T41"/>
    <mergeCell ref="N7:N8"/>
    <mergeCell ref="D7:D8"/>
    <mergeCell ref="E7:E8"/>
    <mergeCell ref="W7:W8"/>
    <mergeCell ref="C7:C8"/>
    <mergeCell ref="F7:F8"/>
    <mergeCell ref="R7:R8"/>
    <mergeCell ref="X7:X8"/>
    <mergeCell ref="AA7:AA8"/>
    <mergeCell ref="L7:L8"/>
    <mergeCell ref="O7:O8"/>
  </mergeCells>
  <pageMargins left="0.25" right="0.25" top="0.75" bottom="0.75" header="0.3" footer="0.3"/>
  <pageSetup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C00000"/>
  </sheetPr>
  <dimension ref="A1:Q69"/>
  <sheetViews>
    <sheetView view="pageBreakPreview" topLeftCell="A4" zoomScale="85" zoomScaleNormal="85" zoomScaleSheetLayoutView="85" workbookViewId="0">
      <selection activeCell="C16" sqref="C16"/>
    </sheetView>
  </sheetViews>
  <sheetFormatPr defaultRowHeight="15" x14ac:dyDescent="0.25"/>
  <cols>
    <col min="1" max="1" width="3.5703125" customWidth="1"/>
    <col min="2" max="8" width="15.7109375" customWidth="1"/>
    <col min="9" max="9" width="22.7109375" customWidth="1"/>
    <col min="10" max="10" width="19.28515625" customWidth="1"/>
    <col min="11" max="11" width="15.7109375" customWidth="1"/>
    <col min="12" max="12" width="38.85546875" customWidth="1"/>
    <col min="13" max="13" width="17.7109375" customWidth="1"/>
    <col min="14" max="14" width="15.7109375" customWidth="1"/>
    <col min="15" max="15" width="30.28515625" customWidth="1"/>
    <col min="16" max="16" width="19.5703125" customWidth="1"/>
    <col min="17" max="17" width="25" customWidth="1"/>
  </cols>
  <sheetData>
    <row r="1" spans="1:17" x14ac:dyDescent="0.25">
      <c r="A1" s="25"/>
    </row>
    <row r="2" spans="1:17" x14ac:dyDescent="0.25">
      <c r="B2" s="8" t="s">
        <v>22</v>
      </c>
      <c r="J2" s="71"/>
      <c r="K2" s="71"/>
      <c r="L2" s="71"/>
      <c r="M2" s="71"/>
      <c r="N2" s="71"/>
      <c r="O2" s="71"/>
    </row>
    <row r="3" spans="1:17" ht="15.75" thickBot="1" x14ac:dyDescent="0.3">
      <c r="B3" s="8"/>
    </row>
    <row r="4" spans="1:17" ht="30.75" thickBot="1" x14ac:dyDescent="0.3">
      <c r="C4" s="728" t="s">
        <v>8</v>
      </c>
      <c r="D4" s="729"/>
      <c r="E4" s="131" t="s">
        <v>16</v>
      </c>
      <c r="F4" s="132" t="s">
        <v>16</v>
      </c>
      <c r="H4" s="71"/>
      <c r="I4" s="8" t="s">
        <v>508</v>
      </c>
      <c r="J4" s="70"/>
      <c r="K4" s="70"/>
      <c r="L4" s="70"/>
      <c r="M4" s="70"/>
      <c r="Q4" s="162"/>
    </row>
    <row r="5" spans="1:17" x14ac:dyDescent="0.25">
      <c r="B5" s="716" t="s">
        <v>0</v>
      </c>
      <c r="C5" s="775" t="s">
        <v>21</v>
      </c>
      <c r="D5" s="755" t="s">
        <v>1</v>
      </c>
      <c r="E5" s="753" t="s">
        <v>41</v>
      </c>
      <c r="F5" s="755" t="s">
        <v>1</v>
      </c>
      <c r="H5" s="71"/>
      <c r="I5" s="76" t="s">
        <v>509</v>
      </c>
      <c r="J5" s="76" t="s">
        <v>510</v>
      </c>
      <c r="K5" s="76" t="s">
        <v>511</v>
      </c>
      <c r="L5" s="76"/>
      <c r="M5" s="403"/>
      <c r="N5" s="268"/>
      <c r="O5" t="s">
        <v>513</v>
      </c>
      <c r="P5" s="86">
        <f>113.648/121.188</f>
        <v>0.93778261874112945</v>
      </c>
    </row>
    <row r="6" spans="1:17" ht="15.75" customHeight="1" thickBot="1" x14ac:dyDescent="0.3">
      <c r="B6" s="752"/>
      <c r="C6" s="776"/>
      <c r="D6" s="756"/>
      <c r="E6" s="754"/>
      <c r="F6" s="756"/>
      <c r="H6" s="71"/>
      <c r="I6" s="279">
        <v>2026</v>
      </c>
      <c r="J6" s="613">
        <f>SUMIF('Project Costs'!$D$3:$L$3,'Capital Costs'!I6,'Project Costs'!$D$14:$L$14)</f>
        <v>0</v>
      </c>
      <c r="K6" s="502">
        <f t="shared" ref="K6:K11" si="0">J6*$P$5</f>
        <v>0</v>
      </c>
      <c r="L6" s="566"/>
      <c r="M6" s="404"/>
      <c r="Q6" s="162"/>
    </row>
    <row r="7" spans="1:17" ht="15.75" customHeight="1" x14ac:dyDescent="0.25">
      <c r="B7" s="319">
        <f>'Project Data and Assumptions'!C3</f>
        <v>2020</v>
      </c>
      <c r="C7" s="82">
        <f t="shared" ref="C7:C38" si="1">IFERROR(_xlfn.XLOOKUP($B7,$I$6:$I$11,$K$6:$K$11),0)</f>
        <v>0</v>
      </c>
      <c r="D7" s="80">
        <f>C7*(1+0.07)^-(B7-'Project Data and Assumptions'!$C$3)</f>
        <v>0</v>
      </c>
      <c r="E7" s="275">
        <f t="shared" ref="E7:E38" si="2">IF($B7=MAX($K$20:$K$28)+20-1,SUM($N$20:$N$28),0)</f>
        <v>0</v>
      </c>
      <c r="F7" s="281">
        <f>E7*(1+0.07)^-($B7-'Project Data and Assumptions'!$C$3)</f>
        <v>0</v>
      </c>
      <c r="H7" s="71"/>
      <c r="I7" s="279">
        <f>I6+1</f>
        <v>2027</v>
      </c>
      <c r="J7" s="613">
        <f>SUMIF('Project Costs'!$D$3:$L$3,'Capital Costs'!I7,'Project Costs'!$D$14:$L$14)</f>
        <v>0</v>
      </c>
      <c r="K7" s="502">
        <f t="shared" si="0"/>
        <v>0</v>
      </c>
      <c r="L7" s="566"/>
      <c r="M7" s="404"/>
      <c r="O7" s="268"/>
      <c r="P7" s="162" t="s">
        <v>151</v>
      </c>
      <c r="Q7" s="162" t="s">
        <v>152</v>
      </c>
    </row>
    <row r="8" spans="1:17" ht="15.75" customHeight="1" x14ac:dyDescent="0.25">
      <c r="B8" s="270">
        <f>B7+1</f>
        <v>2021</v>
      </c>
      <c r="C8" s="382">
        <f t="shared" si="1"/>
        <v>0</v>
      </c>
      <c r="D8" s="377">
        <f>C8*(1+0.07)^-(B8-'Project Data and Assumptions'!$C$3)</f>
        <v>0</v>
      </c>
      <c r="E8" s="378">
        <f t="shared" si="2"/>
        <v>0</v>
      </c>
      <c r="F8" s="379">
        <f>E8*(1+0.07)^-($B8-'Project Data and Assumptions'!$C$3)</f>
        <v>0</v>
      </c>
      <c r="H8" s="71"/>
      <c r="I8" s="279">
        <f t="shared" ref="I8:I11" si="3">I7+1</f>
        <v>2028</v>
      </c>
      <c r="J8" s="613">
        <f>SUMIF('Project Costs'!$D$3:$L$3,'Capital Costs'!I8,'Project Costs'!$D$14:$L$14)</f>
        <v>13438400</v>
      </c>
      <c r="K8" s="502">
        <f t="shared" si="0"/>
        <v>12602297.943690794</v>
      </c>
      <c r="L8" s="566"/>
      <c r="M8" s="404"/>
      <c r="N8" s="268"/>
      <c r="O8" s="268"/>
      <c r="P8" s="162" t="s">
        <v>153</v>
      </c>
      <c r="Q8" s="162" t="s">
        <v>152</v>
      </c>
    </row>
    <row r="9" spans="1:17" ht="15.75" customHeight="1" x14ac:dyDescent="0.25">
      <c r="B9" s="270">
        <f t="shared" ref="B9:B38" si="4">B8+1</f>
        <v>2022</v>
      </c>
      <c r="C9" s="382">
        <f t="shared" si="1"/>
        <v>0</v>
      </c>
      <c r="D9" s="6">
        <f>C9*(1+0.07)^-(B9-'Project Data and Assumptions'!$C$3)</f>
        <v>0</v>
      </c>
      <c r="E9" s="92">
        <f t="shared" si="2"/>
        <v>0</v>
      </c>
      <c r="F9" s="6">
        <f>E9*(1+0.07)^-($B9-'Project Data and Assumptions'!$C$3)</f>
        <v>0</v>
      </c>
      <c r="H9" s="71"/>
      <c r="I9" s="279">
        <f t="shared" si="3"/>
        <v>2029</v>
      </c>
      <c r="J9" s="613">
        <f>SUMIF('Project Costs'!$D$3:$L$3,'Capital Costs'!I9,'Project Costs'!$D$14:$L$14)</f>
        <v>7971800</v>
      </c>
      <c r="K9" s="502">
        <f t="shared" si="0"/>
        <v>7475815.4800805356</v>
      </c>
      <c r="L9" s="566"/>
      <c r="M9" s="404"/>
      <c r="N9" s="268"/>
      <c r="O9" s="268"/>
      <c r="P9" s="162" t="s">
        <v>154</v>
      </c>
      <c r="Q9" s="162" t="s">
        <v>152</v>
      </c>
    </row>
    <row r="10" spans="1:17" ht="15.75" customHeight="1" x14ac:dyDescent="0.25">
      <c r="B10" s="270">
        <f t="shared" si="4"/>
        <v>2023</v>
      </c>
      <c r="C10" s="382">
        <f t="shared" si="1"/>
        <v>0</v>
      </c>
      <c r="D10" s="6">
        <f>C10*(1+0.07)^-(B10-'Project Data and Assumptions'!$C$3)</f>
        <v>0</v>
      </c>
      <c r="E10" s="92">
        <f t="shared" si="2"/>
        <v>0</v>
      </c>
      <c r="F10" s="6">
        <f>E10*(1+0.07)^-($B10-'Project Data and Assumptions'!$C$3)</f>
        <v>0</v>
      </c>
      <c r="H10" s="71"/>
      <c r="I10" s="279">
        <f t="shared" si="3"/>
        <v>2030</v>
      </c>
      <c r="J10" s="613">
        <f>SUMIF('Project Costs'!$D$3:$L$3,'Capital Costs'!I10,'Project Costs'!$D$14:$L$14)</f>
        <v>12346380</v>
      </c>
      <c r="K10" s="502">
        <f t="shared" si="0"/>
        <v>11578220.568373106</v>
      </c>
      <c r="L10" s="566"/>
      <c r="M10" s="404"/>
      <c r="N10" s="268"/>
      <c r="P10" s="162" t="s">
        <v>155</v>
      </c>
      <c r="Q10" s="162" t="s">
        <v>156</v>
      </c>
    </row>
    <row r="11" spans="1:17" ht="15.75" customHeight="1" x14ac:dyDescent="0.25">
      <c r="B11" s="270">
        <f t="shared" si="4"/>
        <v>2024</v>
      </c>
      <c r="C11" s="382">
        <f t="shared" si="1"/>
        <v>0</v>
      </c>
      <c r="D11" s="6">
        <f>C11*(1+0.07)^-(B11-'Project Data and Assumptions'!$C$3)</f>
        <v>0</v>
      </c>
      <c r="E11" s="92">
        <f t="shared" si="2"/>
        <v>0</v>
      </c>
      <c r="F11" s="6">
        <f>E11*(1+0.07)^-($B11-'Project Data and Assumptions'!$C$3)</f>
        <v>0</v>
      </c>
      <c r="H11" s="71"/>
      <c r="I11" s="279">
        <f t="shared" si="3"/>
        <v>2031</v>
      </c>
      <c r="J11" s="613">
        <f>SUMIF('Project Costs'!$D$3:$L$3,'Capital Costs'!I11,'Project Costs'!$D$14:$L$14)</f>
        <v>0</v>
      </c>
      <c r="K11" s="502">
        <f t="shared" si="0"/>
        <v>0</v>
      </c>
      <c r="L11" s="566"/>
      <c r="M11" s="404"/>
      <c r="Q11" s="162"/>
    </row>
    <row r="12" spans="1:17" ht="15.75" customHeight="1" x14ac:dyDescent="0.25">
      <c r="B12" s="53">
        <f t="shared" si="4"/>
        <v>2025</v>
      </c>
      <c r="C12" s="382">
        <f t="shared" si="1"/>
        <v>0</v>
      </c>
      <c r="D12" s="6">
        <f>C12*(1+0.07)^-(B12-'Project Data and Assumptions'!$C$3)</f>
        <v>0</v>
      </c>
      <c r="E12" s="277">
        <f t="shared" si="2"/>
        <v>0</v>
      </c>
      <c r="F12" s="6">
        <f>E12*(1+0.07)^-($B12-'Project Data and Assumptions'!$C$3)</f>
        <v>0</v>
      </c>
      <c r="H12" s="71"/>
      <c r="I12" s="273" t="s">
        <v>23</v>
      </c>
      <c r="J12" s="271">
        <f>SUM('Project Costs'!D14:L14)</f>
        <v>33756580</v>
      </c>
      <c r="K12" s="272">
        <f>SUM(K6:K11)</f>
        <v>31656333.992144436</v>
      </c>
      <c r="L12" s="567"/>
      <c r="M12" s="405"/>
    </row>
    <row r="13" spans="1:17" ht="15.75" customHeight="1" x14ac:dyDescent="0.25">
      <c r="B13" s="53">
        <f t="shared" si="4"/>
        <v>2026</v>
      </c>
      <c r="C13" s="382">
        <f t="shared" si="1"/>
        <v>0</v>
      </c>
      <c r="D13" s="6">
        <f>C13*(1+0.07)^-(B13-'Project Data and Assumptions'!$C$3)</f>
        <v>0</v>
      </c>
      <c r="E13" s="277">
        <f t="shared" si="2"/>
        <v>0</v>
      </c>
      <c r="F13" s="6">
        <f>E13*(1+0.07)^-($B13-'Project Data and Assumptions'!$C$3)</f>
        <v>0</v>
      </c>
      <c r="H13" s="71"/>
      <c r="L13" s="549"/>
      <c r="M13" s="314"/>
    </row>
    <row r="14" spans="1:17" ht="15.75" customHeight="1" x14ac:dyDescent="0.25">
      <c r="A14" s="268"/>
      <c r="B14" s="53">
        <f t="shared" si="4"/>
        <v>2027</v>
      </c>
      <c r="C14" s="382">
        <f t="shared" si="1"/>
        <v>0</v>
      </c>
      <c r="D14" s="6">
        <f>C14*(1+0.07)^-(B14-'Project Data and Assumptions'!$C$3)</f>
        <v>0</v>
      </c>
      <c r="E14" s="277">
        <f t="shared" si="2"/>
        <v>0</v>
      </c>
      <c r="F14" s="6">
        <f>E14*(1+0.07)^-($B14-'Project Data and Assumptions'!$C$3)</f>
        <v>0</v>
      </c>
      <c r="G14" s="268"/>
      <c r="H14" s="268"/>
      <c r="I14" s="560" t="s">
        <v>657</v>
      </c>
      <c r="J14" s="560">
        <f>MAX($J$20:$J$28)</f>
        <v>2030</v>
      </c>
    </row>
    <row r="15" spans="1:17" ht="15.75" customHeight="1" x14ac:dyDescent="0.25">
      <c r="A15" s="268"/>
      <c r="B15" s="53">
        <f t="shared" si="4"/>
        <v>2028</v>
      </c>
      <c r="C15" s="382">
        <f t="shared" si="1"/>
        <v>12602297.943690794</v>
      </c>
      <c r="D15" s="6">
        <f>C15*(1+0.07)^-(B15-'Project Data and Assumptions'!$C$3)</f>
        <v>7334652.1416693032</v>
      </c>
      <c r="E15" s="277">
        <f t="shared" si="2"/>
        <v>0</v>
      </c>
      <c r="F15" s="6">
        <f>E15*(1+0.07)^-($B15-'Project Data and Assumptions'!$C$3)</f>
        <v>0</v>
      </c>
      <c r="G15" s="268"/>
      <c r="H15" s="268"/>
      <c r="I15" s="267" t="s">
        <v>512</v>
      </c>
      <c r="J15" s="274">
        <v>30</v>
      </c>
    </row>
    <row r="16" spans="1:17" ht="15.75" customHeight="1" x14ac:dyDescent="0.25">
      <c r="B16" s="53">
        <f t="shared" si="4"/>
        <v>2029</v>
      </c>
      <c r="C16" s="382">
        <f t="shared" si="1"/>
        <v>7475815.4800805356</v>
      </c>
      <c r="D16" s="6">
        <f>C16*(1+0.07)^-(B16-'Project Data and Assumptions'!$C$3)</f>
        <v>4066348.2929487154</v>
      </c>
      <c r="E16" s="277">
        <f t="shared" si="2"/>
        <v>0</v>
      </c>
      <c r="F16" s="6">
        <f>E16*(1+0.07)^-($B16-'Project Data and Assumptions'!$C$3)</f>
        <v>0</v>
      </c>
      <c r="H16" s="71"/>
      <c r="I16" s="267" t="s">
        <v>514</v>
      </c>
      <c r="J16" s="274">
        <v>20</v>
      </c>
    </row>
    <row r="17" spans="1:16" ht="15.75" customHeight="1" x14ac:dyDescent="0.25">
      <c r="B17" s="53">
        <f t="shared" si="4"/>
        <v>2030</v>
      </c>
      <c r="C17" s="382">
        <f t="shared" si="1"/>
        <v>11578220.568373106</v>
      </c>
      <c r="D17" s="6">
        <f>C17*(1+0.07)^-(B17-'Project Data and Assumptions'!$C$3)</f>
        <v>5885780.2301120991</v>
      </c>
      <c r="E17" s="277">
        <f t="shared" si="2"/>
        <v>0</v>
      </c>
      <c r="F17" s="6">
        <f>E17*(1+0.07)^-($B17-'Project Data and Assumptions'!$C$3)</f>
        <v>0</v>
      </c>
      <c r="H17" s="71"/>
      <c r="K17" s="36"/>
    </row>
    <row r="18" spans="1:16" ht="15.75" customHeight="1" x14ac:dyDescent="0.25">
      <c r="B18" s="53">
        <f t="shared" si="4"/>
        <v>2031</v>
      </c>
      <c r="C18" s="382">
        <f t="shared" si="1"/>
        <v>0</v>
      </c>
      <c r="D18" s="6">
        <f>C18*(1+0.07)^-(B18-'Project Data and Assumptions'!$C$3)</f>
        <v>0</v>
      </c>
      <c r="E18" s="277">
        <f t="shared" si="2"/>
        <v>0</v>
      </c>
      <c r="F18" s="6">
        <f>E18*(1+0.07)^-($B18-'Project Data and Assumptions'!$C$3)</f>
        <v>0</v>
      </c>
      <c r="H18" s="71"/>
      <c r="I18" s="525" t="s">
        <v>638</v>
      </c>
      <c r="K18" s="36"/>
      <c r="O18" s="71"/>
    </row>
    <row r="19" spans="1:16" ht="15.75" customHeight="1" x14ac:dyDescent="0.25">
      <c r="B19" s="53">
        <f t="shared" si="4"/>
        <v>2032</v>
      </c>
      <c r="C19" s="382">
        <f t="shared" si="1"/>
        <v>0</v>
      </c>
      <c r="D19" s="6">
        <f>C19*(1+0.07)^-(B19-'Project Data and Assumptions'!$C$3)</f>
        <v>0</v>
      </c>
      <c r="E19" s="277">
        <f t="shared" si="2"/>
        <v>0</v>
      </c>
      <c r="F19" s="6">
        <f>E19*(1+0.07)^-($B19-'Project Data and Assumptions'!$C$3)</f>
        <v>0</v>
      </c>
      <c r="H19" s="71"/>
      <c r="I19" s="315" t="s">
        <v>585</v>
      </c>
      <c r="J19" s="371" t="s">
        <v>582</v>
      </c>
      <c r="K19" s="612" t="s">
        <v>549</v>
      </c>
      <c r="L19" s="371" t="s">
        <v>659</v>
      </c>
      <c r="M19" s="371" t="s">
        <v>583</v>
      </c>
      <c r="N19" s="371" t="s">
        <v>584</v>
      </c>
    </row>
    <row r="20" spans="1:16" ht="15.75" customHeight="1" x14ac:dyDescent="0.25">
      <c r="B20" s="53">
        <f t="shared" si="4"/>
        <v>2033</v>
      </c>
      <c r="C20" s="382">
        <f t="shared" si="1"/>
        <v>0</v>
      </c>
      <c r="D20" s="6">
        <f>C20*(1+0.07)^-(B20-'Project Data and Assumptions'!$C$3)</f>
        <v>0</v>
      </c>
      <c r="E20" s="277">
        <f t="shared" si="2"/>
        <v>0</v>
      </c>
      <c r="F20" s="6">
        <f>E20*(1+0.07)^-($B20-'Project Data and Assumptions'!$C$3)</f>
        <v>0</v>
      </c>
      <c r="H20" s="71"/>
      <c r="I20" s="399" t="s">
        <v>127</v>
      </c>
      <c r="J20" s="317">
        <f>_xlfn.XLOOKUP(I20,'Project Costs'!$D$5:$L$5,'Project Costs'!$D$3:$L$3)</f>
        <v>2028</v>
      </c>
      <c r="K20" s="402">
        <f>J20+1</f>
        <v>2029</v>
      </c>
      <c r="L20" s="371">
        <f>30-($J$14+20-K20)</f>
        <v>9</v>
      </c>
      <c r="M20" s="102">
        <f>_xlfn.XLOOKUP('Capital Costs'!I20,'Project Costs'!$D$5:$L$5,'Project Costs'!$D$19:$L$19)</f>
        <v>3062610.4762847801</v>
      </c>
      <c r="N20" s="502">
        <f>M20*L20/30</f>
        <v>918783.14288543398</v>
      </c>
    </row>
    <row r="21" spans="1:16" ht="15.75" customHeight="1" x14ac:dyDescent="0.25">
      <c r="B21" s="53">
        <f t="shared" si="4"/>
        <v>2034</v>
      </c>
      <c r="C21" s="382">
        <f t="shared" si="1"/>
        <v>0</v>
      </c>
      <c r="D21" s="6">
        <f>C21*(1+0.07)^-(B21-'Project Data and Assumptions'!$C$3)</f>
        <v>0</v>
      </c>
      <c r="E21" s="277">
        <f t="shared" si="2"/>
        <v>0</v>
      </c>
      <c r="F21" s="6">
        <f>E21*(1+0.07)^-($B21-'Project Data and Assumptions'!$C$3)</f>
        <v>0</v>
      </c>
      <c r="H21" s="71"/>
      <c r="I21" s="400" t="s">
        <v>128</v>
      </c>
      <c r="J21" s="317">
        <f>_xlfn.XLOOKUP(I21,'Project Costs'!$D$5:$L$5,'Project Costs'!$D$3:$L$3)</f>
        <v>2030</v>
      </c>
      <c r="K21" s="402">
        <f t="shared" ref="K21:K28" si="5">J21+1</f>
        <v>2031</v>
      </c>
      <c r="L21" s="371">
        <f t="shared" ref="L21:L28" si="6">30-($J$14+20-K21)</f>
        <v>11</v>
      </c>
      <c r="M21" s="102">
        <f>_xlfn.XLOOKUP('Capital Costs'!I21,'Project Costs'!$D$5:$L$5,'Project Costs'!$D$19:$L$19)</f>
        <v>7122458.9893388776</v>
      </c>
      <c r="N21" s="502">
        <f t="shared" ref="N21:N28" si="7">M21*L21/30</f>
        <v>2611568.2960909219</v>
      </c>
    </row>
    <row r="22" spans="1:16" ht="15.75" customHeight="1" x14ac:dyDescent="0.25">
      <c r="B22" s="53">
        <f t="shared" si="4"/>
        <v>2035</v>
      </c>
      <c r="C22" s="382">
        <f t="shared" si="1"/>
        <v>0</v>
      </c>
      <c r="D22" s="6">
        <f>C22*(1+0.07)^-(B22-'Project Data and Assumptions'!$C$3)</f>
        <v>0</v>
      </c>
      <c r="E22" s="277">
        <f t="shared" si="2"/>
        <v>0</v>
      </c>
      <c r="F22" s="6">
        <f>E22*(1+0.07)^-($B22-'Project Data and Assumptions'!$C$3)</f>
        <v>0</v>
      </c>
      <c r="H22" s="71"/>
      <c r="I22" s="401" t="s">
        <v>129</v>
      </c>
      <c r="J22" s="317">
        <f>_xlfn.XLOOKUP(I22,'Project Costs'!$D$5:$L$5,'Project Costs'!$D$3:$L$3)</f>
        <v>2029</v>
      </c>
      <c r="K22" s="402">
        <f t="shared" si="5"/>
        <v>2030</v>
      </c>
      <c r="L22" s="371">
        <f t="shared" si="6"/>
        <v>10</v>
      </c>
      <c r="M22" s="102">
        <f>_xlfn.XLOOKUP('Capital Costs'!I22,'Project Costs'!$D$5:$L$5,'Project Costs'!$D$19:$L$19)</f>
        <v>6012874.5948443739</v>
      </c>
      <c r="N22" s="502">
        <f t="shared" si="7"/>
        <v>2004291.5316147914</v>
      </c>
    </row>
    <row r="23" spans="1:16" ht="15.75" customHeight="1" x14ac:dyDescent="0.25">
      <c r="A23" s="9"/>
      <c r="B23" s="53">
        <f t="shared" si="4"/>
        <v>2036</v>
      </c>
      <c r="C23" s="382">
        <f t="shared" si="1"/>
        <v>0</v>
      </c>
      <c r="D23" s="6">
        <f>C23*(1+0.07)^-(B23-'Project Data and Assumptions'!$C$3)</f>
        <v>0</v>
      </c>
      <c r="E23" s="277">
        <f t="shared" si="2"/>
        <v>0</v>
      </c>
      <c r="F23" s="6">
        <f>E23*(1+0.07)^-($B23-'Project Data and Assumptions'!$C$3)</f>
        <v>0</v>
      </c>
      <c r="H23" s="71"/>
      <c r="I23" s="401" t="s">
        <v>130</v>
      </c>
      <c r="J23" s="317">
        <f>_xlfn.XLOOKUP(I23,'Project Costs'!$D$5:$L$5,'Project Costs'!$D$3:$L$3)</f>
        <v>2030</v>
      </c>
      <c r="K23" s="402">
        <f t="shared" si="5"/>
        <v>2031</v>
      </c>
      <c r="L23" s="371">
        <f t="shared" si="6"/>
        <v>11</v>
      </c>
      <c r="M23" s="102">
        <f>_xlfn.XLOOKUP('Capital Costs'!I23,'Project Costs'!$D$5:$L$5,'Project Costs'!$D$19:$L$19)</f>
        <v>4455761.5790342279</v>
      </c>
      <c r="N23" s="502">
        <f t="shared" si="7"/>
        <v>1633779.2456458837</v>
      </c>
    </row>
    <row r="24" spans="1:16" ht="15.75" customHeight="1" x14ac:dyDescent="0.25">
      <c r="B24" s="53">
        <f t="shared" si="4"/>
        <v>2037</v>
      </c>
      <c r="C24" s="382">
        <f t="shared" si="1"/>
        <v>0</v>
      </c>
      <c r="D24" s="6">
        <f>C24*(1+0.07)^-(B24-'Project Data and Assumptions'!$C$3)</f>
        <v>0</v>
      </c>
      <c r="E24" s="277">
        <f t="shared" si="2"/>
        <v>0</v>
      </c>
      <c r="F24" s="6">
        <f>E24*(1+0.07)^-($B24-'Project Data and Assumptions'!$C$3)</f>
        <v>0</v>
      </c>
      <c r="H24" s="71"/>
      <c r="I24" s="401" t="s">
        <v>131</v>
      </c>
      <c r="J24" s="317">
        <f>_xlfn.XLOOKUP(I24,'Project Costs'!$D$5:$L$5,'Project Costs'!$D$3:$L$3)</f>
        <v>2028</v>
      </c>
      <c r="K24" s="402">
        <f t="shared" si="5"/>
        <v>2029</v>
      </c>
      <c r="L24" s="371">
        <f t="shared" si="6"/>
        <v>9</v>
      </c>
      <c r="M24" s="102">
        <f>_xlfn.XLOOKUP('Capital Costs'!I24,'Project Costs'!$D$5:$L$5,'Project Costs'!$D$19:$L$19)</f>
        <v>4065287.652242796</v>
      </c>
      <c r="N24" s="502">
        <f t="shared" si="7"/>
        <v>1219586.2956728388</v>
      </c>
    </row>
    <row r="25" spans="1:16" ht="15.75" customHeight="1" x14ac:dyDescent="0.25">
      <c r="B25" s="53">
        <f t="shared" si="4"/>
        <v>2038</v>
      </c>
      <c r="C25" s="382">
        <f t="shared" si="1"/>
        <v>0</v>
      </c>
      <c r="D25" s="6">
        <f>C25*(1+0.07)^-(B25-'Project Data and Assumptions'!$C$3)</f>
        <v>0</v>
      </c>
      <c r="E25" s="277">
        <f t="shared" si="2"/>
        <v>0</v>
      </c>
      <c r="F25" s="6">
        <f>E25*(1+0.07)^-($B25-'Project Data and Assumptions'!$C$3)</f>
        <v>0</v>
      </c>
      <c r="H25" s="71"/>
      <c r="I25" s="401" t="s">
        <v>132</v>
      </c>
      <c r="J25" s="317">
        <f>_xlfn.XLOOKUP(I25,'Project Costs'!$D$5:$L$5,'Project Costs'!$D$3:$L$3)</f>
        <v>2028</v>
      </c>
      <c r="K25" s="402">
        <f t="shared" si="5"/>
        <v>2029</v>
      </c>
      <c r="L25" s="371">
        <f t="shared" si="6"/>
        <v>9</v>
      </c>
      <c r="M25" s="102">
        <f>_xlfn.XLOOKUP('Capital Costs'!I25,'Project Costs'!$D$5:$L$5,'Project Costs'!$D$19:$L$19)</f>
        <v>1069072.1853648876</v>
      </c>
      <c r="N25" s="502">
        <f t="shared" si="7"/>
        <v>320721.65560946625</v>
      </c>
      <c r="O25" s="71"/>
    </row>
    <row r="26" spans="1:16" ht="15.75" customHeight="1" x14ac:dyDescent="0.25">
      <c r="B26" s="53">
        <f t="shared" si="4"/>
        <v>2039</v>
      </c>
      <c r="C26" s="382">
        <f t="shared" si="1"/>
        <v>0</v>
      </c>
      <c r="D26" s="6">
        <f>C26*(1+0.07)^-(B26-'Project Data and Assumptions'!$C$3)</f>
        <v>0</v>
      </c>
      <c r="E26" s="277">
        <f t="shared" si="2"/>
        <v>0</v>
      </c>
      <c r="F26" s="6">
        <f>E26*(1+0.07)^-($B26-'Project Data and Assumptions'!$C$3)</f>
        <v>0</v>
      </c>
      <c r="H26" s="71"/>
      <c r="I26" s="401" t="s">
        <v>133</v>
      </c>
      <c r="J26" s="317">
        <f>_xlfn.XLOOKUP(I26,'Project Costs'!$D$5:$L$5,'Project Costs'!$D$3:$L$3)</f>
        <v>2029</v>
      </c>
      <c r="K26" s="402">
        <f t="shared" si="5"/>
        <v>2030</v>
      </c>
      <c r="L26" s="371">
        <f t="shared" si="6"/>
        <v>10</v>
      </c>
      <c r="M26" s="102">
        <f>_xlfn.XLOOKUP('Capital Costs'!I26,'Project Costs'!$D$5:$L$5,'Project Costs'!$D$19:$L$19)</f>
        <v>1462940.8852361618</v>
      </c>
      <c r="N26" s="502">
        <f t="shared" si="7"/>
        <v>487646.96174538723</v>
      </c>
      <c r="O26" s="71"/>
    </row>
    <row r="27" spans="1:16" ht="15.75" customHeight="1" x14ac:dyDescent="0.25">
      <c r="B27" s="53">
        <f t="shared" si="4"/>
        <v>2040</v>
      </c>
      <c r="C27" s="382">
        <f t="shared" si="1"/>
        <v>0</v>
      </c>
      <c r="D27" s="6">
        <f>C27*(1+0.07)^-(B27-'Project Data and Assumptions'!$C$3)</f>
        <v>0</v>
      </c>
      <c r="E27" s="277">
        <f t="shared" si="2"/>
        <v>0</v>
      </c>
      <c r="F27" s="6">
        <f>E27*(1+0.07)^-($B27-'Project Data and Assumptions'!$C$3)</f>
        <v>0</v>
      </c>
      <c r="H27" s="71"/>
      <c r="I27" s="401" t="s">
        <v>134</v>
      </c>
      <c r="J27" s="317">
        <f>_xlfn.XLOOKUP(I27,'Project Costs'!$D$5:$L$5,'Project Costs'!$D$3:$L$3)</f>
        <v>2028</v>
      </c>
      <c r="K27" s="402">
        <f t="shared" si="5"/>
        <v>2029</v>
      </c>
      <c r="L27" s="371">
        <f t="shared" si="6"/>
        <v>9</v>
      </c>
      <c r="M27" s="102">
        <f>_xlfn.XLOOKUP('Capital Costs'!I27,'Project Costs'!$D$5:$L$5,'Project Costs'!$D$19:$L$19)</f>
        <v>1502890.4247945338</v>
      </c>
      <c r="N27" s="502">
        <f t="shared" si="7"/>
        <v>450867.12743836013</v>
      </c>
      <c r="O27" s="71"/>
    </row>
    <row r="28" spans="1:16" ht="15.75" customHeight="1" x14ac:dyDescent="0.25">
      <c r="B28" s="53">
        <f t="shared" si="4"/>
        <v>2041</v>
      </c>
      <c r="C28" s="382">
        <f t="shared" si="1"/>
        <v>0</v>
      </c>
      <c r="D28" s="6">
        <f>C28*(1+0.07)^-(B28-'Project Data and Assumptions'!$C$3)</f>
        <v>0</v>
      </c>
      <c r="E28" s="277">
        <f t="shared" si="2"/>
        <v>0</v>
      </c>
      <c r="F28" s="6">
        <f>E28*(1+0.07)^-($B28-'Project Data and Assumptions'!$C$3)</f>
        <v>0</v>
      </c>
      <c r="H28" s="71"/>
      <c r="I28" s="401" t="s">
        <v>135</v>
      </c>
      <c r="J28" s="317">
        <f>_xlfn.XLOOKUP(I28,'Project Costs'!$D$5:$L$5,'Project Costs'!$D$3:$L$3)</f>
        <v>2028</v>
      </c>
      <c r="K28" s="402">
        <f t="shared" si="5"/>
        <v>2029</v>
      </c>
      <c r="L28" s="371">
        <f t="shared" si="6"/>
        <v>9</v>
      </c>
      <c r="M28" s="102">
        <f>_xlfn.XLOOKUP('Capital Costs'!I28,'Project Costs'!$D$5:$L$5,'Project Costs'!$D$19:$L$19)</f>
        <v>2902437.2050037952</v>
      </c>
      <c r="N28" s="502">
        <f t="shared" si="7"/>
        <v>870731.16150113859</v>
      </c>
      <c r="O28" s="71"/>
    </row>
    <row r="29" spans="1:16" ht="15.75" customHeight="1" x14ac:dyDescent="0.25">
      <c r="B29" s="53">
        <f t="shared" si="4"/>
        <v>2042</v>
      </c>
      <c r="C29" s="382">
        <f t="shared" si="1"/>
        <v>0</v>
      </c>
      <c r="D29" s="6">
        <f>C29*(1+0.07)^-(B29-'Project Data and Assumptions'!$C$3)</f>
        <v>0</v>
      </c>
      <c r="E29" s="277">
        <f t="shared" si="2"/>
        <v>0</v>
      </c>
      <c r="F29" s="6">
        <f>E29*(1+0.07)^-($B29-'Project Data and Assumptions'!$C$3)</f>
        <v>0</v>
      </c>
      <c r="H29" s="71"/>
      <c r="O29" s="71"/>
      <c r="P29" s="71"/>
    </row>
    <row r="30" spans="1:16" ht="15.75" customHeight="1" x14ac:dyDescent="0.25">
      <c r="B30" s="53">
        <f t="shared" si="4"/>
        <v>2043</v>
      </c>
      <c r="C30" s="382">
        <f t="shared" si="1"/>
        <v>0</v>
      </c>
      <c r="D30" s="6">
        <f>C30*(1+0.07)^-(B30-'Project Data and Assumptions'!$C$3)</f>
        <v>0</v>
      </c>
      <c r="E30" s="277">
        <f t="shared" si="2"/>
        <v>0</v>
      </c>
      <c r="F30" s="6">
        <f>E30*(1+0.07)^-($B30-'Project Data and Assumptions'!$C$3)</f>
        <v>0</v>
      </c>
      <c r="H30" s="71"/>
      <c r="O30" s="71"/>
      <c r="P30" s="71"/>
    </row>
    <row r="31" spans="1:16" s="292" customFormat="1" ht="15.75" customHeight="1" x14ac:dyDescent="0.25">
      <c r="B31" s="53">
        <f t="shared" si="4"/>
        <v>2044</v>
      </c>
      <c r="C31" s="382">
        <f t="shared" si="1"/>
        <v>0</v>
      </c>
      <c r="D31" s="6">
        <f>C31*(1+0.07)^-(B31-'Project Data and Assumptions'!$C$3)</f>
        <v>0</v>
      </c>
      <c r="E31" s="277">
        <f t="shared" si="2"/>
        <v>0</v>
      </c>
      <c r="F31" s="6">
        <f>E31*(1+0.07)^-($B31-'Project Data and Assumptions'!$C$3)</f>
        <v>0</v>
      </c>
      <c r="I31"/>
      <c r="J31"/>
      <c r="K31"/>
      <c r="L31"/>
      <c r="M31"/>
      <c r="N31"/>
    </row>
    <row r="32" spans="1:16" s="292" customFormat="1" ht="15.75" customHeight="1" x14ac:dyDescent="0.25">
      <c r="B32" s="53">
        <f t="shared" si="4"/>
        <v>2045</v>
      </c>
      <c r="C32" s="382">
        <f t="shared" si="1"/>
        <v>0</v>
      </c>
      <c r="D32" s="6">
        <f>C32*(1+0.07)^-(B32-'Project Data and Assumptions'!$C$3)</f>
        <v>0</v>
      </c>
      <c r="E32" s="277">
        <f t="shared" si="2"/>
        <v>0</v>
      </c>
      <c r="F32" s="6">
        <f>E32*(1+0.07)^-($B32-'Project Data and Assumptions'!$C$3)</f>
        <v>0</v>
      </c>
      <c r="I32"/>
      <c r="J32"/>
      <c r="K32"/>
      <c r="L32"/>
      <c r="M32"/>
      <c r="N32"/>
    </row>
    <row r="33" spans="1:16" ht="15.75" customHeight="1" x14ac:dyDescent="0.25">
      <c r="B33" s="53">
        <f t="shared" si="4"/>
        <v>2046</v>
      </c>
      <c r="C33" s="382">
        <f t="shared" si="1"/>
        <v>0</v>
      </c>
      <c r="D33" s="6">
        <f>C33*(1+0.07)^-(B33-'Project Data and Assumptions'!$C$3)</f>
        <v>0</v>
      </c>
      <c r="E33" s="277">
        <f t="shared" si="2"/>
        <v>0</v>
      </c>
      <c r="F33" s="6">
        <f>E33*(1+0.07)^-($B33-'Project Data and Assumptions'!$C$3)</f>
        <v>0</v>
      </c>
      <c r="H33" s="71"/>
      <c r="I33" s="25"/>
      <c r="O33" s="71"/>
      <c r="P33" s="71"/>
    </row>
    <row r="34" spans="1:16" ht="15.75" customHeight="1" x14ac:dyDescent="0.25">
      <c r="B34" s="53">
        <f t="shared" si="4"/>
        <v>2047</v>
      </c>
      <c r="C34" s="382">
        <f t="shared" si="1"/>
        <v>0</v>
      </c>
      <c r="D34" s="6">
        <f>C34*(1+0.07)^-(B34-'Project Data and Assumptions'!$C$3)</f>
        <v>0</v>
      </c>
      <c r="E34" s="277">
        <f t="shared" si="2"/>
        <v>0</v>
      </c>
      <c r="F34" s="6">
        <f>E34*(1+0.07)^-($B34-'Project Data and Assumptions'!$C$3)</f>
        <v>0</v>
      </c>
      <c r="H34" s="71"/>
      <c r="I34" s="71"/>
      <c r="O34" s="71"/>
      <c r="P34" s="71"/>
    </row>
    <row r="35" spans="1:16" ht="15.75" customHeight="1" x14ac:dyDescent="0.25">
      <c r="B35" s="53">
        <f t="shared" si="4"/>
        <v>2048</v>
      </c>
      <c r="C35" s="382">
        <f t="shared" si="1"/>
        <v>0</v>
      </c>
      <c r="D35" s="6">
        <f>C35*(1+0.07)^-(B35-'Project Data and Assumptions'!$C$3)</f>
        <v>0</v>
      </c>
      <c r="E35" s="277">
        <f t="shared" si="2"/>
        <v>0</v>
      </c>
      <c r="F35" s="6">
        <f>E35*(1+0.07)^-($B35-'Project Data and Assumptions'!$C$3)</f>
        <v>0</v>
      </c>
      <c r="H35" s="71"/>
      <c r="O35" s="71"/>
    </row>
    <row r="36" spans="1:16" ht="15.75" customHeight="1" x14ac:dyDescent="0.25">
      <c r="A36" s="316"/>
      <c r="B36" s="53">
        <f t="shared" si="4"/>
        <v>2049</v>
      </c>
      <c r="C36" s="382">
        <f t="shared" si="1"/>
        <v>0</v>
      </c>
      <c r="D36" s="6">
        <f>C36*(1+0.07)^-(B36-'Project Data and Assumptions'!$C$3)</f>
        <v>0</v>
      </c>
      <c r="E36" s="277">
        <f t="shared" si="2"/>
        <v>0</v>
      </c>
      <c r="F36" s="6">
        <f>E36*(1+0.07)^-($B36-'Project Data and Assumptions'!$C$3)</f>
        <v>0</v>
      </c>
      <c r="G36" s="318"/>
      <c r="H36" s="318"/>
    </row>
    <row r="37" spans="1:16" ht="15.75" customHeight="1" x14ac:dyDescent="0.25">
      <c r="A37" s="316"/>
      <c r="B37" s="53">
        <f t="shared" si="4"/>
        <v>2050</v>
      </c>
      <c r="C37" s="382">
        <f t="shared" si="1"/>
        <v>0</v>
      </c>
      <c r="D37" s="6">
        <f>C37*(1+0.07)^-(B37-'Project Data and Assumptions'!$C$3)</f>
        <v>0</v>
      </c>
      <c r="E37" s="277">
        <f t="shared" si="2"/>
        <v>10517975.418204224</v>
      </c>
      <c r="F37" s="6">
        <f>E37*(1+0.07)^-($B37-'Project Data and Assumptions'!$C$3)</f>
        <v>1381716.10899233</v>
      </c>
      <c r="G37" s="318"/>
      <c r="H37" s="318"/>
    </row>
    <row r="38" spans="1:16" ht="15.75" customHeight="1" thickBot="1" x14ac:dyDescent="0.3">
      <c r="A38" s="316"/>
      <c r="B38" s="380">
        <f t="shared" si="4"/>
        <v>2051</v>
      </c>
      <c r="C38" s="383">
        <f t="shared" si="1"/>
        <v>0</v>
      </c>
      <c r="D38" s="7">
        <f>C38*(1+0.07)^-(B38-'Project Data and Assumptions'!$C$3)</f>
        <v>0</v>
      </c>
      <c r="E38" s="276">
        <f t="shared" si="2"/>
        <v>0</v>
      </c>
      <c r="F38" s="7">
        <f>E38*(1+0.07)^-($B38-'Project Data and Assumptions'!$C$3)</f>
        <v>0</v>
      </c>
      <c r="G38" s="318"/>
      <c r="H38" s="318"/>
    </row>
    <row r="39" spans="1:16" ht="15.75" customHeight="1" thickBot="1" x14ac:dyDescent="0.3">
      <c r="A39" s="316"/>
      <c r="D39" s="381">
        <f>SUM(D7:D38)</f>
        <v>17286780.664730117</v>
      </c>
      <c r="E39" s="87"/>
      <c r="F39" s="381">
        <f>SUM(F7:F38)</f>
        <v>1381716.10899233</v>
      </c>
      <c r="G39" s="52"/>
      <c r="H39" s="52"/>
    </row>
    <row r="40" spans="1:16" ht="15.75" customHeight="1" x14ac:dyDescent="0.25">
      <c r="A40" s="316"/>
      <c r="B40" s="4"/>
      <c r="C40" s="5"/>
      <c r="G40" s="318"/>
      <c r="H40" s="318"/>
    </row>
    <row r="41" spans="1:16" ht="15.75" customHeight="1" x14ac:dyDescent="0.25">
      <c r="A41" s="316"/>
      <c r="B41" s="4"/>
      <c r="C41" s="4"/>
      <c r="D41" s="10"/>
      <c r="E41" s="12"/>
      <c r="F41" s="13"/>
      <c r="G41" s="318"/>
      <c r="H41" s="318"/>
    </row>
    <row r="42" spans="1:16" ht="15.75" customHeight="1" x14ac:dyDescent="0.25">
      <c r="A42" s="316"/>
      <c r="B42" s="27" t="s">
        <v>3</v>
      </c>
      <c r="C42" s="25"/>
      <c r="D42" s="25"/>
      <c r="E42" s="25"/>
      <c r="F42" s="25"/>
      <c r="G42" s="318"/>
      <c r="H42" s="318"/>
    </row>
    <row r="43" spans="1:16" ht="15.75" customHeight="1" x14ac:dyDescent="0.25">
      <c r="A43" s="61" t="s">
        <v>18</v>
      </c>
      <c r="B43" s="751" t="s">
        <v>81</v>
      </c>
      <c r="C43" s="751"/>
      <c r="D43" s="751"/>
      <c r="E43" s="751"/>
      <c r="F43" s="751"/>
      <c r="G43" s="318"/>
      <c r="H43" s="318"/>
    </row>
    <row r="44" spans="1:16" s="561" customFormat="1" ht="15.75" customHeight="1" x14ac:dyDescent="0.25">
      <c r="A44" s="61"/>
      <c r="B44" s="751"/>
      <c r="C44" s="751"/>
      <c r="D44" s="751"/>
      <c r="E44" s="751"/>
      <c r="F44" s="751"/>
      <c r="G44" s="558"/>
      <c r="H44" s="558"/>
    </row>
    <row r="45" spans="1:16" ht="15.75" customHeight="1" x14ac:dyDescent="0.25">
      <c r="B45" s="751"/>
      <c r="C45" s="751"/>
      <c r="D45" s="751"/>
      <c r="E45" s="751"/>
      <c r="F45" s="751"/>
      <c r="G45" s="318"/>
      <c r="H45" s="318"/>
    </row>
    <row r="46" spans="1:16" x14ac:dyDescent="0.25">
      <c r="B46" s="751"/>
      <c r="C46" s="751"/>
      <c r="D46" s="751"/>
      <c r="E46" s="751"/>
      <c r="F46" s="751"/>
      <c r="G46" s="318"/>
      <c r="H46" s="318"/>
    </row>
    <row r="47" spans="1:16" x14ac:dyDescent="0.25">
      <c r="A47" s="61"/>
      <c r="B47" s="562"/>
      <c r="C47" s="562"/>
      <c r="D47" s="562"/>
      <c r="E47" s="562"/>
      <c r="F47" s="562"/>
      <c r="G47" s="318"/>
      <c r="H47" s="318"/>
    </row>
    <row r="48" spans="1:16" ht="15" customHeight="1" x14ac:dyDescent="0.25">
      <c r="A48" s="61" t="s">
        <v>17</v>
      </c>
      <c r="B48" s="751" t="s">
        <v>651</v>
      </c>
      <c r="C48" s="751"/>
      <c r="D48" s="751"/>
      <c r="E48" s="751"/>
      <c r="F48" s="751"/>
      <c r="G48" s="318"/>
      <c r="H48" s="318"/>
    </row>
    <row r="49" spans="1:9" x14ac:dyDescent="0.25">
      <c r="A49" s="62"/>
      <c r="B49" s="751"/>
      <c r="C49" s="751"/>
      <c r="D49" s="751"/>
      <c r="E49" s="751"/>
      <c r="F49" s="751"/>
    </row>
    <row r="50" spans="1:9" x14ac:dyDescent="0.25">
      <c r="A50" s="62"/>
      <c r="B50" s="751"/>
      <c r="C50" s="751"/>
      <c r="D50" s="751"/>
      <c r="E50" s="751"/>
      <c r="F50" s="751"/>
    </row>
    <row r="51" spans="1:9" x14ac:dyDescent="0.25">
      <c r="A51" s="61"/>
      <c r="B51" s="751"/>
      <c r="C51" s="751"/>
      <c r="D51" s="751"/>
      <c r="E51" s="751"/>
      <c r="F51" s="751"/>
    </row>
    <row r="52" spans="1:9" x14ac:dyDescent="0.25">
      <c r="B52" s="751"/>
      <c r="C52" s="751"/>
      <c r="D52" s="751"/>
      <c r="E52" s="751"/>
      <c r="F52" s="751"/>
    </row>
    <row r="53" spans="1:9" x14ac:dyDescent="0.25">
      <c r="B53" s="318"/>
      <c r="C53" s="318"/>
      <c r="D53" s="318"/>
      <c r="E53" s="318"/>
      <c r="F53" s="318"/>
    </row>
    <row r="54" spans="1:9" x14ac:dyDescent="0.25">
      <c r="A54" s="9"/>
      <c r="B54" s="318"/>
      <c r="C54" s="318"/>
      <c r="D54" s="318"/>
      <c r="E54" s="318"/>
      <c r="F54" s="318"/>
    </row>
    <row r="55" spans="1:9" ht="15" customHeight="1" x14ac:dyDescent="0.25">
      <c r="A55" s="62"/>
      <c r="B55" s="318"/>
      <c r="C55" s="318"/>
      <c r="D55" s="318"/>
      <c r="E55" s="318"/>
      <c r="F55" s="318"/>
      <c r="I55" s="103"/>
    </row>
    <row r="56" spans="1:9" x14ac:dyDescent="0.25">
      <c r="A56" s="61"/>
    </row>
    <row r="57" spans="1:9" x14ac:dyDescent="0.25">
      <c r="A57" s="61"/>
    </row>
    <row r="58" spans="1:9" x14ac:dyDescent="0.25">
      <c r="A58" s="62"/>
    </row>
    <row r="61" spans="1:9" ht="15" customHeight="1" x14ac:dyDescent="0.25"/>
    <row r="63" spans="1:9" x14ac:dyDescent="0.25">
      <c r="A63" s="9"/>
    </row>
    <row r="69" spans="1:1" x14ac:dyDescent="0.25">
      <c r="A69" s="9"/>
    </row>
  </sheetData>
  <mergeCells count="8">
    <mergeCell ref="B43:F46"/>
    <mergeCell ref="B48:F52"/>
    <mergeCell ref="C4:D4"/>
    <mergeCell ref="B5:B6"/>
    <mergeCell ref="C5:C6"/>
    <mergeCell ref="D5:D6"/>
    <mergeCell ref="F5:F6"/>
    <mergeCell ref="E5:E6"/>
  </mergeCells>
  <pageMargins left="0.25" right="0.25" top="0.75" bottom="0.75" header="0.3" footer="0.3"/>
  <pageSetup scale="51"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9A8-2825-428F-8EE4-C82E68F36D87}">
  <sheetPr>
    <tabColor theme="2" tint="-0.499984740745262"/>
    <pageSetUpPr fitToPage="1"/>
  </sheetPr>
  <dimension ref="A1:T37"/>
  <sheetViews>
    <sheetView view="pageBreakPreview" topLeftCell="A4" zoomScale="85" zoomScaleNormal="85" zoomScaleSheetLayoutView="85" workbookViewId="0">
      <selection activeCell="H39" sqref="H39"/>
    </sheetView>
  </sheetViews>
  <sheetFormatPr defaultRowHeight="15" x14ac:dyDescent="0.25"/>
  <cols>
    <col min="1" max="1" width="3.5703125" style="374" customWidth="1"/>
    <col min="2" max="2" width="20.7109375" style="374" customWidth="1"/>
    <col min="3" max="3" width="16.28515625" style="374" bestFit="1" customWidth="1"/>
    <col min="4" max="12" width="13.28515625" style="374" customWidth="1"/>
    <col min="13" max="16384" width="9.140625" style="374"/>
  </cols>
  <sheetData>
    <row r="1" spans="1:20" ht="23.25" x14ac:dyDescent="0.35">
      <c r="A1" s="373"/>
      <c r="B1" s="35"/>
      <c r="C1" s="35"/>
      <c r="D1" s="35"/>
    </row>
    <row r="3" spans="1:20" ht="15.75" x14ac:dyDescent="0.25">
      <c r="B3" s="42"/>
      <c r="C3" s="42"/>
      <c r="D3" s="42"/>
    </row>
    <row r="4" spans="1:20" s="57" customFormat="1" ht="16.5" thickBot="1" x14ac:dyDescent="0.3">
      <c r="B4" s="307"/>
      <c r="C4" s="777"/>
      <c r="D4" s="777"/>
      <c r="E4" s="777"/>
      <c r="F4" s="777"/>
      <c r="G4" s="777"/>
      <c r="H4" s="777"/>
      <c r="I4" s="777"/>
      <c r="J4" s="777"/>
      <c r="K4" s="777"/>
      <c r="L4" s="777"/>
    </row>
    <row r="5" spans="1:20" ht="35.1" customHeight="1" x14ac:dyDescent="0.25">
      <c r="B5" s="674" t="s">
        <v>0</v>
      </c>
      <c r="C5" s="676" t="s">
        <v>593</v>
      </c>
      <c r="D5" s="677"/>
      <c r="E5" s="677"/>
      <c r="F5" s="677"/>
      <c r="G5" s="677"/>
      <c r="H5" s="677"/>
      <c r="I5" s="677"/>
      <c r="J5" s="677"/>
      <c r="K5" s="677"/>
      <c r="L5" s="678"/>
    </row>
    <row r="6" spans="1:20" ht="35.1" customHeight="1" thickBot="1" x14ac:dyDescent="0.3">
      <c r="B6" s="675"/>
      <c r="C6" s="418" t="s">
        <v>458</v>
      </c>
      <c r="D6" s="419" t="s">
        <v>573</v>
      </c>
      <c r="E6" s="419" t="s">
        <v>550</v>
      </c>
      <c r="F6" s="419" t="s">
        <v>551</v>
      </c>
      <c r="G6" s="419" t="s">
        <v>319</v>
      </c>
      <c r="H6" s="419" t="s">
        <v>463</v>
      </c>
      <c r="I6" s="419" t="s">
        <v>452</v>
      </c>
      <c r="J6" s="419" t="s">
        <v>575</v>
      </c>
      <c r="K6" s="419" t="s">
        <v>581</v>
      </c>
      <c r="L6" s="420" t="s">
        <v>23</v>
      </c>
      <c r="N6" s="68"/>
      <c r="O6" s="69"/>
    </row>
    <row r="7" spans="1:20" ht="15" customHeight="1" x14ac:dyDescent="0.25">
      <c r="B7" s="81">
        <f>'Project Data and Assumptions'!C4</f>
        <v>2028</v>
      </c>
      <c r="C7" s="456">
        <f>_xlfn.XLOOKUP($B7,'QoL Benefits - BCRT'!$B$7:$B$31,'QoL Benefits - BCRT'!$A$7:$A$31,0)</f>
        <v>0</v>
      </c>
      <c r="D7" s="457">
        <f>_xlfn.XLOOKUP($B7,'QoL Benefits - Bryant RT'!$B$7:$B$31,'QoL Benefits - Bryant RT'!$A$7:$A$31,0)</f>
        <v>0</v>
      </c>
      <c r="E7" s="457">
        <f>_xlfn.XLOOKUP($B7,'QoL Benefits - CP RT'!$B$7:$B$31,'QoL Benefits - CP RT'!$A$7:$A$31,0)</f>
        <v>0</v>
      </c>
      <c r="F7" s="457">
        <f>_xlfn.XLOOKUP($B7,'QoL Benefits -Eagle RT'!$B$7:$B$31,'QoL Benefits -Eagle RT'!$A$7:$A$31,0)</f>
        <v>0</v>
      </c>
      <c r="G7" s="457">
        <f>_xlfn.XLOOKUP($B7,'QoL Benefits - Med Lake RT'!$B$7:$B$31,'QoL Benefits - Med Lake RT'!$A$7:$A$31,0)</f>
        <v>0</v>
      </c>
      <c r="H7" s="457">
        <f>_xlfn.XLOOKUP($B7,'QoL Benefits - 9Mi RT'!$B$7:$B$31,'QoL Benefits - 9Mi RT'!$A$7:$A$31,0)</f>
        <v>0</v>
      </c>
      <c r="I7" s="457">
        <f>_xlfn.XLOOKUP($B7,'QoL Benefits - Rush Crk RT'!$B$7:$B$31,'QoL Benefits - Rush Crk RT'!$A$7:$A$31,0)</f>
        <v>0</v>
      </c>
      <c r="J7" s="457">
        <f>_xlfn.XLOOKUP($B7,'QoL Benefits - Shingle Crk BCR'!$B$7:$B$31,'QoL Benefits - Shingle Crk BCR'!$A$7:$A$31,0)</f>
        <v>0</v>
      </c>
      <c r="K7" s="457">
        <f>_xlfn.XLOOKUP($B7,'QoL Benefits - Shingle Crk NAR'!$B$7:$B$31,'QoL Benefits - Shingle Crk NAR'!$A$7:$A$31,0)</f>
        <v>0</v>
      </c>
      <c r="L7" s="458">
        <f t="shared" ref="L7:L34" si="0">SUM(C7:K7)</f>
        <v>0</v>
      </c>
    </row>
    <row r="8" spans="1:20" ht="15" customHeight="1" x14ac:dyDescent="0.25">
      <c r="B8" s="431">
        <f>B7+1</f>
        <v>2029</v>
      </c>
      <c r="C8" s="459">
        <f>_xlfn.XLOOKUP($B8,'QoL Benefits - BCRT'!$B$7:$B$31,'QoL Benefits - BCRT'!$A$7:$A$31,0)</f>
        <v>1300.4199009912145</v>
      </c>
      <c r="D8" s="460">
        <f>_xlfn.XLOOKUP($B8,'QoL Benefits - Bryant RT'!$B$7:$B$31,'QoL Benefits - Bryant RT'!$A$7:$A$31,0)</f>
        <v>0</v>
      </c>
      <c r="E8" s="460">
        <f>_xlfn.XLOOKUP($B8,'QoL Benefits - CP RT'!$B$7:$B$31,'QoL Benefits - CP RT'!$A$7:$A$31,0)</f>
        <v>0</v>
      </c>
      <c r="F8" s="460">
        <f>_xlfn.XLOOKUP($B8,'QoL Benefits -Eagle RT'!$B$7:$B$31,'QoL Benefits -Eagle RT'!$A$7:$A$31,0)</f>
        <v>0</v>
      </c>
      <c r="G8" s="460">
        <f>_xlfn.XLOOKUP($B8,'QoL Benefits - Med Lake RT'!$B$7:$B$31,'QoL Benefits - Med Lake RT'!$A$7:$A$31,0)</f>
        <v>6047.2166685765542</v>
      </c>
      <c r="H8" s="460">
        <f>_xlfn.XLOOKUP($B8,'QoL Benefits - 9Mi RT'!$B$7:$B$31,'QoL Benefits - 9Mi RT'!$A$7:$A$31,0)</f>
        <v>0</v>
      </c>
      <c r="I8" s="460">
        <f>_xlfn.XLOOKUP($B8,'QoL Benefits - Rush Crk RT'!$B$7:$B$31,'QoL Benefits - Rush Crk RT'!$A$7:$A$31,0)</f>
        <v>0</v>
      </c>
      <c r="J8" s="460">
        <f>_xlfn.XLOOKUP($B8,'QoL Benefits - Shingle Crk BCR'!$B$7:$B$31,'QoL Benefits - Shingle Crk BCR'!$A$7:$A$31,0)</f>
        <v>4653.0236005619872</v>
      </c>
      <c r="K8" s="460">
        <f>_xlfn.XLOOKUP($B8,'QoL Benefits - Shingle Crk NAR'!$B$7:$B$31,'QoL Benefits - Shingle Crk NAR'!$A$7:$A$31,0)</f>
        <v>3908.5398244720695</v>
      </c>
      <c r="L8" s="461">
        <f t="shared" si="0"/>
        <v>15909.199994601824</v>
      </c>
      <c r="M8" s="10"/>
    </row>
    <row r="9" spans="1:20" ht="15" customHeight="1" x14ac:dyDescent="0.25">
      <c r="B9" s="427">
        <f t="shared" ref="B9:B34" si="1">B8+1</f>
        <v>2030</v>
      </c>
      <c r="C9" s="462">
        <f>_xlfn.XLOOKUP($B9,'QoL Benefits - BCRT'!$B$7:$B$31,'QoL Benefits - BCRT'!$A$7:$A$31,0)</f>
        <v>1326.4282990110389</v>
      </c>
      <c r="D9" s="463">
        <f>_xlfn.XLOOKUP($B9,'QoL Benefits - Bryant RT'!$B$7:$B$31,'QoL Benefits - Bryant RT'!$A$7:$A$31,0)</f>
        <v>0</v>
      </c>
      <c r="E9" s="463">
        <f>_xlfn.XLOOKUP($B9,'QoL Benefits - CP RT'!$B$7:$B$31,'QoL Benefits - CP RT'!$A$7:$A$31,0)</f>
        <v>14915.688117893307</v>
      </c>
      <c r="F9" s="463">
        <f>_xlfn.XLOOKUP($B9,'QoL Benefits -Eagle RT'!$B$7:$B$31,'QoL Benefits -Eagle RT'!$A$7:$A$31,0)</f>
        <v>0</v>
      </c>
      <c r="G9" s="463">
        <f>_xlfn.XLOOKUP($B9,'QoL Benefits - Med Lake RT'!$B$7:$B$31,'QoL Benefits - Med Lake RT'!$A$7:$A$31,0)</f>
        <v>6168.1610019480859</v>
      </c>
      <c r="H9" s="463">
        <f>_xlfn.XLOOKUP($B9,'QoL Benefits - 9Mi RT'!$B$7:$B$31,'QoL Benefits - 9Mi RT'!$A$7:$A$31,0)</f>
        <v>3295.4364693769917</v>
      </c>
      <c r="I9" s="463">
        <f>_xlfn.XLOOKUP($B9,'QoL Benefits - Rush Crk RT'!$B$7:$B$31,'QoL Benefits - Rush Crk RT'!$A$7:$A$31,0)</f>
        <v>2556.5380863792157</v>
      </c>
      <c r="J9" s="463">
        <f>_xlfn.XLOOKUP($B9,'QoL Benefits - Shingle Crk BCR'!$B$7:$B$31,'QoL Benefits - Shingle Crk BCR'!$A$7:$A$31,0)</f>
        <v>4746.0840725732269</v>
      </c>
      <c r="K9" s="463">
        <f>_xlfn.XLOOKUP($B9,'QoL Benefits - Shingle Crk NAR'!$B$7:$B$31,'QoL Benefits - Shingle Crk NAR'!$A$7:$A$31,0)</f>
        <v>3986.7106209615108</v>
      </c>
      <c r="L9" s="464">
        <f t="shared" si="0"/>
        <v>36995.046668143375</v>
      </c>
      <c r="N9" s="147"/>
      <c r="O9" s="147"/>
      <c r="P9" s="147"/>
      <c r="Q9" s="147"/>
      <c r="R9" s="147"/>
      <c r="S9" s="147"/>
      <c r="T9" s="147"/>
    </row>
    <row r="10" spans="1:20" ht="15" customHeight="1" x14ac:dyDescent="0.25">
      <c r="B10" s="74">
        <f t="shared" si="1"/>
        <v>2031</v>
      </c>
      <c r="C10" s="465">
        <f>_xlfn.XLOOKUP($B10,'QoL Benefits - BCRT'!$B$7:$B$31,'QoL Benefits - BCRT'!$A$7:$A$31,0)</f>
        <v>1352.9568649912594</v>
      </c>
      <c r="D10" s="466">
        <f>_xlfn.XLOOKUP($B10,'QoL Benefits - Bryant RT'!$B$7:$B$31,'QoL Benefits - Bryant RT'!$A$7:$A$31,0)</f>
        <v>32166.746832531036</v>
      </c>
      <c r="E10" s="466">
        <f>_xlfn.XLOOKUP($B10,'QoL Benefits - CP RT'!$B$7:$B$31,'QoL Benefits - CP RT'!$A$7:$A$31,0)</f>
        <v>15214.001880251169</v>
      </c>
      <c r="F10" s="466">
        <f>_xlfn.XLOOKUP($B10,'QoL Benefits -Eagle RT'!$B$7:$B$31,'QoL Benefits -Eagle RT'!$A$7:$A$31,0)</f>
        <v>26081.146080430568</v>
      </c>
      <c r="G10" s="466">
        <f>_xlfn.XLOOKUP($B10,'QoL Benefits - Med Lake RT'!$B$7:$B$31,'QoL Benefits - Med Lake RT'!$A$7:$A$31,0)</f>
        <v>6291.5242219870461</v>
      </c>
      <c r="H10" s="466">
        <f>_xlfn.XLOOKUP($B10,'QoL Benefits - 9Mi RT'!$B$7:$B$31,'QoL Benefits - 9Mi RT'!$A$7:$A$31,0)</f>
        <v>3361.3451987645317</v>
      </c>
      <c r="I10" s="466">
        <f>_xlfn.XLOOKUP($B10,'QoL Benefits - Rush Crk RT'!$B$7:$B$31,'QoL Benefits - Rush Crk RT'!$A$7:$A$31,0)</f>
        <v>2607.6688481067999</v>
      </c>
      <c r="J10" s="466">
        <f>_xlfn.XLOOKUP($B10,'QoL Benefits - Shingle Crk BCR'!$B$7:$B$31,'QoL Benefits - Shingle Crk BCR'!$A$7:$A$31,0)</f>
        <v>4841.0057540246908</v>
      </c>
      <c r="K10" s="466">
        <f>_xlfn.XLOOKUP($B10,'QoL Benefits - Shingle Crk NAR'!$B$7:$B$31,'QoL Benefits - Shingle Crk NAR'!$A$7:$A$31,0)</f>
        <v>4066.4448333807409</v>
      </c>
      <c r="L10" s="461">
        <f t="shared" si="0"/>
        <v>95982.84051446784</v>
      </c>
      <c r="N10" s="147"/>
      <c r="O10" s="147"/>
      <c r="P10" s="147"/>
      <c r="Q10" s="147"/>
      <c r="R10" s="147"/>
      <c r="S10" s="147"/>
      <c r="T10" s="147"/>
    </row>
    <row r="11" spans="1:20" ht="15" customHeight="1" x14ac:dyDescent="0.25">
      <c r="B11" s="74">
        <f t="shared" si="1"/>
        <v>2032</v>
      </c>
      <c r="C11" s="465">
        <f>_xlfn.XLOOKUP($B11,'QoL Benefits - BCRT'!$B$7:$B$31,'QoL Benefits - BCRT'!$A$7:$A$31,0)</f>
        <v>1380.0160022910848</v>
      </c>
      <c r="D11" s="466">
        <f>_xlfn.XLOOKUP($B11,'QoL Benefits - Bryant RT'!$B$7:$B$31,'QoL Benefits - Bryant RT'!$A$7:$A$31,0)</f>
        <v>32810.081769181663</v>
      </c>
      <c r="E11" s="466">
        <f>_xlfn.XLOOKUP($B11,'QoL Benefits - CP RT'!$B$7:$B$31,'QoL Benefits - CP RT'!$A$7:$A$31,0)</f>
        <v>15518.281917856197</v>
      </c>
      <c r="F11" s="466">
        <f>_xlfn.XLOOKUP($B11,'QoL Benefits -Eagle RT'!$B$7:$B$31,'QoL Benefits -Eagle RT'!$A$7:$A$31,0)</f>
        <v>26602.769002039189</v>
      </c>
      <c r="G11" s="466">
        <f>_xlfn.XLOOKUP($B11,'QoL Benefits - Med Lake RT'!$B$7:$B$31,'QoL Benefits - Med Lake RT'!$A$7:$A$31,0)</f>
        <v>6417.3547064267877</v>
      </c>
      <c r="H11" s="466">
        <f>_xlfn.XLOOKUP($B11,'QoL Benefits - 9Mi RT'!$B$7:$B$31,'QoL Benefits - 9Mi RT'!$A$7:$A$31,0)</f>
        <v>3428.5721027398226</v>
      </c>
      <c r="I11" s="466">
        <f>_xlfn.XLOOKUP($B11,'QoL Benefits - Rush Crk RT'!$B$7:$B$31,'QoL Benefits - Rush Crk RT'!$A$7:$A$31,0)</f>
        <v>2659.8222250689364</v>
      </c>
      <c r="J11" s="466">
        <f>_xlfn.XLOOKUP($B11,'QoL Benefits - Shingle Crk BCR'!$B$7:$B$31,'QoL Benefits - Shingle Crk BCR'!$A$7:$A$31,0)</f>
        <v>4937.825869105186</v>
      </c>
      <c r="K11" s="466">
        <f>_xlfn.XLOOKUP($B11,'QoL Benefits - Shingle Crk NAR'!$B$7:$B$31,'QoL Benefits - Shingle Crk NAR'!$A$7:$A$31,0)</f>
        <v>4147.7737300483559</v>
      </c>
      <c r="L11" s="461">
        <f t="shared" si="0"/>
        <v>97902.497324757249</v>
      </c>
      <c r="N11" s="147"/>
      <c r="O11" s="147"/>
      <c r="P11" s="147"/>
      <c r="Q11" s="147"/>
      <c r="R11" s="147"/>
      <c r="S11" s="147"/>
      <c r="T11" s="147"/>
    </row>
    <row r="12" spans="1:20" ht="15" customHeight="1" x14ac:dyDescent="0.25">
      <c r="B12" s="74">
        <f t="shared" si="1"/>
        <v>2033</v>
      </c>
      <c r="C12" s="465">
        <f>_xlfn.XLOOKUP($B12,'QoL Benefits - BCRT'!$B$7:$B$31,'QoL Benefits - BCRT'!$A$7:$A$31,0)</f>
        <v>1407.6163223369067</v>
      </c>
      <c r="D12" s="466">
        <f>_xlfn.XLOOKUP($B12,'QoL Benefits - Bryant RT'!$B$7:$B$31,'QoL Benefits - Bryant RT'!$A$7:$A$31,0)</f>
        <v>33466.283404565293</v>
      </c>
      <c r="E12" s="466">
        <f>_xlfn.XLOOKUP($B12,'QoL Benefits - CP RT'!$B$7:$B$31,'QoL Benefits - CP RT'!$A$7:$A$31,0)</f>
        <v>15828.647556213318</v>
      </c>
      <c r="F12" s="466">
        <f>_xlfn.XLOOKUP($B12,'QoL Benefits -Eagle RT'!$B$7:$B$31,'QoL Benefits -Eagle RT'!$A$7:$A$31,0)</f>
        <v>27134.824382079969</v>
      </c>
      <c r="G12" s="466">
        <f>_xlfn.XLOOKUP($B12,'QoL Benefits - Med Lake RT'!$B$7:$B$31,'QoL Benefits - Med Lake RT'!$A$7:$A$31,0)</f>
        <v>6545.7018005553236</v>
      </c>
      <c r="H12" s="466">
        <f>_xlfn.XLOOKUP($B12,'QoL Benefits - 9Mi RT'!$B$7:$B$31,'QoL Benefits - 9Mi RT'!$A$7:$A$31,0)</f>
        <v>3497.1435447946192</v>
      </c>
      <c r="I12" s="466">
        <f>_xlfn.XLOOKUP($B12,'QoL Benefits - Rush Crk RT'!$B$7:$B$31,'QoL Benefits - Rush Crk RT'!$A$7:$A$31,0)</f>
        <v>2713.0186695703146</v>
      </c>
      <c r="J12" s="466">
        <f>_xlfn.XLOOKUP($B12,'QoL Benefits - Shingle Crk BCR'!$B$7:$B$31,'QoL Benefits - Shingle Crk BCR'!$A$7:$A$31,0)</f>
        <v>5036.5823864872891</v>
      </c>
      <c r="K12" s="466">
        <f>_xlfn.XLOOKUP($B12,'QoL Benefits - Shingle Crk NAR'!$B$7:$B$31,'QoL Benefits - Shingle Crk NAR'!$A$7:$A$31,0)</f>
        <v>4230.729204649323</v>
      </c>
      <c r="L12" s="461">
        <f t="shared" si="0"/>
        <v>99860.547271252362</v>
      </c>
      <c r="N12" s="147"/>
      <c r="O12" s="147"/>
      <c r="P12" s="147"/>
      <c r="Q12" s="147"/>
      <c r="R12" s="147"/>
      <c r="S12" s="147"/>
      <c r="T12" s="147"/>
    </row>
    <row r="13" spans="1:20" ht="15" customHeight="1" x14ac:dyDescent="0.25">
      <c r="B13" s="74">
        <f t="shared" si="1"/>
        <v>2034</v>
      </c>
      <c r="C13" s="465">
        <f>_xlfn.XLOOKUP($B13,'QoL Benefits - BCRT'!$B$7:$B$31,'QoL Benefits - BCRT'!$A$7:$A$31,0)</f>
        <v>5455.9208653778496</v>
      </c>
      <c r="D13" s="466">
        <f>_xlfn.XLOOKUP($B13,'QoL Benefits - Bryant RT'!$B$7:$B$31,'QoL Benefits - Bryant RT'!$A$7:$A$31,0)</f>
        <v>34135.609072656604</v>
      </c>
      <c r="E13" s="466">
        <f>_xlfn.XLOOKUP($B13,'QoL Benefits - CP RT'!$B$7:$B$31,'QoL Benefits - CP RT'!$A$7:$A$31,0)</f>
        <v>16145.220507337588</v>
      </c>
      <c r="F13" s="466">
        <f>_xlfn.XLOOKUP($B13,'QoL Benefits -Eagle RT'!$B$7:$B$31,'QoL Benefits -Eagle RT'!$A$7:$A$31,0)</f>
        <v>27677.520869721571</v>
      </c>
      <c r="G13" s="466">
        <f>_xlfn.XLOOKUP($B13,'QoL Benefits - Med Lake RT'!$B$7:$B$31,'QoL Benefits - Med Lake RT'!$A$7:$A$31,0)</f>
        <v>6676.6158365664314</v>
      </c>
      <c r="H13" s="466">
        <f>_xlfn.XLOOKUP($B13,'QoL Benefits - 9Mi RT'!$B$7:$B$31,'QoL Benefits - 9Mi RT'!$A$7:$A$31,0)</f>
        <v>3567.0864156905118</v>
      </c>
      <c r="I13" s="466">
        <f>_xlfn.XLOOKUP($B13,'QoL Benefits - Rush Crk RT'!$B$7:$B$31,'QoL Benefits - Rush Crk RT'!$A$7:$A$31,0)</f>
        <v>2767.2790429617212</v>
      </c>
      <c r="J13" s="466">
        <f>_xlfn.XLOOKUP($B13,'QoL Benefits - Shingle Crk BCR'!$B$7:$B$31,'QoL Benefits - Shingle Crk BCR'!$A$7:$A$31,0)</f>
        <v>5137.3140342170354</v>
      </c>
      <c r="K13" s="466">
        <f>_xlfn.XLOOKUP($B13,'QoL Benefits - Shingle Crk NAR'!$B$7:$B$31,'QoL Benefits - Shingle Crk NAR'!$A$7:$A$31,0)</f>
        <v>4315.3437887423097</v>
      </c>
      <c r="L13" s="461">
        <f t="shared" si="0"/>
        <v>105877.91043327162</v>
      </c>
      <c r="N13" s="147"/>
      <c r="O13" s="147"/>
      <c r="P13" s="147"/>
      <c r="Q13" s="147"/>
      <c r="R13" s="147"/>
      <c r="S13" s="147"/>
      <c r="T13" s="147"/>
    </row>
    <row r="14" spans="1:20" ht="15" customHeight="1" x14ac:dyDescent="0.25">
      <c r="B14" s="74">
        <f t="shared" si="1"/>
        <v>2035</v>
      </c>
      <c r="C14" s="465">
        <f>_xlfn.XLOOKUP($B14,'QoL Benefits - BCRT'!$B$7:$B$31,'QoL Benefits - BCRT'!$A$7:$A$31,0)</f>
        <v>5565.0392826854049</v>
      </c>
      <c r="D14" s="466">
        <f>_xlfn.XLOOKUP($B14,'QoL Benefits - Bryant RT'!$B$7:$B$31,'QoL Benefits - Bryant RT'!$A$7:$A$31,0)</f>
        <v>34818.321254109724</v>
      </c>
      <c r="E14" s="466">
        <f>_xlfn.XLOOKUP($B14,'QoL Benefits - CP RT'!$B$7:$B$31,'QoL Benefits - CP RT'!$A$7:$A$31,0)</f>
        <v>16468.124917484332</v>
      </c>
      <c r="F14" s="466">
        <f>_xlfn.XLOOKUP($B14,'QoL Benefits -Eagle RT'!$B$7:$B$31,'QoL Benefits -Eagle RT'!$A$7:$A$31,0)</f>
        <v>28231.071287115996</v>
      </c>
      <c r="G14" s="466">
        <f>_xlfn.XLOOKUP($B14,'QoL Benefits - Med Lake RT'!$B$7:$B$31,'QoL Benefits - Med Lake RT'!$A$7:$A$31,0)</f>
        <v>6810.1481532977577</v>
      </c>
      <c r="H14" s="466">
        <f>_xlfn.XLOOKUP($B14,'QoL Benefits - 9Mi RT'!$B$7:$B$31,'QoL Benefits - 9Mi RT'!$A$7:$A$31,0)</f>
        <v>3638.4281440043205</v>
      </c>
      <c r="I14" s="466">
        <f>_xlfn.XLOOKUP($B14,'QoL Benefits - Rush Crk RT'!$B$7:$B$31,'QoL Benefits - Rush Crk RT'!$A$7:$A$31,0)</f>
        <v>2822.6246238209551</v>
      </c>
      <c r="J14" s="466">
        <f>_xlfn.XLOOKUP($B14,'QoL Benefits - Shingle Crk BCR'!$B$7:$B$31,'QoL Benefits - Shingle Crk BCR'!$A$7:$A$31,0)</f>
        <v>5240.0603149013741</v>
      </c>
      <c r="K14" s="466">
        <f>_xlfn.XLOOKUP($B14,'QoL Benefits - Shingle Crk NAR'!$B$7:$B$31,'QoL Benefits - Shingle Crk NAR'!$A$7:$A$31,0)</f>
        <v>4401.6506645171548</v>
      </c>
      <c r="L14" s="461">
        <f t="shared" si="0"/>
        <v>107995.46864193704</v>
      </c>
      <c r="N14" s="147"/>
      <c r="O14" s="147"/>
      <c r="P14" s="147"/>
      <c r="Q14" s="147"/>
      <c r="R14" s="147"/>
      <c r="S14" s="147"/>
      <c r="T14" s="147"/>
    </row>
    <row r="15" spans="1:20" ht="15" customHeight="1" x14ac:dyDescent="0.25">
      <c r="B15" s="74">
        <f t="shared" si="1"/>
        <v>2036</v>
      </c>
      <c r="C15" s="465">
        <f>_xlfn.XLOOKUP($B15,'QoL Benefits - BCRT'!$B$7:$B$31,'QoL Benefits - BCRT'!$A$7:$A$31,0)</f>
        <v>5676.3400683391137</v>
      </c>
      <c r="D15" s="466">
        <f>_xlfn.XLOOKUP($B15,'QoL Benefits - Bryant RT'!$B$7:$B$31,'QoL Benefits - Bryant RT'!$A$7:$A$31,0)</f>
        <v>35514.687679191928</v>
      </c>
      <c r="E15" s="466">
        <f>_xlfn.XLOOKUP($B15,'QoL Benefits - CP RT'!$B$7:$B$31,'QoL Benefits - CP RT'!$A$7:$A$31,0)</f>
        <v>16797.487415834024</v>
      </c>
      <c r="F15" s="466">
        <f>_xlfn.XLOOKUP($B15,'QoL Benefits -Eagle RT'!$B$7:$B$31,'QoL Benefits -Eagle RT'!$A$7:$A$31,0)</f>
        <v>28795.692712858319</v>
      </c>
      <c r="G15" s="466">
        <f>_xlfn.XLOOKUP($B15,'QoL Benefits - Med Lake RT'!$B$7:$B$31,'QoL Benefits - Med Lake RT'!$A$7:$A$31,0)</f>
        <v>6946.351116363714</v>
      </c>
      <c r="H15" s="466">
        <f>_xlfn.XLOOKUP($B15,'QoL Benefits - 9Mi RT'!$B$7:$B$31,'QoL Benefits - 9Mi RT'!$A$7:$A$31,0)</f>
        <v>3711.1967068844078</v>
      </c>
      <c r="I15" s="466">
        <f>_xlfn.XLOOKUP($B15,'QoL Benefits - Rush Crk RT'!$B$7:$B$31,'QoL Benefits - Rush Crk RT'!$A$7:$A$31,0)</f>
        <v>2879.0771162973742</v>
      </c>
      <c r="J15" s="466">
        <f>_xlfn.XLOOKUP($B15,'QoL Benefits - Shingle Crk BCR'!$B$7:$B$31,'QoL Benefits - Shingle Crk BCR'!$A$7:$A$31,0)</f>
        <v>5344.861521199402</v>
      </c>
      <c r="K15" s="466">
        <f>_xlfn.XLOOKUP($B15,'QoL Benefits - Shingle Crk NAR'!$B$7:$B$31,'QoL Benefits - Shingle Crk NAR'!$A$7:$A$31,0)</f>
        <v>4489.6836778074985</v>
      </c>
      <c r="L15" s="461">
        <f t="shared" si="0"/>
        <v>110155.37801477578</v>
      </c>
      <c r="N15" s="147"/>
      <c r="O15" s="147"/>
      <c r="P15" s="147"/>
      <c r="Q15" s="147"/>
      <c r="R15" s="147"/>
      <c r="S15" s="147"/>
      <c r="T15" s="147"/>
    </row>
    <row r="16" spans="1:20" ht="15" customHeight="1" x14ac:dyDescent="0.25">
      <c r="B16" s="74">
        <f t="shared" si="1"/>
        <v>2037</v>
      </c>
      <c r="C16" s="465">
        <f>_xlfn.XLOOKUP($B16,'QoL Benefits - BCRT'!$B$7:$B$31,'QoL Benefits - BCRT'!$A$7:$A$31,0)</f>
        <v>5789.8668697058974</v>
      </c>
      <c r="D16" s="466">
        <f>_xlfn.XLOOKUP($B16,'QoL Benefits - Bryant RT'!$B$7:$B$31,'QoL Benefits - Bryant RT'!$A$7:$A$31,0)</f>
        <v>36224.98143277577</v>
      </c>
      <c r="E16" s="466">
        <f>_xlfn.XLOOKUP($B16,'QoL Benefits - CP RT'!$B$7:$B$31,'QoL Benefits - CP RT'!$A$7:$A$31,0)</f>
        <v>17133.437164150706</v>
      </c>
      <c r="F16" s="466">
        <f>_xlfn.XLOOKUP($B16,'QoL Benefits -Eagle RT'!$B$7:$B$31,'QoL Benefits -Eagle RT'!$A$7:$A$31,0)</f>
        <v>29371.60656711549</v>
      </c>
      <c r="G16" s="466">
        <f>_xlfn.XLOOKUP($B16,'QoL Benefits - Med Lake RT'!$B$7:$B$31,'QoL Benefits - Med Lake RT'!$A$7:$A$31,0)</f>
        <v>7085.2781386909892</v>
      </c>
      <c r="H16" s="466">
        <f>_xlfn.XLOOKUP($B16,'QoL Benefits - 9Mi RT'!$B$7:$B$31,'QoL Benefits - 9Mi RT'!$A$7:$A$31,0)</f>
        <v>3785.4206410220963</v>
      </c>
      <c r="I16" s="466">
        <f>_xlfn.XLOOKUP($B16,'QoL Benefits - Rush Crk RT'!$B$7:$B$31,'QoL Benefits - Rush Crk RT'!$A$7:$A$31,0)</f>
        <v>2936.658658623322</v>
      </c>
      <c r="J16" s="466">
        <f>_xlfn.XLOOKUP($B16,'QoL Benefits - Shingle Crk BCR'!$B$7:$B$31,'QoL Benefits - Shingle Crk BCR'!$A$7:$A$31,0)</f>
        <v>5451.7587516233916</v>
      </c>
      <c r="K16" s="466">
        <f>_xlfn.XLOOKUP($B16,'QoL Benefits - Shingle Crk NAR'!$B$7:$B$31,'QoL Benefits - Shingle Crk NAR'!$A$7:$A$31,0)</f>
        <v>4579.4773513636492</v>
      </c>
      <c r="L16" s="461">
        <f t="shared" si="0"/>
        <v>112358.4855750713</v>
      </c>
      <c r="N16" s="147"/>
      <c r="O16" s="147"/>
      <c r="P16" s="147"/>
      <c r="Q16" s="147"/>
      <c r="R16" s="147"/>
      <c r="S16" s="147"/>
      <c r="T16" s="147"/>
    </row>
    <row r="17" spans="2:20" ht="15" customHeight="1" x14ac:dyDescent="0.25">
      <c r="B17" s="74">
        <f t="shared" si="1"/>
        <v>2038</v>
      </c>
      <c r="C17" s="465">
        <f>_xlfn.XLOOKUP($B17,'QoL Benefits - BCRT'!$B$7:$B$31,'QoL Benefits - BCRT'!$A$7:$A$31,0)</f>
        <v>5905.6642071000142</v>
      </c>
      <c r="D17" s="466">
        <f>_xlfn.XLOOKUP($B17,'QoL Benefits - Bryant RT'!$B$7:$B$31,'QoL Benefits - Bryant RT'!$A$7:$A$31,0)</f>
        <v>36949.481061431281</v>
      </c>
      <c r="E17" s="466">
        <f>_xlfn.XLOOKUP($B17,'QoL Benefits - CP RT'!$B$7:$B$31,'QoL Benefits - CP RT'!$A$7:$A$31,0)</f>
        <v>17476.105907433717</v>
      </c>
      <c r="F17" s="466">
        <f>_xlfn.XLOOKUP($B17,'QoL Benefits -Eagle RT'!$B$7:$B$31,'QoL Benefits -Eagle RT'!$A$7:$A$31,0)</f>
        <v>29959.038698457793</v>
      </c>
      <c r="G17" s="466">
        <f>_xlfn.XLOOKUP($B17,'QoL Benefits - Med Lake RT'!$B$7:$B$31,'QoL Benefits - Med Lake RT'!$A$7:$A$31,0)</f>
        <v>7226.9837014648074</v>
      </c>
      <c r="H17" s="466">
        <f>_xlfn.XLOOKUP($B17,'QoL Benefits - 9Mi RT'!$B$7:$B$31,'QoL Benefits - 9Mi RT'!$A$7:$A$31,0)</f>
        <v>3861.1290538425378</v>
      </c>
      <c r="I17" s="466">
        <f>_xlfn.XLOOKUP($B17,'QoL Benefits - Rush Crk RT'!$B$7:$B$31,'QoL Benefits - Rush Crk RT'!$A$7:$A$31,0)</f>
        <v>2995.3918317957882</v>
      </c>
      <c r="J17" s="466">
        <f>_xlfn.XLOOKUP($B17,'QoL Benefits - Shingle Crk BCR'!$B$7:$B$31,'QoL Benefits - Shingle Crk BCR'!$A$7:$A$31,0)</f>
        <v>5560.7939266558578</v>
      </c>
      <c r="K17" s="466">
        <f>_xlfn.XLOOKUP($B17,'QoL Benefits - Shingle Crk NAR'!$B$7:$B$31,'QoL Benefits - Shingle Crk NAR'!$A$7:$A$31,0)</f>
        <v>4671.0668983909218</v>
      </c>
      <c r="L17" s="461">
        <f t="shared" si="0"/>
        <v>114605.65528657271</v>
      </c>
      <c r="N17" s="147"/>
      <c r="O17" s="147"/>
      <c r="P17" s="147"/>
      <c r="Q17" s="147"/>
      <c r="R17" s="147"/>
      <c r="S17" s="147"/>
      <c r="T17" s="147"/>
    </row>
    <row r="18" spans="2:20" ht="15" customHeight="1" x14ac:dyDescent="0.25">
      <c r="B18" s="74">
        <f t="shared" si="1"/>
        <v>2039</v>
      </c>
      <c r="C18" s="465">
        <f>_xlfn.XLOOKUP($B18,'QoL Benefits - BCRT'!$B$7:$B$31,'QoL Benefits - BCRT'!$A$7:$A$31,0)</f>
        <v>6023.7774912420145</v>
      </c>
      <c r="D18" s="466">
        <f>_xlfn.XLOOKUP($B18,'QoL Benefits - Bryant RT'!$B$7:$B$31,'QoL Benefits - Bryant RT'!$A$7:$A$31,0)</f>
        <v>37688.470682659899</v>
      </c>
      <c r="E18" s="466">
        <f>_xlfn.XLOOKUP($B18,'QoL Benefits - CP RT'!$B$7:$B$31,'QoL Benefits - CP RT'!$A$7:$A$31,0)</f>
        <v>17825.628025582391</v>
      </c>
      <c r="F18" s="466">
        <f>_xlfn.XLOOKUP($B18,'QoL Benefits -Eagle RT'!$B$7:$B$31,'QoL Benefits -Eagle RT'!$A$7:$A$31,0)</f>
        <v>30558.219472426947</v>
      </c>
      <c r="G18" s="466">
        <f>_xlfn.XLOOKUP($B18,'QoL Benefits - Med Lake RT'!$B$7:$B$31,'QoL Benefits - Med Lake RT'!$A$7:$A$31,0)</f>
        <v>7371.5233754941037</v>
      </c>
      <c r="H18" s="466">
        <f>_xlfn.XLOOKUP($B18,'QoL Benefits - 9Mi RT'!$B$7:$B$31,'QoL Benefits - 9Mi RT'!$A$7:$A$31,0)</f>
        <v>3938.3516349193883</v>
      </c>
      <c r="I18" s="466">
        <f>_xlfn.XLOOKUP($B18,'QoL Benefits - Rush Crk RT'!$B$7:$B$31,'QoL Benefits - Rush Crk RT'!$A$7:$A$31,0)</f>
        <v>3055.2996684317045</v>
      </c>
      <c r="J18" s="466">
        <f>_xlfn.XLOOKUP($B18,'QoL Benefits - Shingle Crk BCR'!$B$7:$B$31,'QoL Benefits - Shingle Crk BCR'!$A$7:$A$31,0)</f>
        <v>5672.0098051889754</v>
      </c>
      <c r="K18" s="466">
        <f>_xlfn.XLOOKUP($B18,'QoL Benefits - Shingle Crk NAR'!$B$7:$B$31,'QoL Benefits - Shingle Crk NAR'!$A$7:$A$31,0)</f>
        <v>4764.4882363587403</v>
      </c>
      <c r="L18" s="461">
        <f t="shared" si="0"/>
        <v>116897.76839230416</v>
      </c>
      <c r="N18" s="147"/>
      <c r="O18" s="147"/>
      <c r="P18" s="147"/>
      <c r="Q18" s="147"/>
      <c r="R18" s="147"/>
      <c r="S18" s="147"/>
      <c r="T18" s="147"/>
    </row>
    <row r="19" spans="2:20" ht="15" customHeight="1" x14ac:dyDescent="0.25">
      <c r="B19" s="74">
        <f t="shared" si="1"/>
        <v>2040</v>
      </c>
      <c r="C19" s="465">
        <f>_xlfn.XLOOKUP($B19,'QoL Benefits - BCRT'!$B$7:$B$31,'QoL Benefits - BCRT'!$A$7:$A$31,0)</f>
        <v>6144.2530410668542</v>
      </c>
      <c r="D19" s="466">
        <f>_xlfn.XLOOKUP($B19,'QoL Benefits - Bryant RT'!$B$7:$B$31,'QoL Benefits - Bryant RT'!$A$7:$A$31,0)</f>
        <v>38442.240096313108</v>
      </c>
      <c r="E19" s="466">
        <f>_xlfn.XLOOKUP($B19,'QoL Benefits - CP RT'!$B$7:$B$31,'QoL Benefits - CP RT'!$A$7:$A$31,0)</f>
        <v>18182.140586094039</v>
      </c>
      <c r="F19" s="466">
        <f>_xlfn.XLOOKUP($B19,'QoL Benefits -Eagle RT'!$B$7:$B$31,'QoL Benefits -Eagle RT'!$A$7:$A$31,0)</f>
        <v>31169.383861875493</v>
      </c>
      <c r="G19" s="466">
        <f>_xlfn.XLOOKUP($B19,'QoL Benefits - Med Lake RT'!$B$7:$B$31,'QoL Benefits - Med Lake RT'!$A$7:$A$31,0)</f>
        <v>7518.9538430039865</v>
      </c>
      <c r="H19" s="466">
        <f>_xlfn.XLOOKUP($B19,'QoL Benefits - 9Mi RT'!$B$7:$B$31,'QoL Benefits - 9Mi RT'!$A$7:$A$31,0)</f>
        <v>4017.1186676177767</v>
      </c>
      <c r="I19" s="466">
        <f>_xlfn.XLOOKUP($B19,'QoL Benefits - Rush Crk RT'!$B$7:$B$31,'QoL Benefits - Rush Crk RT'!$A$7:$A$31,0)</f>
        <v>3116.4056618003383</v>
      </c>
      <c r="J19" s="466">
        <f>_xlfn.XLOOKUP($B19,'QoL Benefits - Shingle Crk BCR'!$B$7:$B$31,'QoL Benefits - Shingle Crk BCR'!$A$7:$A$31,0)</f>
        <v>5785.4500012927556</v>
      </c>
      <c r="K19" s="466">
        <f>_xlfn.XLOOKUP($B19,'QoL Benefits - Shingle Crk NAR'!$B$7:$B$31,'QoL Benefits - Shingle Crk NAR'!$A$7:$A$31,0)</f>
        <v>4859.7780010859151</v>
      </c>
      <c r="L19" s="461">
        <f t="shared" si="0"/>
        <v>119235.72376015027</v>
      </c>
      <c r="N19" s="147"/>
      <c r="O19" s="147"/>
      <c r="P19" s="147"/>
      <c r="Q19" s="147"/>
      <c r="R19" s="147"/>
      <c r="S19" s="147"/>
      <c r="T19" s="147"/>
    </row>
    <row r="20" spans="2:20" ht="15" customHeight="1" x14ac:dyDescent="0.25">
      <c r="B20" s="74">
        <f t="shared" si="1"/>
        <v>2041</v>
      </c>
      <c r="C20" s="465">
        <f>_xlfn.XLOOKUP($B20,'QoL Benefits - BCRT'!$B$7:$B$31,'QoL Benefits - BCRT'!$A$7:$A$31,0)</f>
        <v>6267.1381018881921</v>
      </c>
      <c r="D20" s="466">
        <f>_xlfn.XLOOKUP($B20,'QoL Benefits - Bryant RT'!$B$7:$B$31,'QoL Benefits - Bryant RT'!$A$7:$A$31,0)</f>
        <v>39211.084898239365</v>
      </c>
      <c r="E20" s="466">
        <f>_xlfn.XLOOKUP($B20,'QoL Benefits - CP RT'!$B$7:$B$31,'QoL Benefits - CP RT'!$A$7:$A$31,0)</f>
        <v>18545.783397815918</v>
      </c>
      <c r="F20" s="466">
        <f>_xlfn.XLOOKUP($B20,'QoL Benefits -Eagle RT'!$B$7:$B$31,'QoL Benefits -Eagle RT'!$A$7:$A$31,0)</f>
        <v>31792.771539113</v>
      </c>
      <c r="G20" s="466">
        <f>_xlfn.XLOOKUP($B20,'QoL Benefits - Med Lake RT'!$B$7:$B$31,'QoL Benefits - Med Lake RT'!$A$7:$A$31,0)</f>
        <v>7669.3329198640658</v>
      </c>
      <c r="H20" s="466">
        <f>_xlfn.XLOOKUP($B20,'QoL Benefits - 9Mi RT'!$B$7:$B$31,'QoL Benefits - 9Mi RT'!$A$7:$A$31,0)</f>
        <v>4097.4610409701318</v>
      </c>
      <c r="I20" s="466">
        <f>_xlfn.XLOOKUP($B20,'QoL Benefits - Rush Crk RT'!$B$7:$B$31,'QoL Benefits - Rush Crk RT'!$A$7:$A$31,0)</f>
        <v>3178.7337750363449</v>
      </c>
      <c r="J20" s="466">
        <f>_xlfn.XLOOKUP($B20,'QoL Benefits - Shingle Crk BCR'!$B$7:$B$31,'QoL Benefits - Shingle Crk BCR'!$A$7:$A$31,0)</f>
        <v>5901.1590013186105</v>
      </c>
      <c r="K20" s="466">
        <f>_xlfn.XLOOKUP($B20,'QoL Benefits - Shingle Crk NAR'!$B$7:$B$31,'QoL Benefits - Shingle Crk NAR'!$A$7:$A$31,0)</f>
        <v>4956.973561107633</v>
      </c>
      <c r="L20" s="461">
        <f t="shared" si="0"/>
        <v>121620.43823535327</v>
      </c>
      <c r="N20" s="147"/>
      <c r="O20" s="147"/>
      <c r="P20" s="147"/>
      <c r="Q20" s="147"/>
      <c r="R20" s="147"/>
      <c r="S20" s="147"/>
      <c r="T20" s="147"/>
    </row>
    <row r="21" spans="2:20" ht="15" customHeight="1" x14ac:dyDescent="0.25">
      <c r="B21" s="74">
        <f t="shared" si="1"/>
        <v>2042</v>
      </c>
      <c r="C21" s="465">
        <f>_xlfn.XLOOKUP($B21,'QoL Benefits - BCRT'!$B$7:$B$31,'QoL Benefits - BCRT'!$A$7:$A$31,0)</f>
        <v>6392.4808639259563</v>
      </c>
      <c r="D21" s="466">
        <f>_xlfn.XLOOKUP($B21,'QoL Benefits - Bryant RT'!$B$7:$B$31,'QoL Benefits - Bryant RT'!$A$7:$A$31,0)</f>
        <v>39995.306596204158</v>
      </c>
      <c r="E21" s="466">
        <f>_xlfn.XLOOKUP($B21,'QoL Benefits - CP RT'!$B$7:$B$31,'QoL Benefits - CP RT'!$A$7:$A$31,0)</f>
        <v>18916.699065772238</v>
      </c>
      <c r="F21" s="466">
        <f>_xlfn.XLOOKUP($B21,'QoL Benefits -Eagle RT'!$B$7:$B$31,'QoL Benefits -Eagle RT'!$A$7:$A$31,0)</f>
        <v>32428.62696989526</v>
      </c>
      <c r="G21" s="466">
        <f>_xlfn.XLOOKUP($B21,'QoL Benefits - Med Lake RT'!$B$7:$B$31,'QoL Benefits - Med Lake RT'!$A$7:$A$31,0)</f>
        <v>7822.7195782613471</v>
      </c>
      <c r="H21" s="466">
        <f>_xlfn.XLOOKUP($B21,'QoL Benefits - 9Mi RT'!$B$7:$B$31,'QoL Benefits - 9Mi RT'!$A$7:$A$31,0)</f>
        <v>4179.4102617895342</v>
      </c>
      <c r="I21" s="466">
        <f>_xlfn.XLOOKUP($B21,'QoL Benefits - Rush Crk RT'!$B$7:$B$31,'QoL Benefits - Rush Crk RT'!$A$7:$A$31,0)</f>
        <v>3242.3084505370721</v>
      </c>
      <c r="J21" s="466">
        <f>_xlfn.XLOOKUP($B21,'QoL Benefits - Shingle Crk BCR'!$B$7:$B$31,'QoL Benefits - Shingle Crk BCR'!$A$7:$A$31,0)</f>
        <v>6019.1821813449833</v>
      </c>
      <c r="K21" s="466">
        <f>_xlfn.XLOOKUP($B21,'QoL Benefits - Shingle Crk NAR'!$B$7:$B$31,'QoL Benefits - Shingle Crk NAR'!$A$7:$A$31,0)</f>
        <v>5056.1130323297857</v>
      </c>
      <c r="L21" s="461">
        <f t="shared" si="0"/>
        <v>124052.84700006034</v>
      </c>
      <c r="N21" s="147"/>
      <c r="O21" s="147"/>
      <c r="P21" s="147"/>
      <c r="Q21" s="147"/>
      <c r="R21" s="147"/>
      <c r="S21" s="147"/>
      <c r="T21" s="147"/>
    </row>
    <row r="22" spans="2:20" ht="15" customHeight="1" x14ac:dyDescent="0.25">
      <c r="B22" s="74">
        <f t="shared" si="1"/>
        <v>2043</v>
      </c>
      <c r="C22" s="465">
        <f>_xlfn.XLOOKUP($B22,'QoL Benefits - BCRT'!$B$7:$B$31,'QoL Benefits - BCRT'!$A$7:$A$31,0)</f>
        <v>6520.3304812044744</v>
      </c>
      <c r="D22" s="466">
        <f>_xlfn.XLOOKUP($B22,'QoL Benefits - Bryant RT'!$B$7:$B$31,'QoL Benefits - Bryant RT'!$A$7:$A$31,0)</f>
        <v>40795.21272812823</v>
      </c>
      <c r="E22" s="466">
        <f>_xlfn.XLOOKUP($B22,'QoL Benefits - CP RT'!$B$7:$B$31,'QoL Benefits - CP RT'!$A$7:$A$31,0)</f>
        <v>19295.03304708768</v>
      </c>
      <c r="F22" s="466">
        <f>_xlfn.XLOOKUP($B22,'QoL Benefits -Eagle RT'!$B$7:$B$31,'QoL Benefits -Eagle RT'!$A$7:$A$31,0)</f>
        <v>33077.199509293161</v>
      </c>
      <c r="G22" s="466">
        <f>_xlfn.XLOOKUP($B22,'QoL Benefits - Med Lake RT'!$B$7:$B$31,'QoL Benefits - Med Lake RT'!$A$7:$A$31,0)</f>
        <v>7979.1739698265728</v>
      </c>
      <c r="H22" s="466">
        <f>_xlfn.XLOOKUP($B22,'QoL Benefits - 9Mi RT'!$B$7:$B$31,'QoL Benefits - 9Mi RT'!$A$7:$A$31,0)</f>
        <v>4262.9984670253243</v>
      </c>
      <c r="I22" s="466">
        <f>_xlfn.XLOOKUP($B22,'QoL Benefits - Rush Crk RT'!$B$7:$B$31,'QoL Benefits - Rush Crk RT'!$A$7:$A$31,0)</f>
        <v>3307.1546195478131</v>
      </c>
      <c r="J22" s="466">
        <f>_xlfn.XLOOKUP($B22,'QoL Benefits - Shingle Crk BCR'!$B$7:$B$31,'QoL Benefits - Shingle Crk BCR'!$A$7:$A$31,0)</f>
        <v>6139.5658249718817</v>
      </c>
      <c r="K22" s="466">
        <f>_xlfn.XLOOKUP($B22,'QoL Benefits - Shingle Crk NAR'!$B$7:$B$31,'QoL Benefits - Shingle Crk NAR'!$A$7:$A$31,0)</f>
        <v>5157.2352929763811</v>
      </c>
      <c r="L22" s="461">
        <f t="shared" si="0"/>
        <v>126533.90394006151</v>
      </c>
      <c r="N22" s="147"/>
      <c r="O22" s="147"/>
      <c r="P22" s="147"/>
      <c r="Q22" s="147"/>
      <c r="R22" s="147"/>
      <c r="S22" s="147"/>
      <c r="T22" s="147"/>
    </row>
    <row r="23" spans="2:20" ht="15" customHeight="1" x14ac:dyDescent="0.25">
      <c r="B23" s="74">
        <f t="shared" si="1"/>
        <v>2044</v>
      </c>
      <c r="C23" s="465">
        <f>_xlfn.XLOOKUP($B23,'QoL Benefits - BCRT'!$B$7:$B$31,'QoL Benefits - BCRT'!$A$7:$A$31,0)</f>
        <v>6650.7370908285639</v>
      </c>
      <c r="D23" s="466">
        <f>_xlfn.XLOOKUP($B23,'QoL Benefits - Bryant RT'!$B$7:$B$31,'QoL Benefits - Bryant RT'!$A$7:$A$31,0)</f>
        <v>41611.116982690794</v>
      </c>
      <c r="E23" s="466">
        <f>_xlfn.XLOOKUP($B23,'QoL Benefits - CP RT'!$B$7:$B$31,'QoL Benefits - CP RT'!$A$7:$A$31,0)</f>
        <v>19680.933708029435</v>
      </c>
      <c r="F23" s="466">
        <f>_xlfn.XLOOKUP($B23,'QoL Benefits -Eagle RT'!$B$7:$B$31,'QoL Benefits -Eagle RT'!$A$7:$A$31,0)</f>
        <v>33738.743499479024</v>
      </c>
      <c r="G23" s="466">
        <f>_xlfn.XLOOKUP($B23,'QoL Benefits - Med Lake RT'!$B$7:$B$31,'QoL Benefits - Med Lake RT'!$A$7:$A$31,0)</f>
        <v>8138.7574492231051</v>
      </c>
      <c r="H23" s="466">
        <f>_xlfn.XLOOKUP($B23,'QoL Benefits - 9Mi RT'!$B$7:$B$31,'QoL Benefits - 9Mi RT'!$A$7:$A$31,0)</f>
        <v>4348.2584363658316</v>
      </c>
      <c r="I23" s="466">
        <f>_xlfn.XLOOKUP($B23,'QoL Benefits - Rush Crk RT'!$B$7:$B$31,'QoL Benefits - Rush Crk RT'!$A$7:$A$31,0)</f>
        <v>3373.2977119387692</v>
      </c>
      <c r="J23" s="466">
        <f>_xlfn.XLOOKUP($B23,'QoL Benefits - Shingle Crk BCR'!$B$7:$B$31,'QoL Benefits - Shingle Crk BCR'!$A$7:$A$31,0)</f>
        <v>6262.3571414713188</v>
      </c>
      <c r="K23" s="466">
        <f>_xlfn.XLOOKUP($B23,'QoL Benefits - Shingle Crk NAR'!$B$7:$B$31,'QoL Benefits - Shingle Crk NAR'!$A$7:$A$31,0)</f>
        <v>5260.3799988359087</v>
      </c>
      <c r="L23" s="461">
        <f t="shared" si="0"/>
        <v>129064.58201886277</v>
      </c>
      <c r="N23" s="147"/>
      <c r="O23" s="147"/>
      <c r="P23" s="147"/>
      <c r="Q23" s="147"/>
      <c r="R23" s="147"/>
      <c r="S23" s="147"/>
      <c r="T23" s="147"/>
    </row>
    <row r="24" spans="2:20" ht="15" customHeight="1" x14ac:dyDescent="0.25">
      <c r="B24" s="74">
        <f t="shared" si="1"/>
        <v>2045</v>
      </c>
      <c r="C24" s="465">
        <f>_xlfn.XLOOKUP($B24,'QoL Benefits - BCRT'!$B$7:$B$31,'QoL Benefits - BCRT'!$A$7:$A$31,0)</f>
        <v>6783.7518326451345</v>
      </c>
      <c r="D24" s="466">
        <f>_xlfn.XLOOKUP($B24,'QoL Benefits - Bryant RT'!$B$7:$B$31,'QoL Benefits - Bryant RT'!$A$7:$A$31,0)</f>
        <v>42443.339322344611</v>
      </c>
      <c r="E24" s="466">
        <f>_xlfn.XLOOKUP($B24,'QoL Benefits - CP RT'!$B$7:$B$31,'QoL Benefits - CP RT'!$A$7:$A$31,0)</f>
        <v>20074.552382190024</v>
      </c>
      <c r="F24" s="466">
        <f>_xlfn.XLOOKUP($B24,'QoL Benefits -Eagle RT'!$B$7:$B$31,'QoL Benefits -Eagle RT'!$A$7:$A$31,0)</f>
        <v>34413.518369468606</v>
      </c>
      <c r="G24" s="466">
        <f>_xlfn.XLOOKUP($B24,'QoL Benefits - Med Lake RT'!$B$7:$B$31,'QoL Benefits - Med Lake RT'!$A$7:$A$31,0)</f>
        <v>8301.5325982075665</v>
      </c>
      <c r="H24" s="466">
        <f>_xlfn.XLOOKUP($B24,'QoL Benefits - 9Mi RT'!$B$7:$B$31,'QoL Benefits - 9Mi RT'!$A$7:$A$31,0)</f>
        <v>4435.2236050931479</v>
      </c>
      <c r="I24" s="466">
        <f>_xlfn.XLOOKUP($B24,'QoL Benefits - Rush Crk RT'!$B$7:$B$31,'QoL Benefits - Rush Crk RT'!$A$7:$A$31,0)</f>
        <v>3440.763666177545</v>
      </c>
      <c r="J24" s="466">
        <f>_xlfn.XLOOKUP($B24,'QoL Benefits - Shingle Crk BCR'!$B$7:$B$31,'QoL Benefits - Shingle Crk BCR'!$A$7:$A$31,0)</f>
        <v>6387.6042843007453</v>
      </c>
      <c r="K24" s="466">
        <f>_xlfn.XLOOKUP($B24,'QoL Benefits - Shingle Crk NAR'!$B$7:$B$31,'QoL Benefits - Shingle Crk NAR'!$A$7:$A$31,0)</f>
        <v>5365.5875988126263</v>
      </c>
      <c r="L24" s="461">
        <f t="shared" si="0"/>
        <v>131645.87365923999</v>
      </c>
      <c r="N24" s="147"/>
      <c r="O24" s="147"/>
      <c r="P24" s="147"/>
      <c r="Q24" s="147"/>
      <c r="R24" s="147"/>
      <c r="S24" s="147"/>
      <c r="T24" s="147"/>
    </row>
    <row r="25" spans="2:20" ht="15" customHeight="1" x14ac:dyDescent="0.25">
      <c r="B25" s="74">
        <f t="shared" si="1"/>
        <v>2046</v>
      </c>
      <c r="C25" s="465">
        <f>_xlfn.XLOOKUP($B25,'QoL Benefits - BCRT'!$B$7:$B$31,'QoL Benefits - BCRT'!$A$7:$A$31,0)</f>
        <v>6919.4268692980395</v>
      </c>
      <c r="D25" s="466">
        <f>_xlfn.XLOOKUP($B25,'QoL Benefits - Bryant RT'!$B$7:$B$31,'QoL Benefits - Bryant RT'!$A$7:$A$31,0)</f>
        <v>43292.206108791506</v>
      </c>
      <c r="E25" s="466">
        <f>_xlfn.XLOOKUP($B25,'QoL Benefits - CP RT'!$B$7:$B$31,'QoL Benefits - CP RT'!$A$7:$A$31,0)</f>
        <v>20476.04342983383</v>
      </c>
      <c r="F25" s="466">
        <f>_xlfn.XLOOKUP($B25,'QoL Benefits -Eagle RT'!$B$7:$B$31,'QoL Benefits -Eagle RT'!$A$7:$A$31,0)</f>
        <v>35101.788736857983</v>
      </c>
      <c r="G25" s="466">
        <f>_xlfn.XLOOKUP($B25,'QoL Benefits - Med Lake RT'!$B$7:$B$31,'QoL Benefits - Med Lake RT'!$A$7:$A$31,0)</f>
        <v>8467.5632501717191</v>
      </c>
      <c r="H25" s="466">
        <f>_xlfn.XLOOKUP($B25,'QoL Benefits - 9Mi RT'!$B$7:$B$31,'QoL Benefits - 9Mi RT'!$A$7:$A$31,0)</f>
        <v>4523.9280771950116</v>
      </c>
      <c r="I25" s="466">
        <f>_xlfn.XLOOKUP($B25,'QoL Benefits - Rush Crk RT'!$B$7:$B$31,'QoL Benefits - Rush Crk RT'!$A$7:$A$31,0)</f>
        <v>3509.5789395010961</v>
      </c>
      <c r="J25" s="466">
        <f>_xlfn.XLOOKUP($B25,'QoL Benefits - Shingle Crk BCR'!$B$7:$B$31,'QoL Benefits - Shingle Crk BCR'!$A$7:$A$31,0)</f>
        <v>6515.3563699867618</v>
      </c>
      <c r="K25" s="466">
        <f>_xlfn.XLOOKUP($B25,'QoL Benefits - Shingle Crk NAR'!$B$7:$B$31,'QoL Benefits - Shingle Crk NAR'!$A$7:$A$31,0)</f>
        <v>5472.899350788879</v>
      </c>
      <c r="L25" s="461">
        <f t="shared" si="0"/>
        <v>134278.79113242481</v>
      </c>
      <c r="N25" s="147"/>
      <c r="O25" s="147"/>
      <c r="P25" s="147"/>
      <c r="Q25" s="147"/>
      <c r="R25" s="147"/>
      <c r="S25" s="147"/>
      <c r="T25" s="147"/>
    </row>
    <row r="26" spans="2:20" ht="15" customHeight="1" x14ac:dyDescent="0.25">
      <c r="B26" s="74">
        <f t="shared" si="1"/>
        <v>2047</v>
      </c>
      <c r="C26" s="465">
        <f>_xlfn.XLOOKUP($B26,'QoL Benefits - BCRT'!$B$7:$B$31,'QoL Benefits - BCRT'!$A$7:$A$31,0)</f>
        <v>7057.815406683997</v>
      </c>
      <c r="D26" s="466">
        <f>_xlfn.XLOOKUP($B26,'QoL Benefits - Bryant RT'!$B$7:$B$31,'QoL Benefits - Bryant RT'!$A$7:$A$31,0)</f>
        <v>44158.050230967332</v>
      </c>
      <c r="E26" s="466">
        <f>_xlfn.XLOOKUP($B26,'QoL Benefits - CP RT'!$B$7:$B$31,'QoL Benefits - CP RT'!$A$7:$A$31,0)</f>
        <v>20885.564298430498</v>
      </c>
      <c r="F26" s="466">
        <f>_xlfn.XLOOKUP($B26,'QoL Benefits -Eagle RT'!$B$7:$B$31,'QoL Benefits -Eagle RT'!$A$7:$A$31,0)</f>
        <v>35803.824511595136</v>
      </c>
      <c r="G26" s="466">
        <f>_xlfn.XLOOKUP($B26,'QoL Benefits - Med Lake RT'!$B$7:$B$31,'QoL Benefits - Med Lake RT'!$A$7:$A$31,0)</f>
        <v>8636.9145151751527</v>
      </c>
      <c r="H26" s="466">
        <f>_xlfn.XLOOKUP($B26,'QoL Benefits - 9Mi RT'!$B$7:$B$31,'QoL Benefits - 9Mi RT'!$A$7:$A$31,0)</f>
        <v>4614.4066387389103</v>
      </c>
      <c r="I26" s="466">
        <f>_xlfn.XLOOKUP($B26,'QoL Benefits - Rush Crk RT'!$B$7:$B$31,'QoL Benefits - Rush Crk RT'!$A$7:$A$31,0)</f>
        <v>3579.7705182911172</v>
      </c>
      <c r="J26" s="466">
        <f>_xlfn.XLOOKUP($B26,'QoL Benefits - Shingle Crk BCR'!$B$7:$B$31,'QoL Benefits - Shingle Crk BCR'!$A$7:$A$31,0)</f>
        <v>6645.6634973864948</v>
      </c>
      <c r="K26" s="466">
        <f>_xlfn.XLOOKUP($B26,'QoL Benefits - Shingle Crk NAR'!$B$7:$B$31,'QoL Benefits - Shingle Crk NAR'!$A$7:$A$31,0)</f>
        <v>5582.3573378046558</v>
      </c>
      <c r="L26" s="461">
        <f t="shared" si="0"/>
        <v>136964.36695507329</v>
      </c>
      <c r="N26" s="147"/>
      <c r="O26" s="147"/>
      <c r="P26" s="147"/>
      <c r="Q26" s="147"/>
      <c r="R26" s="147"/>
      <c r="S26" s="147"/>
      <c r="T26" s="147"/>
    </row>
    <row r="27" spans="2:20" ht="15" customHeight="1" x14ac:dyDescent="0.25">
      <c r="B27" s="74">
        <f t="shared" si="1"/>
        <v>2048</v>
      </c>
      <c r="C27" s="465">
        <f>_xlfn.XLOOKUP($B27,'QoL Benefits - BCRT'!$B$7:$B$31,'QoL Benefits - BCRT'!$A$7:$A$31,0)</f>
        <v>7198.9717148176787</v>
      </c>
      <c r="D27" s="466">
        <f>_xlfn.XLOOKUP($B27,'QoL Benefits - Bryant RT'!$B$7:$B$31,'QoL Benefits - Bryant RT'!$A$7:$A$31,0)</f>
        <v>45041.211235586685</v>
      </c>
      <c r="E27" s="466">
        <f>_xlfn.XLOOKUP($B27,'QoL Benefits - CP RT'!$B$7:$B$31,'QoL Benefits - CP RT'!$A$7:$A$31,0)</f>
        <v>21303.275584399114</v>
      </c>
      <c r="F27" s="466">
        <f>_xlfn.XLOOKUP($B27,'QoL Benefits -Eagle RT'!$B$7:$B$31,'QoL Benefits -Eagle RT'!$A$7:$A$31,0)</f>
        <v>36519.901001827042</v>
      </c>
      <c r="G27" s="466">
        <f>_xlfn.XLOOKUP($B27,'QoL Benefits - Med Lake RT'!$B$7:$B$31,'QoL Benefits - Med Lake RT'!$A$7:$A$31,0)</f>
        <v>8809.6528054786559</v>
      </c>
      <c r="H27" s="466">
        <f>_xlfn.XLOOKUP($B27,'QoL Benefits - 9Mi RT'!$B$7:$B$31,'QoL Benefits - 9Mi RT'!$A$7:$A$31,0)</f>
        <v>4706.6947715136894</v>
      </c>
      <c r="I27" s="466">
        <f>_xlfn.XLOOKUP($B27,'QoL Benefits - Rush Crk RT'!$B$7:$B$31,'QoL Benefits - Rush Crk RT'!$A$7:$A$31,0)</f>
        <v>3651.3659286569405</v>
      </c>
      <c r="J27" s="466">
        <f>_xlfn.XLOOKUP($B27,'QoL Benefits - Shingle Crk BCR'!$B$7:$B$31,'QoL Benefits - Shingle Crk BCR'!$A$7:$A$31,0)</f>
        <v>6778.576767334227</v>
      </c>
      <c r="K27" s="466">
        <f>_xlfn.XLOOKUP($B27,'QoL Benefits - Shingle Crk NAR'!$B$7:$B$31,'QoL Benefits - Shingle Crk NAR'!$A$7:$A$31,0)</f>
        <v>5694.0044845607499</v>
      </c>
      <c r="L27" s="461">
        <f t="shared" si="0"/>
        <v>139703.65429417478</v>
      </c>
      <c r="N27" s="147"/>
      <c r="O27" s="147"/>
      <c r="P27" s="147"/>
      <c r="Q27" s="147"/>
      <c r="R27" s="147"/>
      <c r="S27" s="147"/>
      <c r="T27" s="147"/>
    </row>
    <row r="28" spans="2:20" ht="15" customHeight="1" x14ac:dyDescent="0.25">
      <c r="B28" s="74">
        <f t="shared" si="1"/>
        <v>2049</v>
      </c>
      <c r="C28" s="465">
        <f>_xlfn.XLOOKUP($B28,'QoL Benefits - BCRT'!$B$7:$B$31,'QoL Benefits - BCRT'!$A$7:$A$31,0)</f>
        <v>7342.9511491140329</v>
      </c>
      <c r="D28" s="466">
        <f>_xlfn.XLOOKUP($B28,'QoL Benefits - Bryant RT'!$B$7:$B$31,'QoL Benefits - Bryant RT'!$A$7:$A$31,0)</f>
        <v>45942.035460298415</v>
      </c>
      <c r="E28" s="466">
        <f>_xlfn.XLOOKUP($B28,'QoL Benefits - CP RT'!$B$7:$B$31,'QoL Benefits - CP RT'!$A$7:$A$31,0)</f>
        <v>21729.341096087093</v>
      </c>
      <c r="F28" s="466">
        <f>_xlfn.XLOOKUP($B28,'QoL Benefits -Eagle RT'!$B$7:$B$31,'QoL Benefits -Eagle RT'!$A$7:$A$31,0)</f>
        <v>37250.299021863582</v>
      </c>
      <c r="G28" s="466">
        <f>_xlfn.XLOOKUP($B28,'QoL Benefits - Med Lake RT'!$B$7:$B$31,'QoL Benefits - Med Lake RT'!$A$7:$A$31,0)</f>
        <v>8985.8458615882282</v>
      </c>
      <c r="H28" s="466">
        <f>_xlfn.XLOOKUP($B28,'QoL Benefits - 9Mi RT'!$B$7:$B$31,'QoL Benefits - 9Mi RT'!$A$7:$A$31,0)</f>
        <v>4800.8286669439631</v>
      </c>
      <c r="I28" s="466">
        <f>_xlfn.XLOOKUP($B28,'QoL Benefits - Rush Crk RT'!$B$7:$B$31,'QoL Benefits - Rush Crk RT'!$A$7:$A$31,0)</f>
        <v>3724.3932472300785</v>
      </c>
      <c r="J28" s="466">
        <f>_xlfn.XLOOKUP($B28,'QoL Benefits - Shingle Crk BCR'!$B$7:$B$31,'QoL Benefits - Shingle Crk BCR'!$A$7:$A$31,0)</f>
        <v>6914.1483026809092</v>
      </c>
      <c r="K28" s="466">
        <f>_xlfn.XLOOKUP($B28,'QoL Benefits - Shingle Crk NAR'!$B$7:$B$31,'QoL Benefits - Shingle Crk NAR'!$A$7:$A$31,0)</f>
        <v>5807.8845742519643</v>
      </c>
      <c r="L28" s="461">
        <f t="shared" si="0"/>
        <v>142497.72738005829</v>
      </c>
      <c r="N28" s="147"/>
      <c r="O28" s="147"/>
      <c r="P28" s="147"/>
      <c r="Q28" s="147"/>
      <c r="R28" s="147"/>
      <c r="S28" s="147"/>
      <c r="T28" s="147"/>
    </row>
    <row r="29" spans="2:20" ht="15" customHeight="1" x14ac:dyDescent="0.25">
      <c r="B29" s="74">
        <f t="shared" si="1"/>
        <v>2050</v>
      </c>
      <c r="C29" s="465">
        <f>_xlfn.XLOOKUP($B29,'QoL Benefits - BCRT'!$B$7:$B$31,'QoL Benefits - BCRT'!$A$7:$A$31,0)</f>
        <v>7489.8101720963123</v>
      </c>
      <c r="D29" s="466">
        <f>_xlfn.XLOOKUP($B29,'QoL Benefits - Bryant RT'!$B$7:$B$31,'QoL Benefits - Bryant RT'!$A$7:$A$31,0)</f>
        <v>46860.876169504387</v>
      </c>
      <c r="E29" s="466">
        <f>_xlfn.XLOOKUP($B29,'QoL Benefits - CP RT'!$B$7:$B$31,'QoL Benefits - CP RT'!$A$7:$A$31,0)</f>
        <v>22163.927918008834</v>
      </c>
      <c r="F29" s="466">
        <f>_xlfn.XLOOKUP($B29,'QoL Benefits -Eagle RT'!$B$7:$B$31,'QoL Benefits -Eagle RT'!$A$7:$A$31,0)</f>
        <v>37995.305002300855</v>
      </c>
      <c r="G29" s="466">
        <f>_xlfn.XLOOKUP($B29,'QoL Benefits - Med Lake RT'!$B$7:$B$31,'QoL Benefits - Med Lake RT'!$A$7:$A$31,0)</f>
        <v>9165.5627788199945</v>
      </c>
      <c r="H29" s="466">
        <f>_xlfn.XLOOKUP($B29,'QoL Benefits - 9Mi RT'!$B$7:$B$31,'QoL Benefits - 9Mi RT'!$A$7:$A$31,0)</f>
        <v>4896.8452402828425</v>
      </c>
      <c r="I29" s="466">
        <f>_xlfn.XLOOKUP($B29,'QoL Benefits - Rush Crk RT'!$B$7:$B$31,'QoL Benefits - Rush Crk RT'!$A$7:$A$31,0)</f>
        <v>3798.8811121746803</v>
      </c>
      <c r="J29" s="466">
        <f>_xlfn.XLOOKUP($B29,'QoL Benefits - Shingle Crk BCR'!$B$7:$B$31,'QoL Benefits - Shingle Crk BCR'!$A$7:$A$31,0)</f>
        <v>7052.4312687345291</v>
      </c>
      <c r="K29" s="466">
        <f>_xlfn.XLOOKUP($B29,'QoL Benefits - Shingle Crk NAR'!$B$7:$B$31,'QoL Benefits - Shingle Crk NAR'!$A$7:$A$31,0)</f>
        <v>5924.0422657370054</v>
      </c>
      <c r="L29" s="461">
        <f t="shared" si="0"/>
        <v>145347.68192765943</v>
      </c>
      <c r="N29" s="147"/>
      <c r="O29" s="147"/>
      <c r="P29" s="147"/>
      <c r="Q29" s="147"/>
      <c r="R29" s="147"/>
      <c r="S29" s="147"/>
      <c r="T29" s="147"/>
    </row>
    <row r="30" spans="2:20" ht="15" customHeight="1" x14ac:dyDescent="0.25">
      <c r="B30" s="74">
        <f t="shared" si="1"/>
        <v>2051</v>
      </c>
      <c r="C30" s="465">
        <f>_xlfn.XLOOKUP($B30,'QoL Benefits - BCRT'!$B$7:$B$31,'QoL Benefits - BCRT'!$A$7:$A$31,0)</f>
        <v>0</v>
      </c>
      <c r="D30" s="466">
        <f>_xlfn.XLOOKUP($B30,'QoL Benefits - Bryant RT'!$B$7:$B$31,'QoL Benefits - Bryant RT'!$A$7:$A$31,0)</f>
        <v>0</v>
      </c>
      <c r="E30" s="466">
        <f>_xlfn.XLOOKUP($B30,'QoL Benefits - CP RT'!$B$7:$B$31,'QoL Benefits - CP RT'!$A$7:$A$31,0)</f>
        <v>0</v>
      </c>
      <c r="F30" s="466">
        <f>_xlfn.XLOOKUP($B30,'QoL Benefits -Eagle RT'!$B$7:$B$31,'QoL Benefits -Eagle RT'!$A$7:$A$31,0)</f>
        <v>0</v>
      </c>
      <c r="G30" s="466">
        <f>_xlfn.XLOOKUP($B30,'QoL Benefits - Med Lake RT'!$B$7:$B$31,'QoL Benefits - Med Lake RT'!$A$7:$A$31,0)</f>
        <v>0</v>
      </c>
      <c r="H30" s="466">
        <f>_xlfn.XLOOKUP($B30,'QoL Benefits - 9Mi RT'!$B$7:$B$31,'QoL Benefits - 9Mi RT'!$A$7:$A$31,0)</f>
        <v>0</v>
      </c>
      <c r="I30" s="466">
        <f>_xlfn.XLOOKUP($B30,'QoL Benefits - Rush Crk RT'!$B$7:$B$31,'QoL Benefits - Rush Crk RT'!$A$7:$A$31,0)</f>
        <v>0</v>
      </c>
      <c r="J30" s="466">
        <f>_xlfn.XLOOKUP($B30,'QoL Benefits - Shingle Crk BCR'!$B$7:$B$31,'QoL Benefits - Shingle Crk BCR'!$A$7:$A$31,0)</f>
        <v>0</v>
      </c>
      <c r="K30" s="466">
        <f>_xlfn.XLOOKUP($B30,'QoL Benefits - Shingle Crk NAR'!$B$7:$B$31,'QoL Benefits - Shingle Crk NAR'!$A$7:$A$31,0)</f>
        <v>0</v>
      </c>
      <c r="L30" s="461">
        <f t="shared" si="0"/>
        <v>0</v>
      </c>
      <c r="N30" s="147"/>
      <c r="O30" s="147"/>
      <c r="P30" s="147"/>
      <c r="Q30" s="147"/>
      <c r="R30" s="147"/>
      <c r="S30" s="147"/>
      <c r="T30" s="147"/>
    </row>
    <row r="31" spans="2:20" ht="15" customHeight="1" x14ac:dyDescent="0.25">
      <c r="B31" s="74">
        <f t="shared" si="1"/>
        <v>2052</v>
      </c>
      <c r="C31" s="465">
        <f>_xlfn.XLOOKUP($B31,'QoL Benefits - BCRT'!$B$7:$B$31,'QoL Benefits - BCRT'!$A$7:$A$31,0)</f>
        <v>0</v>
      </c>
      <c r="D31" s="466">
        <f>_xlfn.XLOOKUP($B31,'QoL Benefits - Bryant RT'!$B$7:$B$31,'QoL Benefits - Bryant RT'!$A$7:$A$31,0)</f>
        <v>0</v>
      </c>
      <c r="E31" s="466">
        <f>_xlfn.XLOOKUP($B31,'QoL Benefits - CP RT'!$B$7:$B$31,'QoL Benefits - CP RT'!$A$7:$A$31,0)</f>
        <v>0</v>
      </c>
      <c r="F31" s="466">
        <f>_xlfn.XLOOKUP($B31,'QoL Benefits -Eagle RT'!$B$7:$B$31,'QoL Benefits -Eagle RT'!$A$7:$A$31,0)</f>
        <v>0</v>
      </c>
      <c r="G31" s="466">
        <f>_xlfn.XLOOKUP($B31,'QoL Benefits - Med Lake RT'!$B$7:$B$31,'QoL Benefits - Med Lake RT'!$A$7:$A$31,0)</f>
        <v>0</v>
      </c>
      <c r="H31" s="466">
        <f>_xlfn.XLOOKUP($B31,'QoL Benefits - 9Mi RT'!$B$7:$B$31,'QoL Benefits - 9Mi RT'!$A$7:$A$31,0)</f>
        <v>0</v>
      </c>
      <c r="I31" s="466">
        <f>_xlfn.XLOOKUP($B31,'QoL Benefits - Rush Crk RT'!$B$7:$B$31,'QoL Benefits - Rush Crk RT'!$A$7:$A$31,0)</f>
        <v>0</v>
      </c>
      <c r="J31" s="466">
        <f>_xlfn.XLOOKUP($B31,'QoL Benefits - Shingle Crk BCR'!$B$7:$B$31,'QoL Benefits - Shingle Crk BCR'!$A$7:$A$31,0)</f>
        <v>0</v>
      </c>
      <c r="K31" s="466">
        <f>_xlfn.XLOOKUP($B31,'QoL Benefits - Shingle Crk NAR'!$B$7:$B$31,'QoL Benefits - Shingle Crk NAR'!$A$7:$A$31,0)</f>
        <v>0</v>
      </c>
      <c r="L31" s="461">
        <f t="shared" si="0"/>
        <v>0</v>
      </c>
      <c r="N31" s="147"/>
      <c r="O31" s="147"/>
      <c r="P31" s="147"/>
      <c r="Q31" s="147"/>
      <c r="R31" s="147"/>
      <c r="S31" s="147"/>
      <c r="T31" s="147"/>
    </row>
    <row r="32" spans="2:20" ht="15" customHeight="1" x14ac:dyDescent="0.25">
      <c r="B32" s="74">
        <f t="shared" si="1"/>
        <v>2053</v>
      </c>
      <c r="C32" s="465">
        <f>_xlfn.XLOOKUP($B32,'QoL Benefits - BCRT'!$B$7:$B$31,'QoL Benefits - BCRT'!$A$7:$A$31,0)</f>
        <v>0</v>
      </c>
      <c r="D32" s="466">
        <f>_xlfn.XLOOKUP($B32,'QoL Benefits - Bryant RT'!$B$7:$B$31,'QoL Benefits - Bryant RT'!$A$7:$A$31,0)</f>
        <v>0</v>
      </c>
      <c r="E32" s="466">
        <f>_xlfn.XLOOKUP($B32,'QoL Benefits - CP RT'!$B$7:$B$31,'QoL Benefits - CP RT'!$A$7:$A$31,0)</f>
        <v>0</v>
      </c>
      <c r="F32" s="466">
        <f>_xlfn.XLOOKUP($B32,'QoL Benefits -Eagle RT'!$B$7:$B$31,'QoL Benefits -Eagle RT'!$A$7:$A$31,0)</f>
        <v>0</v>
      </c>
      <c r="G32" s="466">
        <f>_xlfn.XLOOKUP($B32,'QoL Benefits - Med Lake RT'!$B$7:$B$31,'QoL Benefits - Med Lake RT'!$A$7:$A$31,0)</f>
        <v>0</v>
      </c>
      <c r="H32" s="466">
        <f>_xlfn.XLOOKUP($B32,'QoL Benefits - 9Mi RT'!$B$7:$B$31,'QoL Benefits - 9Mi RT'!$A$7:$A$31,0)</f>
        <v>0</v>
      </c>
      <c r="I32" s="466">
        <f>_xlfn.XLOOKUP($B32,'QoL Benefits - Rush Crk RT'!$B$7:$B$31,'QoL Benefits - Rush Crk RT'!$A$7:$A$31,0)</f>
        <v>0</v>
      </c>
      <c r="J32" s="466">
        <f>_xlfn.XLOOKUP($B32,'QoL Benefits - Shingle Crk BCR'!$B$7:$B$31,'QoL Benefits - Shingle Crk BCR'!$A$7:$A$31,0)</f>
        <v>0</v>
      </c>
      <c r="K32" s="466">
        <f>_xlfn.XLOOKUP($B32,'QoL Benefits - Shingle Crk NAR'!$B$7:$B$31,'QoL Benefits - Shingle Crk NAR'!$A$7:$A$31,0)</f>
        <v>0</v>
      </c>
      <c r="L32" s="461">
        <f t="shared" si="0"/>
        <v>0</v>
      </c>
      <c r="N32" s="147"/>
      <c r="O32" s="147"/>
      <c r="P32" s="147"/>
      <c r="Q32" s="147"/>
      <c r="R32" s="147"/>
      <c r="S32" s="147"/>
      <c r="T32" s="147"/>
    </row>
    <row r="33" spans="2:20" ht="15" customHeight="1" x14ac:dyDescent="0.25">
      <c r="B33" s="74">
        <f t="shared" si="1"/>
        <v>2054</v>
      </c>
      <c r="C33" s="467">
        <f>_xlfn.XLOOKUP($B33,'QoL Benefits - BCRT'!$B$7:$B$31,'QoL Benefits - BCRT'!$A$7:$A$31,0)</f>
        <v>0</v>
      </c>
      <c r="D33" s="468">
        <f>_xlfn.XLOOKUP($B33,'QoL Benefits - Bryant RT'!$B$7:$B$31,'QoL Benefits - Bryant RT'!$A$7:$A$31,0)</f>
        <v>0</v>
      </c>
      <c r="E33" s="468">
        <f>_xlfn.XLOOKUP($B33,'QoL Benefits - CP RT'!$B$7:$B$31,'QoL Benefits - CP RT'!$A$7:$A$31,0)</f>
        <v>0</v>
      </c>
      <c r="F33" s="468">
        <f>_xlfn.XLOOKUP($B33,'QoL Benefits -Eagle RT'!$B$7:$B$31,'QoL Benefits -Eagle RT'!$A$7:$A$31,0)</f>
        <v>0</v>
      </c>
      <c r="G33" s="468">
        <f>_xlfn.XLOOKUP($B33,'QoL Benefits - Med Lake RT'!$B$7:$B$31,'QoL Benefits - Med Lake RT'!$A$7:$A$31,0)</f>
        <v>0</v>
      </c>
      <c r="H33" s="468">
        <f>_xlfn.XLOOKUP($B33,'QoL Benefits - 9Mi RT'!$B$7:$B$31,'QoL Benefits - 9Mi RT'!$A$7:$A$31,0)</f>
        <v>0</v>
      </c>
      <c r="I33" s="468">
        <f>_xlfn.XLOOKUP($B33,'QoL Benefits - Rush Crk RT'!$B$7:$B$31,'QoL Benefits - Rush Crk RT'!$A$7:$A$31,0)</f>
        <v>0</v>
      </c>
      <c r="J33" s="468">
        <f>_xlfn.XLOOKUP($B33,'QoL Benefits - Shingle Crk BCR'!$B$7:$B$31,'QoL Benefits - Shingle Crk BCR'!$A$7:$A$31,0)</f>
        <v>0</v>
      </c>
      <c r="K33" s="468">
        <f>_xlfn.XLOOKUP($B33,'QoL Benefits - Shingle Crk NAR'!$B$7:$B$31,'QoL Benefits - Shingle Crk NAR'!$A$7:$A$31,0)</f>
        <v>0</v>
      </c>
      <c r="L33" s="469">
        <f t="shared" si="0"/>
        <v>0</v>
      </c>
      <c r="N33" s="147"/>
      <c r="O33" s="147"/>
      <c r="P33" s="147"/>
      <c r="Q33" s="147"/>
      <c r="R33" s="147"/>
      <c r="S33" s="147"/>
      <c r="T33" s="147"/>
    </row>
    <row r="34" spans="2:20" ht="15" customHeight="1" thickBot="1" x14ac:dyDescent="0.3">
      <c r="B34" s="74">
        <f t="shared" si="1"/>
        <v>2055</v>
      </c>
      <c r="C34" s="470">
        <f>_xlfn.XLOOKUP($B34,'QoL Benefits - BCRT'!$B$7:$B$31,'QoL Benefits - BCRT'!$A$7:$A$31,0)</f>
        <v>0</v>
      </c>
      <c r="D34" s="471">
        <f>_xlfn.XLOOKUP($B34,'QoL Benefits - Bryant RT'!$B$7:$B$31,'QoL Benefits - Bryant RT'!$A$7:$A$31,0)</f>
        <v>0</v>
      </c>
      <c r="E34" s="471">
        <f>_xlfn.XLOOKUP($B34,'QoL Benefits - CP RT'!$B$7:$B$31,'QoL Benefits - CP RT'!$A$7:$A$31,0)</f>
        <v>0</v>
      </c>
      <c r="F34" s="471">
        <f>_xlfn.XLOOKUP($B34,'QoL Benefits -Eagle RT'!$B$7:$B$31,'QoL Benefits -Eagle RT'!$A$7:$A$31,0)</f>
        <v>0</v>
      </c>
      <c r="G34" s="471">
        <f>_xlfn.XLOOKUP($B34,'QoL Benefits - Med Lake RT'!$B$7:$B$31,'QoL Benefits - Med Lake RT'!$A$7:$A$31,0)</f>
        <v>0</v>
      </c>
      <c r="H34" s="471">
        <f>_xlfn.XLOOKUP($B34,'QoL Benefits - 9Mi RT'!$B$7:$B$31,'QoL Benefits - 9Mi RT'!$A$7:$A$31,0)</f>
        <v>0</v>
      </c>
      <c r="I34" s="471">
        <f>_xlfn.XLOOKUP($B34,'QoL Benefits - Rush Crk RT'!$B$7:$B$31,'QoL Benefits - Rush Crk RT'!$A$7:$A$31,0)</f>
        <v>0</v>
      </c>
      <c r="J34" s="471">
        <f>_xlfn.XLOOKUP($B34,'QoL Benefits - Shingle Crk BCR'!$B$7:$B$31,'QoL Benefits - Shingle Crk BCR'!$A$7:$A$31,0)</f>
        <v>0</v>
      </c>
      <c r="K34" s="471">
        <f>_xlfn.XLOOKUP($B34,'QoL Benefits - Shingle Crk NAR'!$B$7:$B$31,'QoL Benefits - Shingle Crk NAR'!$A$7:$A$31,0)</f>
        <v>0</v>
      </c>
      <c r="L34" s="472">
        <f t="shared" si="0"/>
        <v>0</v>
      </c>
      <c r="N34" s="147"/>
      <c r="O34" s="147"/>
      <c r="P34" s="147"/>
      <c r="Q34" s="147"/>
      <c r="R34" s="147"/>
      <c r="S34" s="147"/>
      <c r="T34" s="147"/>
    </row>
    <row r="35" spans="2:20" ht="15" customHeight="1" x14ac:dyDescent="0.25">
      <c r="B35" s="15"/>
      <c r="C35" s="63"/>
      <c r="D35" s="63"/>
      <c r="E35" s="63"/>
      <c r="F35" s="63"/>
      <c r="G35" s="63"/>
      <c r="H35" s="63"/>
      <c r="I35" s="63"/>
      <c r="K35" s="605" t="s">
        <v>23</v>
      </c>
      <c r="L35" s="100">
        <f>SUM(L7:L34)</f>
        <v>2465486.388420274</v>
      </c>
    </row>
    <row r="36" spans="2:20" ht="16.5" customHeight="1" x14ac:dyDescent="0.25">
      <c r="B36" s="148"/>
      <c r="C36" s="149"/>
      <c r="D36" s="149"/>
    </row>
    <row r="37" spans="2:20" x14ac:dyDescent="0.25">
      <c r="B37" s="40"/>
      <c r="C37" s="40"/>
      <c r="D37" s="40"/>
    </row>
  </sheetData>
  <mergeCells count="3">
    <mergeCell ref="C4:L4"/>
    <mergeCell ref="B5:B6"/>
    <mergeCell ref="C5:L5"/>
  </mergeCells>
  <pageMargins left="0.25" right="0.25" top="0.75" bottom="0.75" header="0.3" footer="0.3"/>
  <pageSetup scale="7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9498-DBD8-4FC7-B644-7462C3F79D78}">
  <sheetPr>
    <tabColor theme="9" tint="0.39997558519241921"/>
  </sheetPr>
  <dimension ref="A1:R19"/>
  <sheetViews>
    <sheetView zoomScale="85" zoomScaleNormal="85" workbookViewId="0">
      <selection activeCell="D19" sqref="D19"/>
    </sheetView>
  </sheetViews>
  <sheetFormatPr defaultRowHeight="15" x14ac:dyDescent="0.25"/>
  <cols>
    <col min="1" max="2" width="9.140625" style="162"/>
    <col min="3" max="3" width="42" style="162" customWidth="1"/>
    <col min="4" max="13" width="15.7109375" style="162" customWidth="1"/>
    <col min="14" max="14" width="18.42578125" style="162" customWidth="1"/>
    <col min="15" max="15" width="15.28515625" style="162" bestFit="1" customWidth="1"/>
    <col min="16" max="16" width="13.28515625" style="162" customWidth="1"/>
    <col min="17" max="17" width="16" style="162" customWidth="1"/>
    <col min="18" max="16384" width="9.140625" style="162"/>
  </cols>
  <sheetData>
    <row r="1" spans="1:18" x14ac:dyDescent="0.25">
      <c r="A1" s="162" t="s">
        <v>126</v>
      </c>
    </row>
    <row r="2" spans="1:18" x14ac:dyDescent="0.25">
      <c r="C2" s="497" t="s">
        <v>627</v>
      </c>
      <c r="D2" s="497">
        <v>2022</v>
      </c>
      <c r="E2" s="497">
        <v>2022</v>
      </c>
      <c r="F2" s="497">
        <v>2022</v>
      </c>
      <c r="G2" s="497">
        <v>2022</v>
      </c>
      <c r="H2" s="497">
        <v>2022</v>
      </c>
      <c r="I2" s="497">
        <v>2022</v>
      </c>
      <c r="J2" s="497">
        <v>2022</v>
      </c>
      <c r="K2" s="497">
        <v>2022</v>
      </c>
      <c r="L2" s="497">
        <v>2022</v>
      </c>
    </row>
    <row r="3" spans="1:18" x14ac:dyDescent="0.25">
      <c r="C3" s="162" t="s">
        <v>577</v>
      </c>
      <c r="D3" s="162">
        <f>'Trail Project Summary'!J3</f>
        <v>2028</v>
      </c>
      <c r="E3" s="292">
        <f>'Trail Project Summary'!J8</f>
        <v>2030</v>
      </c>
      <c r="F3" s="292">
        <f>'Trail Project Summary'!J11</f>
        <v>2029</v>
      </c>
      <c r="G3" s="292">
        <f>'Trail Project Summary'!J15</f>
        <v>2030</v>
      </c>
      <c r="H3" s="292">
        <f>'Trail Project Summary'!J18</f>
        <v>2028</v>
      </c>
      <c r="I3" s="292">
        <f>'Trail Project Summary'!J22</f>
        <v>2028</v>
      </c>
      <c r="J3" s="292">
        <f>'Trail Project Summary'!J25</f>
        <v>2029</v>
      </c>
      <c r="K3" s="292">
        <f>'Trail Project Summary'!J28</f>
        <v>2028</v>
      </c>
      <c r="L3" s="292">
        <f>'Trail Project Summary'!J29</f>
        <v>2028</v>
      </c>
    </row>
    <row r="4" spans="1:18" s="292" customFormat="1" x14ac:dyDescent="0.25">
      <c r="C4" s="620" t="s">
        <v>578</v>
      </c>
      <c r="D4" s="620">
        <f>D3+1</f>
        <v>2029</v>
      </c>
      <c r="E4" s="620">
        <f t="shared" ref="E4:L4" si="0">E3+1</f>
        <v>2031</v>
      </c>
      <c r="F4" s="620">
        <f t="shared" si="0"/>
        <v>2030</v>
      </c>
      <c r="G4" s="620">
        <f t="shared" si="0"/>
        <v>2031</v>
      </c>
      <c r="H4" s="620">
        <f t="shared" si="0"/>
        <v>2029</v>
      </c>
      <c r="I4" s="620">
        <f t="shared" si="0"/>
        <v>2029</v>
      </c>
      <c r="J4" s="620">
        <f t="shared" si="0"/>
        <v>2030</v>
      </c>
      <c r="K4" s="620">
        <f t="shared" si="0"/>
        <v>2029</v>
      </c>
      <c r="L4" s="620">
        <f t="shared" si="0"/>
        <v>2029</v>
      </c>
    </row>
    <row r="5" spans="1:18" ht="30" x14ac:dyDescent="0.25">
      <c r="C5" s="164"/>
      <c r="D5" s="399" t="s">
        <v>127</v>
      </c>
      <c r="E5" s="400" t="s">
        <v>128</v>
      </c>
      <c r="F5" s="401" t="s">
        <v>129</v>
      </c>
      <c r="G5" s="401" t="s">
        <v>130</v>
      </c>
      <c r="H5" s="401" t="s">
        <v>131</v>
      </c>
      <c r="I5" s="401" t="s">
        <v>132</v>
      </c>
      <c r="J5" s="401" t="s">
        <v>133</v>
      </c>
      <c r="K5" s="401" t="s">
        <v>134</v>
      </c>
      <c r="L5" s="401" t="s">
        <v>135</v>
      </c>
      <c r="M5" s="572"/>
      <c r="N5" s="574" t="s">
        <v>44</v>
      </c>
      <c r="O5" s="165" t="s">
        <v>136</v>
      </c>
      <c r="P5" s="165" t="s">
        <v>137</v>
      </c>
      <c r="Q5" s="165" t="s">
        <v>138</v>
      </c>
      <c r="R5" s="166" t="s">
        <v>139</v>
      </c>
    </row>
    <row r="6" spans="1:18" x14ac:dyDescent="0.25">
      <c r="C6" s="164" t="s">
        <v>140</v>
      </c>
      <c r="D6" s="500">
        <v>3265800</v>
      </c>
      <c r="E6" s="524">
        <v>7595000</v>
      </c>
      <c r="F6" s="524">
        <v>6211800</v>
      </c>
      <c r="G6" s="524">
        <v>4651380</v>
      </c>
      <c r="H6" s="524">
        <v>4335000</v>
      </c>
      <c r="I6" s="524">
        <v>1140000</v>
      </c>
      <c r="J6" s="524">
        <v>1560000</v>
      </c>
      <c r="K6" s="524">
        <v>1602600</v>
      </c>
      <c r="L6" s="524">
        <v>3095000</v>
      </c>
      <c r="M6" s="572"/>
      <c r="N6" s="606">
        <v>33456580</v>
      </c>
      <c r="O6" s="502"/>
      <c r="P6" s="499"/>
      <c r="Q6" s="499"/>
    </row>
    <row r="7" spans="1:18" x14ac:dyDescent="0.25">
      <c r="C7" s="164" t="s">
        <v>141</v>
      </c>
      <c r="D7" s="503">
        <v>2721500</v>
      </c>
      <c r="E7" s="503">
        <v>6329166.666666666</v>
      </c>
      <c r="F7" s="503">
        <v>5176500</v>
      </c>
      <c r="G7" s="503">
        <v>3876150</v>
      </c>
      <c r="H7" s="503">
        <v>3612500</v>
      </c>
      <c r="I7" s="503">
        <v>950000</v>
      </c>
      <c r="J7" s="503">
        <v>1300000</v>
      </c>
      <c r="K7" s="503">
        <v>1335500</v>
      </c>
      <c r="L7" s="503">
        <v>2579166.6666666665</v>
      </c>
      <c r="M7" s="499"/>
      <c r="N7" s="501">
        <v>27880483.333333332</v>
      </c>
      <c r="O7" s="502"/>
      <c r="P7" s="499"/>
      <c r="Q7" s="499"/>
    </row>
    <row r="8" spans="1:18" x14ac:dyDescent="0.25">
      <c r="C8" s="167" t="s">
        <v>142</v>
      </c>
      <c r="D8" s="504">
        <v>2474090.9090909087</v>
      </c>
      <c r="E8" s="504">
        <v>5753787.878787878</v>
      </c>
      <c r="F8" s="504">
        <v>4705909.0909090908</v>
      </c>
      <c r="G8" s="504">
        <v>3523772.7272727271</v>
      </c>
      <c r="H8" s="504">
        <v>3284090.9090909087</v>
      </c>
      <c r="I8" s="504">
        <v>863636.36363636353</v>
      </c>
      <c r="J8" s="504">
        <v>1181818.1818181816</v>
      </c>
      <c r="K8" s="504">
        <v>1214090.9090909089</v>
      </c>
      <c r="L8" s="504">
        <v>2344696.9696969693</v>
      </c>
      <c r="M8" s="505"/>
      <c r="N8" s="506">
        <v>25345893.939393941</v>
      </c>
      <c r="O8" s="507">
        <v>0.75084306346774288</v>
      </c>
      <c r="P8" s="508">
        <v>20276715.151515156</v>
      </c>
      <c r="Q8" s="508">
        <v>5069178.7878787853</v>
      </c>
    </row>
    <row r="9" spans="1:18" x14ac:dyDescent="0.25">
      <c r="C9" s="167" t="s">
        <v>143</v>
      </c>
      <c r="D9" s="504">
        <v>247409.09090909088</v>
      </c>
      <c r="E9" s="504">
        <v>575378.78787878784</v>
      </c>
      <c r="F9" s="504">
        <v>470590.90909090912</v>
      </c>
      <c r="G9" s="504">
        <v>352377.27272727271</v>
      </c>
      <c r="H9" s="504">
        <v>328409.09090909088</v>
      </c>
      <c r="I9" s="504">
        <v>86363.636363636353</v>
      </c>
      <c r="J9" s="504">
        <v>118181.81818181818</v>
      </c>
      <c r="K9" s="504">
        <v>121409.0909090909</v>
      </c>
      <c r="L9" s="504">
        <v>234469.69696969693</v>
      </c>
      <c r="M9" s="505"/>
      <c r="N9" s="506">
        <v>2534589.3939393936</v>
      </c>
      <c r="O9" s="507">
        <v>7.5084306346774279E-2</v>
      </c>
      <c r="P9" s="508">
        <v>2027671.5151515149</v>
      </c>
      <c r="Q9" s="508">
        <v>506917.87878787867</v>
      </c>
    </row>
    <row r="10" spans="1:18" x14ac:dyDescent="0.25">
      <c r="C10" s="164" t="s">
        <v>144</v>
      </c>
      <c r="D10" s="503">
        <v>544300</v>
      </c>
      <c r="E10" s="503">
        <v>1265833.3333333335</v>
      </c>
      <c r="F10" s="503">
        <v>1035300</v>
      </c>
      <c r="G10" s="503">
        <v>775230</v>
      </c>
      <c r="H10" s="503">
        <v>722500</v>
      </c>
      <c r="I10" s="503">
        <v>190000</v>
      </c>
      <c r="J10" s="503">
        <v>260000</v>
      </c>
      <c r="K10" s="503">
        <v>267100</v>
      </c>
      <c r="L10" s="503">
        <v>515833.33333333343</v>
      </c>
      <c r="M10" s="499"/>
      <c r="N10" s="501">
        <v>5576096.666666667</v>
      </c>
      <c r="O10" s="507"/>
      <c r="P10" s="499"/>
      <c r="Q10" s="499"/>
    </row>
    <row r="11" spans="1:18" x14ac:dyDescent="0.25">
      <c r="C11" s="168" t="s">
        <v>145</v>
      </c>
      <c r="D11" s="509">
        <v>146419.62806718439</v>
      </c>
      <c r="E11" s="509">
        <v>340515.97622948908</v>
      </c>
      <c r="F11" s="509">
        <v>278501.26940649637</v>
      </c>
      <c r="G11" s="509">
        <v>208541.04035738262</v>
      </c>
      <c r="H11" s="509">
        <v>194356.38669583082</v>
      </c>
      <c r="I11" s="509">
        <v>51111.022106862081</v>
      </c>
      <c r="J11" s="509">
        <v>69941.398672548123</v>
      </c>
      <c r="K11" s="509">
        <v>71851.336867067701</v>
      </c>
      <c r="L11" s="509">
        <v>138761.94159713876</v>
      </c>
      <c r="M11" s="510"/>
      <c r="N11" s="511">
        <v>1500000</v>
      </c>
      <c r="O11" s="512">
        <v>4.4435781112897102E-2</v>
      </c>
      <c r="P11" s="513">
        <v>0</v>
      </c>
      <c r="Q11" s="513">
        <v>1500000</v>
      </c>
    </row>
    <row r="12" spans="1:18" x14ac:dyDescent="0.25">
      <c r="C12" s="167" t="s">
        <v>146</v>
      </c>
      <c r="D12" s="514">
        <v>397880.37193281564</v>
      </c>
      <c r="E12" s="514">
        <v>925317.35710384441</v>
      </c>
      <c r="F12" s="514">
        <v>756798.73059350369</v>
      </c>
      <c r="G12" s="514">
        <v>566688.95964261738</v>
      </c>
      <c r="H12" s="514">
        <v>528143.61330416915</v>
      </c>
      <c r="I12" s="514">
        <v>138888.97789313793</v>
      </c>
      <c r="J12" s="514">
        <v>190058.60132745188</v>
      </c>
      <c r="K12" s="514">
        <v>195248.6631329323</v>
      </c>
      <c r="L12" s="514">
        <v>377071.39173619467</v>
      </c>
      <c r="M12" s="515"/>
      <c r="N12" s="506">
        <v>4076096.666666667</v>
      </c>
      <c r="O12" s="507">
        <v>0.12074969285000633</v>
      </c>
      <c r="P12" s="508">
        <v>3260877.333333334</v>
      </c>
      <c r="Q12" s="508">
        <v>815219.33333333302</v>
      </c>
    </row>
    <row r="13" spans="1:18" x14ac:dyDescent="0.25">
      <c r="C13" s="167" t="s">
        <v>147</v>
      </c>
      <c r="D13" s="514">
        <v>0</v>
      </c>
      <c r="E13" s="515">
        <v>0</v>
      </c>
      <c r="F13" s="515">
        <v>200000</v>
      </c>
      <c r="G13" s="515">
        <v>100000</v>
      </c>
      <c r="H13" s="515">
        <v>0</v>
      </c>
      <c r="I13" s="515">
        <v>0</v>
      </c>
      <c r="J13" s="515">
        <v>0</v>
      </c>
      <c r="K13" s="515">
        <v>0</v>
      </c>
      <c r="L13" s="515">
        <v>0</v>
      </c>
      <c r="M13" s="505"/>
      <c r="N13" s="506">
        <v>300000</v>
      </c>
      <c r="O13" s="507">
        <v>8.8871562225794204E-3</v>
      </c>
      <c r="P13" s="508">
        <v>240000</v>
      </c>
      <c r="Q13" s="508">
        <v>60000</v>
      </c>
    </row>
    <row r="14" spans="1:18" x14ac:dyDescent="0.25">
      <c r="C14" s="164" t="s">
        <v>148</v>
      </c>
      <c r="D14" s="500">
        <v>3265799.9999999995</v>
      </c>
      <c r="E14" s="500">
        <v>7594999.9999999991</v>
      </c>
      <c r="F14" s="500">
        <v>6411800</v>
      </c>
      <c r="G14" s="500">
        <v>4751380</v>
      </c>
      <c r="H14" s="500">
        <v>4335000</v>
      </c>
      <c r="I14" s="500">
        <v>1140000</v>
      </c>
      <c r="J14" s="500">
        <v>1559999.9999999998</v>
      </c>
      <c r="K14" s="500">
        <v>1602599.9999999998</v>
      </c>
      <c r="L14" s="500">
        <v>3094999.9999999995</v>
      </c>
      <c r="M14" s="499"/>
      <c r="N14" s="516">
        <v>33756580</v>
      </c>
      <c r="O14" s="517">
        <v>1.0000000000000002</v>
      </c>
      <c r="P14" s="518">
        <v>25805264.000000007</v>
      </c>
      <c r="Q14" s="518">
        <v>7951315.9999999972</v>
      </c>
      <c r="R14" s="169">
        <f>Q14/N14</f>
        <v>0.23554862489031761</v>
      </c>
    </row>
    <row r="15" spans="1:18" x14ac:dyDescent="0.25">
      <c r="C15" s="170" t="s">
        <v>149</v>
      </c>
      <c r="D15" s="519"/>
      <c r="E15" s="520"/>
      <c r="F15" s="520"/>
      <c r="G15" s="520"/>
      <c r="H15" s="520"/>
      <c r="I15" s="520"/>
      <c r="J15" s="520"/>
      <c r="K15" s="520"/>
      <c r="L15" s="520"/>
      <c r="M15" s="521"/>
      <c r="N15" s="522">
        <v>32256580.000000004</v>
      </c>
      <c r="O15" s="508"/>
      <c r="P15" s="518"/>
      <c r="Q15" s="499"/>
    </row>
    <row r="16" spans="1:18" x14ac:dyDescent="0.25">
      <c r="C16" s="621" t="s">
        <v>579</v>
      </c>
      <c r="D16" s="622">
        <f>D14/2</f>
        <v>1632899.9999999998</v>
      </c>
      <c r="E16" s="622">
        <f t="shared" ref="E16:L16" si="1">E14/2</f>
        <v>3797499.9999999995</v>
      </c>
      <c r="F16" s="622">
        <f t="shared" si="1"/>
        <v>3205900</v>
      </c>
      <c r="G16" s="622">
        <f t="shared" si="1"/>
        <v>2375690</v>
      </c>
      <c r="H16" s="622">
        <f t="shared" si="1"/>
        <v>2167500</v>
      </c>
      <c r="I16" s="622">
        <f t="shared" si="1"/>
        <v>570000</v>
      </c>
      <c r="J16" s="622">
        <f t="shared" si="1"/>
        <v>779999.99999999988</v>
      </c>
      <c r="K16" s="622">
        <f t="shared" si="1"/>
        <v>801299.99999999988</v>
      </c>
      <c r="L16" s="622">
        <f t="shared" si="1"/>
        <v>1547499.9999999998</v>
      </c>
      <c r="N16" s="163"/>
      <c r="O16" s="163"/>
      <c r="P16" s="172"/>
    </row>
    <row r="17" spans="3:15" x14ac:dyDescent="0.25">
      <c r="D17" s="171"/>
      <c r="E17" s="172"/>
      <c r="F17" s="172"/>
      <c r="G17" s="172"/>
      <c r="H17" s="172"/>
      <c r="I17" s="172"/>
      <c r="J17" s="172"/>
      <c r="K17" s="172"/>
      <c r="L17" s="172"/>
      <c r="M17" s="172"/>
      <c r="N17" s="172"/>
      <c r="O17" s="172"/>
    </row>
    <row r="19" spans="3:15" x14ac:dyDescent="0.25">
      <c r="C19" s="385" t="s">
        <v>580</v>
      </c>
      <c r="D19" s="386">
        <f>D14*'Capital Costs'!$P$5</f>
        <v>3062610.4762847801</v>
      </c>
      <c r="E19" s="386">
        <f>E14*'Capital Costs'!$P$5</f>
        <v>7122458.9893388776</v>
      </c>
      <c r="F19" s="386">
        <f>F14*'Capital Costs'!$P$5</f>
        <v>6012874.5948443739</v>
      </c>
      <c r="G19" s="386">
        <f>G14*'Capital Costs'!$P$5</f>
        <v>4455761.5790342279</v>
      </c>
      <c r="H19" s="386">
        <f>H14*'Capital Costs'!$P$5</f>
        <v>4065287.652242796</v>
      </c>
      <c r="I19" s="386">
        <f>I14*'Capital Costs'!$P$5</f>
        <v>1069072.1853648876</v>
      </c>
      <c r="J19" s="386">
        <f>J14*'Capital Costs'!$P$5</f>
        <v>1462940.8852361618</v>
      </c>
      <c r="K19" s="386">
        <f>K14*'Capital Costs'!$P$5</f>
        <v>1502890.4247945338</v>
      </c>
      <c r="L19" s="386">
        <f>L14*'Capital Costs'!$P$5</f>
        <v>2902437.2050037952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7924E-F68F-4E0B-BD7A-B35A20E2A951}">
  <sheetPr>
    <tabColor theme="9" tint="0.39997558519241921"/>
  </sheetPr>
  <dimension ref="A1:F13"/>
  <sheetViews>
    <sheetView workbookViewId="0">
      <selection activeCell="D14" sqref="D14"/>
    </sheetView>
  </sheetViews>
  <sheetFormatPr defaultRowHeight="15" x14ac:dyDescent="0.25"/>
  <cols>
    <col min="1" max="1" width="14.85546875" customWidth="1"/>
    <col min="2" max="2" width="16.42578125" customWidth="1"/>
    <col min="3" max="3" width="61.7109375" customWidth="1"/>
    <col min="4" max="4" width="16.85546875" customWidth="1"/>
  </cols>
  <sheetData>
    <row r="1" spans="1:6" ht="15.75" thickBot="1" x14ac:dyDescent="0.3">
      <c r="A1" s="245" t="s">
        <v>475</v>
      </c>
      <c r="B1" s="246"/>
      <c r="C1" s="246"/>
      <c r="D1" s="246" t="s">
        <v>650</v>
      </c>
    </row>
    <row r="2" spans="1:6" ht="15.75" thickBot="1" x14ac:dyDescent="0.3">
      <c r="A2" s="247"/>
      <c r="B2" s="248"/>
      <c r="C2" s="248"/>
      <c r="D2" s="248"/>
    </row>
    <row r="3" spans="1:6" ht="15.75" thickBot="1" x14ac:dyDescent="0.3">
      <c r="A3" s="249" t="s">
        <v>106</v>
      </c>
      <c r="B3" s="250"/>
      <c r="C3" s="250"/>
      <c r="D3" s="588">
        <v>1991</v>
      </c>
    </row>
    <row r="4" spans="1:6" ht="15.75" thickBot="1" x14ac:dyDescent="0.3">
      <c r="A4" s="251" t="s">
        <v>113</v>
      </c>
      <c r="B4" s="252"/>
      <c r="C4" s="252"/>
      <c r="D4" s="586">
        <v>1981</v>
      </c>
    </row>
    <row r="5" spans="1:6" ht="15.75" thickBot="1" x14ac:dyDescent="0.3">
      <c r="A5" s="251" t="s">
        <v>118</v>
      </c>
      <c r="B5" s="252"/>
      <c r="C5" s="252"/>
      <c r="D5" s="586">
        <v>1997</v>
      </c>
    </row>
    <row r="6" spans="1:6" ht="15.75" thickBot="1" x14ac:dyDescent="0.3">
      <c r="A6" s="251" t="s">
        <v>116</v>
      </c>
      <c r="B6" s="252"/>
      <c r="C6" s="252"/>
      <c r="D6" s="586">
        <v>1990</v>
      </c>
    </row>
    <row r="7" spans="1:6" ht="15.75" thickBot="1" x14ac:dyDescent="0.3">
      <c r="A7" s="251" t="s">
        <v>91</v>
      </c>
      <c r="B7" s="252"/>
      <c r="C7" s="252"/>
      <c r="D7" s="586">
        <v>2004</v>
      </c>
    </row>
    <row r="8" spans="1:6" ht="15.75" thickBot="1" x14ac:dyDescent="0.3">
      <c r="A8" s="251" t="s">
        <v>110</v>
      </c>
      <c r="B8" s="322"/>
      <c r="C8" s="322"/>
      <c r="D8" s="587">
        <v>2000</v>
      </c>
      <c r="F8" s="292"/>
    </row>
    <row r="9" spans="1:6" ht="15.75" thickBot="1" x14ac:dyDescent="0.3">
      <c r="A9" s="251" t="s">
        <v>96</v>
      </c>
      <c r="B9" s="322"/>
      <c r="C9" s="322"/>
      <c r="D9" s="587">
        <v>2019</v>
      </c>
    </row>
    <row r="10" spans="1:6" ht="15.75" thickBot="1" x14ac:dyDescent="0.3">
      <c r="A10" s="251" t="s">
        <v>99</v>
      </c>
      <c r="B10" s="322"/>
      <c r="C10" s="322"/>
      <c r="D10" s="587">
        <v>2001</v>
      </c>
      <c r="F10" s="292"/>
    </row>
    <row r="11" spans="1:6" ht="15.75" thickBot="1" x14ac:dyDescent="0.3">
      <c r="A11" s="251" t="s">
        <v>552</v>
      </c>
      <c r="B11" s="322"/>
      <c r="C11" s="322"/>
      <c r="D11" s="587">
        <v>1999</v>
      </c>
      <c r="F11" s="292"/>
    </row>
    <row r="13" spans="1:6" x14ac:dyDescent="0.25">
      <c r="D13" s="2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4148-932F-4EE8-BDFF-9C6E1DE83E32}">
  <sheetPr>
    <tabColor theme="4" tint="0.39997558519241921"/>
  </sheetPr>
  <dimension ref="A1:N49"/>
  <sheetViews>
    <sheetView topLeftCell="A25" zoomScale="70" zoomScaleNormal="70" workbookViewId="0">
      <selection activeCell="G59" sqref="G59"/>
    </sheetView>
  </sheetViews>
  <sheetFormatPr defaultRowHeight="15" x14ac:dyDescent="0.25"/>
  <cols>
    <col min="1" max="1" width="4.5703125" style="292" customWidth="1"/>
    <col min="2" max="2" width="54.42578125" customWidth="1"/>
    <col min="3" max="5" width="20.85546875" customWidth="1"/>
    <col min="6" max="6" width="20.85546875" style="561" customWidth="1"/>
    <col min="7" max="7" width="20.85546875" customWidth="1"/>
    <col min="8" max="8" width="54" customWidth="1"/>
    <col min="9" max="11" width="12.7109375" customWidth="1"/>
    <col min="13" max="13" width="12" style="292" customWidth="1"/>
    <col min="14" max="14" width="45.7109375" customWidth="1"/>
  </cols>
  <sheetData>
    <row r="1" spans="1:14" x14ac:dyDescent="0.25">
      <c r="B1" s="656" t="s">
        <v>84</v>
      </c>
      <c r="C1" s="656" t="s">
        <v>85</v>
      </c>
      <c r="D1" s="656" t="s">
        <v>86</v>
      </c>
      <c r="E1" s="656" t="s">
        <v>87</v>
      </c>
      <c r="F1" s="656" t="s">
        <v>656</v>
      </c>
      <c r="G1" s="656" t="s">
        <v>88</v>
      </c>
      <c r="H1" s="156" t="s">
        <v>89</v>
      </c>
      <c r="I1" s="656" t="s">
        <v>469</v>
      </c>
      <c r="J1" s="667" t="s">
        <v>547</v>
      </c>
      <c r="K1" s="668" t="s">
        <v>548</v>
      </c>
      <c r="L1" s="668" t="s">
        <v>549</v>
      </c>
      <c r="M1" s="64"/>
    </row>
    <row r="2" spans="1:14" ht="30" x14ac:dyDescent="0.25">
      <c r="B2" s="657"/>
      <c r="C2" s="657"/>
      <c r="D2" s="657"/>
      <c r="E2" s="657"/>
      <c r="F2" s="657"/>
      <c r="G2" s="657"/>
      <c r="H2" s="157" t="s">
        <v>90</v>
      </c>
      <c r="I2" s="657"/>
      <c r="J2" s="667"/>
      <c r="K2" s="668"/>
      <c r="L2" s="668"/>
      <c r="M2" s="64"/>
    </row>
    <row r="3" spans="1:14" x14ac:dyDescent="0.25">
      <c r="B3" s="644" t="s">
        <v>91</v>
      </c>
      <c r="C3" s="647">
        <v>0.25</v>
      </c>
      <c r="D3" s="647">
        <v>0.7</v>
      </c>
      <c r="E3" s="647"/>
      <c r="F3" s="647">
        <f>C3+D3</f>
        <v>0.95</v>
      </c>
      <c r="G3" s="647">
        <v>0.95</v>
      </c>
      <c r="H3" s="158" t="s">
        <v>93</v>
      </c>
      <c r="I3" s="658">
        <f>'Trail Lengths'!F3</f>
        <v>6.8</v>
      </c>
      <c r="J3" s="669">
        <v>2028</v>
      </c>
      <c r="K3" s="669">
        <f>J3</f>
        <v>2028</v>
      </c>
      <c r="L3" s="669">
        <f>K3+1</f>
        <v>2029</v>
      </c>
      <c r="M3" s="292">
        <v>2028</v>
      </c>
      <c r="N3" s="290"/>
    </row>
    <row r="4" spans="1:14" x14ac:dyDescent="0.25">
      <c r="B4" s="645"/>
      <c r="C4" s="648"/>
      <c r="D4" s="648"/>
      <c r="E4" s="648"/>
      <c r="F4" s="648"/>
      <c r="G4" s="648"/>
      <c r="H4" s="158"/>
      <c r="I4" s="659"/>
      <c r="J4" s="669"/>
      <c r="K4" s="669"/>
      <c r="L4" s="669"/>
      <c r="N4" s="290"/>
    </row>
    <row r="5" spans="1:14" ht="45" x14ac:dyDescent="0.25">
      <c r="A5" s="292" t="s">
        <v>82</v>
      </c>
      <c r="B5" s="645"/>
      <c r="C5" s="648"/>
      <c r="D5" s="648"/>
      <c r="E5" s="648"/>
      <c r="F5" s="648"/>
      <c r="G5" s="648"/>
      <c r="H5" s="158" t="s">
        <v>94</v>
      </c>
      <c r="I5" s="659"/>
      <c r="J5" s="669"/>
      <c r="K5" s="669"/>
      <c r="L5" s="669"/>
      <c r="N5" s="290"/>
    </row>
    <row r="6" spans="1:14" x14ac:dyDescent="0.25">
      <c r="B6" s="645"/>
      <c r="C6" s="648"/>
      <c r="D6" s="648"/>
      <c r="E6" s="648"/>
      <c r="F6" s="648"/>
      <c r="G6" s="648"/>
      <c r="H6" s="158" t="s">
        <v>92</v>
      </c>
      <c r="I6" s="659"/>
      <c r="J6" s="669"/>
      <c r="K6" s="669"/>
      <c r="L6" s="669"/>
      <c r="N6" s="290"/>
    </row>
    <row r="7" spans="1:14" x14ac:dyDescent="0.25">
      <c r="B7" s="646"/>
      <c r="C7" s="649"/>
      <c r="D7" s="649"/>
      <c r="E7" s="649"/>
      <c r="F7" s="649"/>
      <c r="G7" s="649"/>
      <c r="H7" s="159" t="s">
        <v>95</v>
      </c>
      <c r="I7" s="660"/>
      <c r="J7" s="669"/>
      <c r="K7" s="669"/>
      <c r="L7" s="669"/>
      <c r="N7" s="290"/>
    </row>
    <row r="8" spans="1:14" ht="105" x14ac:dyDescent="0.25">
      <c r="A8" s="292" t="s">
        <v>570</v>
      </c>
      <c r="B8" s="644" t="s">
        <v>96</v>
      </c>
      <c r="C8" s="647">
        <v>3.7</v>
      </c>
      <c r="D8" s="647"/>
      <c r="E8" s="647">
        <v>1</v>
      </c>
      <c r="F8" s="647">
        <f>C8+D8</f>
        <v>3.7</v>
      </c>
      <c r="G8" s="647">
        <v>4.7</v>
      </c>
      <c r="H8" s="158" t="s">
        <v>97</v>
      </c>
      <c r="I8" s="658">
        <f>'Trail Lengths'!F4</f>
        <v>1.6</v>
      </c>
      <c r="J8" s="669">
        <v>2030</v>
      </c>
      <c r="K8" s="669">
        <f>J8</f>
        <v>2030</v>
      </c>
      <c r="L8" s="669">
        <f>K8+1</f>
        <v>2031</v>
      </c>
      <c r="M8" s="292">
        <v>2030</v>
      </c>
      <c r="N8" s="290"/>
    </row>
    <row r="9" spans="1:14" x14ac:dyDescent="0.25">
      <c r="B9" s="645"/>
      <c r="C9" s="648"/>
      <c r="D9" s="648"/>
      <c r="E9" s="648"/>
      <c r="F9" s="648"/>
      <c r="G9" s="648"/>
      <c r="H9" s="158"/>
      <c r="I9" s="659"/>
      <c r="J9" s="669"/>
      <c r="K9" s="669"/>
      <c r="L9" s="669"/>
      <c r="N9" s="290"/>
    </row>
    <row r="10" spans="1:14" x14ac:dyDescent="0.25">
      <c r="B10" s="646"/>
      <c r="C10" s="649"/>
      <c r="D10" s="649"/>
      <c r="E10" s="649"/>
      <c r="F10" s="649"/>
      <c r="G10" s="649"/>
      <c r="H10" s="159" t="s">
        <v>98</v>
      </c>
      <c r="I10" s="660"/>
      <c r="J10" s="669"/>
      <c r="K10" s="669"/>
      <c r="L10" s="669"/>
      <c r="N10" s="290"/>
    </row>
    <row r="11" spans="1:14" ht="45" x14ac:dyDescent="0.25">
      <c r="B11" s="650" t="s">
        <v>99</v>
      </c>
      <c r="C11" s="647">
        <v>1.75</v>
      </c>
      <c r="D11" s="647"/>
      <c r="E11" s="647">
        <v>5.25</v>
      </c>
      <c r="F11" s="647">
        <f>C11+D11</f>
        <v>1.75</v>
      </c>
      <c r="G11" s="647">
        <v>7</v>
      </c>
      <c r="H11" s="158" t="s">
        <v>100</v>
      </c>
      <c r="I11" s="664">
        <v>5.25</v>
      </c>
      <c r="J11" s="669">
        <v>2029</v>
      </c>
      <c r="K11" s="669">
        <f>J11</f>
        <v>2029</v>
      </c>
      <c r="L11" s="669">
        <f>K11+1</f>
        <v>2030</v>
      </c>
      <c r="M11" s="561">
        <v>2029</v>
      </c>
    </row>
    <row r="12" spans="1:14" ht="60" x14ac:dyDescent="0.25">
      <c r="B12" s="651"/>
      <c r="C12" s="648"/>
      <c r="D12" s="648"/>
      <c r="E12" s="648"/>
      <c r="F12" s="648"/>
      <c r="G12" s="648"/>
      <c r="H12" s="158" t="s">
        <v>101</v>
      </c>
      <c r="I12" s="665"/>
      <c r="J12" s="669"/>
      <c r="K12" s="669"/>
      <c r="L12" s="669"/>
    </row>
    <row r="13" spans="1:14" x14ac:dyDescent="0.25">
      <c r="B13" s="651"/>
      <c r="C13" s="648"/>
      <c r="D13" s="648"/>
      <c r="E13" s="648"/>
      <c r="F13" s="648"/>
      <c r="G13" s="648"/>
      <c r="H13" s="158" t="s">
        <v>92</v>
      </c>
      <c r="I13" s="665"/>
      <c r="J13" s="669"/>
      <c r="K13" s="669"/>
      <c r="L13" s="669"/>
    </row>
    <row r="14" spans="1:14" x14ac:dyDescent="0.25">
      <c r="B14" s="652"/>
      <c r="C14" s="649"/>
      <c r="D14" s="649"/>
      <c r="E14" s="649"/>
      <c r="F14" s="649"/>
      <c r="G14" s="649"/>
      <c r="H14" s="159" t="s">
        <v>102</v>
      </c>
      <c r="I14" s="666"/>
      <c r="J14" s="669"/>
      <c r="K14" s="669"/>
      <c r="L14" s="669"/>
    </row>
    <row r="15" spans="1:14" ht="75" x14ac:dyDescent="0.25">
      <c r="A15" s="292" t="s">
        <v>571</v>
      </c>
      <c r="B15" s="644" t="s">
        <v>103</v>
      </c>
      <c r="C15" s="647">
        <v>1.5</v>
      </c>
      <c r="D15" s="647">
        <v>1.5</v>
      </c>
      <c r="E15" s="647">
        <v>2.2000000000000002</v>
      </c>
      <c r="F15" s="647">
        <f>C15+D15</f>
        <v>3</v>
      </c>
      <c r="G15" s="647">
        <v>5.2</v>
      </c>
      <c r="H15" s="158" t="s">
        <v>104</v>
      </c>
      <c r="I15" s="658">
        <f>'Trail Lengths'!F10</f>
        <v>9.8800000000000008</v>
      </c>
      <c r="J15" s="669">
        <v>2030</v>
      </c>
      <c r="K15" s="669">
        <f>J15</f>
        <v>2030</v>
      </c>
      <c r="L15" s="669">
        <f>K15+1</f>
        <v>2031</v>
      </c>
      <c r="M15" s="561">
        <v>2030</v>
      </c>
    </row>
    <row r="16" spans="1:14" x14ac:dyDescent="0.25">
      <c r="B16" s="645"/>
      <c r="C16" s="648"/>
      <c r="D16" s="648"/>
      <c r="E16" s="648"/>
      <c r="F16" s="648"/>
      <c r="G16" s="648"/>
      <c r="H16" s="158" t="s">
        <v>92</v>
      </c>
      <c r="I16" s="659"/>
      <c r="J16" s="669"/>
      <c r="K16" s="669"/>
      <c r="L16" s="669"/>
    </row>
    <row r="17" spans="1:13" x14ac:dyDescent="0.25">
      <c r="B17" s="646"/>
      <c r="C17" s="649"/>
      <c r="D17" s="649"/>
      <c r="E17" s="649"/>
      <c r="F17" s="649"/>
      <c r="G17" s="649"/>
      <c r="H17" s="159" t="s">
        <v>105</v>
      </c>
      <c r="I17" s="660"/>
      <c r="J17" s="669"/>
      <c r="K17" s="669"/>
      <c r="L17" s="669"/>
    </row>
    <row r="18" spans="1:13" ht="30" x14ac:dyDescent="0.25">
      <c r="B18" s="644" t="s">
        <v>106</v>
      </c>
      <c r="C18" s="647"/>
      <c r="D18" s="647">
        <v>3.75</v>
      </c>
      <c r="E18" s="647"/>
      <c r="F18" s="647">
        <f>D18</f>
        <v>3.75</v>
      </c>
      <c r="G18" s="647">
        <v>3.75</v>
      </c>
      <c r="H18" s="158" t="s">
        <v>107</v>
      </c>
      <c r="I18" s="658">
        <f>'Trail Lengths'!F14</f>
        <v>20.700000000000003</v>
      </c>
      <c r="J18" s="669">
        <v>2028</v>
      </c>
      <c r="K18" s="669">
        <f>J18</f>
        <v>2028</v>
      </c>
      <c r="L18" s="669">
        <f>K18+1</f>
        <v>2029</v>
      </c>
      <c r="M18" s="561">
        <v>2028</v>
      </c>
    </row>
    <row r="19" spans="1:13" ht="45" x14ac:dyDescent="0.25">
      <c r="A19" s="292" t="s">
        <v>131</v>
      </c>
      <c r="B19" s="645"/>
      <c r="C19" s="648"/>
      <c r="D19" s="648"/>
      <c r="E19" s="648"/>
      <c r="F19" s="648"/>
      <c r="G19" s="648"/>
      <c r="H19" s="158" t="s">
        <v>108</v>
      </c>
      <c r="I19" s="659"/>
      <c r="J19" s="669"/>
      <c r="K19" s="669"/>
      <c r="L19" s="669"/>
    </row>
    <row r="20" spans="1:13" x14ac:dyDescent="0.25">
      <c r="B20" s="645"/>
      <c r="C20" s="648"/>
      <c r="D20" s="648"/>
      <c r="E20" s="648"/>
      <c r="F20" s="648"/>
      <c r="G20" s="648"/>
      <c r="H20" s="158" t="s">
        <v>92</v>
      </c>
      <c r="I20" s="659"/>
      <c r="J20" s="669"/>
      <c r="K20" s="669"/>
      <c r="L20" s="669"/>
    </row>
    <row r="21" spans="1:13" x14ac:dyDescent="0.25">
      <c r="B21" s="646"/>
      <c r="C21" s="649"/>
      <c r="D21" s="649"/>
      <c r="E21" s="649"/>
      <c r="F21" s="649"/>
      <c r="G21" s="649"/>
      <c r="H21" s="159" t="s">
        <v>109</v>
      </c>
      <c r="I21" s="660"/>
      <c r="J21" s="669"/>
      <c r="K21" s="669"/>
      <c r="L21" s="669"/>
    </row>
    <row r="22" spans="1:13" x14ac:dyDescent="0.25">
      <c r="B22" s="644" t="s">
        <v>110</v>
      </c>
      <c r="C22" s="647"/>
      <c r="D22" s="647">
        <v>0.4</v>
      </c>
      <c r="E22" s="647"/>
      <c r="F22" s="647">
        <f>D22</f>
        <v>0.4</v>
      </c>
      <c r="G22" s="647">
        <v>0.4</v>
      </c>
      <c r="H22" s="158" t="s">
        <v>111</v>
      </c>
      <c r="I22" s="658">
        <f>'Trail Lengths'!F16</f>
        <v>12</v>
      </c>
      <c r="J22" s="669">
        <v>2028</v>
      </c>
      <c r="K22" s="669">
        <f>J22</f>
        <v>2028</v>
      </c>
      <c r="L22" s="669">
        <f>K22+1</f>
        <v>2029</v>
      </c>
      <c r="M22" s="561">
        <v>2028</v>
      </c>
    </row>
    <row r="23" spans="1:13" x14ac:dyDescent="0.25">
      <c r="A23" s="292" t="s">
        <v>554</v>
      </c>
      <c r="B23" s="645"/>
      <c r="C23" s="648"/>
      <c r="D23" s="648"/>
      <c r="E23" s="648"/>
      <c r="F23" s="648">
        <f t="shared" ref="F23" si="0">SUM(C23:D27)</f>
        <v>0</v>
      </c>
      <c r="G23" s="648"/>
      <c r="H23" s="158" t="s">
        <v>92</v>
      </c>
      <c r="I23" s="659"/>
      <c r="J23" s="669"/>
      <c r="K23" s="669"/>
      <c r="L23" s="669"/>
    </row>
    <row r="24" spans="1:13" x14ac:dyDescent="0.25">
      <c r="B24" s="646"/>
      <c r="C24" s="649"/>
      <c r="D24" s="649"/>
      <c r="E24" s="649"/>
      <c r="F24" s="649"/>
      <c r="G24" s="649"/>
      <c r="H24" s="159" t="s">
        <v>112</v>
      </c>
      <c r="I24" s="660"/>
      <c r="J24" s="669"/>
      <c r="K24" s="669"/>
      <c r="L24" s="669"/>
    </row>
    <row r="25" spans="1:13" x14ac:dyDescent="0.25">
      <c r="B25" s="650" t="s">
        <v>113</v>
      </c>
      <c r="C25" s="653"/>
      <c r="D25" s="653"/>
      <c r="E25" s="653"/>
      <c r="F25" s="653">
        <f>SUM(C25:D27)</f>
        <v>0</v>
      </c>
      <c r="G25" s="653"/>
      <c r="H25" s="160" t="s">
        <v>114</v>
      </c>
      <c r="I25" s="661">
        <f>'Trail Lengths'!F19</f>
        <v>9.9</v>
      </c>
      <c r="J25" s="669">
        <v>2029</v>
      </c>
      <c r="K25" s="669">
        <f>J25</f>
        <v>2029</v>
      </c>
      <c r="L25" s="669">
        <f>K25+1</f>
        <v>2030</v>
      </c>
      <c r="M25" s="292">
        <v>2029</v>
      </c>
    </row>
    <row r="26" spans="1:13" x14ac:dyDescent="0.25">
      <c r="A26" s="292" t="s">
        <v>555</v>
      </c>
      <c r="B26" s="651"/>
      <c r="C26" s="654"/>
      <c r="D26" s="654"/>
      <c r="E26" s="654"/>
      <c r="F26" s="654"/>
      <c r="G26" s="654"/>
      <c r="H26" s="160" t="s">
        <v>92</v>
      </c>
      <c r="I26" s="662"/>
      <c r="J26" s="669"/>
      <c r="K26" s="669"/>
      <c r="L26" s="669"/>
    </row>
    <row r="27" spans="1:13" x14ac:dyDescent="0.25">
      <c r="B27" s="652"/>
      <c r="C27" s="655"/>
      <c r="D27" s="655"/>
      <c r="E27" s="655"/>
      <c r="F27" s="655"/>
      <c r="G27" s="655"/>
      <c r="H27" s="159" t="s">
        <v>115</v>
      </c>
      <c r="I27" s="663"/>
      <c r="J27" s="669"/>
      <c r="K27" s="669"/>
      <c r="L27" s="669"/>
    </row>
    <row r="28" spans="1:13" ht="30" x14ac:dyDescent="0.25">
      <c r="A28" s="292" t="s">
        <v>556</v>
      </c>
      <c r="B28" s="161" t="s">
        <v>116</v>
      </c>
      <c r="C28" s="244"/>
      <c r="D28" s="244">
        <v>1</v>
      </c>
      <c r="E28" s="244"/>
      <c r="F28" s="244">
        <f>D28</f>
        <v>1</v>
      </c>
      <c r="G28" s="244">
        <v>1</v>
      </c>
      <c r="H28" s="159" t="s">
        <v>117</v>
      </c>
      <c r="I28" s="159">
        <f>'Trail Lengths'!F20</f>
        <v>8.4</v>
      </c>
      <c r="J28" s="320">
        <v>2028</v>
      </c>
      <c r="K28" s="320">
        <f>J28</f>
        <v>2028</v>
      </c>
      <c r="L28" s="320">
        <f>K28+1</f>
        <v>2029</v>
      </c>
      <c r="M28" s="561">
        <v>2028</v>
      </c>
    </row>
    <row r="29" spans="1:13" ht="30" x14ac:dyDescent="0.25">
      <c r="B29" s="644" t="s">
        <v>118</v>
      </c>
      <c r="C29" s="647"/>
      <c r="D29" s="647">
        <v>0.84</v>
      </c>
      <c r="E29" s="647"/>
      <c r="F29" s="647">
        <f>D29</f>
        <v>0.84</v>
      </c>
      <c r="G29" s="647">
        <v>0.84</v>
      </c>
      <c r="H29" s="158" t="s">
        <v>119</v>
      </c>
      <c r="I29" s="658">
        <f>'Trail Lengths'!F20</f>
        <v>8.4</v>
      </c>
      <c r="J29" s="669">
        <v>2028</v>
      </c>
      <c r="K29" s="669">
        <f>J29</f>
        <v>2028</v>
      </c>
      <c r="L29" s="669">
        <f>K29+1</f>
        <v>2029</v>
      </c>
      <c r="M29" s="561">
        <v>2028</v>
      </c>
    </row>
    <row r="30" spans="1:13" x14ac:dyDescent="0.25">
      <c r="A30" s="292" t="s">
        <v>557</v>
      </c>
      <c r="B30" s="645"/>
      <c r="C30" s="648"/>
      <c r="D30" s="648"/>
      <c r="E30" s="648"/>
      <c r="F30" s="648"/>
      <c r="G30" s="648"/>
      <c r="H30" s="158" t="s">
        <v>92</v>
      </c>
      <c r="I30" s="659"/>
      <c r="J30" s="669"/>
      <c r="K30" s="669"/>
      <c r="L30" s="669"/>
    </row>
    <row r="31" spans="1:13" x14ac:dyDescent="0.25">
      <c r="B31" s="645"/>
      <c r="C31" s="648"/>
      <c r="D31" s="648"/>
      <c r="E31" s="648"/>
      <c r="F31" s="648"/>
      <c r="G31" s="648"/>
      <c r="H31" s="158" t="s">
        <v>120</v>
      </c>
      <c r="I31" s="659"/>
      <c r="J31" s="669"/>
      <c r="K31" s="669"/>
      <c r="L31" s="669"/>
    </row>
    <row r="32" spans="1:13" x14ac:dyDescent="0.25">
      <c r="B32" s="646"/>
      <c r="C32" s="649"/>
      <c r="D32" s="649"/>
      <c r="E32" s="649"/>
      <c r="F32" s="649"/>
      <c r="G32" s="649"/>
      <c r="H32" s="159" t="s">
        <v>92</v>
      </c>
      <c r="I32" s="660"/>
      <c r="J32" s="669"/>
      <c r="K32" s="669"/>
      <c r="L32" s="669"/>
    </row>
    <row r="35" spans="2:13" x14ac:dyDescent="0.25">
      <c r="L35">
        <v>2028</v>
      </c>
      <c r="M35" s="292">
        <f>COUNTIFS($M$3:$M$32,L35)</f>
        <v>5</v>
      </c>
    </row>
    <row r="36" spans="2:13" x14ac:dyDescent="0.25">
      <c r="L36">
        <v>2029</v>
      </c>
      <c r="M36" s="561">
        <f t="shared" ref="M36:M37" si="1">COUNTIFS($M$3:$M$32,L36)</f>
        <v>2</v>
      </c>
    </row>
    <row r="37" spans="2:13" x14ac:dyDescent="0.25">
      <c r="L37">
        <v>2030</v>
      </c>
      <c r="M37" s="561">
        <f t="shared" si="1"/>
        <v>2</v>
      </c>
    </row>
    <row r="38" spans="2:13" x14ac:dyDescent="0.25">
      <c r="C38" s="454"/>
      <c r="D38" s="454"/>
      <c r="E38" s="454"/>
      <c r="F38" s="454"/>
      <c r="G38" s="454"/>
    </row>
    <row r="39" spans="2:13" ht="30" x14ac:dyDescent="0.25">
      <c r="B39" s="636"/>
      <c r="C39" s="637" t="s">
        <v>663</v>
      </c>
      <c r="D39" s="637" t="s">
        <v>664</v>
      </c>
      <c r="E39" s="637" t="s">
        <v>665</v>
      </c>
      <c r="F39" s="637" t="s">
        <v>678</v>
      </c>
      <c r="G39" s="637" t="s">
        <v>666</v>
      </c>
    </row>
    <row r="40" spans="2:13" ht="18" customHeight="1" x14ac:dyDescent="0.25">
      <c r="B40" s="234" t="s">
        <v>525</v>
      </c>
      <c r="C40" s="638">
        <f>C3</f>
        <v>0.25</v>
      </c>
      <c r="D40" s="638">
        <f>D3</f>
        <v>0.7</v>
      </c>
      <c r="E40" s="638">
        <f>E3</f>
        <v>0</v>
      </c>
      <c r="F40" s="638">
        <f>G3</f>
        <v>0.95</v>
      </c>
      <c r="G40" s="639">
        <v>3</v>
      </c>
    </row>
    <row r="41" spans="2:13" ht="18" customHeight="1" x14ac:dyDescent="0.25">
      <c r="B41" s="234" t="s">
        <v>527</v>
      </c>
      <c r="C41" s="638">
        <f>C8</f>
        <v>3.7</v>
      </c>
      <c r="D41" s="638">
        <f>D8</f>
        <v>0</v>
      </c>
      <c r="E41" s="638">
        <f>E8</f>
        <v>1</v>
      </c>
      <c r="F41" s="638">
        <f>G8</f>
        <v>4.7</v>
      </c>
      <c r="G41" s="639">
        <v>17</v>
      </c>
    </row>
    <row r="42" spans="2:13" ht="18" customHeight="1" x14ac:dyDescent="0.25">
      <c r="B42" s="234" t="s">
        <v>661</v>
      </c>
      <c r="C42" s="638">
        <f>C11</f>
        <v>1.75</v>
      </c>
      <c r="D42" s="638">
        <f>D11</f>
        <v>0</v>
      </c>
      <c r="E42" s="638">
        <f>E11</f>
        <v>5.25</v>
      </c>
      <c r="F42" s="638">
        <f>G11</f>
        <v>7</v>
      </c>
      <c r="G42" s="642">
        <v>10</v>
      </c>
    </row>
    <row r="43" spans="2:13" ht="18" customHeight="1" x14ac:dyDescent="0.25">
      <c r="B43" s="234" t="s">
        <v>533</v>
      </c>
      <c r="C43" s="638">
        <f>C15</f>
        <v>1.5</v>
      </c>
      <c r="D43" s="638">
        <f>D15</f>
        <v>1.5</v>
      </c>
      <c r="E43" s="638">
        <f>E15</f>
        <v>2.2000000000000002</v>
      </c>
      <c r="F43" s="638">
        <f>G15</f>
        <v>5.2</v>
      </c>
      <c r="G43" s="639">
        <v>9</v>
      </c>
    </row>
    <row r="44" spans="2:13" ht="18" customHeight="1" x14ac:dyDescent="0.25">
      <c r="B44" s="234" t="s">
        <v>662</v>
      </c>
      <c r="C44" s="638">
        <f>C18</f>
        <v>0</v>
      </c>
      <c r="D44" s="638">
        <f>D18</f>
        <v>3.75</v>
      </c>
      <c r="E44" s="638">
        <f>E18</f>
        <v>0</v>
      </c>
      <c r="F44" s="638">
        <f>G18</f>
        <v>3.75</v>
      </c>
      <c r="G44" s="639">
        <v>6</v>
      </c>
    </row>
    <row r="45" spans="2:13" ht="18" customHeight="1" x14ac:dyDescent="0.25">
      <c r="B45" s="234" t="s">
        <v>539</v>
      </c>
      <c r="C45" s="638">
        <f>C22</f>
        <v>0</v>
      </c>
      <c r="D45" s="638">
        <f>D22</f>
        <v>0.4</v>
      </c>
      <c r="E45" s="638">
        <f>E22</f>
        <v>0</v>
      </c>
      <c r="F45" s="638">
        <f>G22</f>
        <v>0.4</v>
      </c>
      <c r="G45" s="639">
        <v>1</v>
      </c>
    </row>
    <row r="46" spans="2:13" ht="18" customHeight="1" x14ac:dyDescent="0.25">
      <c r="B46" s="234" t="s">
        <v>476</v>
      </c>
      <c r="C46" s="638">
        <f>C25</f>
        <v>0</v>
      </c>
      <c r="D46" s="638">
        <f>D25</f>
        <v>0</v>
      </c>
      <c r="E46" s="638">
        <f>E25</f>
        <v>0</v>
      </c>
      <c r="F46" s="638">
        <f>G25</f>
        <v>0</v>
      </c>
      <c r="G46" s="639">
        <v>1</v>
      </c>
    </row>
    <row r="47" spans="2:13" ht="18" customHeight="1" x14ac:dyDescent="0.25">
      <c r="B47" s="234" t="s">
        <v>668</v>
      </c>
      <c r="C47" s="638">
        <f t="shared" ref="C47:F48" si="2">C28</f>
        <v>0</v>
      </c>
      <c r="D47" s="638">
        <f t="shared" si="2"/>
        <v>1</v>
      </c>
      <c r="E47" s="638">
        <f t="shared" si="2"/>
        <v>0</v>
      </c>
      <c r="F47" s="638">
        <f>G28</f>
        <v>1</v>
      </c>
      <c r="G47" s="639">
        <v>0</v>
      </c>
    </row>
    <row r="48" spans="2:13" s="584" customFormat="1" ht="18" customHeight="1" x14ac:dyDescent="0.25">
      <c r="B48" s="234" t="s">
        <v>667</v>
      </c>
      <c r="C48" s="638">
        <f t="shared" si="2"/>
        <v>0</v>
      </c>
      <c r="D48" s="638">
        <f t="shared" si="2"/>
        <v>0.84</v>
      </c>
      <c r="E48" s="638">
        <f t="shared" si="2"/>
        <v>0</v>
      </c>
      <c r="F48" s="638">
        <f>G29</f>
        <v>0.84</v>
      </c>
      <c r="G48" s="639">
        <v>4</v>
      </c>
    </row>
    <row r="49" spans="2:7" ht="18" customHeight="1" x14ac:dyDescent="0.25">
      <c r="B49" s="636" t="s">
        <v>569</v>
      </c>
      <c r="C49" s="640">
        <f>SUM(C40:C48)</f>
        <v>7.2</v>
      </c>
      <c r="D49" s="640">
        <f t="shared" ref="D49:F49" si="3">SUM(D40:D48)</f>
        <v>8.1900000000000013</v>
      </c>
      <c r="E49" s="640">
        <f t="shared" si="3"/>
        <v>8.4499999999999993</v>
      </c>
      <c r="F49" s="640">
        <f t="shared" si="3"/>
        <v>23.84</v>
      </c>
      <c r="G49" s="641">
        <f>SUM(G40:G48)</f>
        <v>51</v>
      </c>
    </row>
  </sheetData>
  <mergeCells count="90">
    <mergeCell ref="L29:L32"/>
    <mergeCell ref="J29:J32"/>
    <mergeCell ref="K3:K7"/>
    <mergeCell ref="L3:L7"/>
    <mergeCell ref="K8:K10"/>
    <mergeCell ref="L8:L10"/>
    <mergeCell ref="K11:K14"/>
    <mergeCell ref="L11:L14"/>
    <mergeCell ref="K15:K17"/>
    <mergeCell ref="L15:L17"/>
    <mergeCell ref="K18:K21"/>
    <mergeCell ref="L18:L21"/>
    <mergeCell ref="K22:K24"/>
    <mergeCell ref="L22:L24"/>
    <mergeCell ref="K25:K27"/>
    <mergeCell ref="L25:L27"/>
    <mergeCell ref="K29:K32"/>
    <mergeCell ref="J11:J14"/>
    <mergeCell ref="J15:J17"/>
    <mergeCell ref="J18:J21"/>
    <mergeCell ref="J22:J24"/>
    <mergeCell ref="J25:J27"/>
    <mergeCell ref="J1:J2"/>
    <mergeCell ref="K1:K2"/>
    <mergeCell ref="L1:L2"/>
    <mergeCell ref="J3:J7"/>
    <mergeCell ref="J8:J10"/>
    <mergeCell ref="I18:I21"/>
    <mergeCell ref="I22:I24"/>
    <mergeCell ref="I25:I27"/>
    <mergeCell ref="I29:I32"/>
    <mergeCell ref="I1:I2"/>
    <mergeCell ref="I3:I7"/>
    <mergeCell ref="I8:I10"/>
    <mergeCell ref="I11:I14"/>
    <mergeCell ref="I15:I17"/>
    <mergeCell ref="B3:B7"/>
    <mergeCell ref="C3:C7"/>
    <mergeCell ref="D3:D7"/>
    <mergeCell ref="E3:E7"/>
    <mergeCell ref="G3:G7"/>
    <mergeCell ref="F3:F7"/>
    <mergeCell ref="B1:B2"/>
    <mergeCell ref="C1:C2"/>
    <mergeCell ref="D1:D2"/>
    <mergeCell ref="E1:E2"/>
    <mergeCell ref="G1:G2"/>
    <mergeCell ref="F1:F2"/>
    <mergeCell ref="B11:B14"/>
    <mergeCell ref="C11:C14"/>
    <mergeCell ref="D11:D14"/>
    <mergeCell ref="E11:E14"/>
    <mergeCell ref="G11:G14"/>
    <mergeCell ref="F11:F14"/>
    <mergeCell ref="B8:B10"/>
    <mergeCell ref="C8:C10"/>
    <mergeCell ref="D8:D10"/>
    <mergeCell ref="E8:E10"/>
    <mergeCell ref="G8:G10"/>
    <mergeCell ref="F8:F10"/>
    <mergeCell ref="B18:B21"/>
    <mergeCell ref="C18:C21"/>
    <mergeCell ref="D18:D21"/>
    <mergeCell ref="E18:E21"/>
    <mergeCell ref="G18:G21"/>
    <mergeCell ref="F18:F21"/>
    <mergeCell ref="B15:B17"/>
    <mergeCell ref="C15:C17"/>
    <mergeCell ref="D15:D17"/>
    <mergeCell ref="E15:E17"/>
    <mergeCell ref="G15:G17"/>
    <mergeCell ref="F15:F17"/>
    <mergeCell ref="B25:B27"/>
    <mergeCell ref="C25:C27"/>
    <mergeCell ref="D25:D27"/>
    <mergeCell ref="E25:E27"/>
    <mergeCell ref="G25:G27"/>
    <mergeCell ref="F25:F27"/>
    <mergeCell ref="B22:B24"/>
    <mergeCell ref="C22:C24"/>
    <mergeCell ref="D22:D24"/>
    <mergeCell ref="E22:E24"/>
    <mergeCell ref="G22:G24"/>
    <mergeCell ref="F22:F24"/>
    <mergeCell ref="B29:B32"/>
    <mergeCell ref="C29:C32"/>
    <mergeCell ref="D29:D32"/>
    <mergeCell ref="E29:E32"/>
    <mergeCell ref="G29:G32"/>
    <mergeCell ref="F29:F3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4632-DE50-4251-A037-879866CF498F}">
  <sheetPr>
    <tabColor theme="9" tint="0.39997558519241921"/>
  </sheetPr>
  <dimension ref="A1:F37"/>
  <sheetViews>
    <sheetView zoomScale="85" zoomScaleNormal="85" workbookViewId="0">
      <selection activeCell="F16" sqref="F16"/>
    </sheetView>
  </sheetViews>
  <sheetFormatPr defaultRowHeight="15" x14ac:dyDescent="0.25"/>
  <cols>
    <col min="1" max="1" width="57" customWidth="1"/>
    <col min="2" max="6" width="25.5703125" customWidth="1"/>
  </cols>
  <sheetData>
    <row r="1" spans="1:6" ht="32.25" thickBot="1" x14ac:dyDescent="0.3">
      <c r="A1" s="299" t="s">
        <v>518</v>
      </c>
      <c r="B1" s="298" t="s">
        <v>519</v>
      </c>
      <c r="C1" s="298" t="s">
        <v>520</v>
      </c>
      <c r="D1" s="298" t="s">
        <v>521</v>
      </c>
      <c r="E1" s="298" t="s">
        <v>522</v>
      </c>
      <c r="F1" s="298" t="s">
        <v>523</v>
      </c>
    </row>
    <row r="2" spans="1:6" ht="16.5" thickBot="1" x14ac:dyDescent="0.3">
      <c r="A2" s="294" t="s">
        <v>524</v>
      </c>
      <c r="B2" s="301"/>
      <c r="C2" s="301"/>
      <c r="D2" s="301">
        <v>2.4</v>
      </c>
      <c r="E2" s="301"/>
      <c r="F2" s="301">
        <v>2.4</v>
      </c>
    </row>
    <row r="3" spans="1:6" ht="16.5" thickBot="1" x14ac:dyDescent="0.3">
      <c r="A3" s="295" t="s">
        <v>525</v>
      </c>
      <c r="B3" s="302">
        <v>5.0999999999999996</v>
      </c>
      <c r="C3" s="302">
        <v>1.7</v>
      </c>
      <c r="D3" s="303" t="s">
        <v>526</v>
      </c>
      <c r="E3" s="303" t="s">
        <v>526</v>
      </c>
      <c r="F3" s="303">
        <v>6.8</v>
      </c>
    </row>
    <row r="4" spans="1:6" ht="16.5" thickBot="1" x14ac:dyDescent="0.3">
      <c r="A4" s="310" t="s">
        <v>527</v>
      </c>
      <c r="B4" s="311" t="s">
        <v>526</v>
      </c>
      <c r="C4" s="311">
        <v>0.6</v>
      </c>
      <c r="D4" s="311">
        <v>1</v>
      </c>
      <c r="E4" s="311" t="s">
        <v>526</v>
      </c>
      <c r="F4" s="311">
        <v>1.6</v>
      </c>
    </row>
    <row r="5" spans="1:6" ht="16.5" thickBot="1" x14ac:dyDescent="0.3">
      <c r="A5" s="312" t="s">
        <v>528</v>
      </c>
      <c r="B5" s="313">
        <v>3.8</v>
      </c>
      <c r="C5" s="313" t="s">
        <v>526</v>
      </c>
      <c r="D5" s="313" t="s">
        <v>526</v>
      </c>
      <c r="E5" s="313" t="s">
        <v>526</v>
      </c>
      <c r="F5" s="313">
        <v>3.8</v>
      </c>
    </row>
    <row r="6" spans="1:6" ht="32.25" thickBot="1" x14ac:dyDescent="0.3">
      <c r="A6" s="310" t="s">
        <v>529</v>
      </c>
      <c r="B6" s="311">
        <v>0.9</v>
      </c>
      <c r="C6" s="311">
        <v>0.2</v>
      </c>
      <c r="D6" s="311">
        <v>4.7</v>
      </c>
      <c r="E6" s="311"/>
      <c r="F6" s="311">
        <v>5.8000000000000007</v>
      </c>
    </row>
    <row r="7" spans="1:6" ht="16.5" thickBot="1" x14ac:dyDescent="0.3">
      <c r="A7" s="312" t="s">
        <v>530</v>
      </c>
      <c r="B7" s="313">
        <v>8.5</v>
      </c>
      <c r="C7" s="313" t="s">
        <v>526</v>
      </c>
      <c r="D7" s="313">
        <v>0.1</v>
      </c>
      <c r="E7" s="313"/>
      <c r="F7" s="313">
        <v>8.6</v>
      </c>
    </row>
    <row r="8" spans="1:6" ht="16.5" thickBot="1" x14ac:dyDescent="0.3">
      <c r="A8" s="310" t="s">
        <v>531</v>
      </c>
      <c r="B8" s="311">
        <v>13.5</v>
      </c>
      <c r="C8" s="311" t="s">
        <v>526</v>
      </c>
      <c r="D8" s="311" t="s">
        <v>526</v>
      </c>
      <c r="E8" s="311" t="s">
        <v>526</v>
      </c>
      <c r="F8" s="311">
        <v>13.5</v>
      </c>
    </row>
    <row r="9" spans="1:6" ht="16.5" thickBot="1" x14ac:dyDescent="0.3">
      <c r="A9" s="312" t="s">
        <v>532</v>
      </c>
      <c r="B9" s="313">
        <v>0.6</v>
      </c>
      <c r="C9" s="313" t="s">
        <v>526</v>
      </c>
      <c r="D9" s="313" t="s">
        <v>526</v>
      </c>
      <c r="E9" s="313" t="s">
        <v>526</v>
      </c>
      <c r="F9" s="313">
        <v>0.6</v>
      </c>
    </row>
    <row r="10" spans="1:6" ht="16.5" thickBot="1" x14ac:dyDescent="0.3">
      <c r="A10" s="296" t="s">
        <v>533</v>
      </c>
      <c r="B10" s="304">
        <v>2.85</v>
      </c>
      <c r="C10" s="304">
        <v>6.01</v>
      </c>
      <c r="D10" s="304">
        <v>1.02</v>
      </c>
      <c r="E10" s="304" t="s">
        <v>526</v>
      </c>
      <c r="F10" s="304">
        <v>9.8800000000000008</v>
      </c>
    </row>
    <row r="11" spans="1:6" ht="16.5" thickBot="1" x14ac:dyDescent="0.3">
      <c r="A11" s="295" t="s">
        <v>534</v>
      </c>
      <c r="B11" s="303">
        <v>9.8000000000000007</v>
      </c>
      <c r="C11" s="303" t="s">
        <v>526</v>
      </c>
      <c r="D11" s="303">
        <v>6.1</v>
      </c>
      <c r="E11" s="303"/>
      <c r="F11" s="303">
        <v>15.9</v>
      </c>
    </row>
    <row r="12" spans="1:6" ht="16.5" thickBot="1" x14ac:dyDescent="0.3">
      <c r="A12" s="296" t="s">
        <v>535</v>
      </c>
      <c r="B12" s="304">
        <v>15.8</v>
      </c>
      <c r="C12" s="304" t="s">
        <v>526</v>
      </c>
      <c r="D12" s="304" t="s">
        <v>526</v>
      </c>
      <c r="E12" s="304" t="s">
        <v>526</v>
      </c>
      <c r="F12" s="304">
        <v>15.8</v>
      </c>
    </row>
    <row r="13" spans="1:6" ht="16.5" thickBot="1" x14ac:dyDescent="0.3">
      <c r="A13" s="295" t="s">
        <v>536</v>
      </c>
      <c r="B13" s="303">
        <v>8.6</v>
      </c>
      <c r="C13" s="303">
        <v>0.2</v>
      </c>
      <c r="D13" s="303" t="s">
        <v>526</v>
      </c>
      <c r="E13" s="303" t="s">
        <v>526</v>
      </c>
      <c r="F13" s="303">
        <v>8.7999999999999989</v>
      </c>
    </row>
    <row r="14" spans="1:6" ht="32.25" thickBot="1" x14ac:dyDescent="0.3">
      <c r="A14" s="296" t="s">
        <v>537</v>
      </c>
      <c r="B14" s="304">
        <v>13.3</v>
      </c>
      <c r="C14" s="304">
        <v>1.5</v>
      </c>
      <c r="D14" s="304">
        <v>5.9</v>
      </c>
      <c r="E14" s="304"/>
      <c r="F14" s="304">
        <v>20.700000000000003</v>
      </c>
    </row>
    <row r="15" spans="1:6" ht="16.5" thickBot="1" x14ac:dyDescent="0.3">
      <c r="A15" s="295" t="s">
        <v>538</v>
      </c>
      <c r="B15" s="303">
        <v>12.1</v>
      </c>
      <c r="C15" s="303" t="s">
        <v>526</v>
      </c>
      <c r="D15" s="303" t="s">
        <v>526</v>
      </c>
      <c r="E15" s="303" t="s">
        <v>526</v>
      </c>
      <c r="F15" s="303">
        <v>12.1</v>
      </c>
    </row>
    <row r="16" spans="1:6" ht="16.5" thickBot="1" x14ac:dyDescent="0.3">
      <c r="A16" s="296" t="s">
        <v>539</v>
      </c>
      <c r="B16" s="304">
        <v>12</v>
      </c>
      <c r="C16" s="304" t="s">
        <v>526</v>
      </c>
      <c r="D16" s="304" t="s">
        <v>526</v>
      </c>
      <c r="E16" s="304" t="s">
        <v>526</v>
      </c>
      <c r="F16" s="304">
        <v>12</v>
      </c>
    </row>
    <row r="17" spans="1:6" ht="16.5" thickBot="1" x14ac:dyDescent="0.3">
      <c r="A17" s="295" t="s">
        <v>540</v>
      </c>
      <c r="B17" s="303">
        <v>2.95</v>
      </c>
      <c r="C17" s="303" t="s">
        <v>526</v>
      </c>
      <c r="D17" s="303" t="s">
        <v>526</v>
      </c>
      <c r="E17" s="303">
        <v>2.19</v>
      </c>
      <c r="F17" s="303">
        <v>5.1400000000000006</v>
      </c>
    </row>
    <row r="18" spans="1:6" ht="16.5" thickBot="1" x14ac:dyDescent="0.3">
      <c r="A18" s="296" t="s">
        <v>541</v>
      </c>
      <c r="B18" s="304">
        <v>4.4000000000000004</v>
      </c>
      <c r="C18" s="304" t="s">
        <v>526</v>
      </c>
      <c r="D18" s="304" t="s">
        <v>526</v>
      </c>
      <c r="E18" s="304" t="s">
        <v>526</v>
      </c>
      <c r="F18" s="304">
        <v>4.4000000000000004</v>
      </c>
    </row>
    <row r="19" spans="1:6" ht="16.5" thickBot="1" x14ac:dyDescent="0.3">
      <c r="A19" s="295" t="s">
        <v>476</v>
      </c>
      <c r="B19" s="303">
        <v>0</v>
      </c>
      <c r="C19" s="303" t="s">
        <v>526</v>
      </c>
      <c r="D19" s="303">
        <v>9.9</v>
      </c>
      <c r="E19" s="303"/>
      <c r="F19" s="303">
        <v>9.9</v>
      </c>
    </row>
    <row r="20" spans="1:6" ht="16.5" thickBot="1" x14ac:dyDescent="0.3">
      <c r="A20" s="296" t="s">
        <v>477</v>
      </c>
      <c r="B20" s="304">
        <v>8.4</v>
      </c>
      <c r="C20" s="304" t="s">
        <v>526</v>
      </c>
      <c r="D20" s="304" t="s">
        <v>526</v>
      </c>
      <c r="E20" s="304" t="s">
        <v>526</v>
      </c>
      <c r="F20" s="304">
        <v>8.4</v>
      </c>
    </row>
    <row r="21" spans="1:6" ht="16.5" thickBot="1" x14ac:dyDescent="0.3">
      <c r="A21" s="295" t="s">
        <v>542</v>
      </c>
      <c r="B21" s="303">
        <v>4</v>
      </c>
      <c r="C21" s="303" t="s">
        <v>526</v>
      </c>
      <c r="D21" s="303" t="s">
        <v>526</v>
      </c>
      <c r="E21" s="303" t="s">
        <v>526</v>
      </c>
      <c r="F21" s="303">
        <v>4</v>
      </c>
    </row>
    <row r="22" spans="1:6" ht="16.5" thickBot="1" x14ac:dyDescent="0.3">
      <c r="A22" s="296" t="s">
        <v>543</v>
      </c>
      <c r="B22" s="304">
        <v>8.5</v>
      </c>
      <c r="C22" s="304"/>
      <c r="D22" s="304">
        <v>1.9</v>
      </c>
      <c r="E22" s="304"/>
      <c r="F22" s="304">
        <v>10.4</v>
      </c>
    </row>
    <row r="23" spans="1:6" ht="15.75" x14ac:dyDescent="0.25">
      <c r="A23" s="300"/>
      <c r="B23" s="297"/>
      <c r="C23" s="305"/>
      <c r="D23" s="305"/>
      <c r="E23" s="305"/>
      <c r="F23" s="305"/>
    </row>
    <row r="24" spans="1:6" ht="15.75" x14ac:dyDescent="0.25">
      <c r="A24" s="306" t="s">
        <v>544</v>
      </c>
      <c r="B24" s="307">
        <v>135.1</v>
      </c>
      <c r="C24" s="308">
        <v>10.209999999999999</v>
      </c>
      <c r="D24" s="308">
        <v>33.019999999999996</v>
      </c>
      <c r="E24" s="308">
        <v>2.19</v>
      </c>
      <c r="F24" s="308">
        <v>180.52000000000004</v>
      </c>
    </row>
    <row r="25" spans="1:6" ht="15.75" x14ac:dyDescent="0.25">
      <c r="A25" s="300"/>
      <c r="B25" s="297"/>
      <c r="C25" s="305"/>
      <c r="D25" s="305"/>
      <c r="E25" s="293"/>
      <c r="F25" s="305"/>
    </row>
    <row r="26" spans="1:6" ht="15.75" x14ac:dyDescent="0.25">
      <c r="A26" s="300"/>
      <c r="B26" s="297"/>
      <c r="C26" s="305"/>
      <c r="D26" s="305"/>
      <c r="E26" s="293"/>
      <c r="F26" s="305"/>
    </row>
    <row r="27" spans="1:6" ht="15.75" x14ac:dyDescent="0.25">
      <c r="A27" s="300"/>
      <c r="B27" s="292"/>
      <c r="C27" s="292"/>
      <c r="D27" s="292"/>
      <c r="E27" s="292"/>
      <c r="F27" s="292"/>
    </row>
    <row r="28" spans="1:6" ht="15.75" x14ac:dyDescent="0.25">
      <c r="A28" s="300"/>
      <c r="B28" s="292"/>
      <c r="C28" s="292"/>
      <c r="D28" s="292"/>
      <c r="E28" s="292"/>
      <c r="F28" s="292"/>
    </row>
    <row r="29" spans="1:6" ht="15.75" x14ac:dyDescent="0.25">
      <c r="A29" s="300"/>
      <c r="B29" s="292"/>
      <c r="C29" s="292"/>
      <c r="D29" s="292"/>
      <c r="E29" s="292"/>
      <c r="F29" s="292"/>
    </row>
    <row r="30" spans="1:6" ht="15.75" x14ac:dyDescent="0.25">
      <c r="A30" s="300"/>
      <c r="B30" s="292"/>
      <c r="C30" s="292"/>
      <c r="D30" s="292"/>
      <c r="E30" s="292"/>
      <c r="F30" s="292"/>
    </row>
    <row r="31" spans="1:6" ht="15.75" x14ac:dyDescent="0.25">
      <c r="A31" s="300"/>
      <c r="B31" s="292"/>
      <c r="C31" s="292"/>
      <c r="D31" s="292"/>
      <c r="E31" s="292"/>
      <c r="F31" s="292"/>
    </row>
    <row r="32" spans="1:6" ht="15.75" x14ac:dyDescent="0.25">
      <c r="A32" s="300"/>
      <c r="B32" s="292"/>
      <c r="C32" s="292"/>
      <c r="D32" s="292"/>
      <c r="E32" s="292"/>
      <c r="F32" s="292"/>
    </row>
    <row r="33" spans="1:1" ht="15.75" x14ac:dyDescent="0.25">
      <c r="A33" s="300"/>
    </row>
    <row r="34" spans="1:1" ht="15.75" x14ac:dyDescent="0.25">
      <c r="A34" s="300"/>
    </row>
    <row r="35" spans="1:1" ht="15.75" x14ac:dyDescent="0.25">
      <c r="A35" s="300"/>
    </row>
    <row r="36" spans="1:1" ht="15.75" x14ac:dyDescent="0.25">
      <c r="A36" s="300"/>
    </row>
    <row r="37" spans="1:1" ht="15.75" x14ac:dyDescent="0.25">
      <c r="A37" s="300"/>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5857-22C1-4BB9-A24D-DE1DD87C47B2}">
  <sheetPr>
    <pageSetUpPr fitToPage="1"/>
  </sheetPr>
  <dimension ref="A2:T17"/>
  <sheetViews>
    <sheetView zoomScale="80" zoomScaleNormal="80" workbookViewId="0">
      <pane xSplit="1" ySplit="1" topLeftCell="B5" activePane="bottomRight" state="frozen"/>
      <selection pane="topRight" activeCell="B1" sqref="B1"/>
      <selection pane="bottomLeft" activeCell="A4" sqref="A4"/>
      <selection pane="bottomRight" activeCell="L17" sqref="L17"/>
    </sheetView>
  </sheetViews>
  <sheetFormatPr defaultRowHeight="12.75" x14ac:dyDescent="0.2"/>
  <cols>
    <col min="1" max="1" width="47.7109375" style="192" customWidth="1"/>
    <col min="2" max="2" width="14" style="194" customWidth="1"/>
    <col min="3" max="3" width="14.140625" style="192" customWidth="1"/>
    <col min="4" max="4" width="14.42578125" style="194" customWidth="1"/>
    <col min="5" max="5" width="14.7109375" style="192" customWidth="1"/>
    <col min="6" max="6" width="14.5703125" style="194" customWidth="1"/>
    <col min="7" max="7" width="14" style="192" customWidth="1"/>
    <col min="8" max="8" width="12.85546875" style="192" customWidth="1"/>
    <col min="9" max="9" width="12.7109375" style="192" customWidth="1"/>
    <col min="10" max="10" width="12.85546875" style="192" customWidth="1"/>
    <col min="11" max="11" width="13.140625" style="192" customWidth="1"/>
    <col min="12" max="14" width="12.85546875" style="192" customWidth="1"/>
    <col min="15" max="15" width="12.7109375" style="192" customWidth="1"/>
    <col min="16" max="16" width="12.140625" style="192" customWidth="1"/>
    <col min="17" max="17" width="12" style="192" customWidth="1"/>
    <col min="18" max="18" width="13.42578125" style="192" customWidth="1"/>
    <col min="19" max="20" width="12.85546875" style="194" customWidth="1"/>
    <col min="21" max="21" width="13.140625" style="192" customWidth="1"/>
    <col min="22" max="256" width="9.140625" style="192"/>
    <col min="257" max="257" width="47.7109375" style="192" customWidth="1"/>
    <col min="258" max="258" width="14" style="192" customWidth="1"/>
    <col min="259" max="259" width="14.140625" style="192" customWidth="1"/>
    <col min="260" max="260" width="14.42578125" style="192" customWidth="1"/>
    <col min="261" max="261" width="14.7109375" style="192" customWidth="1"/>
    <col min="262" max="262" width="14.5703125" style="192" customWidth="1"/>
    <col min="263" max="263" width="14" style="192" customWidth="1"/>
    <col min="264" max="264" width="12.85546875" style="192" customWidth="1"/>
    <col min="265" max="265" width="12.7109375" style="192" customWidth="1"/>
    <col min="266" max="266" width="12.85546875" style="192" customWidth="1"/>
    <col min="267" max="267" width="13.140625" style="192" customWidth="1"/>
    <col min="268" max="270" width="12.85546875" style="192" customWidth="1"/>
    <col min="271" max="271" width="12.7109375" style="192" customWidth="1"/>
    <col min="272" max="272" width="12.140625" style="192" customWidth="1"/>
    <col min="273" max="273" width="12" style="192" customWidth="1"/>
    <col min="274" max="274" width="13.42578125" style="192" customWidth="1"/>
    <col min="275" max="276" width="12.85546875" style="192" customWidth="1"/>
    <col min="277" max="277" width="13.140625" style="192" customWidth="1"/>
    <col min="278" max="512" width="9.140625" style="192"/>
    <col min="513" max="513" width="47.7109375" style="192" customWidth="1"/>
    <col min="514" max="514" width="14" style="192" customWidth="1"/>
    <col min="515" max="515" width="14.140625" style="192" customWidth="1"/>
    <col min="516" max="516" width="14.42578125" style="192" customWidth="1"/>
    <col min="517" max="517" width="14.7109375" style="192" customWidth="1"/>
    <col min="518" max="518" width="14.5703125" style="192" customWidth="1"/>
    <col min="519" max="519" width="14" style="192" customWidth="1"/>
    <col min="520" max="520" width="12.85546875" style="192" customWidth="1"/>
    <col min="521" max="521" width="12.7109375" style="192" customWidth="1"/>
    <col min="522" max="522" width="12.85546875" style="192" customWidth="1"/>
    <col min="523" max="523" width="13.140625" style="192" customWidth="1"/>
    <col min="524" max="526" width="12.85546875" style="192" customWidth="1"/>
    <col min="527" max="527" width="12.7109375" style="192" customWidth="1"/>
    <col min="528" max="528" width="12.140625" style="192" customWidth="1"/>
    <col min="529" max="529" width="12" style="192" customWidth="1"/>
    <col min="530" max="530" width="13.42578125" style="192" customWidth="1"/>
    <col min="531" max="532" width="12.85546875" style="192" customWidth="1"/>
    <col min="533" max="533" width="13.140625" style="192" customWidth="1"/>
    <col min="534" max="768" width="9.140625" style="192"/>
    <col min="769" max="769" width="47.7109375" style="192" customWidth="1"/>
    <col min="770" max="770" width="14" style="192" customWidth="1"/>
    <col min="771" max="771" width="14.140625" style="192" customWidth="1"/>
    <col min="772" max="772" width="14.42578125" style="192" customWidth="1"/>
    <col min="773" max="773" width="14.7109375" style="192" customWidth="1"/>
    <col min="774" max="774" width="14.5703125" style="192" customWidth="1"/>
    <col min="775" max="775" width="14" style="192" customWidth="1"/>
    <col min="776" max="776" width="12.85546875" style="192" customWidth="1"/>
    <col min="777" max="777" width="12.7109375" style="192" customWidth="1"/>
    <col min="778" max="778" width="12.85546875" style="192" customWidth="1"/>
    <col min="779" max="779" width="13.140625" style="192" customWidth="1"/>
    <col min="780" max="782" width="12.85546875" style="192" customWidth="1"/>
    <col min="783" max="783" width="12.7109375" style="192" customWidth="1"/>
    <col min="784" max="784" width="12.140625" style="192" customWidth="1"/>
    <col min="785" max="785" width="12" style="192" customWidth="1"/>
    <col min="786" max="786" width="13.42578125" style="192" customWidth="1"/>
    <col min="787" max="788" width="12.85546875" style="192" customWidth="1"/>
    <col min="789" max="789" width="13.140625" style="192" customWidth="1"/>
    <col min="790" max="1024" width="9.140625" style="192"/>
    <col min="1025" max="1025" width="47.7109375" style="192" customWidth="1"/>
    <col min="1026" max="1026" width="14" style="192" customWidth="1"/>
    <col min="1027" max="1027" width="14.140625" style="192" customWidth="1"/>
    <col min="1028" max="1028" width="14.42578125" style="192" customWidth="1"/>
    <col min="1029" max="1029" width="14.7109375" style="192" customWidth="1"/>
    <col min="1030" max="1030" width="14.5703125" style="192" customWidth="1"/>
    <col min="1031" max="1031" width="14" style="192" customWidth="1"/>
    <col min="1032" max="1032" width="12.85546875" style="192" customWidth="1"/>
    <col min="1033" max="1033" width="12.7109375" style="192" customWidth="1"/>
    <col min="1034" max="1034" width="12.85546875" style="192" customWidth="1"/>
    <col min="1035" max="1035" width="13.140625" style="192" customWidth="1"/>
    <col min="1036" max="1038" width="12.85546875" style="192" customWidth="1"/>
    <col min="1039" max="1039" width="12.7109375" style="192" customWidth="1"/>
    <col min="1040" max="1040" width="12.140625" style="192" customWidth="1"/>
    <col min="1041" max="1041" width="12" style="192" customWidth="1"/>
    <col min="1042" max="1042" width="13.42578125" style="192" customWidth="1"/>
    <col min="1043" max="1044" width="12.85546875" style="192" customWidth="1"/>
    <col min="1045" max="1045" width="13.140625" style="192" customWidth="1"/>
    <col min="1046" max="1280" width="9.140625" style="192"/>
    <col min="1281" max="1281" width="47.7109375" style="192" customWidth="1"/>
    <col min="1282" max="1282" width="14" style="192" customWidth="1"/>
    <col min="1283" max="1283" width="14.140625" style="192" customWidth="1"/>
    <col min="1284" max="1284" width="14.42578125" style="192" customWidth="1"/>
    <col min="1285" max="1285" width="14.7109375" style="192" customWidth="1"/>
    <col min="1286" max="1286" width="14.5703125" style="192" customWidth="1"/>
    <col min="1287" max="1287" width="14" style="192" customWidth="1"/>
    <col min="1288" max="1288" width="12.85546875" style="192" customWidth="1"/>
    <col min="1289" max="1289" width="12.7109375" style="192" customWidth="1"/>
    <col min="1290" max="1290" width="12.85546875" style="192" customWidth="1"/>
    <col min="1291" max="1291" width="13.140625" style="192" customWidth="1"/>
    <col min="1292" max="1294" width="12.85546875" style="192" customWidth="1"/>
    <col min="1295" max="1295" width="12.7109375" style="192" customWidth="1"/>
    <col min="1296" max="1296" width="12.140625" style="192" customWidth="1"/>
    <col min="1297" max="1297" width="12" style="192" customWidth="1"/>
    <col min="1298" max="1298" width="13.42578125" style="192" customWidth="1"/>
    <col min="1299" max="1300" width="12.85546875" style="192" customWidth="1"/>
    <col min="1301" max="1301" width="13.140625" style="192" customWidth="1"/>
    <col min="1302" max="1536" width="9.140625" style="192"/>
    <col min="1537" max="1537" width="47.7109375" style="192" customWidth="1"/>
    <col min="1538" max="1538" width="14" style="192" customWidth="1"/>
    <col min="1539" max="1539" width="14.140625" style="192" customWidth="1"/>
    <col min="1540" max="1540" width="14.42578125" style="192" customWidth="1"/>
    <col min="1541" max="1541" width="14.7109375" style="192" customWidth="1"/>
    <col min="1542" max="1542" width="14.5703125" style="192" customWidth="1"/>
    <col min="1543" max="1543" width="14" style="192" customWidth="1"/>
    <col min="1544" max="1544" width="12.85546875" style="192" customWidth="1"/>
    <col min="1545" max="1545" width="12.7109375" style="192" customWidth="1"/>
    <col min="1546" max="1546" width="12.85546875" style="192" customWidth="1"/>
    <col min="1547" max="1547" width="13.140625" style="192" customWidth="1"/>
    <col min="1548" max="1550" width="12.85546875" style="192" customWidth="1"/>
    <col min="1551" max="1551" width="12.7109375" style="192" customWidth="1"/>
    <col min="1552" max="1552" width="12.140625" style="192" customWidth="1"/>
    <col min="1553" max="1553" width="12" style="192" customWidth="1"/>
    <col min="1554" max="1554" width="13.42578125" style="192" customWidth="1"/>
    <col min="1555" max="1556" width="12.85546875" style="192" customWidth="1"/>
    <col min="1557" max="1557" width="13.140625" style="192" customWidth="1"/>
    <col min="1558" max="1792" width="9.140625" style="192"/>
    <col min="1793" max="1793" width="47.7109375" style="192" customWidth="1"/>
    <col min="1794" max="1794" width="14" style="192" customWidth="1"/>
    <col min="1795" max="1795" width="14.140625" style="192" customWidth="1"/>
    <col min="1796" max="1796" width="14.42578125" style="192" customWidth="1"/>
    <col min="1797" max="1797" width="14.7109375" style="192" customWidth="1"/>
    <col min="1798" max="1798" width="14.5703125" style="192" customWidth="1"/>
    <col min="1799" max="1799" width="14" style="192" customWidth="1"/>
    <col min="1800" max="1800" width="12.85546875" style="192" customWidth="1"/>
    <col min="1801" max="1801" width="12.7109375" style="192" customWidth="1"/>
    <col min="1802" max="1802" width="12.85546875" style="192" customWidth="1"/>
    <col min="1803" max="1803" width="13.140625" style="192" customWidth="1"/>
    <col min="1804" max="1806" width="12.85546875" style="192" customWidth="1"/>
    <col min="1807" max="1807" width="12.7109375" style="192" customWidth="1"/>
    <col min="1808" max="1808" width="12.140625" style="192" customWidth="1"/>
    <col min="1809" max="1809" width="12" style="192" customWidth="1"/>
    <col min="1810" max="1810" width="13.42578125" style="192" customWidth="1"/>
    <col min="1811" max="1812" width="12.85546875" style="192" customWidth="1"/>
    <col min="1813" max="1813" width="13.140625" style="192" customWidth="1"/>
    <col min="1814" max="2048" width="9.140625" style="192"/>
    <col min="2049" max="2049" width="47.7109375" style="192" customWidth="1"/>
    <col min="2050" max="2050" width="14" style="192" customWidth="1"/>
    <col min="2051" max="2051" width="14.140625" style="192" customWidth="1"/>
    <col min="2052" max="2052" width="14.42578125" style="192" customWidth="1"/>
    <col min="2053" max="2053" width="14.7109375" style="192" customWidth="1"/>
    <col min="2054" max="2054" width="14.5703125" style="192" customWidth="1"/>
    <col min="2055" max="2055" width="14" style="192" customWidth="1"/>
    <col min="2056" max="2056" width="12.85546875" style="192" customWidth="1"/>
    <col min="2057" max="2057" width="12.7109375" style="192" customWidth="1"/>
    <col min="2058" max="2058" width="12.85546875" style="192" customWidth="1"/>
    <col min="2059" max="2059" width="13.140625" style="192" customWidth="1"/>
    <col min="2060" max="2062" width="12.85546875" style="192" customWidth="1"/>
    <col min="2063" max="2063" width="12.7109375" style="192" customWidth="1"/>
    <col min="2064" max="2064" width="12.140625" style="192" customWidth="1"/>
    <col min="2065" max="2065" width="12" style="192" customWidth="1"/>
    <col min="2066" max="2066" width="13.42578125" style="192" customWidth="1"/>
    <col min="2067" max="2068" width="12.85546875" style="192" customWidth="1"/>
    <col min="2069" max="2069" width="13.140625" style="192" customWidth="1"/>
    <col min="2070" max="2304" width="9.140625" style="192"/>
    <col min="2305" max="2305" width="47.7109375" style="192" customWidth="1"/>
    <col min="2306" max="2306" width="14" style="192" customWidth="1"/>
    <col min="2307" max="2307" width="14.140625" style="192" customWidth="1"/>
    <col min="2308" max="2308" width="14.42578125" style="192" customWidth="1"/>
    <col min="2309" max="2309" width="14.7109375" style="192" customWidth="1"/>
    <col min="2310" max="2310" width="14.5703125" style="192" customWidth="1"/>
    <col min="2311" max="2311" width="14" style="192" customWidth="1"/>
    <col min="2312" max="2312" width="12.85546875" style="192" customWidth="1"/>
    <col min="2313" max="2313" width="12.7109375" style="192" customWidth="1"/>
    <col min="2314" max="2314" width="12.85546875" style="192" customWidth="1"/>
    <col min="2315" max="2315" width="13.140625" style="192" customWidth="1"/>
    <col min="2316" max="2318" width="12.85546875" style="192" customWidth="1"/>
    <col min="2319" max="2319" width="12.7109375" style="192" customWidth="1"/>
    <col min="2320" max="2320" width="12.140625" style="192" customWidth="1"/>
    <col min="2321" max="2321" width="12" style="192" customWidth="1"/>
    <col min="2322" max="2322" width="13.42578125" style="192" customWidth="1"/>
    <col min="2323" max="2324" width="12.85546875" style="192" customWidth="1"/>
    <col min="2325" max="2325" width="13.140625" style="192" customWidth="1"/>
    <col min="2326" max="2560" width="9.140625" style="192"/>
    <col min="2561" max="2561" width="47.7109375" style="192" customWidth="1"/>
    <col min="2562" max="2562" width="14" style="192" customWidth="1"/>
    <col min="2563" max="2563" width="14.140625" style="192" customWidth="1"/>
    <col min="2564" max="2564" width="14.42578125" style="192" customWidth="1"/>
    <col min="2565" max="2565" width="14.7109375" style="192" customWidth="1"/>
    <col min="2566" max="2566" width="14.5703125" style="192" customWidth="1"/>
    <col min="2567" max="2567" width="14" style="192" customWidth="1"/>
    <col min="2568" max="2568" width="12.85546875" style="192" customWidth="1"/>
    <col min="2569" max="2569" width="12.7109375" style="192" customWidth="1"/>
    <col min="2570" max="2570" width="12.85546875" style="192" customWidth="1"/>
    <col min="2571" max="2571" width="13.140625" style="192" customWidth="1"/>
    <col min="2572" max="2574" width="12.85546875" style="192" customWidth="1"/>
    <col min="2575" max="2575" width="12.7109375" style="192" customWidth="1"/>
    <col min="2576" max="2576" width="12.140625" style="192" customWidth="1"/>
    <col min="2577" max="2577" width="12" style="192" customWidth="1"/>
    <col min="2578" max="2578" width="13.42578125" style="192" customWidth="1"/>
    <col min="2579" max="2580" width="12.85546875" style="192" customWidth="1"/>
    <col min="2581" max="2581" width="13.140625" style="192" customWidth="1"/>
    <col min="2582" max="2816" width="9.140625" style="192"/>
    <col min="2817" max="2817" width="47.7109375" style="192" customWidth="1"/>
    <col min="2818" max="2818" width="14" style="192" customWidth="1"/>
    <col min="2819" max="2819" width="14.140625" style="192" customWidth="1"/>
    <col min="2820" max="2820" width="14.42578125" style="192" customWidth="1"/>
    <col min="2821" max="2821" width="14.7109375" style="192" customWidth="1"/>
    <col min="2822" max="2822" width="14.5703125" style="192" customWidth="1"/>
    <col min="2823" max="2823" width="14" style="192" customWidth="1"/>
    <col min="2824" max="2824" width="12.85546875" style="192" customWidth="1"/>
    <col min="2825" max="2825" width="12.7109375" style="192" customWidth="1"/>
    <col min="2826" max="2826" width="12.85546875" style="192" customWidth="1"/>
    <col min="2827" max="2827" width="13.140625" style="192" customWidth="1"/>
    <col min="2828" max="2830" width="12.85546875" style="192" customWidth="1"/>
    <col min="2831" max="2831" width="12.7109375" style="192" customWidth="1"/>
    <col min="2832" max="2832" width="12.140625" style="192" customWidth="1"/>
    <col min="2833" max="2833" width="12" style="192" customWidth="1"/>
    <col min="2834" max="2834" width="13.42578125" style="192" customWidth="1"/>
    <col min="2835" max="2836" width="12.85546875" style="192" customWidth="1"/>
    <col min="2837" max="2837" width="13.140625" style="192" customWidth="1"/>
    <col min="2838" max="3072" width="9.140625" style="192"/>
    <col min="3073" max="3073" width="47.7109375" style="192" customWidth="1"/>
    <col min="3074" max="3074" width="14" style="192" customWidth="1"/>
    <col min="3075" max="3075" width="14.140625" style="192" customWidth="1"/>
    <col min="3076" max="3076" width="14.42578125" style="192" customWidth="1"/>
    <col min="3077" max="3077" width="14.7109375" style="192" customWidth="1"/>
    <col min="3078" max="3078" width="14.5703125" style="192" customWidth="1"/>
    <col min="3079" max="3079" width="14" style="192" customWidth="1"/>
    <col min="3080" max="3080" width="12.85546875" style="192" customWidth="1"/>
    <col min="3081" max="3081" width="12.7109375" style="192" customWidth="1"/>
    <col min="3082" max="3082" width="12.85546875" style="192" customWidth="1"/>
    <col min="3083" max="3083" width="13.140625" style="192" customWidth="1"/>
    <col min="3084" max="3086" width="12.85546875" style="192" customWidth="1"/>
    <col min="3087" max="3087" width="12.7109375" style="192" customWidth="1"/>
    <col min="3088" max="3088" width="12.140625" style="192" customWidth="1"/>
    <col min="3089" max="3089" width="12" style="192" customWidth="1"/>
    <col min="3090" max="3090" width="13.42578125" style="192" customWidth="1"/>
    <col min="3091" max="3092" width="12.85546875" style="192" customWidth="1"/>
    <col min="3093" max="3093" width="13.140625" style="192" customWidth="1"/>
    <col min="3094" max="3328" width="9.140625" style="192"/>
    <col min="3329" max="3329" width="47.7109375" style="192" customWidth="1"/>
    <col min="3330" max="3330" width="14" style="192" customWidth="1"/>
    <col min="3331" max="3331" width="14.140625" style="192" customWidth="1"/>
    <col min="3332" max="3332" width="14.42578125" style="192" customWidth="1"/>
    <col min="3333" max="3333" width="14.7109375" style="192" customWidth="1"/>
    <col min="3334" max="3334" width="14.5703125" style="192" customWidth="1"/>
    <col min="3335" max="3335" width="14" style="192" customWidth="1"/>
    <col min="3336" max="3336" width="12.85546875" style="192" customWidth="1"/>
    <col min="3337" max="3337" width="12.7109375" style="192" customWidth="1"/>
    <col min="3338" max="3338" width="12.85546875" style="192" customWidth="1"/>
    <col min="3339" max="3339" width="13.140625" style="192" customWidth="1"/>
    <col min="3340" max="3342" width="12.85546875" style="192" customWidth="1"/>
    <col min="3343" max="3343" width="12.7109375" style="192" customWidth="1"/>
    <col min="3344" max="3344" width="12.140625" style="192" customWidth="1"/>
    <col min="3345" max="3345" width="12" style="192" customWidth="1"/>
    <col min="3346" max="3346" width="13.42578125" style="192" customWidth="1"/>
    <col min="3347" max="3348" width="12.85546875" style="192" customWidth="1"/>
    <col min="3349" max="3349" width="13.140625" style="192" customWidth="1"/>
    <col min="3350" max="3584" width="9.140625" style="192"/>
    <col min="3585" max="3585" width="47.7109375" style="192" customWidth="1"/>
    <col min="3586" max="3586" width="14" style="192" customWidth="1"/>
    <col min="3587" max="3587" width="14.140625" style="192" customWidth="1"/>
    <col min="3588" max="3588" width="14.42578125" style="192" customWidth="1"/>
    <col min="3589" max="3589" width="14.7109375" style="192" customWidth="1"/>
    <col min="3590" max="3590" width="14.5703125" style="192" customWidth="1"/>
    <col min="3591" max="3591" width="14" style="192" customWidth="1"/>
    <col min="3592" max="3592" width="12.85546875" style="192" customWidth="1"/>
    <col min="3593" max="3593" width="12.7109375" style="192" customWidth="1"/>
    <col min="3594" max="3594" width="12.85546875" style="192" customWidth="1"/>
    <col min="3595" max="3595" width="13.140625" style="192" customWidth="1"/>
    <col min="3596" max="3598" width="12.85546875" style="192" customWidth="1"/>
    <col min="3599" max="3599" width="12.7109375" style="192" customWidth="1"/>
    <col min="3600" max="3600" width="12.140625" style="192" customWidth="1"/>
    <col min="3601" max="3601" width="12" style="192" customWidth="1"/>
    <col min="3602" max="3602" width="13.42578125" style="192" customWidth="1"/>
    <col min="3603" max="3604" width="12.85546875" style="192" customWidth="1"/>
    <col min="3605" max="3605" width="13.140625" style="192" customWidth="1"/>
    <col min="3606" max="3840" width="9.140625" style="192"/>
    <col min="3841" max="3841" width="47.7109375" style="192" customWidth="1"/>
    <col min="3842" max="3842" width="14" style="192" customWidth="1"/>
    <col min="3843" max="3843" width="14.140625" style="192" customWidth="1"/>
    <col min="3844" max="3844" width="14.42578125" style="192" customWidth="1"/>
    <col min="3845" max="3845" width="14.7109375" style="192" customWidth="1"/>
    <col min="3846" max="3846" width="14.5703125" style="192" customWidth="1"/>
    <col min="3847" max="3847" width="14" style="192" customWidth="1"/>
    <col min="3848" max="3848" width="12.85546875" style="192" customWidth="1"/>
    <col min="3849" max="3849" width="12.7109375" style="192" customWidth="1"/>
    <col min="3850" max="3850" width="12.85546875" style="192" customWidth="1"/>
    <col min="3851" max="3851" width="13.140625" style="192" customWidth="1"/>
    <col min="3852" max="3854" width="12.85546875" style="192" customWidth="1"/>
    <col min="3855" max="3855" width="12.7109375" style="192" customWidth="1"/>
    <col min="3856" max="3856" width="12.140625" style="192" customWidth="1"/>
    <col min="3857" max="3857" width="12" style="192" customWidth="1"/>
    <col min="3858" max="3858" width="13.42578125" style="192" customWidth="1"/>
    <col min="3859" max="3860" width="12.85546875" style="192" customWidth="1"/>
    <col min="3861" max="3861" width="13.140625" style="192" customWidth="1"/>
    <col min="3862" max="4096" width="9.140625" style="192"/>
    <col min="4097" max="4097" width="47.7109375" style="192" customWidth="1"/>
    <col min="4098" max="4098" width="14" style="192" customWidth="1"/>
    <col min="4099" max="4099" width="14.140625" style="192" customWidth="1"/>
    <col min="4100" max="4100" width="14.42578125" style="192" customWidth="1"/>
    <col min="4101" max="4101" width="14.7109375" style="192" customWidth="1"/>
    <col min="4102" max="4102" width="14.5703125" style="192" customWidth="1"/>
    <col min="4103" max="4103" width="14" style="192" customWidth="1"/>
    <col min="4104" max="4104" width="12.85546875" style="192" customWidth="1"/>
    <col min="4105" max="4105" width="12.7109375" style="192" customWidth="1"/>
    <col min="4106" max="4106" width="12.85546875" style="192" customWidth="1"/>
    <col min="4107" max="4107" width="13.140625" style="192" customWidth="1"/>
    <col min="4108" max="4110" width="12.85546875" style="192" customWidth="1"/>
    <col min="4111" max="4111" width="12.7109375" style="192" customWidth="1"/>
    <col min="4112" max="4112" width="12.140625" style="192" customWidth="1"/>
    <col min="4113" max="4113" width="12" style="192" customWidth="1"/>
    <col min="4114" max="4114" width="13.42578125" style="192" customWidth="1"/>
    <col min="4115" max="4116" width="12.85546875" style="192" customWidth="1"/>
    <col min="4117" max="4117" width="13.140625" style="192" customWidth="1"/>
    <col min="4118" max="4352" width="9.140625" style="192"/>
    <col min="4353" max="4353" width="47.7109375" style="192" customWidth="1"/>
    <col min="4354" max="4354" width="14" style="192" customWidth="1"/>
    <col min="4355" max="4355" width="14.140625" style="192" customWidth="1"/>
    <col min="4356" max="4356" width="14.42578125" style="192" customWidth="1"/>
    <col min="4357" max="4357" width="14.7109375" style="192" customWidth="1"/>
    <col min="4358" max="4358" width="14.5703125" style="192" customWidth="1"/>
    <col min="4359" max="4359" width="14" style="192" customWidth="1"/>
    <col min="4360" max="4360" width="12.85546875" style="192" customWidth="1"/>
    <col min="4361" max="4361" width="12.7109375" style="192" customWidth="1"/>
    <col min="4362" max="4362" width="12.85546875" style="192" customWidth="1"/>
    <col min="4363" max="4363" width="13.140625" style="192" customWidth="1"/>
    <col min="4364" max="4366" width="12.85546875" style="192" customWidth="1"/>
    <col min="4367" max="4367" width="12.7109375" style="192" customWidth="1"/>
    <col min="4368" max="4368" width="12.140625" style="192" customWidth="1"/>
    <col min="4369" max="4369" width="12" style="192" customWidth="1"/>
    <col min="4370" max="4370" width="13.42578125" style="192" customWidth="1"/>
    <col min="4371" max="4372" width="12.85546875" style="192" customWidth="1"/>
    <col min="4373" max="4373" width="13.140625" style="192" customWidth="1"/>
    <col min="4374" max="4608" width="9.140625" style="192"/>
    <col min="4609" max="4609" width="47.7109375" style="192" customWidth="1"/>
    <col min="4610" max="4610" width="14" style="192" customWidth="1"/>
    <col min="4611" max="4611" width="14.140625" style="192" customWidth="1"/>
    <col min="4612" max="4612" width="14.42578125" style="192" customWidth="1"/>
    <col min="4613" max="4613" width="14.7109375" style="192" customWidth="1"/>
    <col min="4614" max="4614" width="14.5703125" style="192" customWidth="1"/>
    <col min="4615" max="4615" width="14" style="192" customWidth="1"/>
    <col min="4616" max="4616" width="12.85546875" style="192" customWidth="1"/>
    <col min="4617" max="4617" width="12.7109375" style="192" customWidth="1"/>
    <col min="4618" max="4618" width="12.85546875" style="192" customWidth="1"/>
    <col min="4619" max="4619" width="13.140625" style="192" customWidth="1"/>
    <col min="4620" max="4622" width="12.85546875" style="192" customWidth="1"/>
    <col min="4623" max="4623" width="12.7109375" style="192" customWidth="1"/>
    <col min="4624" max="4624" width="12.140625" style="192" customWidth="1"/>
    <col min="4625" max="4625" width="12" style="192" customWidth="1"/>
    <col min="4626" max="4626" width="13.42578125" style="192" customWidth="1"/>
    <col min="4627" max="4628" width="12.85546875" style="192" customWidth="1"/>
    <col min="4629" max="4629" width="13.140625" style="192" customWidth="1"/>
    <col min="4630" max="4864" width="9.140625" style="192"/>
    <col min="4865" max="4865" width="47.7109375" style="192" customWidth="1"/>
    <col min="4866" max="4866" width="14" style="192" customWidth="1"/>
    <col min="4867" max="4867" width="14.140625" style="192" customWidth="1"/>
    <col min="4868" max="4868" width="14.42578125" style="192" customWidth="1"/>
    <col min="4869" max="4869" width="14.7109375" style="192" customWidth="1"/>
    <col min="4870" max="4870" width="14.5703125" style="192" customWidth="1"/>
    <col min="4871" max="4871" width="14" style="192" customWidth="1"/>
    <col min="4872" max="4872" width="12.85546875" style="192" customWidth="1"/>
    <col min="4873" max="4873" width="12.7109375" style="192" customWidth="1"/>
    <col min="4874" max="4874" width="12.85546875" style="192" customWidth="1"/>
    <col min="4875" max="4875" width="13.140625" style="192" customWidth="1"/>
    <col min="4876" max="4878" width="12.85546875" style="192" customWidth="1"/>
    <col min="4879" max="4879" width="12.7109375" style="192" customWidth="1"/>
    <col min="4880" max="4880" width="12.140625" style="192" customWidth="1"/>
    <col min="4881" max="4881" width="12" style="192" customWidth="1"/>
    <col min="4882" max="4882" width="13.42578125" style="192" customWidth="1"/>
    <col min="4883" max="4884" width="12.85546875" style="192" customWidth="1"/>
    <col min="4885" max="4885" width="13.140625" style="192" customWidth="1"/>
    <col min="4886" max="5120" width="9.140625" style="192"/>
    <col min="5121" max="5121" width="47.7109375" style="192" customWidth="1"/>
    <col min="5122" max="5122" width="14" style="192" customWidth="1"/>
    <col min="5123" max="5123" width="14.140625" style="192" customWidth="1"/>
    <col min="5124" max="5124" width="14.42578125" style="192" customWidth="1"/>
    <col min="5125" max="5125" width="14.7109375" style="192" customWidth="1"/>
    <col min="5126" max="5126" width="14.5703125" style="192" customWidth="1"/>
    <col min="5127" max="5127" width="14" style="192" customWidth="1"/>
    <col min="5128" max="5128" width="12.85546875" style="192" customWidth="1"/>
    <col min="5129" max="5129" width="12.7109375" style="192" customWidth="1"/>
    <col min="5130" max="5130" width="12.85546875" style="192" customWidth="1"/>
    <col min="5131" max="5131" width="13.140625" style="192" customWidth="1"/>
    <col min="5132" max="5134" width="12.85546875" style="192" customWidth="1"/>
    <col min="5135" max="5135" width="12.7109375" style="192" customWidth="1"/>
    <col min="5136" max="5136" width="12.140625" style="192" customWidth="1"/>
    <col min="5137" max="5137" width="12" style="192" customWidth="1"/>
    <col min="5138" max="5138" width="13.42578125" style="192" customWidth="1"/>
    <col min="5139" max="5140" width="12.85546875" style="192" customWidth="1"/>
    <col min="5141" max="5141" width="13.140625" style="192" customWidth="1"/>
    <col min="5142" max="5376" width="9.140625" style="192"/>
    <col min="5377" max="5377" width="47.7109375" style="192" customWidth="1"/>
    <col min="5378" max="5378" width="14" style="192" customWidth="1"/>
    <col min="5379" max="5379" width="14.140625" style="192" customWidth="1"/>
    <col min="5380" max="5380" width="14.42578125" style="192" customWidth="1"/>
    <col min="5381" max="5381" width="14.7109375" style="192" customWidth="1"/>
    <col min="5382" max="5382" width="14.5703125" style="192" customWidth="1"/>
    <col min="5383" max="5383" width="14" style="192" customWidth="1"/>
    <col min="5384" max="5384" width="12.85546875" style="192" customWidth="1"/>
    <col min="5385" max="5385" width="12.7109375" style="192" customWidth="1"/>
    <col min="5386" max="5386" width="12.85546875" style="192" customWidth="1"/>
    <col min="5387" max="5387" width="13.140625" style="192" customWidth="1"/>
    <col min="5388" max="5390" width="12.85546875" style="192" customWidth="1"/>
    <col min="5391" max="5391" width="12.7109375" style="192" customWidth="1"/>
    <col min="5392" max="5392" width="12.140625" style="192" customWidth="1"/>
    <col min="5393" max="5393" width="12" style="192" customWidth="1"/>
    <col min="5394" max="5394" width="13.42578125" style="192" customWidth="1"/>
    <col min="5395" max="5396" width="12.85546875" style="192" customWidth="1"/>
    <col min="5397" max="5397" width="13.140625" style="192" customWidth="1"/>
    <col min="5398" max="5632" width="9.140625" style="192"/>
    <col min="5633" max="5633" width="47.7109375" style="192" customWidth="1"/>
    <col min="5634" max="5634" width="14" style="192" customWidth="1"/>
    <col min="5635" max="5635" width="14.140625" style="192" customWidth="1"/>
    <col min="5636" max="5636" width="14.42578125" style="192" customWidth="1"/>
    <col min="5637" max="5637" width="14.7109375" style="192" customWidth="1"/>
    <col min="5638" max="5638" width="14.5703125" style="192" customWidth="1"/>
    <col min="5639" max="5639" width="14" style="192" customWidth="1"/>
    <col min="5640" max="5640" width="12.85546875" style="192" customWidth="1"/>
    <col min="5641" max="5641" width="12.7109375" style="192" customWidth="1"/>
    <col min="5642" max="5642" width="12.85546875" style="192" customWidth="1"/>
    <col min="5643" max="5643" width="13.140625" style="192" customWidth="1"/>
    <col min="5644" max="5646" width="12.85546875" style="192" customWidth="1"/>
    <col min="5647" max="5647" width="12.7109375" style="192" customWidth="1"/>
    <col min="5648" max="5648" width="12.140625" style="192" customWidth="1"/>
    <col min="5649" max="5649" width="12" style="192" customWidth="1"/>
    <col min="5650" max="5650" width="13.42578125" style="192" customWidth="1"/>
    <col min="5651" max="5652" width="12.85546875" style="192" customWidth="1"/>
    <col min="5653" max="5653" width="13.140625" style="192" customWidth="1"/>
    <col min="5654" max="5888" width="9.140625" style="192"/>
    <col min="5889" max="5889" width="47.7109375" style="192" customWidth="1"/>
    <col min="5890" max="5890" width="14" style="192" customWidth="1"/>
    <col min="5891" max="5891" width="14.140625" style="192" customWidth="1"/>
    <col min="5892" max="5892" width="14.42578125" style="192" customWidth="1"/>
    <col min="5893" max="5893" width="14.7109375" style="192" customWidth="1"/>
    <col min="5894" max="5894" width="14.5703125" style="192" customWidth="1"/>
    <col min="5895" max="5895" width="14" style="192" customWidth="1"/>
    <col min="5896" max="5896" width="12.85546875" style="192" customWidth="1"/>
    <col min="5897" max="5897" width="12.7109375" style="192" customWidth="1"/>
    <col min="5898" max="5898" width="12.85546875" style="192" customWidth="1"/>
    <col min="5899" max="5899" width="13.140625" style="192" customWidth="1"/>
    <col min="5900" max="5902" width="12.85546875" style="192" customWidth="1"/>
    <col min="5903" max="5903" width="12.7109375" style="192" customWidth="1"/>
    <col min="5904" max="5904" width="12.140625" style="192" customWidth="1"/>
    <col min="5905" max="5905" width="12" style="192" customWidth="1"/>
    <col min="5906" max="5906" width="13.42578125" style="192" customWidth="1"/>
    <col min="5907" max="5908" width="12.85546875" style="192" customWidth="1"/>
    <col min="5909" max="5909" width="13.140625" style="192" customWidth="1"/>
    <col min="5910" max="6144" width="9.140625" style="192"/>
    <col min="6145" max="6145" width="47.7109375" style="192" customWidth="1"/>
    <col min="6146" max="6146" width="14" style="192" customWidth="1"/>
    <col min="6147" max="6147" width="14.140625" style="192" customWidth="1"/>
    <col min="6148" max="6148" width="14.42578125" style="192" customWidth="1"/>
    <col min="6149" max="6149" width="14.7109375" style="192" customWidth="1"/>
    <col min="6150" max="6150" width="14.5703125" style="192" customWidth="1"/>
    <col min="6151" max="6151" width="14" style="192" customWidth="1"/>
    <col min="6152" max="6152" width="12.85546875" style="192" customWidth="1"/>
    <col min="6153" max="6153" width="12.7109375" style="192" customWidth="1"/>
    <col min="6154" max="6154" width="12.85546875" style="192" customWidth="1"/>
    <col min="6155" max="6155" width="13.140625" style="192" customWidth="1"/>
    <col min="6156" max="6158" width="12.85546875" style="192" customWidth="1"/>
    <col min="6159" max="6159" width="12.7109375" style="192" customWidth="1"/>
    <col min="6160" max="6160" width="12.140625" style="192" customWidth="1"/>
    <col min="6161" max="6161" width="12" style="192" customWidth="1"/>
    <col min="6162" max="6162" width="13.42578125" style="192" customWidth="1"/>
    <col min="6163" max="6164" width="12.85546875" style="192" customWidth="1"/>
    <col min="6165" max="6165" width="13.140625" style="192" customWidth="1"/>
    <col min="6166" max="6400" width="9.140625" style="192"/>
    <col min="6401" max="6401" width="47.7109375" style="192" customWidth="1"/>
    <col min="6402" max="6402" width="14" style="192" customWidth="1"/>
    <col min="6403" max="6403" width="14.140625" style="192" customWidth="1"/>
    <col min="6404" max="6404" width="14.42578125" style="192" customWidth="1"/>
    <col min="6405" max="6405" width="14.7109375" style="192" customWidth="1"/>
    <col min="6406" max="6406" width="14.5703125" style="192" customWidth="1"/>
    <col min="6407" max="6407" width="14" style="192" customWidth="1"/>
    <col min="6408" max="6408" width="12.85546875" style="192" customWidth="1"/>
    <col min="6409" max="6409" width="12.7109375" style="192" customWidth="1"/>
    <col min="6410" max="6410" width="12.85546875" style="192" customWidth="1"/>
    <col min="6411" max="6411" width="13.140625" style="192" customWidth="1"/>
    <col min="6412" max="6414" width="12.85546875" style="192" customWidth="1"/>
    <col min="6415" max="6415" width="12.7109375" style="192" customWidth="1"/>
    <col min="6416" max="6416" width="12.140625" style="192" customWidth="1"/>
    <col min="6417" max="6417" width="12" style="192" customWidth="1"/>
    <col min="6418" max="6418" width="13.42578125" style="192" customWidth="1"/>
    <col min="6419" max="6420" width="12.85546875" style="192" customWidth="1"/>
    <col min="6421" max="6421" width="13.140625" style="192" customWidth="1"/>
    <col min="6422" max="6656" width="9.140625" style="192"/>
    <col min="6657" max="6657" width="47.7109375" style="192" customWidth="1"/>
    <col min="6658" max="6658" width="14" style="192" customWidth="1"/>
    <col min="6659" max="6659" width="14.140625" style="192" customWidth="1"/>
    <col min="6660" max="6660" width="14.42578125" style="192" customWidth="1"/>
    <col min="6661" max="6661" width="14.7109375" style="192" customWidth="1"/>
    <col min="6662" max="6662" width="14.5703125" style="192" customWidth="1"/>
    <col min="6663" max="6663" width="14" style="192" customWidth="1"/>
    <col min="6664" max="6664" width="12.85546875" style="192" customWidth="1"/>
    <col min="6665" max="6665" width="12.7109375" style="192" customWidth="1"/>
    <col min="6666" max="6666" width="12.85546875" style="192" customWidth="1"/>
    <col min="6667" max="6667" width="13.140625" style="192" customWidth="1"/>
    <col min="6668" max="6670" width="12.85546875" style="192" customWidth="1"/>
    <col min="6671" max="6671" width="12.7109375" style="192" customWidth="1"/>
    <col min="6672" max="6672" width="12.140625" style="192" customWidth="1"/>
    <col min="6673" max="6673" width="12" style="192" customWidth="1"/>
    <col min="6674" max="6674" width="13.42578125" style="192" customWidth="1"/>
    <col min="6675" max="6676" width="12.85546875" style="192" customWidth="1"/>
    <col min="6677" max="6677" width="13.140625" style="192" customWidth="1"/>
    <col min="6678" max="6912" width="9.140625" style="192"/>
    <col min="6913" max="6913" width="47.7109375" style="192" customWidth="1"/>
    <col min="6914" max="6914" width="14" style="192" customWidth="1"/>
    <col min="6915" max="6915" width="14.140625" style="192" customWidth="1"/>
    <col min="6916" max="6916" width="14.42578125" style="192" customWidth="1"/>
    <col min="6917" max="6917" width="14.7109375" style="192" customWidth="1"/>
    <col min="6918" max="6918" width="14.5703125" style="192" customWidth="1"/>
    <col min="6919" max="6919" width="14" style="192" customWidth="1"/>
    <col min="6920" max="6920" width="12.85546875" style="192" customWidth="1"/>
    <col min="6921" max="6921" width="12.7109375" style="192" customWidth="1"/>
    <col min="6922" max="6922" width="12.85546875" style="192" customWidth="1"/>
    <col min="6923" max="6923" width="13.140625" style="192" customWidth="1"/>
    <col min="6924" max="6926" width="12.85546875" style="192" customWidth="1"/>
    <col min="6927" max="6927" width="12.7109375" style="192" customWidth="1"/>
    <col min="6928" max="6928" width="12.140625" style="192" customWidth="1"/>
    <col min="6929" max="6929" width="12" style="192" customWidth="1"/>
    <col min="6930" max="6930" width="13.42578125" style="192" customWidth="1"/>
    <col min="6931" max="6932" width="12.85546875" style="192" customWidth="1"/>
    <col min="6933" max="6933" width="13.140625" style="192" customWidth="1"/>
    <col min="6934" max="7168" width="9.140625" style="192"/>
    <col min="7169" max="7169" width="47.7109375" style="192" customWidth="1"/>
    <col min="7170" max="7170" width="14" style="192" customWidth="1"/>
    <col min="7171" max="7171" width="14.140625" style="192" customWidth="1"/>
    <col min="7172" max="7172" width="14.42578125" style="192" customWidth="1"/>
    <col min="7173" max="7173" width="14.7109375" style="192" customWidth="1"/>
    <col min="7174" max="7174" width="14.5703125" style="192" customWidth="1"/>
    <col min="7175" max="7175" width="14" style="192" customWidth="1"/>
    <col min="7176" max="7176" width="12.85546875" style="192" customWidth="1"/>
    <col min="7177" max="7177" width="12.7109375" style="192" customWidth="1"/>
    <col min="7178" max="7178" width="12.85546875" style="192" customWidth="1"/>
    <col min="7179" max="7179" width="13.140625" style="192" customWidth="1"/>
    <col min="7180" max="7182" width="12.85546875" style="192" customWidth="1"/>
    <col min="7183" max="7183" width="12.7109375" style="192" customWidth="1"/>
    <col min="7184" max="7184" width="12.140625" style="192" customWidth="1"/>
    <col min="7185" max="7185" width="12" style="192" customWidth="1"/>
    <col min="7186" max="7186" width="13.42578125" style="192" customWidth="1"/>
    <col min="7187" max="7188" width="12.85546875" style="192" customWidth="1"/>
    <col min="7189" max="7189" width="13.140625" style="192" customWidth="1"/>
    <col min="7190" max="7424" width="9.140625" style="192"/>
    <col min="7425" max="7425" width="47.7109375" style="192" customWidth="1"/>
    <col min="7426" max="7426" width="14" style="192" customWidth="1"/>
    <col min="7427" max="7427" width="14.140625" style="192" customWidth="1"/>
    <col min="7428" max="7428" width="14.42578125" style="192" customWidth="1"/>
    <col min="7429" max="7429" width="14.7109375" style="192" customWidth="1"/>
    <col min="7430" max="7430" width="14.5703125" style="192" customWidth="1"/>
    <col min="7431" max="7431" width="14" style="192" customWidth="1"/>
    <col min="7432" max="7432" width="12.85546875" style="192" customWidth="1"/>
    <col min="7433" max="7433" width="12.7109375" style="192" customWidth="1"/>
    <col min="7434" max="7434" width="12.85546875" style="192" customWidth="1"/>
    <col min="7435" max="7435" width="13.140625" style="192" customWidth="1"/>
    <col min="7436" max="7438" width="12.85546875" style="192" customWidth="1"/>
    <col min="7439" max="7439" width="12.7109375" style="192" customWidth="1"/>
    <col min="7440" max="7440" width="12.140625" style="192" customWidth="1"/>
    <col min="7441" max="7441" width="12" style="192" customWidth="1"/>
    <col min="7442" max="7442" width="13.42578125" style="192" customWidth="1"/>
    <col min="7443" max="7444" width="12.85546875" style="192" customWidth="1"/>
    <col min="7445" max="7445" width="13.140625" style="192" customWidth="1"/>
    <col min="7446" max="7680" width="9.140625" style="192"/>
    <col min="7681" max="7681" width="47.7109375" style="192" customWidth="1"/>
    <col min="7682" max="7682" width="14" style="192" customWidth="1"/>
    <col min="7683" max="7683" width="14.140625" style="192" customWidth="1"/>
    <col min="7684" max="7684" width="14.42578125" style="192" customWidth="1"/>
    <col min="7685" max="7685" width="14.7109375" style="192" customWidth="1"/>
    <col min="7686" max="7686" width="14.5703125" style="192" customWidth="1"/>
    <col min="7687" max="7687" width="14" style="192" customWidth="1"/>
    <col min="7688" max="7688" width="12.85546875" style="192" customWidth="1"/>
    <col min="7689" max="7689" width="12.7109375" style="192" customWidth="1"/>
    <col min="7690" max="7690" width="12.85546875" style="192" customWidth="1"/>
    <col min="7691" max="7691" width="13.140625" style="192" customWidth="1"/>
    <col min="7692" max="7694" width="12.85546875" style="192" customWidth="1"/>
    <col min="7695" max="7695" width="12.7109375" style="192" customWidth="1"/>
    <col min="7696" max="7696" width="12.140625" style="192" customWidth="1"/>
    <col min="7697" max="7697" width="12" style="192" customWidth="1"/>
    <col min="7698" max="7698" width="13.42578125" style="192" customWidth="1"/>
    <col min="7699" max="7700" width="12.85546875" style="192" customWidth="1"/>
    <col min="7701" max="7701" width="13.140625" style="192" customWidth="1"/>
    <col min="7702" max="7936" width="9.140625" style="192"/>
    <col min="7937" max="7937" width="47.7109375" style="192" customWidth="1"/>
    <col min="7938" max="7938" width="14" style="192" customWidth="1"/>
    <col min="7939" max="7939" width="14.140625" style="192" customWidth="1"/>
    <col min="7940" max="7940" width="14.42578125" style="192" customWidth="1"/>
    <col min="7941" max="7941" width="14.7109375" style="192" customWidth="1"/>
    <col min="7942" max="7942" width="14.5703125" style="192" customWidth="1"/>
    <col min="7943" max="7943" width="14" style="192" customWidth="1"/>
    <col min="7944" max="7944" width="12.85546875" style="192" customWidth="1"/>
    <col min="7945" max="7945" width="12.7109375" style="192" customWidth="1"/>
    <col min="7946" max="7946" width="12.85546875" style="192" customWidth="1"/>
    <col min="7947" max="7947" width="13.140625" style="192" customWidth="1"/>
    <col min="7948" max="7950" width="12.85546875" style="192" customWidth="1"/>
    <col min="7951" max="7951" width="12.7109375" style="192" customWidth="1"/>
    <col min="7952" max="7952" width="12.140625" style="192" customWidth="1"/>
    <col min="7953" max="7953" width="12" style="192" customWidth="1"/>
    <col min="7954" max="7954" width="13.42578125" style="192" customWidth="1"/>
    <col min="7955" max="7956" width="12.85546875" style="192" customWidth="1"/>
    <col min="7957" max="7957" width="13.140625" style="192" customWidth="1"/>
    <col min="7958" max="8192" width="9.140625" style="192"/>
    <col min="8193" max="8193" width="47.7109375" style="192" customWidth="1"/>
    <col min="8194" max="8194" width="14" style="192" customWidth="1"/>
    <col min="8195" max="8195" width="14.140625" style="192" customWidth="1"/>
    <col min="8196" max="8196" width="14.42578125" style="192" customWidth="1"/>
    <col min="8197" max="8197" width="14.7109375" style="192" customWidth="1"/>
    <col min="8198" max="8198" width="14.5703125" style="192" customWidth="1"/>
    <col min="8199" max="8199" width="14" style="192" customWidth="1"/>
    <col min="8200" max="8200" width="12.85546875" style="192" customWidth="1"/>
    <col min="8201" max="8201" width="12.7109375" style="192" customWidth="1"/>
    <col min="8202" max="8202" width="12.85546875" style="192" customWidth="1"/>
    <col min="8203" max="8203" width="13.140625" style="192" customWidth="1"/>
    <col min="8204" max="8206" width="12.85546875" style="192" customWidth="1"/>
    <col min="8207" max="8207" width="12.7109375" style="192" customWidth="1"/>
    <col min="8208" max="8208" width="12.140625" style="192" customWidth="1"/>
    <col min="8209" max="8209" width="12" style="192" customWidth="1"/>
    <col min="8210" max="8210" width="13.42578125" style="192" customWidth="1"/>
    <col min="8211" max="8212" width="12.85546875" style="192" customWidth="1"/>
    <col min="8213" max="8213" width="13.140625" style="192" customWidth="1"/>
    <col min="8214" max="8448" width="9.140625" style="192"/>
    <col min="8449" max="8449" width="47.7109375" style="192" customWidth="1"/>
    <col min="8450" max="8450" width="14" style="192" customWidth="1"/>
    <col min="8451" max="8451" width="14.140625" style="192" customWidth="1"/>
    <col min="8452" max="8452" width="14.42578125" style="192" customWidth="1"/>
    <col min="8453" max="8453" width="14.7109375" style="192" customWidth="1"/>
    <col min="8454" max="8454" width="14.5703125" style="192" customWidth="1"/>
    <col min="8455" max="8455" width="14" style="192" customWidth="1"/>
    <col min="8456" max="8456" width="12.85546875" style="192" customWidth="1"/>
    <col min="8457" max="8457" width="12.7109375" style="192" customWidth="1"/>
    <col min="8458" max="8458" width="12.85546875" style="192" customWidth="1"/>
    <col min="8459" max="8459" width="13.140625" style="192" customWidth="1"/>
    <col min="8460" max="8462" width="12.85546875" style="192" customWidth="1"/>
    <col min="8463" max="8463" width="12.7109375" style="192" customWidth="1"/>
    <col min="8464" max="8464" width="12.140625" style="192" customWidth="1"/>
    <col min="8465" max="8465" width="12" style="192" customWidth="1"/>
    <col min="8466" max="8466" width="13.42578125" style="192" customWidth="1"/>
    <col min="8467" max="8468" width="12.85546875" style="192" customWidth="1"/>
    <col min="8469" max="8469" width="13.140625" style="192" customWidth="1"/>
    <col min="8470" max="8704" width="9.140625" style="192"/>
    <col min="8705" max="8705" width="47.7109375" style="192" customWidth="1"/>
    <col min="8706" max="8706" width="14" style="192" customWidth="1"/>
    <col min="8707" max="8707" width="14.140625" style="192" customWidth="1"/>
    <col min="8708" max="8708" width="14.42578125" style="192" customWidth="1"/>
    <col min="8709" max="8709" width="14.7109375" style="192" customWidth="1"/>
    <col min="8710" max="8710" width="14.5703125" style="192" customWidth="1"/>
    <col min="8711" max="8711" width="14" style="192" customWidth="1"/>
    <col min="8712" max="8712" width="12.85546875" style="192" customWidth="1"/>
    <col min="8713" max="8713" width="12.7109375" style="192" customWidth="1"/>
    <col min="8714" max="8714" width="12.85546875" style="192" customWidth="1"/>
    <col min="8715" max="8715" width="13.140625" style="192" customWidth="1"/>
    <col min="8716" max="8718" width="12.85546875" style="192" customWidth="1"/>
    <col min="8719" max="8719" width="12.7109375" style="192" customWidth="1"/>
    <col min="8720" max="8720" width="12.140625" style="192" customWidth="1"/>
    <col min="8721" max="8721" width="12" style="192" customWidth="1"/>
    <col min="8722" max="8722" width="13.42578125" style="192" customWidth="1"/>
    <col min="8723" max="8724" width="12.85546875" style="192" customWidth="1"/>
    <col min="8725" max="8725" width="13.140625" style="192" customWidth="1"/>
    <col min="8726" max="8960" width="9.140625" style="192"/>
    <col min="8961" max="8961" width="47.7109375" style="192" customWidth="1"/>
    <col min="8962" max="8962" width="14" style="192" customWidth="1"/>
    <col min="8963" max="8963" width="14.140625" style="192" customWidth="1"/>
    <col min="8964" max="8964" width="14.42578125" style="192" customWidth="1"/>
    <col min="8965" max="8965" width="14.7109375" style="192" customWidth="1"/>
    <col min="8966" max="8966" width="14.5703125" style="192" customWidth="1"/>
    <col min="8967" max="8967" width="14" style="192" customWidth="1"/>
    <col min="8968" max="8968" width="12.85546875" style="192" customWidth="1"/>
    <col min="8969" max="8969" width="12.7109375" style="192" customWidth="1"/>
    <col min="8970" max="8970" width="12.85546875" style="192" customWidth="1"/>
    <col min="8971" max="8971" width="13.140625" style="192" customWidth="1"/>
    <col min="8972" max="8974" width="12.85546875" style="192" customWidth="1"/>
    <col min="8975" max="8975" width="12.7109375" style="192" customWidth="1"/>
    <col min="8976" max="8976" width="12.140625" style="192" customWidth="1"/>
    <col min="8977" max="8977" width="12" style="192" customWidth="1"/>
    <col min="8978" max="8978" width="13.42578125" style="192" customWidth="1"/>
    <col min="8979" max="8980" width="12.85546875" style="192" customWidth="1"/>
    <col min="8981" max="8981" width="13.140625" style="192" customWidth="1"/>
    <col min="8982" max="9216" width="9.140625" style="192"/>
    <col min="9217" max="9217" width="47.7109375" style="192" customWidth="1"/>
    <col min="9218" max="9218" width="14" style="192" customWidth="1"/>
    <col min="9219" max="9219" width="14.140625" style="192" customWidth="1"/>
    <col min="9220" max="9220" width="14.42578125" style="192" customWidth="1"/>
    <col min="9221" max="9221" width="14.7109375" style="192" customWidth="1"/>
    <col min="9222" max="9222" width="14.5703125" style="192" customWidth="1"/>
    <col min="9223" max="9223" width="14" style="192" customWidth="1"/>
    <col min="9224" max="9224" width="12.85546875" style="192" customWidth="1"/>
    <col min="9225" max="9225" width="12.7109375" style="192" customWidth="1"/>
    <col min="9226" max="9226" width="12.85546875" style="192" customWidth="1"/>
    <col min="9227" max="9227" width="13.140625" style="192" customWidth="1"/>
    <col min="9228" max="9230" width="12.85546875" style="192" customWidth="1"/>
    <col min="9231" max="9231" width="12.7109375" style="192" customWidth="1"/>
    <col min="9232" max="9232" width="12.140625" style="192" customWidth="1"/>
    <col min="9233" max="9233" width="12" style="192" customWidth="1"/>
    <col min="9234" max="9234" width="13.42578125" style="192" customWidth="1"/>
    <col min="9235" max="9236" width="12.85546875" style="192" customWidth="1"/>
    <col min="9237" max="9237" width="13.140625" style="192" customWidth="1"/>
    <col min="9238" max="9472" width="9.140625" style="192"/>
    <col min="9473" max="9473" width="47.7109375" style="192" customWidth="1"/>
    <col min="9474" max="9474" width="14" style="192" customWidth="1"/>
    <col min="9475" max="9475" width="14.140625" style="192" customWidth="1"/>
    <col min="9476" max="9476" width="14.42578125" style="192" customWidth="1"/>
    <col min="9477" max="9477" width="14.7109375" style="192" customWidth="1"/>
    <col min="9478" max="9478" width="14.5703125" style="192" customWidth="1"/>
    <col min="9479" max="9479" width="14" style="192" customWidth="1"/>
    <col min="9480" max="9480" width="12.85546875" style="192" customWidth="1"/>
    <col min="9481" max="9481" width="12.7109375" style="192" customWidth="1"/>
    <col min="9482" max="9482" width="12.85546875" style="192" customWidth="1"/>
    <col min="9483" max="9483" width="13.140625" style="192" customWidth="1"/>
    <col min="9484" max="9486" width="12.85546875" style="192" customWidth="1"/>
    <col min="9487" max="9487" width="12.7109375" style="192" customWidth="1"/>
    <col min="9488" max="9488" width="12.140625" style="192" customWidth="1"/>
    <col min="9489" max="9489" width="12" style="192" customWidth="1"/>
    <col min="9490" max="9490" width="13.42578125" style="192" customWidth="1"/>
    <col min="9491" max="9492" width="12.85546875" style="192" customWidth="1"/>
    <col min="9493" max="9493" width="13.140625" style="192" customWidth="1"/>
    <col min="9494" max="9728" width="9.140625" style="192"/>
    <col min="9729" max="9729" width="47.7109375" style="192" customWidth="1"/>
    <col min="9730" max="9730" width="14" style="192" customWidth="1"/>
    <col min="9731" max="9731" width="14.140625" style="192" customWidth="1"/>
    <col min="9732" max="9732" width="14.42578125" style="192" customWidth="1"/>
    <col min="9733" max="9733" width="14.7109375" style="192" customWidth="1"/>
    <col min="9734" max="9734" width="14.5703125" style="192" customWidth="1"/>
    <col min="9735" max="9735" width="14" style="192" customWidth="1"/>
    <col min="9736" max="9736" width="12.85546875" style="192" customWidth="1"/>
    <col min="9737" max="9737" width="12.7109375" style="192" customWidth="1"/>
    <col min="9738" max="9738" width="12.85546875" style="192" customWidth="1"/>
    <col min="9739" max="9739" width="13.140625" style="192" customWidth="1"/>
    <col min="9740" max="9742" width="12.85546875" style="192" customWidth="1"/>
    <col min="9743" max="9743" width="12.7109375" style="192" customWidth="1"/>
    <col min="9744" max="9744" width="12.140625" style="192" customWidth="1"/>
    <col min="9745" max="9745" width="12" style="192" customWidth="1"/>
    <col min="9746" max="9746" width="13.42578125" style="192" customWidth="1"/>
    <col min="9747" max="9748" width="12.85546875" style="192" customWidth="1"/>
    <col min="9749" max="9749" width="13.140625" style="192" customWidth="1"/>
    <col min="9750" max="9984" width="9.140625" style="192"/>
    <col min="9985" max="9985" width="47.7109375" style="192" customWidth="1"/>
    <col min="9986" max="9986" width="14" style="192" customWidth="1"/>
    <col min="9987" max="9987" width="14.140625" style="192" customWidth="1"/>
    <col min="9988" max="9988" width="14.42578125" style="192" customWidth="1"/>
    <col min="9989" max="9989" width="14.7109375" style="192" customWidth="1"/>
    <col min="9990" max="9990" width="14.5703125" style="192" customWidth="1"/>
    <col min="9991" max="9991" width="14" style="192" customWidth="1"/>
    <col min="9992" max="9992" width="12.85546875" style="192" customWidth="1"/>
    <col min="9993" max="9993" width="12.7109375" style="192" customWidth="1"/>
    <col min="9994" max="9994" width="12.85546875" style="192" customWidth="1"/>
    <col min="9995" max="9995" width="13.140625" style="192" customWidth="1"/>
    <col min="9996" max="9998" width="12.85546875" style="192" customWidth="1"/>
    <col min="9999" max="9999" width="12.7109375" style="192" customWidth="1"/>
    <col min="10000" max="10000" width="12.140625" style="192" customWidth="1"/>
    <col min="10001" max="10001" width="12" style="192" customWidth="1"/>
    <col min="10002" max="10002" width="13.42578125" style="192" customWidth="1"/>
    <col min="10003" max="10004" width="12.85546875" style="192" customWidth="1"/>
    <col min="10005" max="10005" width="13.140625" style="192" customWidth="1"/>
    <col min="10006" max="10240" width="9.140625" style="192"/>
    <col min="10241" max="10241" width="47.7109375" style="192" customWidth="1"/>
    <col min="10242" max="10242" width="14" style="192" customWidth="1"/>
    <col min="10243" max="10243" width="14.140625" style="192" customWidth="1"/>
    <col min="10244" max="10244" width="14.42578125" style="192" customWidth="1"/>
    <col min="10245" max="10245" width="14.7109375" style="192" customWidth="1"/>
    <col min="10246" max="10246" width="14.5703125" style="192" customWidth="1"/>
    <col min="10247" max="10247" width="14" style="192" customWidth="1"/>
    <col min="10248" max="10248" width="12.85546875" style="192" customWidth="1"/>
    <col min="10249" max="10249" width="12.7109375" style="192" customWidth="1"/>
    <col min="10250" max="10250" width="12.85546875" style="192" customWidth="1"/>
    <col min="10251" max="10251" width="13.140625" style="192" customWidth="1"/>
    <col min="10252" max="10254" width="12.85546875" style="192" customWidth="1"/>
    <col min="10255" max="10255" width="12.7109375" style="192" customWidth="1"/>
    <col min="10256" max="10256" width="12.140625" style="192" customWidth="1"/>
    <col min="10257" max="10257" width="12" style="192" customWidth="1"/>
    <col min="10258" max="10258" width="13.42578125" style="192" customWidth="1"/>
    <col min="10259" max="10260" width="12.85546875" style="192" customWidth="1"/>
    <col min="10261" max="10261" width="13.140625" style="192" customWidth="1"/>
    <col min="10262" max="10496" width="9.140625" style="192"/>
    <col min="10497" max="10497" width="47.7109375" style="192" customWidth="1"/>
    <col min="10498" max="10498" width="14" style="192" customWidth="1"/>
    <col min="10499" max="10499" width="14.140625" style="192" customWidth="1"/>
    <col min="10500" max="10500" width="14.42578125" style="192" customWidth="1"/>
    <col min="10501" max="10501" width="14.7109375" style="192" customWidth="1"/>
    <col min="10502" max="10502" width="14.5703125" style="192" customWidth="1"/>
    <col min="10503" max="10503" width="14" style="192" customWidth="1"/>
    <col min="10504" max="10504" width="12.85546875" style="192" customWidth="1"/>
    <col min="10505" max="10505" width="12.7109375" style="192" customWidth="1"/>
    <col min="10506" max="10506" width="12.85546875" style="192" customWidth="1"/>
    <col min="10507" max="10507" width="13.140625" style="192" customWidth="1"/>
    <col min="10508" max="10510" width="12.85546875" style="192" customWidth="1"/>
    <col min="10511" max="10511" width="12.7109375" style="192" customWidth="1"/>
    <col min="10512" max="10512" width="12.140625" style="192" customWidth="1"/>
    <col min="10513" max="10513" width="12" style="192" customWidth="1"/>
    <col min="10514" max="10514" width="13.42578125" style="192" customWidth="1"/>
    <col min="10515" max="10516" width="12.85546875" style="192" customWidth="1"/>
    <col min="10517" max="10517" width="13.140625" style="192" customWidth="1"/>
    <col min="10518" max="10752" width="9.140625" style="192"/>
    <col min="10753" max="10753" width="47.7109375" style="192" customWidth="1"/>
    <col min="10754" max="10754" width="14" style="192" customWidth="1"/>
    <col min="10755" max="10755" width="14.140625" style="192" customWidth="1"/>
    <col min="10756" max="10756" width="14.42578125" style="192" customWidth="1"/>
    <col min="10757" max="10757" width="14.7109375" style="192" customWidth="1"/>
    <col min="10758" max="10758" width="14.5703125" style="192" customWidth="1"/>
    <col min="10759" max="10759" width="14" style="192" customWidth="1"/>
    <col min="10760" max="10760" width="12.85546875" style="192" customWidth="1"/>
    <col min="10761" max="10761" width="12.7109375" style="192" customWidth="1"/>
    <col min="10762" max="10762" width="12.85546875" style="192" customWidth="1"/>
    <col min="10763" max="10763" width="13.140625" style="192" customWidth="1"/>
    <col min="10764" max="10766" width="12.85546875" style="192" customWidth="1"/>
    <col min="10767" max="10767" width="12.7109375" style="192" customWidth="1"/>
    <col min="10768" max="10768" width="12.140625" style="192" customWidth="1"/>
    <col min="10769" max="10769" width="12" style="192" customWidth="1"/>
    <col min="10770" max="10770" width="13.42578125" style="192" customWidth="1"/>
    <col min="10771" max="10772" width="12.85546875" style="192" customWidth="1"/>
    <col min="10773" max="10773" width="13.140625" style="192" customWidth="1"/>
    <col min="10774" max="11008" width="9.140625" style="192"/>
    <col min="11009" max="11009" width="47.7109375" style="192" customWidth="1"/>
    <col min="11010" max="11010" width="14" style="192" customWidth="1"/>
    <col min="11011" max="11011" width="14.140625" style="192" customWidth="1"/>
    <col min="11012" max="11012" width="14.42578125" style="192" customWidth="1"/>
    <col min="11013" max="11013" width="14.7109375" style="192" customWidth="1"/>
    <col min="11014" max="11014" width="14.5703125" style="192" customWidth="1"/>
    <col min="11015" max="11015" width="14" style="192" customWidth="1"/>
    <col min="11016" max="11016" width="12.85546875" style="192" customWidth="1"/>
    <col min="11017" max="11017" width="12.7109375" style="192" customWidth="1"/>
    <col min="11018" max="11018" width="12.85546875" style="192" customWidth="1"/>
    <col min="11019" max="11019" width="13.140625" style="192" customWidth="1"/>
    <col min="11020" max="11022" width="12.85546875" style="192" customWidth="1"/>
    <col min="11023" max="11023" width="12.7109375" style="192" customWidth="1"/>
    <col min="11024" max="11024" width="12.140625" style="192" customWidth="1"/>
    <col min="11025" max="11025" width="12" style="192" customWidth="1"/>
    <col min="11026" max="11026" width="13.42578125" style="192" customWidth="1"/>
    <col min="11027" max="11028" width="12.85546875" style="192" customWidth="1"/>
    <col min="11029" max="11029" width="13.140625" style="192" customWidth="1"/>
    <col min="11030" max="11264" width="9.140625" style="192"/>
    <col min="11265" max="11265" width="47.7109375" style="192" customWidth="1"/>
    <col min="11266" max="11266" width="14" style="192" customWidth="1"/>
    <col min="11267" max="11267" width="14.140625" style="192" customWidth="1"/>
    <col min="11268" max="11268" width="14.42578125" style="192" customWidth="1"/>
    <col min="11269" max="11269" width="14.7109375" style="192" customWidth="1"/>
    <col min="11270" max="11270" width="14.5703125" style="192" customWidth="1"/>
    <col min="11271" max="11271" width="14" style="192" customWidth="1"/>
    <col min="11272" max="11272" width="12.85546875" style="192" customWidth="1"/>
    <col min="11273" max="11273" width="12.7109375" style="192" customWidth="1"/>
    <col min="11274" max="11274" width="12.85546875" style="192" customWidth="1"/>
    <col min="11275" max="11275" width="13.140625" style="192" customWidth="1"/>
    <col min="11276" max="11278" width="12.85546875" style="192" customWidth="1"/>
    <col min="11279" max="11279" width="12.7109375" style="192" customWidth="1"/>
    <col min="11280" max="11280" width="12.140625" style="192" customWidth="1"/>
    <col min="11281" max="11281" width="12" style="192" customWidth="1"/>
    <col min="11282" max="11282" width="13.42578125" style="192" customWidth="1"/>
    <col min="11283" max="11284" width="12.85546875" style="192" customWidth="1"/>
    <col min="11285" max="11285" width="13.140625" style="192" customWidth="1"/>
    <col min="11286" max="11520" width="9.140625" style="192"/>
    <col min="11521" max="11521" width="47.7109375" style="192" customWidth="1"/>
    <col min="11522" max="11522" width="14" style="192" customWidth="1"/>
    <col min="11523" max="11523" width="14.140625" style="192" customWidth="1"/>
    <col min="11524" max="11524" width="14.42578125" style="192" customWidth="1"/>
    <col min="11525" max="11525" width="14.7109375" style="192" customWidth="1"/>
    <col min="11526" max="11526" width="14.5703125" style="192" customWidth="1"/>
    <col min="11527" max="11527" width="14" style="192" customWidth="1"/>
    <col min="11528" max="11528" width="12.85546875" style="192" customWidth="1"/>
    <col min="11529" max="11529" width="12.7109375" style="192" customWidth="1"/>
    <col min="11530" max="11530" width="12.85546875" style="192" customWidth="1"/>
    <col min="11531" max="11531" width="13.140625" style="192" customWidth="1"/>
    <col min="11532" max="11534" width="12.85546875" style="192" customWidth="1"/>
    <col min="11535" max="11535" width="12.7109375" style="192" customWidth="1"/>
    <col min="11536" max="11536" width="12.140625" style="192" customWidth="1"/>
    <col min="11537" max="11537" width="12" style="192" customWidth="1"/>
    <col min="11538" max="11538" width="13.42578125" style="192" customWidth="1"/>
    <col min="11539" max="11540" width="12.85546875" style="192" customWidth="1"/>
    <col min="11541" max="11541" width="13.140625" style="192" customWidth="1"/>
    <col min="11542" max="11776" width="9.140625" style="192"/>
    <col min="11777" max="11777" width="47.7109375" style="192" customWidth="1"/>
    <col min="11778" max="11778" width="14" style="192" customWidth="1"/>
    <col min="11779" max="11779" width="14.140625" style="192" customWidth="1"/>
    <col min="11780" max="11780" width="14.42578125" style="192" customWidth="1"/>
    <col min="11781" max="11781" width="14.7109375" style="192" customWidth="1"/>
    <col min="11782" max="11782" width="14.5703125" style="192" customWidth="1"/>
    <col min="11783" max="11783" width="14" style="192" customWidth="1"/>
    <col min="11784" max="11784" width="12.85546875" style="192" customWidth="1"/>
    <col min="11785" max="11785" width="12.7109375" style="192" customWidth="1"/>
    <col min="11786" max="11786" width="12.85546875" style="192" customWidth="1"/>
    <col min="11787" max="11787" width="13.140625" style="192" customWidth="1"/>
    <col min="11788" max="11790" width="12.85546875" style="192" customWidth="1"/>
    <col min="11791" max="11791" width="12.7109375" style="192" customWidth="1"/>
    <col min="11792" max="11792" width="12.140625" style="192" customWidth="1"/>
    <col min="11793" max="11793" width="12" style="192" customWidth="1"/>
    <col min="11794" max="11794" width="13.42578125" style="192" customWidth="1"/>
    <col min="11795" max="11796" width="12.85546875" style="192" customWidth="1"/>
    <col min="11797" max="11797" width="13.140625" style="192" customWidth="1"/>
    <col min="11798" max="12032" width="9.140625" style="192"/>
    <col min="12033" max="12033" width="47.7109375" style="192" customWidth="1"/>
    <col min="12034" max="12034" width="14" style="192" customWidth="1"/>
    <col min="12035" max="12035" width="14.140625" style="192" customWidth="1"/>
    <col min="12036" max="12036" width="14.42578125" style="192" customWidth="1"/>
    <col min="12037" max="12037" width="14.7109375" style="192" customWidth="1"/>
    <col min="12038" max="12038" width="14.5703125" style="192" customWidth="1"/>
    <col min="12039" max="12039" width="14" style="192" customWidth="1"/>
    <col min="12040" max="12040" width="12.85546875" style="192" customWidth="1"/>
    <col min="12041" max="12041" width="12.7109375" style="192" customWidth="1"/>
    <col min="12042" max="12042" width="12.85546875" style="192" customWidth="1"/>
    <col min="12043" max="12043" width="13.140625" style="192" customWidth="1"/>
    <col min="12044" max="12046" width="12.85546875" style="192" customWidth="1"/>
    <col min="12047" max="12047" width="12.7109375" style="192" customWidth="1"/>
    <col min="12048" max="12048" width="12.140625" style="192" customWidth="1"/>
    <col min="12049" max="12049" width="12" style="192" customWidth="1"/>
    <col min="12050" max="12050" width="13.42578125" style="192" customWidth="1"/>
    <col min="12051" max="12052" width="12.85546875" style="192" customWidth="1"/>
    <col min="12053" max="12053" width="13.140625" style="192" customWidth="1"/>
    <col min="12054" max="12288" width="9.140625" style="192"/>
    <col min="12289" max="12289" width="47.7109375" style="192" customWidth="1"/>
    <col min="12290" max="12290" width="14" style="192" customWidth="1"/>
    <col min="12291" max="12291" width="14.140625" style="192" customWidth="1"/>
    <col min="12292" max="12292" width="14.42578125" style="192" customWidth="1"/>
    <col min="12293" max="12293" width="14.7109375" style="192" customWidth="1"/>
    <col min="12294" max="12294" width="14.5703125" style="192" customWidth="1"/>
    <col min="12295" max="12295" width="14" style="192" customWidth="1"/>
    <col min="12296" max="12296" width="12.85546875" style="192" customWidth="1"/>
    <col min="12297" max="12297" width="12.7109375" style="192" customWidth="1"/>
    <col min="12298" max="12298" width="12.85546875" style="192" customWidth="1"/>
    <col min="12299" max="12299" width="13.140625" style="192" customWidth="1"/>
    <col min="12300" max="12302" width="12.85546875" style="192" customWidth="1"/>
    <col min="12303" max="12303" width="12.7109375" style="192" customWidth="1"/>
    <col min="12304" max="12304" width="12.140625" style="192" customWidth="1"/>
    <col min="12305" max="12305" width="12" style="192" customWidth="1"/>
    <col min="12306" max="12306" width="13.42578125" style="192" customWidth="1"/>
    <col min="12307" max="12308" width="12.85546875" style="192" customWidth="1"/>
    <col min="12309" max="12309" width="13.140625" style="192" customWidth="1"/>
    <col min="12310" max="12544" width="9.140625" style="192"/>
    <col min="12545" max="12545" width="47.7109375" style="192" customWidth="1"/>
    <col min="12546" max="12546" width="14" style="192" customWidth="1"/>
    <col min="12547" max="12547" width="14.140625" style="192" customWidth="1"/>
    <col min="12548" max="12548" width="14.42578125" style="192" customWidth="1"/>
    <col min="12549" max="12549" width="14.7109375" style="192" customWidth="1"/>
    <col min="12550" max="12550" width="14.5703125" style="192" customWidth="1"/>
    <col min="12551" max="12551" width="14" style="192" customWidth="1"/>
    <col min="12552" max="12552" width="12.85546875" style="192" customWidth="1"/>
    <col min="12553" max="12553" width="12.7109375" style="192" customWidth="1"/>
    <col min="12554" max="12554" width="12.85546875" style="192" customWidth="1"/>
    <col min="12555" max="12555" width="13.140625" style="192" customWidth="1"/>
    <col min="12556" max="12558" width="12.85546875" style="192" customWidth="1"/>
    <col min="12559" max="12559" width="12.7109375" style="192" customWidth="1"/>
    <col min="12560" max="12560" width="12.140625" style="192" customWidth="1"/>
    <col min="12561" max="12561" width="12" style="192" customWidth="1"/>
    <col min="12562" max="12562" width="13.42578125" style="192" customWidth="1"/>
    <col min="12563" max="12564" width="12.85546875" style="192" customWidth="1"/>
    <col min="12565" max="12565" width="13.140625" style="192" customWidth="1"/>
    <col min="12566" max="12800" width="9.140625" style="192"/>
    <col min="12801" max="12801" width="47.7109375" style="192" customWidth="1"/>
    <col min="12802" max="12802" width="14" style="192" customWidth="1"/>
    <col min="12803" max="12803" width="14.140625" style="192" customWidth="1"/>
    <col min="12804" max="12804" width="14.42578125" style="192" customWidth="1"/>
    <col min="12805" max="12805" width="14.7109375" style="192" customWidth="1"/>
    <col min="12806" max="12806" width="14.5703125" style="192" customWidth="1"/>
    <col min="12807" max="12807" width="14" style="192" customWidth="1"/>
    <col min="12808" max="12808" width="12.85546875" style="192" customWidth="1"/>
    <col min="12809" max="12809" width="12.7109375" style="192" customWidth="1"/>
    <col min="12810" max="12810" width="12.85546875" style="192" customWidth="1"/>
    <col min="12811" max="12811" width="13.140625" style="192" customWidth="1"/>
    <col min="12812" max="12814" width="12.85546875" style="192" customWidth="1"/>
    <col min="12815" max="12815" width="12.7109375" style="192" customWidth="1"/>
    <col min="12816" max="12816" width="12.140625" style="192" customWidth="1"/>
    <col min="12817" max="12817" width="12" style="192" customWidth="1"/>
    <col min="12818" max="12818" width="13.42578125" style="192" customWidth="1"/>
    <col min="12819" max="12820" width="12.85546875" style="192" customWidth="1"/>
    <col min="12821" max="12821" width="13.140625" style="192" customWidth="1"/>
    <col min="12822" max="13056" width="9.140625" style="192"/>
    <col min="13057" max="13057" width="47.7109375" style="192" customWidth="1"/>
    <col min="13058" max="13058" width="14" style="192" customWidth="1"/>
    <col min="13059" max="13059" width="14.140625" style="192" customWidth="1"/>
    <col min="13060" max="13060" width="14.42578125" style="192" customWidth="1"/>
    <col min="13061" max="13061" width="14.7109375" style="192" customWidth="1"/>
    <col min="13062" max="13062" width="14.5703125" style="192" customWidth="1"/>
    <col min="13063" max="13063" width="14" style="192" customWidth="1"/>
    <col min="13064" max="13064" width="12.85546875" style="192" customWidth="1"/>
    <col min="13065" max="13065" width="12.7109375" style="192" customWidth="1"/>
    <col min="13066" max="13066" width="12.85546875" style="192" customWidth="1"/>
    <col min="13067" max="13067" width="13.140625" style="192" customWidth="1"/>
    <col min="13068" max="13070" width="12.85546875" style="192" customWidth="1"/>
    <col min="13071" max="13071" width="12.7109375" style="192" customWidth="1"/>
    <col min="13072" max="13072" width="12.140625" style="192" customWidth="1"/>
    <col min="13073" max="13073" width="12" style="192" customWidth="1"/>
    <col min="13074" max="13074" width="13.42578125" style="192" customWidth="1"/>
    <col min="13075" max="13076" width="12.85546875" style="192" customWidth="1"/>
    <col min="13077" max="13077" width="13.140625" style="192" customWidth="1"/>
    <col min="13078" max="13312" width="9.140625" style="192"/>
    <col min="13313" max="13313" width="47.7109375" style="192" customWidth="1"/>
    <col min="13314" max="13314" width="14" style="192" customWidth="1"/>
    <col min="13315" max="13315" width="14.140625" style="192" customWidth="1"/>
    <col min="13316" max="13316" width="14.42578125" style="192" customWidth="1"/>
    <col min="13317" max="13317" width="14.7109375" style="192" customWidth="1"/>
    <col min="13318" max="13318" width="14.5703125" style="192" customWidth="1"/>
    <col min="13319" max="13319" width="14" style="192" customWidth="1"/>
    <col min="13320" max="13320" width="12.85546875" style="192" customWidth="1"/>
    <col min="13321" max="13321" width="12.7109375" style="192" customWidth="1"/>
    <col min="13322" max="13322" width="12.85546875" style="192" customWidth="1"/>
    <col min="13323" max="13323" width="13.140625" style="192" customWidth="1"/>
    <col min="13324" max="13326" width="12.85546875" style="192" customWidth="1"/>
    <col min="13327" max="13327" width="12.7109375" style="192" customWidth="1"/>
    <col min="13328" max="13328" width="12.140625" style="192" customWidth="1"/>
    <col min="13329" max="13329" width="12" style="192" customWidth="1"/>
    <col min="13330" max="13330" width="13.42578125" style="192" customWidth="1"/>
    <col min="13331" max="13332" width="12.85546875" style="192" customWidth="1"/>
    <col min="13333" max="13333" width="13.140625" style="192" customWidth="1"/>
    <col min="13334" max="13568" width="9.140625" style="192"/>
    <col min="13569" max="13569" width="47.7109375" style="192" customWidth="1"/>
    <col min="13570" max="13570" width="14" style="192" customWidth="1"/>
    <col min="13571" max="13571" width="14.140625" style="192" customWidth="1"/>
    <col min="13572" max="13572" width="14.42578125" style="192" customWidth="1"/>
    <col min="13573" max="13573" width="14.7109375" style="192" customWidth="1"/>
    <col min="13574" max="13574" width="14.5703125" style="192" customWidth="1"/>
    <col min="13575" max="13575" width="14" style="192" customWidth="1"/>
    <col min="13576" max="13576" width="12.85546875" style="192" customWidth="1"/>
    <col min="13577" max="13577" width="12.7109375" style="192" customWidth="1"/>
    <col min="13578" max="13578" width="12.85546875" style="192" customWidth="1"/>
    <col min="13579" max="13579" width="13.140625" style="192" customWidth="1"/>
    <col min="13580" max="13582" width="12.85546875" style="192" customWidth="1"/>
    <col min="13583" max="13583" width="12.7109375" style="192" customWidth="1"/>
    <col min="13584" max="13584" width="12.140625" style="192" customWidth="1"/>
    <col min="13585" max="13585" width="12" style="192" customWidth="1"/>
    <col min="13586" max="13586" width="13.42578125" style="192" customWidth="1"/>
    <col min="13587" max="13588" width="12.85546875" style="192" customWidth="1"/>
    <col min="13589" max="13589" width="13.140625" style="192" customWidth="1"/>
    <col min="13590" max="13824" width="9.140625" style="192"/>
    <col min="13825" max="13825" width="47.7109375" style="192" customWidth="1"/>
    <col min="13826" max="13826" width="14" style="192" customWidth="1"/>
    <col min="13827" max="13827" width="14.140625" style="192" customWidth="1"/>
    <col min="13828" max="13828" width="14.42578125" style="192" customWidth="1"/>
    <col min="13829" max="13829" width="14.7109375" style="192" customWidth="1"/>
    <col min="13830" max="13830" width="14.5703125" style="192" customWidth="1"/>
    <col min="13831" max="13831" width="14" style="192" customWidth="1"/>
    <col min="13832" max="13832" width="12.85546875" style="192" customWidth="1"/>
    <col min="13833" max="13833" width="12.7109375" style="192" customWidth="1"/>
    <col min="13834" max="13834" width="12.85546875" style="192" customWidth="1"/>
    <col min="13835" max="13835" width="13.140625" style="192" customWidth="1"/>
    <col min="13836" max="13838" width="12.85546875" style="192" customWidth="1"/>
    <col min="13839" max="13839" width="12.7109375" style="192" customWidth="1"/>
    <col min="13840" max="13840" width="12.140625" style="192" customWidth="1"/>
    <col min="13841" max="13841" width="12" style="192" customWidth="1"/>
    <col min="13842" max="13842" width="13.42578125" style="192" customWidth="1"/>
    <col min="13843" max="13844" width="12.85546875" style="192" customWidth="1"/>
    <col min="13845" max="13845" width="13.140625" style="192" customWidth="1"/>
    <col min="13846" max="14080" width="9.140625" style="192"/>
    <col min="14081" max="14081" width="47.7109375" style="192" customWidth="1"/>
    <col min="14082" max="14082" width="14" style="192" customWidth="1"/>
    <col min="14083" max="14083" width="14.140625" style="192" customWidth="1"/>
    <col min="14084" max="14084" width="14.42578125" style="192" customWidth="1"/>
    <col min="14085" max="14085" width="14.7109375" style="192" customWidth="1"/>
    <col min="14086" max="14086" width="14.5703125" style="192" customWidth="1"/>
    <col min="14087" max="14087" width="14" style="192" customWidth="1"/>
    <col min="14088" max="14088" width="12.85546875" style="192" customWidth="1"/>
    <col min="14089" max="14089" width="12.7109375" style="192" customWidth="1"/>
    <col min="14090" max="14090" width="12.85546875" style="192" customWidth="1"/>
    <col min="14091" max="14091" width="13.140625" style="192" customWidth="1"/>
    <col min="14092" max="14094" width="12.85546875" style="192" customWidth="1"/>
    <col min="14095" max="14095" width="12.7109375" style="192" customWidth="1"/>
    <col min="14096" max="14096" width="12.140625" style="192" customWidth="1"/>
    <col min="14097" max="14097" width="12" style="192" customWidth="1"/>
    <col min="14098" max="14098" width="13.42578125" style="192" customWidth="1"/>
    <col min="14099" max="14100" width="12.85546875" style="192" customWidth="1"/>
    <col min="14101" max="14101" width="13.140625" style="192" customWidth="1"/>
    <col min="14102" max="14336" width="9.140625" style="192"/>
    <col min="14337" max="14337" width="47.7109375" style="192" customWidth="1"/>
    <col min="14338" max="14338" width="14" style="192" customWidth="1"/>
    <col min="14339" max="14339" width="14.140625" style="192" customWidth="1"/>
    <col min="14340" max="14340" width="14.42578125" style="192" customWidth="1"/>
    <col min="14341" max="14341" width="14.7109375" style="192" customWidth="1"/>
    <col min="14342" max="14342" width="14.5703125" style="192" customWidth="1"/>
    <col min="14343" max="14343" width="14" style="192" customWidth="1"/>
    <col min="14344" max="14344" width="12.85546875" style="192" customWidth="1"/>
    <col min="14345" max="14345" width="12.7109375" style="192" customWidth="1"/>
    <col min="14346" max="14346" width="12.85546875" style="192" customWidth="1"/>
    <col min="14347" max="14347" width="13.140625" style="192" customWidth="1"/>
    <col min="14348" max="14350" width="12.85546875" style="192" customWidth="1"/>
    <col min="14351" max="14351" width="12.7109375" style="192" customWidth="1"/>
    <col min="14352" max="14352" width="12.140625" style="192" customWidth="1"/>
    <col min="14353" max="14353" width="12" style="192" customWidth="1"/>
    <col min="14354" max="14354" width="13.42578125" style="192" customWidth="1"/>
    <col min="14355" max="14356" width="12.85546875" style="192" customWidth="1"/>
    <col min="14357" max="14357" width="13.140625" style="192" customWidth="1"/>
    <col min="14358" max="14592" width="9.140625" style="192"/>
    <col min="14593" max="14593" width="47.7109375" style="192" customWidth="1"/>
    <col min="14594" max="14594" width="14" style="192" customWidth="1"/>
    <col min="14595" max="14595" width="14.140625" style="192" customWidth="1"/>
    <col min="14596" max="14596" width="14.42578125" style="192" customWidth="1"/>
    <col min="14597" max="14597" width="14.7109375" style="192" customWidth="1"/>
    <col min="14598" max="14598" width="14.5703125" style="192" customWidth="1"/>
    <col min="14599" max="14599" width="14" style="192" customWidth="1"/>
    <col min="14600" max="14600" width="12.85546875" style="192" customWidth="1"/>
    <col min="14601" max="14601" width="12.7109375" style="192" customWidth="1"/>
    <col min="14602" max="14602" width="12.85546875" style="192" customWidth="1"/>
    <col min="14603" max="14603" width="13.140625" style="192" customWidth="1"/>
    <col min="14604" max="14606" width="12.85546875" style="192" customWidth="1"/>
    <col min="14607" max="14607" width="12.7109375" style="192" customWidth="1"/>
    <col min="14608" max="14608" width="12.140625" style="192" customWidth="1"/>
    <col min="14609" max="14609" width="12" style="192" customWidth="1"/>
    <col min="14610" max="14610" width="13.42578125" style="192" customWidth="1"/>
    <col min="14611" max="14612" width="12.85546875" style="192" customWidth="1"/>
    <col min="14613" max="14613" width="13.140625" style="192" customWidth="1"/>
    <col min="14614" max="14848" width="9.140625" style="192"/>
    <col min="14849" max="14849" width="47.7109375" style="192" customWidth="1"/>
    <col min="14850" max="14850" width="14" style="192" customWidth="1"/>
    <col min="14851" max="14851" width="14.140625" style="192" customWidth="1"/>
    <col min="14852" max="14852" width="14.42578125" style="192" customWidth="1"/>
    <col min="14853" max="14853" width="14.7109375" style="192" customWidth="1"/>
    <col min="14854" max="14854" width="14.5703125" style="192" customWidth="1"/>
    <col min="14855" max="14855" width="14" style="192" customWidth="1"/>
    <col min="14856" max="14856" width="12.85546875" style="192" customWidth="1"/>
    <col min="14857" max="14857" width="12.7109375" style="192" customWidth="1"/>
    <col min="14858" max="14858" width="12.85546875" style="192" customWidth="1"/>
    <col min="14859" max="14859" width="13.140625" style="192" customWidth="1"/>
    <col min="14860" max="14862" width="12.85546875" style="192" customWidth="1"/>
    <col min="14863" max="14863" width="12.7109375" style="192" customWidth="1"/>
    <col min="14864" max="14864" width="12.140625" style="192" customWidth="1"/>
    <col min="14865" max="14865" width="12" style="192" customWidth="1"/>
    <col min="14866" max="14866" width="13.42578125" style="192" customWidth="1"/>
    <col min="14867" max="14868" width="12.85546875" style="192" customWidth="1"/>
    <col min="14869" max="14869" width="13.140625" style="192" customWidth="1"/>
    <col min="14870" max="15104" width="9.140625" style="192"/>
    <col min="15105" max="15105" width="47.7109375" style="192" customWidth="1"/>
    <col min="15106" max="15106" width="14" style="192" customWidth="1"/>
    <col min="15107" max="15107" width="14.140625" style="192" customWidth="1"/>
    <col min="15108" max="15108" width="14.42578125" style="192" customWidth="1"/>
    <col min="15109" max="15109" width="14.7109375" style="192" customWidth="1"/>
    <col min="15110" max="15110" width="14.5703125" style="192" customWidth="1"/>
    <col min="15111" max="15111" width="14" style="192" customWidth="1"/>
    <col min="15112" max="15112" width="12.85546875" style="192" customWidth="1"/>
    <col min="15113" max="15113" width="12.7109375" style="192" customWidth="1"/>
    <col min="15114" max="15114" width="12.85546875" style="192" customWidth="1"/>
    <col min="15115" max="15115" width="13.140625" style="192" customWidth="1"/>
    <col min="15116" max="15118" width="12.85546875" style="192" customWidth="1"/>
    <col min="15119" max="15119" width="12.7109375" style="192" customWidth="1"/>
    <col min="15120" max="15120" width="12.140625" style="192" customWidth="1"/>
    <col min="15121" max="15121" width="12" style="192" customWidth="1"/>
    <col min="15122" max="15122" width="13.42578125" style="192" customWidth="1"/>
    <col min="15123" max="15124" width="12.85546875" style="192" customWidth="1"/>
    <col min="15125" max="15125" width="13.140625" style="192" customWidth="1"/>
    <col min="15126" max="15360" width="9.140625" style="192"/>
    <col min="15361" max="15361" width="47.7109375" style="192" customWidth="1"/>
    <col min="15362" max="15362" width="14" style="192" customWidth="1"/>
    <col min="15363" max="15363" width="14.140625" style="192" customWidth="1"/>
    <col min="15364" max="15364" width="14.42578125" style="192" customWidth="1"/>
    <col min="15365" max="15365" width="14.7109375" style="192" customWidth="1"/>
    <col min="15366" max="15366" width="14.5703125" style="192" customWidth="1"/>
    <col min="15367" max="15367" width="14" style="192" customWidth="1"/>
    <col min="15368" max="15368" width="12.85546875" style="192" customWidth="1"/>
    <col min="15369" max="15369" width="12.7109375" style="192" customWidth="1"/>
    <col min="15370" max="15370" width="12.85546875" style="192" customWidth="1"/>
    <col min="15371" max="15371" width="13.140625" style="192" customWidth="1"/>
    <col min="15372" max="15374" width="12.85546875" style="192" customWidth="1"/>
    <col min="15375" max="15375" width="12.7109375" style="192" customWidth="1"/>
    <col min="15376" max="15376" width="12.140625" style="192" customWidth="1"/>
    <col min="15377" max="15377" width="12" style="192" customWidth="1"/>
    <col min="15378" max="15378" width="13.42578125" style="192" customWidth="1"/>
    <col min="15379" max="15380" width="12.85546875" style="192" customWidth="1"/>
    <col min="15381" max="15381" width="13.140625" style="192" customWidth="1"/>
    <col min="15382" max="15616" width="9.140625" style="192"/>
    <col min="15617" max="15617" width="47.7109375" style="192" customWidth="1"/>
    <col min="15618" max="15618" width="14" style="192" customWidth="1"/>
    <col min="15619" max="15619" width="14.140625" style="192" customWidth="1"/>
    <col min="15620" max="15620" width="14.42578125" style="192" customWidth="1"/>
    <col min="15621" max="15621" width="14.7109375" style="192" customWidth="1"/>
    <col min="15622" max="15622" width="14.5703125" style="192" customWidth="1"/>
    <col min="15623" max="15623" width="14" style="192" customWidth="1"/>
    <col min="15624" max="15624" width="12.85546875" style="192" customWidth="1"/>
    <col min="15625" max="15625" width="12.7109375" style="192" customWidth="1"/>
    <col min="15626" max="15626" width="12.85546875" style="192" customWidth="1"/>
    <col min="15627" max="15627" width="13.140625" style="192" customWidth="1"/>
    <col min="15628" max="15630" width="12.85546875" style="192" customWidth="1"/>
    <col min="15631" max="15631" width="12.7109375" style="192" customWidth="1"/>
    <col min="15632" max="15632" width="12.140625" style="192" customWidth="1"/>
    <col min="15633" max="15633" width="12" style="192" customWidth="1"/>
    <col min="15634" max="15634" width="13.42578125" style="192" customWidth="1"/>
    <col min="15635" max="15636" width="12.85546875" style="192" customWidth="1"/>
    <col min="15637" max="15637" width="13.140625" style="192" customWidth="1"/>
    <col min="15638" max="15872" width="9.140625" style="192"/>
    <col min="15873" max="15873" width="47.7109375" style="192" customWidth="1"/>
    <col min="15874" max="15874" width="14" style="192" customWidth="1"/>
    <col min="15875" max="15875" width="14.140625" style="192" customWidth="1"/>
    <col min="15876" max="15876" width="14.42578125" style="192" customWidth="1"/>
    <col min="15877" max="15877" width="14.7109375" style="192" customWidth="1"/>
    <col min="15878" max="15878" width="14.5703125" style="192" customWidth="1"/>
    <col min="15879" max="15879" width="14" style="192" customWidth="1"/>
    <col min="15880" max="15880" width="12.85546875" style="192" customWidth="1"/>
    <col min="15881" max="15881" width="12.7109375" style="192" customWidth="1"/>
    <col min="15882" max="15882" width="12.85546875" style="192" customWidth="1"/>
    <col min="15883" max="15883" width="13.140625" style="192" customWidth="1"/>
    <col min="15884" max="15886" width="12.85546875" style="192" customWidth="1"/>
    <col min="15887" max="15887" width="12.7109375" style="192" customWidth="1"/>
    <col min="15888" max="15888" width="12.140625" style="192" customWidth="1"/>
    <col min="15889" max="15889" width="12" style="192" customWidth="1"/>
    <col min="15890" max="15890" width="13.42578125" style="192" customWidth="1"/>
    <col min="15891" max="15892" width="12.85546875" style="192" customWidth="1"/>
    <col min="15893" max="15893" width="13.140625" style="192" customWidth="1"/>
    <col min="15894" max="16128" width="9.140625" style="192"/>
    <col min="16129" max="16129" width="47.7109375" style="192" customWidth="1"/>
    <col min="16130" max="16130" width="14" style="192" customWidth="1"/>
    <col min="16131" max="16131" width="14.140625" style="192" customWidth="1"/>
    <col min="16132" max="16132" width="14.42578125" style="192" customWidth="1"/>
    <col min="16133" max="16133" width="14.7109375" style="192" customWidth="1"/>
    <col min="16134" max="16134" width="14.5703125" style="192" customWidth="1"/>
    <col min="16135" max="16135" width="14" style="192" customWidth="1"/>
    <col min="16136" max="16136" width="12.85546875" style="192" customWidth="1"/>
    <col min="16137" max="16137" width="12.7109375" style="192" customWidth="1"/>
    <col min="16138" max="16138" width="12.85546875" style="192" customWidth="1"/>
    <col min="16139" max="16139" width="13.140625" style="192" customWidth="1"/>
    <col min="16140" max="16142" width="12.85546875" style="192" customWidth="1"/>
    <col min="16143" max="16143" width="12.7109375" style="192" customWidth="1"/>
    <col min="16144" max="16144" width="12.140625" style="192" customWidth="1"/>
    <col min="16145" max="16145" width="12" style="192" customWidth="1"/>
    <col min="16146" max="16146" width="13.42578125" style="192" customWidth="1"/>
    <col min="16147" max="16148" width="12.85546875" style="192" customWidth="1"/>
    <col min="16149" max="16149" width="13.140625" style="192" customWidth="1"/>
    <col min="16150" max="16384" width="9.140625" style="192"/>
  </cols>
  <sheetData>
    <row r="2" spans="1:20" s="189" customFormat="1" ht="18" x14ac:dyDescent="0.25">
      <c r="A2" s="187" t="s">
        <v>80</v>
      </c>
      <c r="B2" s="188">
        <v>2010</v>
      </c>
      <c r="C2" s="188">
        <v>2011</v>
      </c>
      <c r="D2" s="188">
        <v>2012</v>
      </c>
      <c r="E2" s="188">
        <v>2013</v>
      </c>
      <c r="F2" s="188">
        <v>2014</v>
      </c>
      <c r="G2" s="188">
        <v>2015</v>
      </c>
      <c r="H2" s="188">
        <v>2016</v>
      </c>
      <c r="I2" s="188">
        <v>2017</v>
      </c>
      <c r="J2" s="188">
        <v>2018</v>
      </c>
      <c r="K2" s="188">
        <v>2019</v>
      </c>
      <c r="S2" s="190"/>
      <c r="T2" s="190"/>
    </row>
    <row r="3" spans="1:20" s="189" customFormat="1" ht="18" x14ac:dyDescent="0.25">
      <c r="A3" s="187" t="s">
        <v>166</v>
      </c>
      <c r="B3" s="191">
        <v>3055700</v>
      </c>
      <c r="C3" s="191">
        <v>3519100</v>
      </c>
      <c r="D3" s="191">
        <v>3714900</v>
      </c>
      <c r="E3" s="191">
        <v>4108800</v>
      </c>
      <c r="F3" s="191">
        <v>4339800</v>
      </c>
      <c r="G3" s="191">
        <v>4508900</v>
      </c>
      <c r="H3" s="191">
        <v>4752400</v>
      </c>
      <c r="I3" s="191">
        <v>5187800</v>
      </c>
      <c r="J3" s="191">
        <v>5328900</v>
      </c>
      <c r="K3" s="191">
        <v>5540100</v>
      </c>
      <c r="S3" s="190"/>
      <c r="T3" s="190"/>
    </row>
    <row r="6" spans="1:20" ht="20.25" x14ac:dyDescent="0.3">
      <c r="B6" s="193" t="s">
        <v>167</v>
      </c>
    </row>
    <row r="7" spans="1:20" ht="15.75" x14ac:dyDescent="0.25">
      <c r="B7" s="195" t="s">
        <v>168</v>
      </c>
      <c r="C7" s="196" t="s">
        <v>169</v>
      </c>
      <c r="D7" s="197"/>
      <c r="E7" s="196"/>
      <c r="F7" s="197"/>
    </row>
    <row r="8" spans="1:20" ht="15.75" x14ac:dyDescent="0.25">
      <c r="B8" s="195" t="s">
        <v>170</v>
      </c>
      <c r="C8" s="196" t="s">
        <v>171</v>
      </c>
      <c r="D8" s="197"/>
      <c r="E8" s="196"/>
      <c r="F8" s="197"/>
    </row>
    <row r="9" spans="1:20" ht="15.75" x14ac:dyDescent="0.25">
      <c r="B9" s="195" t="s">
        <v>172</v>
      </c>
      <c r="C9" s="196" t="s">
        <v>173</v>
      </c>
      <c r="D9" s="197"/>
      <c r="E9" s="196"/>
      <c r="F9" s="197"/>
    </row>
    <row r="10" spans="1:20" ht="15.75" x14ac:dyDescent="0.25">
      <c r="B10" s="195" t="s">
        <v>174</v>
      </c>
      <c r="C10" s="196" t="s">
        <v>175</v>
      </c>
      <c r="D10" s="197"/>
      <c r="E10" s="196"/>
      <c r="F10" s="197"/>
    </row>
    <row r="11" spans="1:20" ht="15.75" x14ac:dyDescent="0.25">
      <c r="B11" s="195" t="s">
        <v>176</v>
      </c>
      <c r="C11" s="196" t="s">
        <v>177</v>
      </c>
      <c r="D11" s="197"/>
      <c r="E11" s="196"/>
      <c r="F11" s="197"/>
    </row>
    <row r="12" spans="1:20" ht="15.75" x14ac:dyDescent="0.25">
      <c r="B12" s="195" t="s">
        <v>178</v>
      </c>
      <c r="C12" s="196" t="s">
        <v>179</v>
      </c>
      <c r="D12" s="197"/>
      <c r="E12" s="196"/>
      <c r="F12" s="197"/>
    </row>
    <row r="13" spans="1:20" ht="15.75" x14ac:dyDescent="0.25">
      <c r="B13" s="195" t="s">
        <v>180</v>
      </c>
      <c r="C13" s="196" t="s">
        <v>181</v>
      </c>
      <c r="D13" s="197"/>
      <c r="E13" s="196"/>
      <c r="F13" s="197"/>
    </row>
    <row r="14" spans="1:20" ht="15.75" x14ac:dyDescent="0.25">
      <c r="B14" s="195" t="s">
        <v>182</v>
      </c>
      <c r="C14" s="196" t="s">
        <v>183</v>
      </c>
      <c r="D14" s="197"/>
      <c r="E14" s="196"/>
      <c r="F14" s="197"/>
    </row>
    <row r="15" spans="1:20" ht="15.75" x14ac:dyDescent="0.25">
      <c r="B15" s="195" t="s">
        <v>184</v>
      </c>
      <c r="C15" s="196" t="s">
        <v>185</v>
      </c>
      <c r="D15" s="197"/>
      <c r="E15" s="196"/>
      <c r="F15" s="197"/>
    </row>
    <row r="16" spans="1:20" ht="15.75" x14ac:dyDescent="0.25">
      <c r="B16" s="195" t="s">
        <v>186</v>
      </c>
      <c r="C16" s="196" t="s">
        <v>187</v>
      </c>
      <c r="D16" s="197"/>
      <c r="E16" s="196"/>
      <c r="F16" s="197"/>
    </row>
    <row r="17" spans="2:6" ht="15.75" x14ac:dyDescent="0.25">
      <c r="B17" s="195" t="s">
        <v>188</v>
      </c>
      <c r="C17" s="196" t="s">
        <v>189</v>
      </c>
      <c r="D17" s="197"/>
      <c r="E17" s="196"/>
      <c r="F17" s="197"/>
    </row>
  </sheetData>
  <pageMargins left="0.5" right="0.5" top="0.75" bottom="0.75" header="0.5" footer="0.5"/>
  <pageSetup paperSize="256" scale="51"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A3DD-5B25-45F2-A166-D013F088405F}">
  <sheetPr>
    <tabColor theme="2" tint="-0.499984740745262"/>
  </sheetPr>
  <dimension ref="C3:H11"/>
  <sheetViews>
    <sheetView workbookViewId="0">
      <selection activeCell="H26" sqref="H26"/>
    </sheetView>
  </sheetViews>
  <sheetFormatPr defaultRowHeight="15" x14ac:dyDescent="0.25"/>
  <cols>
    <col min="3" max="3" width="15.42578125" bestFit="1" customWidth="1"/>
    <col min="5" max="6" width="12.140625" style="292" hidden="1" customWidth="1"/>
    <col min="8" max="8" width="10.5703125" bestFit="1" customWidth="1"/>
  </cols>
  <sheetData>
    <row r="3" spans="3:8" ht="15.75" thickBot="1" x14ac:dyDescent="0.3">
      <c r="D3" s="175" t="s">
        <v>564</v>
      </c>
      <c r="E3" s="175" t="s">
        <v>566</v>
      </c>
      <c r="F3" s="175" t="s">
        <v>567</v>
      </c>
      <c r="G3" s="175" t="s">
        <v>558</v>
      </c>
      <c r="H3" s="175" t="s">
        <v>565</v>
      </c>
    </row>
    <row r="4" spans="3:8" x14ac:dyDescent="0.25">
      <c r="C4" s="38" t="s">
        <v>563</v>
      </c>
      <c r="D4" s="334">
        <f>'Bassett Creek'!B6</f>
        <v>176000</v>
      </c>
      <c r="E4" s="335">
        <f>'Bassett Creek'!B3</f>
        <v>0.31</v>
      </c>
      <c r="F4" s="335">
        <f>SUM('Bassett Creek'!C3:D3)</f>
        <v>0.67</v>
      </c>
      <c r="G4" s="336">
        <f>'Trail Lengths'!F3</f>
        <v>6.8</v>
      </c>
      <c r="H4" s="590">
        <f>D4/G4</f>
        <v>25882.352941176472</v>
      </c>
    </row>
    <row r="5" spans="3:8" x14ac:dyDescent="0.25">
      <c r="C5" s="39" t="s">
        <v>553</v>
      </c>
      <c r="D5" s="333">
        <f>'Med Lake'!B6</f>
        <v>665300</v>
      </c>
      <c r="E5" s="254">
        <f>'Med Lake'!B3</f>
        <v>0.51</v>
      </c>
      <c r="F5" s="254">
        <f>SUM('Med Lake'!C3:D3)</f>
        <v>0.47</v>
      </c>
      <c r="G5" s="282">
        <f>'Trail Lengths'!F14</f>
        <v>20.700000000000003</v>
      </c>
      <c r="H5" s="591">
        <f t="shared" ref="H5:H11" si="0">D5/G5</f>
        <v>32140.096618357482</v>
      </c>
    </row>
    <row r="6" spans="3:8" x14ac:dyDescent="0.25">
      <c r="C6" s="39" t="s">
        <v>463</v>
      </c>
      <c r="D6" s="333">
        <f>'Nine Mile Creek'!B6</f>
        <v>552500</v>
      </c>
      <c r="E6" s="254">
        <f>'Nine Mile Creek'!B3</f>
        <v>0.51</v>
      </c>
      <c r="F6" s="254">
        <f>SUM('Nine Mile Creek'!C3:D3)</f>
        <v>0.48</v>
      </c>
      <c r="G6" s="282">
        <f>'Trail Lengths'!F16</f>
        <v>12</v>
      </c>
      <c r="H6" s="591">
        <f t="shared" si="0"/>
        <v>46041.666666666664</v>
      </c>
    </row>
    <row r="7" spans="3:8" x14ac:dyDescent="0.25">
      <c r="C7" s="39" t="s">
        <v>452</v>
      </c>
      <c r="D7" s="333">
        <f>'Rush Creek'!B6</f>
        <v>282600</v>
      </c>
      <c r="E7" s="254">
        <f>'Rush Creek'!B3</f>
        <v>0.66</v>
      </c>
      <c r="F7" s="254">
        <f>SUM('Rush Creek'!C3:D3)</f>
        <v>0.32</v>
      </c>
      <c r="G7" s="282">
        <f>'Trail Lengths'!F19</f>
        <v>9.9</v>
      </c>
      <c r="H7" s="591">
        <f t="shared" si="0"/>
        <v>28545.454545454544</v>
      </c>
    </row>
    <row r="8" spans="3:8" ht="15.75" thickBot="1" x14ac:dyDescent="0.3">
      <c r="C8" s="342" t="s">
        <v>465</v>
      </c>
      <c r="D8" s="343">
        <f>'Shingle Creek'!B6</f>
        <v>311600</v>
      </c>
      <c r="E8" s="344">
        <f>'Shingle Creek'!B3</f>
        <v>0.39</v>
      </c>
      <c r="F8" s="344">
        <f>SUM('Shingle Creek'!C3:D3)</f>
        <v>0.59000000000000008</v>
      </c>
      <c r="G8" s="345">
        <f>'Trail Lengths'!F20</f>
        <v>8.4</v>
      </c>
      <c r="H8" s="592">
        <f t="shared" si="0"/>
        <v>37095.238095238092</v>
      </c>
    </row>
    <row r="9" spans="3:8" x14ac:dyDescent="0.25">
      <c r="C9" s="38" t="s">
        <v>568</v>
      </c>
      <c r="D9" s="340">
        <f>AVERAGE(D4:D8)</f>
        <v>397600</v>
      </c>
      <c r="E9" s="335">
        <f>AVERAGE(E4:E8)</f>
        <v>0.47600000000000009</v>
      </c>
      <c r="F9" s="335">
        <f>AVERAGE(F4:F8)</f>
        <v>0.50600000000000001</v>
      </c>
      <c r="G9" s="334">
        <f>AVERAGE(G4:G8)</f>
        <v>11.559999999999999</v>
      </c>
      <c r="H9" s="593">
        <f>AVERAGE(H4:H8)</f>
        <v>33940.961773378658</v>
      </c>
    </row>
    <row r="10" spans="3:8" s="292" customFormat="1" ht="15.75" thickBot="1" x14ac:dyDescent="0.3">
      <c r="C10" s="337" t="s">
        <v>569</v>
      </c>
      <c r="D10" s="341">
        <f>SUM(D4:D8)</f>
        <v>1988000</v>
      </c>
      <c r="E10" s="339"/>
      <c r="F10" s="339"/>
      <c r="G10" s="338">
        <f>SUM(G4:G8)</f>
        <v>57.8</v>
      </c>
      <c r="H10" s="594">
        <f t="shared" si="0"/>
        <v>34394.46366782007</v>
      </c>
    </row>
    <row r="11" spans="3:8" ht="15.75" thickBot="1" x14ac:dyDescent="0.3">
      <c r="C11" s="349" t="s">
        <v>267</v>
      </c>
      <c r="D11" s="346">
        <f>District!B6</f>
        <v>5808500</v>
      </c>
      <c r="E11" s="347">
        <f>District!B3</f>
        <v>0.56599999999999995</v>
      </c>
      <c r="F11" s="347">
        <f>SUM(District!C3:D3)</f>
        <v>0.42000000000000004</v>
      </c>
      <c r="G11" s="348">
        <f>'Trail Lengths'!F24</f>
        <v>180.52000000000004</v>
      </c>
      <c r="H11" s="595">
        <f t="shared" si="0"/>
        <v>32176.490139596714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A7CC8-864A-4515-80B4-67568E7717E7}">
  <sheetPr>
    <tabColor theme="1" tint="0.34998626667073579"/>
  </sheetPr>
  <dimension ref="A1:Q99"/>
  <sheetViews>
    <sheetView zoomScaleNormal="100" workbookViewId="0">
      <selection activeCell="C46" sqref="C46"/>
    </sheetView>
  </sheetViews>
  <sheetFormatPr defaultRowHeight="15" x14ac:dyDescent="0.25"/>
  <cols>
    <col min="1" max="1" width="41" style="184" customWidth="1"/>
    <col min="2" max="2" width="17" style="184" customWidth="1"/>
    <col min="3" max="3" width="18.5703125" style="184" customWidth="1"/>
    <col min="4" max="4" width="15.42578125" style="184" customWidth="1"/>
    <col min="5" max="5" width="16.28515625" style="184" customWidth="1"/>
    <col min="6" max="6" width="9.140625" style="184"/>
    <col min="7" max="7" width="11.42578125" style="184" bestFit="1" customWidth="1"/>
    <col min="8" max="8" width="16.5703125" style="184" bestFit="1" customWidth="1"/>
    <col min="9" max="9" width="15.42578125" style="184" bestFit="1" customWidth="1"/>
    <col min="10" max="16384" width="9.140625" style="184"/>
  </cols>
  <sheetData>
    <row r="1" spans="1:17" x14ac:dyDescent="0.25">
      <c r="A1" s="198"/>
      <c r="B1" s="779" t="s">
        <v>192</v>
      </c>
      <c r="C1" s="779"/>
      <c r="D1" s="779"/>
      <c r="E1" s="779"/>
      <c r="F1" s="198"/>
      <c r="G1" s="198"/>
      <c r="H1" s="198"/>
      <c r="I1" s="198"/>
      <c r="J1" s="198"/>
      <c r="K1" s="198"/>
      <c r="L1" s="198"/>
    </row>
    <row r="2" spans="1:17" x14ac:dyDescent="0.25">
      <c r="A2" s="198"/>
      <c r="B2" s="198" t="s">
        <v>193</v>
      </c>
      <c r="C2" s="198" t="s">
        <v>194</v>
      </c>
      <c r="D2" s="198" t="s">
        <v>195</v>
      </c>
      <c r="E2" s="198" t="s">
        <v>196</v>
      </c>
      <c r="M2" s="198"/>
      <c r="N2" s="198"/>
      <c r="O2" s="198"/>
      <c r="P2" s="198"/>
      <c r="Q2" s="198"/>
    </row>
    <row r="3" spans="1:17" x14ac:dyDescent="0.25">
      <c r="A3" s="198"/>
      <c r="B3" s="199">
        <v>0.31</v>
      </c>
      <c r="C3" s="199">
        <v>0.52</v>
      </c>
      <c r="D3" s="199">
        <v>0.15</v>
      </c>
      <c r="E3" s="199">
        <v>0.02</v>
      </c>
      <c r="M3" s="199"/>
      <c r="N3" s="199"/>
      <c r="O3" s="199"/>
      <c r="P3" s="199"/>
      <c r="Q3" s="199"/>
    </row>
    <row r="4" spans="1:17" x14ac:dyDescent="0.25">
      <c r="A4" s="198"/>
      <c r="B4" s="200"/>
      <c r="C4" s="198"/>
      <c r="D4" s="199"/>
      <c r="E4" s="199"/>
      <c r="F4" s="199"/>
      <c r="G4" s="199"/>
      <c r="H4" s="199"/>
      <c r="I4" s="199"/>
      <c r="J4" s="199"/>
      <c r="K4" s="199"/>
      <c r="L4" s="199"/>
    </row>
    <row r="5" spans="1:17" x14ac:dyDescent="0.25">
      <c r="A5" s="198"/>
      <c r="B5" s="201" t="s">
        <v>197</v>
      </c>
      <c r="C5" s="201" t="s">
        <v>198</v>
      </c>
      <c r="D5" s="201" t="s">
        <v>199</v>
      </c>
      <c r="E5" s="199"/>
      <c r="F5" s="199"/>
      <c r="J5" s="199"/>
      <c r="K5" s="199"/>
      <c r="L5" s="199"/>
    </row>
    <row r="6" spans="1:17" x14ac:dyDescent="0.25">
      <c r="A6" s="198"/>
      <c r="B6" s="200">
        <v>176000</v>
      </c>
      <c r="C6" s="200">
        <v>650</v>
      </c>
      <c r="D6" s="200">
        <v>250</v>
      </c>
      <c r="E6" s="199"/>
      <c r="F6" s="199"/>
      <c r="J6" s="199"/>
      <c r="K6" s="199"/>
      <c r="L6" s="199"/>
    </row>
    <row r="7" spans="1:17" x14ac:dyDescent="0.25">
      <c r="A7" s="198"/>
      <c r="B7" s="200"/>
      <c r="C7" s="200"/>
      <c r="D7" s="200"/>
      <c r="E7" s="199"/>
      <c r="F7" s="199"/>
      <c r="J7" s="199"/>
      <c r="K7" s="199"/>
      <c r="L7" s="199"/>
    </row>
    <row r="8" spans="1:17" x14ac:dyDescent="0.25">
      <c r="A8" s="202" t="s">
        <v>200</v>
      </c>
      <c r="B8" s="200"/>
      <c r="C8" s="200"/>
      <c r="D8" s="200"/>
      <c r="E8" s="199"/>
      <c r="F8" s="199"/>
      <c r="J8" s="199"/>
      <c r="K8" s="199"/>
      <c r="L8" s="199"/>
    </row>
    <row r="9" spans="1:17" x14ac:dyDescent="0.25">
      <c r="A9" s="202" t="s">
        <v>201</v>
      </c>
      <c r="B9" s="203" t="s">
        <v>202</v>
      </c>
      <c r="C9" s="200"/>
      <c r="D9" s="200"/>
      <c r="E9" s="204" t="s">
        <v>203</v>
      </c>
      <c r="F9" s="205" t="s">
        <v>204</v>
      </c>
      <c r="G9" s="205" t="s">
        <v>205</v>
      </c>
      <c r="H9" s="205" t="s">
        <v>206</v>
      </c>
      <c r="I9" s="206"/>
      <c r="J9" s="206"/>
      <c r="K9" s="76"/>
    </row>
    <row r="10" spans="1:17" x14ac:dyDescent="0.25">
      <c r="A10" s="207" t="s">
        <v>207</v>
      </c>
      <c r="B10" s="199">
        <v>0.56999999999999995</v>
      </c>
      <c r="C10" s="200"/>
      <c r="D10" s="200"/>
      <c r="E10" s="206" t="s">
        <v>208</v>
      </c>
      <c r="F10" s="208"/>
      <c r="G10" s="208" t="s">
        <v>209</v>
      </c>
      <c r="H10" s="208"/>
      <c r="I10" s="206"/>
      <c r="J10" s="206"/>
      <c r="K10" s="174"/>
    </row>
    <row r="11" spans="1:17" x14ac:dyDescent="0.25">
      <c r="A11" s="207" t="s">
        <v>210</v>
      </c>
      <c r="B11" s="199">
        <v>0.43</v>
      </c>
      <c r="C11" s="200"/>
      <c r="D11" s="200"/>
      <c r="E11" s="206" t="s">
        <v>211</v>
      </c>
      <c r="F11" s="208"/>
      <c r="G11" s="208" t="s">
        <v>209</v>
      </c>
      <c r="H11" s="208"/>
      <c r="I11" s="206"/>
      <c r="J11" s="206"/>
      <c r="K11" s="174"/>
    </row>
    <row r="12" spans="1:17" x14ac:dyDescent="0.25">
      <c r="A12" s="207" t="s">
        <v>196</v>
      </c>
      <c r="B12" s="199">
        <v>0</v>
      </c>
      <c r="C12" s="200"/>
      <c r="D12" s="200"/>
      <c r="E12" s="183" t="s">
        <v>212</v>
      </c>
      <c r="F12" s="208"/>
      <c r="G12" s="208" t="s">
        <v>209</v>
      </c>
      <c r="H12" s="208"/>
      <c r="I12" s="206"/>
      <c r="J12" s="206"/>
      <c r="K12" s="174"/>
    </row>
    <row r="13" spans="1:17" x14ac:dyDescent="0.25">
      <c r="A13" s="202" t="s">
        <v>213</v>
      </c>
      <c r="B13" s="209"/>
      <c r="C13" s="200"/>
      <c r="D13" s="200"/>
      <c r="E13" s="206" t="s">
        <v>214</v>
      </c>
      <c r="F13" s="208"/>
      <c r="G13" s="208" t="s">
        <v>209</v>
      </c>
      <c r="H13" s="208"/>
      <c r="I13" s="206"/>
      <c r="J13" s="206"/>
      <c r="K13" s="174"/>
    </row>
    <row r="14" spans="1:17" x14ac:dyDescent="0.25">
      <c r="A14" s="207" t="s">
        <v>215</v>
      </c>
      <c r="B14" s="210">
        <v>6.848754E-2</v>
      </c>
      <c r="C14" s="211"/>
      <c r="D14" s="211"/>
      <c r="E14" s="206" t="s">
        <v>216</v>
      </c>
      <c r="F14" s="208"/>
      <c r="G14" s="208" t="s">
        <v>209</v>
      </c>
      <c r="H14" s="208"/>
      <c r="I14" s="206"/>
      <c r="J14" s="206"/>
      <c r="K14" s="174"/>
    </row>
    <row r="15" spans="1:17" x14ac:dyDescent="0.25">
      <c r="A15" s="207" t="s">
        <v>217</v>
      </c>
      <c r="B15" s="210">
        <v>4.2789999999999998E-3</v>
      </c>
      <c r="C15" s="211"/>
      <c r="D15" s="211"/>
      <c r="E15" s="206" t="s">
        <v>218</v>
      </c>
      <c r="F15" s="208"/>
      <c r="G15" s="208" t="s">
        <v>209</v>
      </c>
      <c r="H15" s="208"/>
      <c r="I15" s="206"/>
      <c r="J15" s="206"/>
      <c r="K15" s="174"/>
    </row>
    <row r="16" spans="1:17" x14ac:dyDescent="0.25">
      <c r="A16" s="207" t="s">
        <v>219</v>
      </c>
      <c r="B16" s="210">
        <v>5.3769999999999998E-2</v>
      </c>
      <c r="C16" s="211"/>
      <c r="D16" s="211"/>
      <c r="E16" s="206" t="s">
        <v>220</v>
      </c>
      <c r="F16" s="208"/>
      <c r="G16" s="208" t="s">
        <v>209</v>
      </c>
      <c r="H16" s="208"/>
      <c r="I16" s="206"/>
      <c r="J16" s="206"/>
      <c r="K16" s="174"/>
    </row>
    <row r="17" spans="1:11" x14ac:dyDescent="0.25">
      <c r="A17" s="207" t="s">
        <v>221</v>
      </c>
      <c r="B17" s="210">
        <v>7.1199999999999999E-2</v>
      </c>
      <c r="C17" s="211"/>
      <c r="D17" s="211"/>
      <c r="E17" s="206" t="s">
        <v>222</v>
      </c>
      <c r="F17" s="208"/>
      <c r="G17" s="208"/>
      <c r="H17" s="208" t="s">
        <v>209</v>
      </c>
      <c r="I17" s="206"/>
      <c r="J17" s="206"/>
      <c r="K17" s="174"/>
    </row>
    <row r="18" spans="1:11" x14ac:dyDescent="0.25">
      <c r="A18" s="207" t="s">
        <v>223</v>
      </c>
      <c r="B18" s="210">
        <v>5.8650000000000001E-2</v>
      </c>
      <c r="C18" s="211"/>
      <c r="D18" s="211"/>
      <c r="E18" s="206" t="s">
        <v>224</v>
      </c>
      <c r="F18" s="208"/>
      <c r="G18" s="208" t="s">
        <v>209</v>
      </c>
      <c r="H18" s="208"/>
      <c r="I18" s="206"/>
      <c r="J18" s="206"/>
      <c r="K18" s="174"/>
    </row>
    <row r="19" spans="1:11" x14ac:dyDescent="0.25">
      <c r="A19" s="207" t="s">
        <v>225</v>
      </c>
      <c r="B19" s="210">
        <v>0.16186</v>
      </c>
      <c r="C19" s="211"/>
      <c r="D19" s="211"/>
      <c r="E19" s="204" t="s">
        <v>226</v>
      </c>
      <c r="F19" s="205" t="s">
        <v>204</v>
      </c>
      <c r="G19" s="205" t="s">
        <v>205</v>
      </c>
      <c r="H19" s="205" t="s">
        <v>206</v>
      </c>
      <c r="I19" s="206"/>
      <c r="J19" s="206"/>
      <c r="K19" s="76"/>
    </row>
    <row r="20" spans="1:11" x14ac:dyDescent="0.25">
      <c r="A20" s="207" t="s">
        <v>227</v>
      </c>
      <c r="B20" s="210">
        <v>0.12917999999999999</v>
      </c>
      <c r="C20" s="211"/>
      <c r="D20" s="211"/>
      <c r="E20" s="206" t="s">
        <v>210</v>
      </c>
      <c r="F20" s="208"/>
      <c r="G20" s="208" t="s">
        <v>209</v>
      </c>
      <c r="H20" s="208"/>
      <c r="I20" s="206"/>
      <c r="J20" s="206"/>
      <c r="K20" s="174"/>
    </row>
    <row r="21" spans="1:11" x14ac:dyDescent="0.25">
      <c r="A21" s="207" t="s">
        <v>228</v>
      </c>
      <c r="B21" s="210">
        <v>0.1903</v>
      </c>
      <c r="C21" s="211"/>
      <c r="D21" s="211"/>
      <c r="E21" s="206" t="s">
        <v>207</v>
      </c>
      <c r="F21" s="208"/>
      <c r="G21" s="208" t="s">
        <v>209</v>
      </c>
      <c r="H21" s="208"/>
      <c r="I21" s="206"/>
      <c r="J21" s="206"/>
      <c r="K21" s="174"/>
    </row>
    <row r="22" spans="1:11" x14ac:dyDescent="0.25">
      <c r="A22" s="207" t="s">
        <v>229</v>
      </c>
      <c r="B22" s="210">
        <v>0.2346</v>
      </c>
      <c r="C22" s="211"/>
      <c r="D22" s="211"/>
      <c r="E22" s="204" t="s">
        <v>230</v>
      </c>
      <c r="F22" s="205" t="s">
        <v>204</v>
      </c>
      <c r="G22" s="205" t="s">
        <v>205</v>
      </c>
      <c r="H22" s="205" t="s">
        <v>206</v>
      </c>
      <c r="I22" s="206"/>
      <c r="J22" s="206"/>
      <c r="K22" s="76"/>
    </row>
    <row r="23" spans="1:11" x14ac:dyDescent="0.25">
      <c r="A23" s="207" t="s">
        <v>231</v>
      </c>
      <c r="B23" s="210">
        <v>2.8209999999999999E-2</v>
      </c>
      <c r="C23" s="211"/>
      <c r="D23" s="211"/>
      <c r="E23" s="206" t="s">
        <v>232</v>
      </c>
      <c r="F23" s="208"/>
      <c r="G23" s="208"/>
      <c r="H23" s="208" t="s">
        <v>209</v>
      </c>
      <c r="I23" s="206"/>
      <c r="J23" s="206"/>
      <c r="K23" s="174"/>
    </row>
    <row r="24" spans="1:11" x14ac:dyDescent="0.25">
      <c r="A24" s="212" t="s">
        <v>233</v>
      </c>
      <c r="B24" s="213"/>
      <c r="C24" s="211"/>
      <c r="D24" s="211"/>
      <c r="E24" s="206" t="s">
        <v>234</v>
      </c>
      <c r="F24" s="208" t="s">
        <v>209</v>
      </c>
      <c r="G24" s="208"/>
      <c r="H24" s="208"/>
      <c r="I24" s="206"/>
      <c r="J24" s="206" t="s">
        <v>235</v>
      </c>
      <c r="K24" s="174"/>
    </row>
    <row r="25" spans="1:11" x14ac:dyDescent="0.25">
      <c r="A25" s="207" t="s">
        <v>236</v>
      </c>
      <c r="B25" s="210">
        <v>0</v>
      </c>
      <c r="C25" s="211"/>
      <c r="D25" s="211"/>
      <c r="E25" s="206" t="s">
        <v>237</v>
      </c>
      <c r="F25" s="208"/>
      <c r="G25" s="208" t="s">
        <v>209</v>
      </c>
      <c r="H25" s="208"/>
      <c r="I25" s="206"/>
      <c r="J25" s="206"/>
      <c r="K25" s="174"/>
    </row>
    <row r="26" spans="1:11" x14ac:dyDescent="0.25">
      <c r="A26" s="207" t="s">
        <v>238</v>
      </c>
      <c r="B26" s="210">
        <v>0</v>
      </c>
      <c r="C26" s="211"/>
      <c r="D26" s="211"/>
      <c r="E26" s="206" t="s">
        <v>239</v>
      </c>
      <c r="F26" s="208"/>
      <c r="G26" s="208" t="s">
        <v>209</v>
      </c>
      <c r="H26" s="208"/>
      <c r="I26" s="206"/>
      <c r="J26" s="206"/>
      <c r="K26" s="174"/>
    </row>
    <row r="27" spans="1:11" x14ac:dyDescent="0.25">
      <c r="A27" s="207" t="s">
        <v>239</v>
      </c>
      <c r="B27" s="210">
        <v>1.9834999999999998E-2</v>
      </c>
      <c r="C27" s="211"/>
      <c r="D27" s="211"/>
      <c r="E27" s="206" t="s">
        <v>196</v>
      </c>
      <c r="F27" s="208"/>
      <c r="G27" s="208" t="s">
        <v>209</v>
      </c>
      <c r="H27" s="208"/>
      <c r="I27" s="206"/>
      <c r="J27" s="206"/>
      <c r="K27" s="174"/>
    </row>
    <row r="28" spans="1:11" x14ac:dyDescent="0.25">
      <c r="A28" s="207" t="s">
        <v>240</v>
      </c>
      <c r="B28" s="210">
        <v>0</v>
      </c>
      <c r="C28" s="211"/>
      <c r="D28" s="211"/>
      <c r="E28" s="204" t="s">
        <v>241</v>
      </c>
      <c r="F28" s="205" t="s">
        <v>204</v>
      </c>
      <c r="G28" s="205" t="s">
        <v>205</v>
      </c>
      <c r="H28" s="205" t="s">
        <v>206</v>
      </c>
      <c r="I28" s="206"/>
      <c r="J28" s="206"/>
      <c r="K28" s="76"/>
    </row>
    <row r="29" spans="1:11" x14ac:dyDescent="0.25">
      <c r="A29" s="207" t="s">
        <v>232</v>
      </c>
      <c r="B29" s="210">
        <v>0.95499500000000004</v>
      </c>
      <c r="C29" s="211"/>
      <c r="D29" s="211"/>
      <c r="E29" s="206" t="s">
        <v>242</v>
      </c>
      <c r="F29" s="208" t="s">
        <v>209</v>
      </c>
      <c r="G29" s="208"/>
      <c r="H29" s="208"/>
      <c r="I29" s="206"/>
      <c r="J29" s="206" t="s">
        <v>243</v>
      </c>
      <c r="K29" s="174"/>
    </row>
    <row r="30" spans="1:11" x14ac:dyDescent="0.25">
      <c r="A30" s="207" t="s">
        <v>244</v>
      </c>
      <c r="B30" s="210">
        <v>9.3500000000000007E-3</v>
      </c>
      <c r="C30" s="211"/>
      <c r="D30" s="211"/>
      <c r="E30" s="206" t="s">
        <v>245</v>
      </c>
      <c r="F30" s="208"/>
      <c r="G30" s="208"/>
      <c r="H30" s="208" t="s">
        <v>209</v>
      </c>
      <c r="I30" s="206"/>
      <c r="J30" s="206"/>
      <c r="K30" s="174"/>
    </row>
    <row r="31" spans="1:11" x14ac:dyDescent="0.25">
      <c r="A31" s="207" t="s">
        <v>246</v>
      </c>
      <c r="B31" s="210">
        <v>1.5817999999999999E-2</v>
      </c>
      <c r="C31" s="211"/>
      <c r="D31" s="211"/>
      <c r="E31" s="204" t="s">
        <v>247</v>
      </c>
      <c r="F31" s="205" t="s">
        <v>204</v>
      </c>
      <c r="G31" s="205" t="s">
        <v>205</v>
      </c>
      <c r="H31" s="205" t="s">
        <v>206</v>
      </c>
      <c r="I31" s="206"/>
      <c r="J31" s="206"/>
      <c r="K31" s="76"/>
    </row>
    <row r="32" spans="1:11" x14ac:dyDescent="0.25">
      <c r="A32" s="212" t="s">
        <v>248</v>
      </c>
      <c r="B32" s="213"/>
      <c r="C32" s="211"/>
      <c r="D32" s="211"/>
      <c r="E32" s="206" t="s">
        <v>249</v>
      </c>
      <c r="F32" s="208" t="s">
        <v>209</v>
      </c>
      <c r="G32" s="208"/>
      <c r="H32" s="208"/>
      <c r="I32" s="206"/>
      <c r="J32" s="206" t="s">
        <v>250</v>
      </c>
      <c r="K32" s="174"/>
    </row>
    <row r="33" spans="1:12" x14ac:dyDescent="0.25">
      <c r="A33" s="207" t="s">
        <v>242</v>
      </c>
      <c r="B33" s="210">
        <v>0.89700000000000002</v>
      </c>
      <c r="C33" s="211"/>
      <c r="D33" s="211"/>
      <c r="E33" s="206" t="s">
        <v>251</v>
      </c>
      <c r="F33" s="208"/>
      <c r="G33" s="208" t="s">
        <v>209</v>
      </c>
      <c r="H33" s="208"/>
      <c r="I33" s="206"/>
      <c r="J33" s="206"/>
      <c r="K33" s="174"/>
    </row>
    <row r="34" spans="1:12" x14ac:dyDescent="0.25">
      <c r="A34" s="207" t="s">
        <v>245</v>
      </c>
      <c r="B34" s="210">
        <v>0.10299999999999999</v>
      </c>
      <c r="C34" s="211"/>
      <c r="D34" s="211"/>
      <c r="E34" s="206" t="s">
        <v>252</v>
      </c>
      <c r="F34" s="208"/>
      <c r="G34" s="208"/>
      <c r="H34" s="208" t="s">
        <v>209</v>
      </c>
      <c r="I34" s="206"/>
      <c r="J34" s="206"/>
      <c r="K34" s="174"/>
    </row>
    <row r="35" spans="1:12" x14ac:dyDescent="0.25">
      <c r="A35" s="212" t="s">
        <v>253</v>
      </c>
      <c r="B35" s="213"/>
      <c r="C35" s="211"/>
      <c r="D35" s="211"/>
      <c r="E35" s="211"/>
      <c r="F35" s="211"/>
      <c r="G35" s="211"/>
      <c r="H35" s="211"/>
      <c r="I35" s="211"/>
      <c r="J35" s="211"/>
      <c r="K35" s="199"/>
      <c r="L35" s="199"/>
    </row>
    <row r="36" spans="1:12" x14ac:dyDescent="0.25">
      <c r="A36" s="207" t="s">
        <v>254</v>
      </c>
      <c r="B36" s="210">
        <v>8.6321040000000002E-2</v>
      </c>
      <c r="C36" s="211"/>
      <c r="D36" s="211"/>
      <c r="E36" s="211"/>
      <c r="F36" s="211"/>
      <c r="G36" s="211"/>
      <c r="H36" s="211"/>
      <c r="I36" s="211"/>
      <c r="J36" s="211"/>
      <c r="K36" s="199"/>
      <c r="L36" s="199"/>
    </row>
    <row r="37" spans="1:12" x14ac:dyDescent="0.25">
      <c r="A37" s="207" t="s">
        <v>255</v>
      </c>
      <c r="B37" s="210">
        <v>6.6485952000000001E-2</v>
      </c>
      <c r="C37" s="211"/>
      <c r="D37" s="211"/>
      <c r="E37" s="211"/>
      <c r="F37" s="211"/>
      <c r="G37" s="211"/>
      <c r="H37" s="211"/>
      <c r="I37" s="211"/>
      <c r="J37" s="211"/>
      <c r="K37" s="199"/>
      <c r="L37" s="199"/>
    </row>
    <row r="38" spans="1:12" x14ac:dyDescent="0.25">
      <c r="A38" s="207" t="s">
        <v>256</v>
      </c>
      <c r="B38" s="210">
        <v>0.12019488</v>
      </c>
      <c r="C38" s="211"/>
      <c r="D38" s="211"/>
      <c r="E38" s="211"/>
      <c r="F38" s="211"/>
      <c r="G38" s="211"/>
      <c r="H38" s="211"/>
      <c r="I38" s="211"/>
      <c r="J38" s="211"/>
      <c r="K38" s="199"/>
      <c r="L38" s="199"/>
    </row>
    <row r="39" spans="1:12" x14ac:dyDescent="0.25">
      <c r="A39" s="207" t="s">
        <v>257</v>
      </c>
      <c r="B39" s="210">
        <v>0.28074062399999999</v>
      </c>
      <c r="C39" s="211"/>
      <c r="D39" s="211"/>
      <c r="E39" s="211"/>
      <c r="F39" s="211"/>
      <c r="G39" s="211"/>
      <c r="H39" s="211"/>
      <c r="I39" s="211"/>
      <c r="J39" s="211"/>
      <c r="K39" s="199"/>
      <c r="L39" s="199"/>
    </row>
    <row r="40" spans="1:12" x14ac:dyDescent="0.25">
      <c r="A40" s="207" t="s">
        <v>258</v>
      </c>
      <c r="B40" s="210">
        <v>0.23561356999999999</v>
      </c>
      <c r="C40" s="211"/>
      <c r="D40" s="211"/>
      <c r="E40" s="211"/>
      <c r="F40" s="211"/>
      <c r="G40" s="211"/>
      <c r="H40" s="211"/>
      <c r="I40" s="211"/>
      <c r="J40" s="211"/>
      <c r="K40" s="199"/>
      <c r="L40" s="199"/>
    </row>
    <row r="41" spans="1:12" x14ac:dyDescent="0.25">
      <c r="A41" s="207" t="s">
        <v>259</v>
      </c>
      <c r="B41" s="210">
        <v>0.21026793999999999</v>
      </c>
      <c r="C41" s="211"/>
      <c r="D41" s="211"/>
      <c r="E41" s="211"/>
      <c r="F41" s="211"/>
      <c r="G41" s="211"/>
      <c r="H41" s="211"/>
      <c r="I41" s="211"/>
      <c r="J41" s="211"/>
      <c r="K41" s="199"/>
      <c r="L41" s="199"/>
    </row>
    <row r="42" spans="1:12" x14ac:dyDescent="0.25">
      <c r="A42" s="211"/>
      <c r="B42" s="211"/>
      <c r="C42" s="211"/>
      <c r="D42" s="211"/>
      <c r="E42" s="211"/>
      <c r="F42" s="211"/>
      <c r="G42" s="211"/>
      <c r="H42" s="211"/>
      <c r="I42" s="211"/>
      <c r="J42" s="211"/>
      <c r="K42" s="199"/>
      <c r="L42" s="199"/>
    </row>
    <row r="43" spans="1:12" x14ac:dyDescent="0.25">
      <c r="A43" s="780" t="s">
        <v>260</v>
      </c>
      <c r="B43" s="780"/>
      <c r="C43" s="780"/>
      <c r="D43" s="178"/>
      <c r="E43" s="178"/>
      <c r="F43" s="178"/>
      <c r="J43" s="178"/>
      <c r="K43" s="178"/>
      <c r="L43" s="178"/>
    </row>
    <row r="44" spans="1:12" x14ac:dyDescent="0.25">
      <c r="B44" s="99" t="s">
        <v>261</v>
      </c>
      <c r="C44" s="178">
        <v>0.9</v>
      </c>
      <c r="D44" s="178"/>
      <c r="E44" s="178"/>
      <c r="F44" s="178"/>
      <c r="G44" s="178"/>
      <c r="H44" s="178"/>
      <c r="I44" s="178"/>
      <c r="J44" s="178"/>
      <c r="K44" s="178"/>
      <c r="L44" s="178"/>
    </row>
    <row r="45" spans="1:12" x14ac:dyDescent="0.25">
      <c r="B45" s="99" t="s">
        <v>262</v>
      </c>
      <c r="C45" s="178">
        <v>3.5000000000000003E-2</v>
      </c>
      <c r="D45" s="178"/>
      <c r="E45" s="178"/>
      <c r="F45" s="178"/>
      <c r="G45" s="178"/>
      <c r="H45" s="178"/>
      <c r="I45" s="178"/>
      <c r="J45" s="178"/>
      <c r="K45" s="178"/>
      <c r="L45" s="178"/>
    </row>
    <row r="46" spans="1:12" x14ac:dyDescent="0.25">
      <c r="B46" s="99" t="s">
        <v>263</v>
      </c>
      <c r="C46" s="178">
        <v>7.2099999999999997E-2</v>
      </c>
      <c r="D46" s="178"/>
      <c r="E46" s="178"/>
      <c r="F46" s="178"/>
      <c r="G46" s="178"/>
      <c r="H46" s="178"/>
      <c r="I46" s="178"/>
      <c r="J46" s="178"/>
      <c r="K46" s="178"/>
      <c r="L46" s="178"/>
    </row>
    <row r="47" spans="1:12" x14ac:dyDescent="0.25">
      <c r="B47" s="99" t="s">
        <v>264</v>
      </c>
      <c r="C47" s="178">
        <v>0.14280000000000001</v>
      </c>
      <c r="D47" s="178"/>
      <c r="E47" s="178"/>
      <c r="F47" s="178"/>
      <c r="G47" s="178"/>
      <c r="H47" s="178"/>
      <c r="I47" s="178"/>
      <c r="J47" s="178"/>
      <c r="K47" s="178"/>
      <c r="L47" s="178"/>
    </row>
    <row r="48" spans="1:12" x14ac:dyDescent="0.25">
      <c r="B48" s="99" t="s">
        <v>265</v>
      </c>
      <c r="C48" s="178">
        <v>0.221</v>
      </c>
      <c r="D48" s="178"/>
      <c r="E48" s="178"/>
      <c r="F48" s="178"/>
      <c r="G48" s="178"/>
      <c r="H48" s="178"/>
      <c r="I48" s="178"/>
      <c r="J48" s="178"/>
      <c r="K48" s="178"/>
      <c r="L48" s="178"/>
    </row>
    <row r="49" spans="1:12" x14ac:dyDescent="0.25">
      <c r="B49" s="99"/>
      <c r="D49" s="178"/>
      <c r="E49" s="178"/>
      <c r="F49" s="178"/>
      <c r="G49" s="178"/>
      <c r="H49" s="178"/>
      <c r="I49" s="178"/>
      <c r="J49" s="178"/>
      <c r="K49" s="178"/>
      <c r="L49" s="178"/>
    </row>
    <row r="52" spans="1:12" x14ac:dyDescent="0.25">
      <c r="A52" s="214" t="s">
        <v>266</v>
      </c>
      <c r="B52" s="175">
        <v>2014</v>
      </c>
      <c r="C52" s="175">
        <v>2019</v>
      </c>
      <c r="D52" s="175" t="s">
        <v>267</v>
      </c>
      <c r="E52" s="175" t="s">
        <v>268</v>
      </c>
    </row>
    <row r="53" spans="1:12" x14ac:dyDescent="0.25">
      <c r="A53" s="184" t="s">
        <v>269</v>
      </c>
      <c r="B53" s="183" t="s">
        <v>15</v>
      </c>
      <c r="C53" s="184" t="s">
        <v>270</v>
      </c>
      <c r="D53" s="184" t="s">
        <v>26</v>
      </c>
      <c r="E53" s="184">
        <v>1</v>
      </c>
      <c r="K53" s="215"/>
    </row>
    <row r="54" spans="1:12" x14ac:dyDescent="0.25">
      <c r="A54" s="184" t="s">
        <v>271</v>
      </c>
      <c r="B54" s="183" t="s">
        <v>15</v>
      </c>
      <c r="C54" s="184" t="s">
        <v>270</v>
      </c>
      <c r="D54" s="184" t="s">
        <v>270</v>
      </c>
    </row>
    <row r="55" spans="1:12" x14ac:dyDescent="0.25">
      <c r="A55" s="184" t="s">
        <v>272</v>
      </c>
      <c r="B55" s="183" t="s">
        <v>15</v>
      </c>
      <c r="C55" s="184" t="s">
        <v>270</v>
      </c>
      <c r="D55" s="184" t="s">
        <v>273</v>
      </c>
      <c r="E55" s="184">
        <v>1</v>
      </c>
    </row>
    <row r="56" spans="1:12" x14ac:dyDescent="0.25">
      <c r="A56" s="184" t="s">
        <v>274</v>
      </c>
      <c r="B56" s="183" t="s">
        <v>15</v>
      </c>
      <c r="C56" s="184" t="s">
        <v>270</v>
      </c>
      <c r="D56" s="184" t="s">
        <v>26</v>
      </c>
    </row>
    <row r="57" spans="1:12" x14ac:dyDescent="0.25">
      <c r="A57" s="184" t="s">
        <v>275</v>
      </c>
      <c r="B57" s="183" t="s">
        <v>15</v>
      </c>
      <c r="C57" s="184" t="s">
        <v>26</v>
      </c>
      <c r="D57" s="184" t="s">
        <v>273</v>
      </c>
      <c r="E57" s="184">
        <v>1</v>
      </c>
    </row>
    <row r="59" spans="1:12" x14ac:dyDescent="0.25">
      <c r="A59" s="184">
        <v>1</v>
      </c>
      <c r="B59" s="184" t="s">
        <v>276</v>
      </c>
    </row>
    <row r="60" spans="1:12" x14ac:dyDescent="0.25">
      <c r="A60" s="184">
        <v>2</v>
      </c>
      <c r="B60" s="184" t="s">
        <v>277</v>
      </c>
    </row>
    <row r="62" spans="1:12" x14ac:dyDescent="0.25">
      <c r="A62" s="214" t="s">
        <v>278</v>
      </c>
      <c r="B62" s="214" t="s">
        <v>279</v>
      </c>
      <c r="C62" s="216"/>
      <c r="D62" s="214" t="s">
        <v>280</v>
      </c>
    </row>
    <row r="63" spans="1:12" x14ac:dyDescent="0.25">
      <c r="A63" s="184">
        <v>1</v>
      </c>
      <c r="B63" s="184" t="s">
        <v>281</v>
      </c>
      <c r="D63" s="217">
        <v>0.17699999999999999</v>
      </c>
    </row>
    <row r="64" spans="1:12" x14ac:dyDescent="0.25">
      <c r="A64" s="184">
        <v>2</v>
      </c>
      <c r="B64" s="184" t="s">
        <v>282</v>
      </c>
      <c r="D64" s="217">
        <v>0.1</v>
      </c>
    </row>
    <row r="65" spans="1:4" x14ac:dyDescent="0.25">
      <c r="A65" s="184">
        <v>2</v>
      </c>
      <c r="B65" s="184" t="s">
        <v>283</v>
      </c>
      <c r="D65" s="217">
        <v>0.1</v>
      </c>
    </row>
    <row r="66" spans="1:4" x14ac:dyDescent="0.25">
      <c r="A66" s="184">
        <v>3</v>
      </c>
      <c r="B66" s="184" t="s">
        <v>284</v>
      </c>
      <c r="D66" s="217">
        <v>6.5000000000000002E-2</v>
      </c>
    </row>
    <row r="67" spans="1:4" x14ac:dyDescent="0.25">
      <c r="A67" s="184">
        <v>4</v>
      </c>
      <c r="B67" s="184" t="s">
        <v>285</v>
      </c>
      <c r="D67" s="217">
        <v>5.3999999999999999E-2</v>
      </c>
    </row>
    <row r="70" spans="1:4" x14ac:dyDescent="0.25">
      <c r="A70" s="214" t="s">
        <v>286</v>
      </c>
      <c r="B70" s="214" t="s">
        <v>287</v>
      </c>
      <c r="C70" s="214" t="s">
        <v>288</v>
      </c>
    </row>
    <row r="71" spans="1:4" x14ac:dyDescent="0.25">
      <c r="A71" s="218" t="s">
        <v>289</v>
      </c>
      <c r="B71" s="184">
        <v>1</v>
      </c>
      <c r="C71" s="217">
        <v>0.19600000000000001</v>
      </c>
    </row>
    <row r="72" spans="1:4" x14ac:dyDescent="0.25">
      <c r="A72" s="218" t="s">
        <v>290</v>
      </c>
      <c r="B72" s="184">
        <v>2</v>
      </c>
      <c r="C72" s="217">
        <v>0.08</v>
      </c>
    </row>
    <row r="75" spans="1:4" x14ac:dyDescent="0.25">
      <c r="B75" s="778" t="s">
        <v>291</v>
      </c>
      <c r="C75" s="778"/>
      <c r="D75" s="778"/>
    </row>
    <row r="76" spans="1:4" x14ac:dyDescent="0.25">
      <c r="B76" s="184">
        <v>2019</v>
      </c>
      <c r="C76" s="184">
        <v>2014</v>
      </c>
      <c r="D76" s="184" t="s">
        <v>292</v>
      </c>
    </row>
    <row r="77" spans="1:4" x14ac:dyDescent="0.25">
      <c r="B77" s="178">
        <v>0.1</v>
      </c>
      <c r="C77" s="178" t="s">
        <v>15</v>
      </c>
      <c r="D77" s="184" t="s">
        <v>15</v>
      </c>
    </row>
    <row r="78" spans="1:4" x14ac:dyDescent="0.25">
      <c r="B78" s="184" t="s">
        <v>293</v>
      </c>
    </row>
    <row r="79" spans="1:4" x14ac:dyDescent="0.25">
      <c r="B79" s="778" t="s">
        <v>294</v>
      </c>
      <c r="C79" s="778"/>
      <c r="D79" s="778"/>
    </row>
    <row r="80" spans="1:4" x14ac:dyDescent="0.25">
      <c r="B80" s="184">
        <v>2019</v>
      </c>
      <c r="C80" s="184">
        <v>2014</v>
      </c>
      <c r="D80" s="184" t="s">
        <v>292</v>
      </c>
    </row>
    <row r="81" spans="1:4" x14ac:dyDescent="0.25">
      <c r="B81" s="178">
        <v>0.21</v>
      </c>
      <c r="C81" s="178" t="s">
        <v>5</v>
      </c>
      <c r="D81" s="184" t="s">
        <v>15</v>
      </c>
    </row>
    <row r="82" spans="1:4" x14ac:dyDescent="0.25">
      <c r="B82" s="184" t="s">
        <v>293</v>
      </c>
    </row>
    <row r="83" spans="1:4" x14ac:dyDescent="0.25">
      <c r="B83" s="778" t="s">
        <v>295</v>
      </c>
      <c r="C83" s="778"/>
      <c r="D83" s="778"/>
    </row>
    <row r="84" spans="1:4" x14ac:dyDescent="0.25">
      <c r="B84" s="184">
        <v>2019</v>
      </c>
      <c r="C84" s="184">
        <v>2014</v>
      </c>
      <c r="D84" s="184" t="s">
        <v>292</v>
      </c>
    </row>
    <row r="85" spans="1:4" x14ac:dyDescent="0.25">
      <c r="B85" s="178">
        <v>0.98</v>
      </c>
      <c r="C85" s="178" t="s">
        <v>5</v>
      </c>
      <c r="D85" s="184" t="s">
        <v>15</v>
      </c>
    </row>
    <row r="86" spans="1:4" x14ac:dyDescent="0.25">
      <c r="B86" s="184" t="s">
        <v>296</v>
      </c>
    </row>
    <row r="87" spans="1:4" x14ac:dyDescent="0.25">
      <c r="B87" s="184" t="s">
        <v>293</v>
      </c>
    </row>
    <row r="88" spans="1:4" x14ac:dyDescent="0.25">
      <c r="B88" s="778" t="s">
        <v>297</v>
      </c>
      <c r="C88" s="778"/>
      <c r="D88" s="778"/>
    </row>
    <row r="89" spans="1:4" x14ac:dyDescent="0.25">
      <c r="B89" s="184">
        <v>2019</v>
      </c>
      <c r="C89" s="184">
        <v>2014</v>
      </c>
      <c r="D89" s="184" t="s">
        <v>292</v>
      </c>
    </row>
    <row r="90" spans="1:4" x14ac:dyDescent="0.25">
      <c r="B90" s="178">
        <v>0.98</v>
      </c>
      <c r="C90" s="178" t="s">
        <v>5</v>
      </c>
      <c r="D90" s="184" t="s">
        <v>15</v>
      </c>
    </row>
    <row r="91" spans="1:4" x14ac:dyDescent="0.25">
      <c r="C91" s="219"/>
    </row>
    <row r="92" spans="1:4" x14ac:dyDescent="0.25">
      <c r="C92" s="219"/>
    </row>
    <row r="93" spans="1:4" x14ac:dyDescent="0.25">
      <c r="A93" s="214" t="s">
        <v>298</v>
      </c>
      <c r="B93" s="214" t="s">
        <v>299</v>
      </c>
      <c r="C93" s="219"/>
    </row>
    <row r="94" spans="1:4" x14ac:dyDescent="0.25">
      <c r="A94" s="184" t="s">
        <v>300</v>
      </c>
      <c r="B94" s="178">
        <v>4.5999999999999999E-2</v>
      </c>
      <c r="C94" s="219"/>
    </row>
    <row r="95" spans="1:4" x14ac:dyDescent="0.25">
      <c r="A95" s="184" t="s">
        <v>301</v>
      </c>
      <c r="B95" s="219">
        <v>0.123</v>
      </c>
      <c r="C95" s="219"/>
    </row>
    <row r="96" spans="1:4" x14ac:dyDescent="0.25">
      <c r="C96" s="219"/>
    </row>
    <row r="97" spans="3:3" x14ac:dyDescent="0.25">
      <c r="C97" s="219"/>
    </row>
    <row r="98" spans="3:3" x14ac:dyDescent="0.25">
      <c r="C98" s="219"/>
    </row>
    <row r="99" spans="3:3" x14ac:dyDescent="0.25">
      <c r="C99" s="219"/>
    </row>
  </sheetData>
  <mergeCells count="6">
    <mergeCell ref="B88:D88"/>
    <mergeCell ref="B1:E1"/>
    <mergeCell ref="A43:C43"/>
    <mergeCell ref="B75:D75"/>
    <mergeCell ref="B79:D79"/>
    <mergeCell ref="B83:D83"/>
  </mergeCells>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37CDA-EEC9-467E-BC17-3054FB87AE75}">
  <sheetPr>
    <tabColor theme="1" tint="0.34998626667073579"/>
  </sheetPr>
  <dimension ref="A1:Q102"/>
  <sheetViews>
    <sheetView zoomScale="110" zoomScaleNormal="110" workbookViewId="0">
      <selection activeCell="E2" sqref="E1:E1048576"/>
    </sheetView>
  </sheetViews>
  <sheetFormatPr defaultRowHeight="15" x14ac:dyDescent="0.25"/>
  <cols>
    <col min="1" max="1" width="57.42578125" style="184" bestFit="1" customWidth="1"/>
    <col min="2" max="2" width="17.28515625" style="184" customWidth="1"/>
    <col min="3" max="3" width="16" style="184" customWidth="1"/>
    <col min="4" max="4" width="16.28515625" style="184" customWidth="1"/>
    <col min="5" max="5" width="9.140625" style="184"/>
    <col min="6" max="6" width="8.42578125" style="184" bestFit="1" customWidth="1"/>
    <col min="7" max="7" width="13.42578125" style="184" customWidth="1"/>
    <col min="8" max="8" width="16.85546875" style="184" bestFit="1" customWidth="1"/>
    <col min="9" max="9" width="15.5703125" style="184" bestFit="1" customWidth="1"/>
    <col min="10" max="16384" width="9.140625" style="184"/>
  </cols>
  <sheetData>
    <row r="1" spans="1:17" x14ac:dyDescent="0.25">
      <c r="B1" s="780" t="s">
        <v>192</v>
      </c>
      <c r="C1" s="780"/>
      <c r="D1" s="780"/>
      <c r="E1" s="780"/>
    </row>
    <row r="2" spans="1:17" x14ac:dyDescent="0.25">
      <c r="B2" s="184" t="s">
        <v>193</v>
      </c>
      <c r="C2" s="184" t="s">
        <v>194</v>
      </c>
      <c r="D2" s="184" t="s">
        <v>195</v>
      </c>
      <c r="E2" s="184" t="s">
        <v>196</v>
      </c>
    </row>
    <row r="3" spans="1:17" x14ac:dyDescent="0.25">
      <c r="B3" s="178">
        <v>0.55000000000000004</v>
      </c>
      <c r="C3" s="178">
        <v>0.37</v>
      </c>
      <c r="D3" s="178">
        <v>7.0000000000000007E-2</v>
      </c>
      <c r="E3" s="178">
        <v>0.01</v>
      </c>
      <c r="M3" s="178"/>
      <c r="N3" s="178"/>
      <c r="O3" s="178"/>
      <c r="P3" s="178"/>
      <c r="Q3" s="178"/>
    </row>
    <row r="4" spans="1:17" x14ac:dyDescent="0.25">
      <c r="B4" s="178"/>
      <c r="C4" s="178"/>
      <c r="D4" s="178"/>
      <c r="E4" s="178"/>
      <c r="M4" s="178"/>
      <c r="N4" s="178"/>
      <c r="O4" s="178"/>
      <c r="P4" s="178"/>
      <c r="Q4" s="178"/>
    </row>
    <row r="5" spans="1:17" x14ac:dyDescent="0.25">
      <c r="B5" s="99"/>
      <c r="C5" s="99"/>
      <c r="D5" s="178"/>
      <c r="E5" s="178"/>
      <c r="F5" s="178"/>
      <c r="G5" s="178"/>
      <c r="H5" s="178"/>
      <c r="I5" s="178"/>
      <c r="J5" s="178"/>
      <c r="K5" s="178"/>
      <c r="L5" s="178"/>
    </row>
    <row r="6" spans="1:17" x14ac:dyDescent="0.25">
      <c r="B6" s="220" t="s">
        <v>197</v>
      </c>
      <c r="C6" s="220" t="s">
        <v>198</v>
      </c>
      <c r="D6" s="220" t="s">
        <v>199</v>
      </c>
      <c r="E6" s="178"/>
      <c r="F6" s="178"/>
      <c r="J6" s="178"/>
      <c r="K6" s="178"/>
      <c r="L6" s="178"/>
    </row>
    <row r="7" spans="1:17" x14ac:dyDescent="0.25">
      <c r="B7" s="99">
        <v>95000</v>
      </c>
      <c r="C7" s="99">
        <v>350</v>
      </c>
      <c r="D7" s="99">
        <v>50</v>
      </c>
      <c r="E7" s="178"/>
      <c r="F7" s="178"/>
      <c r="J7" s="178"/>
      <c r="K7" s="178"/>
      <c r="L7" s="178"/>
    </row>
    <row r="8" spans="1:17" x14ac:dyDescent="0.25">
      <c r="B8" s="99"/>
      <c r="C8" s="99"/>
      <c r="D8" s="99"/>
      <c r="E8" s="178"/>
      <c r="F8" s="178"/>
      <c r="J8" s="178"/>
      <c r="K8" s="178"/>
      <c r="L8" s="178"/>
    </row>
    <row r="9" spans="1:17" x14ac:dyDescent="0.25">
      <c r="A9" s="175" t="s">
        <v>200</v>
      </c>
      <c r="B9" s="99"/>
      <c r="C9" s="99"/>
      <c r="D9" s="99"/>
      <c r="E9" s="178"/>
      <c r="F9" s="178"/>
      <c r="J9" s="178"/>
      <c r="K9" s="178"/>
      <c r="L9" s="178"/>
    </row>
    <row r="10" spans="1:17" x14ac:dyDescent="0.25">
      <c r="A10" s="202" t="s">
        <v>201</v>
      </c>
      <c r="B10" s="203" t="s">
        <v>202</v>
      </c>
      <c r="C10" s="99"/>
      <c r="D10" s="99"/>
      <c r="E10" s="178"/>
      <c r="F10" s="178"/>
      <c r="H10" s="221" t="s">
        <v>203</v>
      </c>
      <c r="I10" s="222" t="s">
        <v>204</v>
      </c>
      <c r="J10" s="222" t="s">
        <v>205</v>
      </c>
      <c r="K10" s="222" t="s">
        <v>206</v>
      </c>
    </row>
    <row r="11" spans="1:17" x14ac:dyDescent="0.25">
      <c r="A11" s="207" t="s">
        <v>207</v>
      </c>
      <c r="B11" s="199">
        <v>0.53</v>
      </c>
      <c r="C11" s="99"/>
      <c r="D11" s="99"/>
      <c r="E11" s="178"/>
      <c r="F11" s="178"/>
      <c r="H11" s="183" t="s">
        <v>208</v>
      </c>
      <c r="I11" s="174"/>
      <c r="J11" s="174" t="s">
        <v>209</v>
      </c>
      <c r="K11" s="174"/>
    </row>
    <row r="12" spans="1:17" x14ac:dyDescent="0.25">
      <c r="A12" s="207" t="s">
        <v>210</v>
      </c>
      <c r="B12" s="199">
        <v>0.47</v>
      </c>
      <c r="C12" s="99"/>
      <c r="D12" s="99"/>
      <c r="E12" s="178"/>
      <c r="F12" s="178"/>
      <c r="H12" s="183" t="s">
        <v>211</v>
      </c>
      <c r="I12" s="174"/>
      <c r="J12" s="174" t="s">
        <v>209</v>
      </c>
      <c r="K12" s="174"/>
    </row>
    <row r="13" spans="1:17" x14ac:dyDescent="0.25">
      <c r="A13" s="207" t="s">
        <v>196</v>
      </c>
      <c r="B13" s="199">
        <v>0</v>
      </c>
      <c r="C13" s="99"/>
      <c r="D13" s="99"/>
      <c r="E13" s="178"/>
      <c r="F13" s="178"/>
      <c r="H13" s="183" t="s">
        <v>212</v>
      </c>
      <c r="I13" s="174"/>
      <c r="J13" s="174" t="s">
        <v>209</v>
      </c>
      <c r="K13" s="174"/>
    </row>
    <row r="14" spans="1:17" x14ac:dyDescent="0.25">
      <c r="A14" s="202" t="s">
        <v>213</v>
      </c>
      <c r="B14" s="209"/>
      <c r="C14" s="99"/>
      <c r="D14" s="99"/>
      <c r="E14" s="178"/>
      <c r="F14" s="178"/>
      <c r="G14" s="211"/>
      <c r="H14" s="183" t="s">
        <v>214</v>
      </c>
      <c r="I14" s="174"/>
      <c r="J14" s="174" t="s">
        <v>209</v>
      </c>
      <c r="K14" s="174"/>
    </row>
    <row r="15" spans="1:17" x14ac:dyDescent="0.25">
      <c r="A15" s="207" t="s">
        <v>215</v>
      </c>
      <c r="B15" s="210">
        <v>0</v>
      </c>
      <c r="C15" s="99"/>
      <c r="D15" s="99"/>
      <c r="E15" s="178"/>
      <c r="F15" s="178"/>
      <c r="H15" s="183" t="s">
        <v>216</v>
      </c>
      <c r="I15" s="174"/>
      <c r="J15" s="174" t="s">
        <v>209</v>
      </c>
      <c r="K15" s="174"/>
    </row>
    <row r="16" spans="1:17" x14ac:dyDescent="0.25">
      <c r="A16" s="207" t="s">
        <v>217</v>
      </c>
      <c r="B16" s="210">
        <v>5.4755999999999999E-2</v>
      </c>
      <c r="C16" s="99"/>
      <c r="D16" s="99"/>
      <c r="E16" s="178"/>
      <c r="F16" s="178"/>
      <c r="H16" s="183" t="s">
        <v>218</v>
      </c>
      <c r="I16" s="174"/>
      <c r="J16" s="174" t="s">
        <v>209</v>
      </c>
      <c r="K16" s="174"/>
    </row>
    <row r="17" spans="1:11" x14ac:dyDescent="0.25">
      <c r="A17" s="207" t="s">
        <v>219</v>
      </c>
      <c r="B17" s="210">
        <v>6.0879999999999997E-2</v>
      </c>
      <c r="C17" s="99"/>
      <c r="D17" s="99"/>
      <c r="E17" s="178"/>
      <c r="F17" s="178"/>
      <c r="H17" s="183" t="s">
        <v>220</v>
      </c>
      <c r="I17" s="174"/>
      <c r="J17" s="174" t="s">
        <v>209</v>
      </c>
      <c r="K17" s="174"/>
    </row>
    <row r="18" spans="1:11" x14ac:dyDescent="0.25">
      <c r="A18" s="207" t="s">
        <v>221</v>
      </c>
      <c r="B18" s="210">
        <v>6.5329999999999999E-2</v>
      </c>
      <c r="C18" s="99"/>
      <c r="D18" s="99"/>
      <c r="E18" s="178"/>
      <c r="F18" s="178"/>
      <c r="H18" s="183" t="s">
        <v>222</v>
      </c>
      <c r="I18" s="174"/>
      <c r="J18" s="174" t="s">
        <v>209</v>
      </c>
      <c r="K18" s="174"/>
    </row>
    <row r="19" spans="1:11" x14ac:dyDescent="0.25">
      <c r="A19" s="207" t="s">
        <v>223</v>
      </c>
      <c r="B19" s="210">
        <v>3.8260000000000002E-2</v>
      </c>
      <c r="C19" s="99"/>
      <c r="D19" s="99"/>
      <c r="E19" s="178"/>
      <c r="F19" s="178"/>
      <c r="H19" s="183" t="s">
        <v>224</v>
      </c>
      <c r="I19" s="174"/>
      <c r="J19" s="174" t="s">
        <v>209</v>
      </c>
      <c r="K19" s="174"/>
    </row>
    <row r="20" spans="1:11" x14ac:dyDescent="0.25">
      <c r="A20" s="207" t="s">
        <v>225</v>
      </c>
      <c r="B20" s="210">
        <v>6.6665000000000002E-2</v>
      </c>
      <c r="C20" s="99"/>
      <c r="D20" s="99"/>
      <c r="E20" s="178"/>
      <c r="F20" s="178"/>
      <c r="H20" s="221" t="s">
        <v>226</v>
      </c>
      <c r="I20" s="222" t="s">
        <v>204</v>
      </c>
      <c r="J20" s="222" t="s">
        <v>205</v>
      </c>
      <c r="K20" s="222" t="s">
        <v>206</v>
      </c>
    </row>
    <row r="21" spans="1:11" x14ac:dyDescent="0.25">
      <c r="A21" s="207" t="s">
        <v>227</v>
      </c>
      <c r="B21" s="210">
        <v>0.11854000000000001</v>
      </c>
      <c r="C21" s="99"/>
      <c r="D21" s="99"/>
      <c r="E21" s="178"/>
      <c r="F21" s="178"/>
      <c r="H21" s="183" t="s">
        <v>210</v>
      </c>
      <c r="I21" s="174"/>
      <c r="J21" s="174" t="s">
        <v>209</v>
      </c>
      <c r="K21" s="174"/>
    </row>
    <row r="22" spans="1:11" x14ac:dyDescent="0.25">
      <c r="A22" s="207" t="s">
        <v>228</v>
      </c>
      <c r="B22" s="210">
        <v>0.32946999999999999</v>
      </c>
      <c r="C22" s="99"/>
      <c r="D22" s="99"/>
      <c r="E22" s="178"/>
      <c r="F22" s="178"/>
      <c r="H22" s="183" t="s">
        <v>207</v>
      </c>
      <c r="I22" s="174"/>
      <c r="J22" s="174" t="s">
        <v>209</v>
      </c>
      <c r="K22" s="174"/>
    </row>
    <row r="23" spans="1:11" x14ac:dyDescent="0.25">
      <c r="A23" s="207" t="s">
        <v>229</v>
      </c>
      <c r="B23" s="210">
        <v>0.242176005</v>
      </c>
      <c r="C23" s="99"/>
      <c r="D23" s="99"/>
      <c r="E23" s="178"/>
      <c r="F23" s="178"/>
      <c r="H23" s="221" t="s">
        <v>230</v>
      </c>
      <c r="I23" s="222" t="s">
        <v>204</v>
      </c>
      <c r="J23" s="222" t="s">
        <v>205</v>
      </c>
      <c r="K23" s="222" t="s">
        <v>206</v>
      </c>
    </row>
    <row r="24" spans="1:11" x14ac:dyDescent="0.25">
      <c r="A24" s="207" t="s">
        <v>231</v>
      </c>
      <c r="B24" s="210">
        <v>2.4160000000000001E-2</v>
      </c>
      <c r="C24" s="99"/>
      <c r="D24" s="99"/>
      <c r="E24" s="178"/>
      <c r="F24" s="178"/>
      <c r="H24" s="183" t="s">
        <v>232</v>
      </c>
      <c r="I24" s="174"/>
      <c r="J24" s="174" t="s">
        <v>209</v>
      </c>
      <c r="K24" s="174"/>
    </row>
    <row r="25" spans="1:11" x14ac:dyDescent="0.25">
      <c r="A25" s="212" t="s">
        <v>233</v>
      </c>
      <c r="B25" s="213"/>
      <c r="C25" s="99"/>
      <c r="D25" s="99"/>
      <c r="E25" s="178"/>
      <c r="F25" s="178"/>
      <c r="H25" s="183" t="s">
        <v>234</v>
      </c>
      <c r="I25" s="174"/>
      <c r="J25" s="174" t="s">
        <v>209</v>
      </c>
      <c r="K25" s="174"/>
    </row>
    <row r="26" spans="1:11" x14ac:dyDescent="0.25">
      <c r="A26" s="207" t="s">
        <v>236</v>
      </c>
      <c r="B26" s="210">
        <v>1.6889999999999999E-2</v>
      </c>
      <c r="C26" s="99"/>
      <c r="D26" s="99"/>
      <c r="E26" s="178"/>
      <c r="F26" s="178"/>
      <c r="H26" s="183" t="s">
        <v>237</v>
      </c>
      <c r="I26" s="174"/>
      <c r="J26" s="174"/>
      <c r="K26" s="174"/>
    </row>
    <row r="27" spans="1:11" x14ac:dyDescent="0.25">
      <c r="A27" s="207" t="s">
        <v>238</v>
      </c>
      <c r="B27" s="210">
        <v>0</v>
      </c>
      <c r="C27" s="99"/>
      <c r="D27" s="99"/>
      <c r="E27" s="178"/>
      <c r="F27" s="178"/>
      <c r="H27" s="183" t="s">
        <v>239</v>
      </c>
      <c r="I27" s="174"/>
      <c r="J27" s="174" t="s">
        <v>209</v>
      </c>
      <c r="K27" s="174"/>
    </row>
    <row r="28" spans="1:11" x14ac:dyDescent="0.25">
      <c r="A28" s="207" t="s">
        <v>239</v>
      </c>
      <c r="B28" s="210">
        <v>0</v>
      </c>
      <c r="C28" s="99"/>
      <c r="D28" s="99"/>
      <c r="E28" s="178"/>
      <c r="F28" s="178"/>
      <c r="H28" s="183" t="s">
        <v>196</v>
      </c>
      <c r="I28" s="174"/>
      <c r="J28" s="174" t="s">
        <v>209</v>
      </c>
      <c r="K28" s="174"/>
    </row>
    <row r="29" spans="1:11" x14ac:dyDescent="0.25">
      <c r="A29" s="207" t="s">
        <v>240</v>
      </c>
      <c r="B29" s="210">
        <v>0</v>
      </c>
      <c r="C29" s="99"/>
      <c r="D29" s="99"/>
      <c r="E29" s="178"/>
      <c r="F29" s="178"/>
      <c r="H29" s="221" t="s">
        <v>241</v>
      </c>
      <c r="I29" s="222" t="s">
        <v>204</v>
      </c>
      <c r="J29" s="222" t="s">
        <v>205</v>
      </c>
      <c r="K29" s="222" t="s">
        <v>206</v>
      </c>
    </row>
    <row r="30" spans="1:11" x14ac:dyDescent="0.25">
      <c r="A30" s="207" t="s">
        <v>232</v>
      </c>
      <c r="B30" s="210">
        <v>0.98309999999999997</v>
      </c>
      <c r="C30" s="99"/>
      <c r="D30" s="99"/>
      <c r="E30" s="178"/>
      <c r="F30" s="178"/>
      <c r="H30" s="183" t="s">
        <v>242</v>
      </c>
      <c r="I30" s="174"/>
      <c r="J30" s="174" t="s">
        <v>209</v>
      </c>
      <c r="K30" s="174"/>
    </row>
    <row r="31" spans="1:11" x14ac:dyDescent="0.25">
      <c r="A31" s="207" t="s">
        <v>244</v>
      </c>
      <c r="B31" s="210">
        <v>0</v>
      </c>
      <c r="C31" s="99"/>
      <c r="D31" s="99"/>
      <c r="E31" s="178"/>
      <c r="F31" s="178"/>
      <c r="H31" s="183" t="s">
        <v>245</v>
      </c>
      <c r="I31" s="174"/>
      <c r="J31" s="174" t="s">
        <v>209</v>
      </c>
      <c r="K31" s="174"/>
    </row>
    <row r="32" spans="1:11" x14ac:dyDescent="0.25">
      <c r="A32" s="207" t="s">
        <v>246</v>
      </c>
      <c r="B32" s="210">
        <v>0</v>
      </c>
      <c r="C32" s="99"/>
      <c r="D32" s="99"/>
      <c r="E32" s="178"/>
      <c r="F32" s="178"/>
      <c r="H32" s="221" t="s">
        <v>247</v>
      </c>
      <c r="I32" s="222" t="s">
        <v>204</v>
      </c>
      <c r="J32" s="222" t="s">
        <v>205</v>
      </c>
      <c r="K32" s="222" t="s">
        <v>206</v>
      </c>
    </row>
    <row r="33" spans="1:13" x14ac:dyDescent="0.25">
      <c r="A33" s="212" t="s">
        <v>248</v>
      </c>
      <c r="B33" s="213"/>
      <c r="C33" s="99"/>
      <c r="D33" s="99"/>
      <c r="E33" s="178"/>
      <c r="F33" s="178"/>
      <c r="H33" s="183" t="s">
        <v>249</v>
      </c>
      <c r="I33" s="174" t="s">
        <v>209</v>
      </c>
      <c r="J33" s="174"/>
      <c r="K33" s="174"/>
      <c r="M33" s="184" t="s">
        <v>302</v>
      </c>
    </row>
    <row r="34" spans="1:13" x14ac:dyDescent="0.25">
      <c r="A34" s="207" t="s">
        <v>242</v>
      </c>
      <c r="B34" s="210">
        <v>1</v>
      </c>
      <c r="C34" s="99"/>
      <c r="D34" s="99"/>
      <c r="E34" s="178"/>
      <c r="F34" s="178"/>
      <c r="H34" s="183" t="s">
        <v>251</v>
      </c>
      <c r="I34" s="174"/>
      <c r="J34" s="174" t="s">
        <v>209</v>
      </c>
      <c r="K34" s="174"/>
    </row>
    <row r="35" spans="1:13" x14ac:dyDescent="0.25">
      <c r="A35" s="207" t="s">
        <v>245</v>
      </c>
      <c r="B35" s="210">
        <v>0</v>
      </c>
      <c r="C35" s="99"/>
      <c r="D35" s="99"/>
      <c r="E35" s="178"/>
      <c r="F35" s="178"/>
      <c r="H35" s="183" t="s">
        <v>252</v>
      </c>
      <c r="I35" s="174"/>
      <c r="J35" s="174" t="s">
        <v>209</v>
      </c>
      <c r="K35" s="174"/>
    </row>
    <row r="36" spans="1:13" x14ac:dyDescent="0.25">
      <c r="A36" s="212" t="s">
        <v>253</v>
      </c>
      <c r="B36" s="213"/>
      <c r="C36" s="99"/>
      <c r="D36" s="99"/>
      <c r="E36" s="178"/>
      <c r="F36" s="178"/>
      <c r="H36" s="211"/>
      <c r="I36" s="211"/>
      <c r="J36" s="211"/>
      <c r="K36" s="211"/>
      <c r="L36" s="211"/>
      <c r="M36" s="211"/>
    </row>
    <row r="37" spans="1:13" x14ac:dyDescent="0.25">
      <c r="A37" s="207" t="s">
        <v>254</v>
      </c>
      <c r="B37" s="210">
        <v>6.5107899999999996E-2</v>
      </c>
      <c r="C37" s="99"/>
      <c r="D37" s="99"/>
      <c r="E37" s="178"/>
      <c r="F37" s="178"/>
      <c r="J37" s="178"/>
      <c r="K37" s="178"/>
      <c r="L37" s="178"/>
    </row>
    <row r="38" spans="1:13" x14ac:dyDescent="0.25">
      <c r="A38" s="207" t="s">
        <v>255</v>
      </c>
      <c r="B38" s="210">
        <v>2.48969E-2</v>
      </c>
      <c r="C38" s="99"/>
      <c r="D38" s="99"/>
      <c r="E38" s="178"/>
      <c r="F38" s="178"/>
      <c r="J38" s="178"/>
      <c r="K38" s="178"/>
      <c r="L38" s="178"/>
    </row>
    <row r="39" spans="1:13" x14ac:dyDescent="0.25">
      <c r="A39" s="207" t="s">
        <v>256</v>
      </c>
      <c r="B39" s="210">
        <v>7.6630900000000002E-2</v>
      </c>
      <c r="C39" s="99"/>
      <c r="D39" s="99"/>
      <c r="E39" s="178"/>
      <c r="F39" s="178"/>
      <c r="J39" s="178"/>
      <c r="K39" s="178"/>
      <c r="L39" s="178"/>
    </row>
    <row r="40" spans="1:13" x14ac:dyDescent="0.25">
      <c r="A40" s="207" t="s">
        <v>257</v>
      </c>
      <c r="B40" s="210">
        <v>0.16143245000000001</v>
      </c>
      <c r="C40" s="99"/>
      <c r="D40" s="99"/>
      <c r="E40" s="178"/>
      <c r="F40" s="178"/>
      <c r="J40" s="178"/>
      <c r="K40" s="178"/>
      <c r="L40" s="178"/>
    </row>
    <row r="41" spans="1:13" x14ac:dyDescent="0.25">
      <c r="A41" s="207" t="s">
        <v>258</v>
      </c>
      <c r="B41" s="210">
        <v>0.25250097999999999</v>
      </c>
      <c r="C41" s="99"/>
      <c r="D41" s="99"/>
      <c r="E41" s="178"/>
      <c r="F41" s="178"/>
      <c r="J41" s="178"/>
      <c r="K41" s="178"/>
      <c r="L41" s="178"/>
    </row>
    <row r="42" spans="1:13" x14ac:dyDescent="0.25">
      <c r="A42" s="207" t="s">
        <v>259</v>
      </c>
      <c r="B42" s="210">
        <v>0.41923972999999998</v>
      </c>
      <c r="C42" s="99"/>
      <c r="D42" s="99"/>
      <c r="E42" s="178"/>
      <c r="F42" s="178"/>
      <c r="J42" s="178"/>
      <c r="K42" s="178"/>
      <c r="L42" s="178"/>
    </row>
    <row r="43" spans="1:13" x14ac:dyDescent="0.25">
      <c r="A43" s="175"/>
      <c r="B43" s="99"/>
      <c r="C43" s="99"/>
      <c r="D43" s="99"/>
      <c r="E43" s="178"/>
      <c r="F43" s="178"/>
      <c r="J43" s="178"/>
      <c r="K43" s="178"/>
      <c r="L43" s="178"/>
    </row>
    <row r="44" spans="1:13" x14ac:dyDescent="0.25">
      <c r="B44" s="99"/>
      <c r="C44" s="99"/>
      <c r="D44" s="178"/>
      <c r="E44" s="178"/>
      <c r="F44" s="178"/>
      <c r="G44" s="178"/>
      <c r="H44" s="178"/>
      <c r="I44" s="178"/>
      <c r="J44" s="178"/>
      <c r="K44" s="178"/>
      <c r="L44" s="178"/>
    </row>
    <row r="45" spans="1:13" x14ac:dyDescent="0.25">
      <c r="A45" s="780" t="s">
        <v>260</v>
      </c>
      <c r="B45" s="780"/>
      <c r="C45" s="780"/>
      <c r="D45" s="178"/>
      <c r="E45" s="178"/>
      <c r="F45" s="178"/>
      <c r="G45" s="99"/>
      <c r="H45" s="99"/>
      <c r="I45" s="99"/>
      <c r="J45" s="178"/>
      <c r="K45" s="178"/>
      <c r="L45" s="178"/>
    </row>
    <row r="46" spans="1:13" x14ac:dyDescent="0.25">
      <c r="B46" s="99" t="s">
        <v>261</v>
      </c>
      <c r="C46" s="178">
        <v>0.98399999999999999</v>
      </c>
      <c r="D46" s="178"/>
      <c r="E46" s="178"/>
      <c r="F46" s="178"/>
      <c r="G46" s="178"/>
      <c r="H46" s="178"/>
      <c r="I46" s="178"/>
      <c r="J46" s="178"/>
      <c r="K46" s="178"/>
      <c r="L46" s="178"/>
    </row>
    <row r="47" spans="1:13" x14ac:dyDescent="0.25">
      <c r="B47" s="99" t="s">
        <v>262</v>
      </c>
      <c r="C47" s="178">
        <v>2.5999999999999999E-2</v>
      </c>
      <c r="D47" s="178"/>
      <c r="E47" s="178"/>
      <c r="F47" s="178"/>
      <c r="G47" s="178"/>
      <c r="H47" s="178"/>
      <c r="I47" s="178"/>
      <c r="J47" s="178"/>
      <c r="K47" s="178"/>
      <c r="L47" s="178"/>
    </row>
    <row r="48" spans="1:13" x14ac:dyDescent="0.25">
      <c r="B48" s="99" t="s">
        <v>263</v>
      </c>
      <c r="C48" s="178">
        <v>5.8000000000000003E-2</v>
      </c>
      <c r="D48" s="178"/>
      <c r="E48" s="178"/>
      <c r="F48" s="178"/>
      <c r="G48" s="178"/>
      <c r="H48" s="178"/>
      <c r="I48" s="178"/>
      <c r="J48" s="178"/>
      <c r="K48" s="178"/>
      <c r="L48" s="178"/>
    </row>
    <row r="49" spans="1:12" x14ac:dyDescent="0.25">
      <c r="B49" s="99" t="s">
        <v>264</v>
      </c>
      <c r="C49" s="178">
        <v>4.2000000000000003E-2</v>
      </c>
      <c r="D49" s="178"/>
      <c r="E49" s="178"/>
      <c r="F49" s="178"/>
      <c r="G49" s="178"/>
      <c r="H49" s="178"/>
      <c r="I49" s="178"/>
      <c r="J49" s="178"/>
      <c r="K49" s="178"/>
      <c r="L49" s="178"/>
    </row>
    <row r="50" spans="1:12" x14ac:dyDescent="0.25">
      <c r="B50" s="99" t="s">
        <v>265</v>
      </c>
      <c r="C50" s="178">
        <v>0.1</v>
      </c>
      <c r="D50" s="178"/>
      <c r="E50" s="178"/>
      <c r="F50" s="178"/>
      <c r="G50" s="178"/>
      <c r="H50" s="178"/>
      <c r="I50" s="178"/>
      <c r="J50" s="178"/>
      <c r="K50" s="178"/>
      <c r="L50" s="178"/>
    </row>
    <row r="51" spans="1:12" x14ac:dyDescent="0.25">
      <c r="B51" s="99"/>
      <c r="C51" s="99"/>
      <c r="D51" s="178"/>
      <c r="E51" s="178"/>
      <c r="F51" s="178"/>
      <c r="G51" s="178"/>
      <c r="H51" s="178"/>
      <c r="I51" s="178"/>
      <c r="J51" s="178"/>
      <c r="K51" s="178"/>
      <c r="L51" s="178"/>
    </row>
    <row r="53" spans="1:12" x14ac:dyDescent="0.25">
      <c r="A53" s="175" t="s">
        <v>266</v>
      </c>
      <c r="B53" s="175">
        <v>2014</v>
      </c>
      <c r="C53" s="175">
        <v>2019</v>
      </c>
      <c r="D53" s="175" t="s">
        <v>267</v>
      </c>
      <c r="E53" s="175" t="s">
        <v>268</v>
      </c>
    </row>
    <row r="54" spans="1:12" x14ac:dyDescent="0.25">
      <c r="A54" s="184" t="s">
        <v>269</v>
      </c>
      <c r="B54" s="183" t="s">
        <v>270</v>
      </c>
      <c r="C54" s="184" t="s">
        <v>273</v>
      </c>
      <c r="D54" s="184" t="s">
        <v>26</v>
      </c>
      <c r="E54" s="184" t="s">
        <v>303</v>
      </c>
    </row>
    <row r="55" spans="1:12" x14ac:dyDescent="0.25">
      <c r="A55" s="184" t="s">
        <v>271</v>
      </c>
      <c r="B55" s="183" t="s">
        <v>270</v>
      </c>
      <c r="C55" s="184" t="s">
        <v>273</v>
      </c>
      <c r="D55" s="184" t="s">
        <v>270</v>
      </c>
      <c r="E55" s="184" t="s">
        <v>303</v>
      </c>
    </row>
    <row r="56" spans="1:12" x14ac:dyDescent="0.25">
      <c r="A56" s="184" t="s">
        <v>272</v>
      </c>
      <c r="B56" s="183" t="s">
        <v>273</v>
      </c>
      <c r="C56" s="184" t="s">
        <v>273</v>
      </c>
      <c r="D56" s="184" t="s">
        <v>273</v>
      </c>
    </row>
    <row r="57" spans="1:12" x14ac:dyDescent="0.25">
      <c r="A57" s="184" t="s">
        <v>274</v>
      </c>
      <c r="B57" s="183" t="s">
        <v>270</v>
      </c>
      <c r="C57" s="184" t="s">
        <v>273</v>
      </c>
      <c r="D57" s="184" t="s">
        <v>26</v>
      </c>
      <c r="E57" s="184">
        <v>2</v>
      </c>
    </row>
    <row r="58" spans="1:12" x14ac:dyDescent="0.25">
      <c r="A58" s="184" t="s">
        <v>275</v>
      </c>
      <c r="B58" s="183" t="s">
        <v>5</v>
      </c>
      <c r="C58" s="184" t="s">
        <v>273</v>
      </c>
      <c r="D58" s="184" t="s">
        <v>273</v>
      </c>
    </row>
    <row r="60" spans="1:12" x14ac:dyDescent="0.25">
      <c r="A60" s="184">
        <v>1</v>
      </c>
      <c r="B60" s="184" t="s">
        <v>276</v>
      </c>
    </row>
    <row r="61" spans="1:12" x14ac:dyDescent="0.25">
      <c r="A61" s="184">
        <v>2</v>
      </c>
      <c r="B61" s="184" t="s">
        <v>277</v>
      </c>
    </row>
    <row r="62" spans="1:12" x14ac:dyDescent="0.25">
      <c r="A62" s="9" t="s">
        <v>5</v>
      </c>
      <c r="B62" s="184" t="s">
        <v>304</v>
      </c>
    </row>
    <row r="64" spans="1:12" x14ac:dyDescent="0.25">
      <c r="A64" s="214" t="s">
        <v>305</v>
      </c>
    </row>
    <row r="65" spans="1:3" x14ac:dyDescent="0.25">
      <c r="A65" s="175"/>
      <c r="B65" s="184" t="s">
        <v>306</v>
      </c>
    </row>
    <row r="66" spans="1:3" x14ac:dyDescent="0.25">
      <c r="B66" s="184" t="s">
        <v>307</v>
      </c>
    </row>
    <row r="67" spans="1:3" x14ac:dyDescent="0.25">
      <c r="B67" s="184" t="s">
        <v>308</v>
      </c>
    </row>
    <row r="68" spans="1:3" x14ac:dyDescent="0.25">
      <c r="B68" s="184" t="s">
        <v>309</v>
      </c>
    </row>
    <row r="69" spans="1:3" x14ac:dyDescent="0.25">
      <c r="B69" s="184" t="s">
        <v>310</v>
      </c>
    </row>
    <row r="72" spans="1:3" x14ac:dyDescent="0.25">
      <c r="A72" s="216" t="s">
        <v>286</v>
      </c>
      <c r="B72" s="216" t="s">
        <v>287</v>
      </c>
      <c r="C72" s="216" t="s">
        <v>280</v>
      </c>
    </row>
    <row r="73" spans="1:3" x14ac:dyDescent="0.25">
      <c r="A73" s="218" t="s">
        <v>311</v>
      </c>
      <c r="B73" s="184">
        <v>1</v>
      </c>
      <c r="C73" s="219">
        <v>0.16400000000000001</v>
      </c>
    </row>
    <row r="74" spans="1:3" x14ac:dyDescent="0.25">
      <c r="A74" s="218" t="s">
        <v>312</v>
      </c>
      <c r="B74" s="184">
        <v>2</v>
      </c>
      <c r="C74" s="219">
        <v>9.2999999999999999E-2</v>
      </c>
    </row>
    <row r="75" spans="1:3" x14ac:dyDescent="0.25">
      <c r="A75" s="218" t="s">
        <v>313</v>
      </c>
      <c r="C75" s="219"/>
    </row>
    <row r="76" spans="1:3" x14ac:dyDescent="0.25">
      <c r="A76" s="218" t="s">
        <v>314</v>
      </c>
      <c r="C76" s="219"/>
    </row>
    <row r="77" spans="1:3" x14ac:dyDescent="0.25">
      <c r="A77" s="218" t="s">
        <v>315</v>
      </c>
      <c r="C77" s="219"/>
    </row>
    <row r="78" spans="1:3" x14ac:dyDescent="0.25">
      <c r="A78" s="218" t="s">
        <v>316</v>
      </c>
      <c r="C78" s="219"/>
    </row>
    <row r="79" spans="1:3" x14ac:dyDescent="0.25">
      <c r="A79" s="218"/>
      <c r="C79" s="219"/>
    </row>
    <row r="80" spans="1:3" x14ac:dyDescent="0.25">
      <c r="A80" s="218"/>
      <c r="C80" s="219"/>
    </row>
    <row r="81" spans="1:4" x14ac:dyDescent="0.25">
      <c r="A81" s="218"/>
    </row>
    <row r="83" spans="1:4" x14ac:dyDescent="0.25">
      <c r="B83" s="780" t="s">
        <v>291</v>
      </c>
      <c r="C83" s="780"/>
      <c r="D83" s="780"/>
    </row>
    <row r="84" spans="1:4" x14ac:dyDescent="0.25">
      <c r="B84" s="184">
        <v>2019</v>
      </c>
      <c r="C84" s="184">
        <v>2014</v>
      </c>
      <c r="D84" s="184" t="s">
        <v>292</v>
      </c>
    </row>
    <row r="85" spans="1:4" x14ac:dyDescent="0.25">
      <c r="B85" s="178">
        <v>0.1</v>
      </c>
      <c r="C85" s="178">
        <v>0.06</v>
      </c>
      <c r="D85" s="184" t="s">
        <v>317</v>
      </c>
    </row>
    <row r="87" spans="1:4" x14ac:dyDescent="0.25">
      <c r="B87" s="780" t="s">
        <v>294</v>
      </c>
      <c r="C87" s="780"/>
      <c r="D87" s="780"/>
    </row>
    <row r="88" spans="1:4" x14ac:dyDescent="0.25">
      <c r="B88" s="184">
        <v>2019</v>
      </c>
      <c r="C88" s="184">
        <v>2014</v>
      </c>
      <c r="D88" s="184" t="s">
        <v>292</v>
      </c>
    </row>
    <row r="89" spans="1:4" x14ac:dyDescent="0.25">
      <c r="B89" s="178">
        <v>0.33</v>
      </c>
      <c r="C89" s="178">
        <v>0.18</v>
      </c>
      <c r="D89" s="184" t="s">
        <v>317</v>
      </c>
    </row>
    <row r="91" spans="1:4" x14ac:dyDescent="0.25">
      <c r="B91" s="780" t="s">
        <v>295</v>
      </c>
      <c r="C91" s="780"/>
      <c r="D91" s="780"/>
    </row>
    <row r="92" spans="1:4" x14ac:dyDescent="0.25">
      <c r="B92" s="184">
        <v>2019</v>
      </c>
      <c r="C92" s="184">
        <v>2014</v>
      </c>
      <c r="D92" s="184" t="s">
        <v>292</v>
      </c>
    </row>
    <row r="93" spans="1:4" x14ac:dyDescent="0.25">
      <c r="B93" s="178">
        <v>1</v>
      </c>
      <c r="C93" s="178">
        <v>0.98</v>
      </c>
      <c r="D93" s="184" t="s">
        <v>317</v>
      </c>
    </row>
    <row r="94" spans="1:4" x14ac:dyDescent="0.25">
      <c r="B94" s="184" t="s">
        <v>296</v>
      </c>
    </row>
    <row r="96" spans="1:4" x14ac:dyDescent="0.25">
      <c r="B96" s="780" t="s">
        <v>297</v>
      </c>
      <c r="C96" s="780"/>
      <c r="D96" s="780"/>
    </row>
    <row r="97" spans="1:4" x14ac:dyDescent="0.25">
      <c r="B97" s="184">
        <v>2019</v>
      </c>
      <c r="C97" s="184">
        <v>2014</v>
      </c>
      <c r="D97" s="184" t="s">
        <v>292</v>
      </c>
    </row>
    <row r="98" spans="1:4" x14ac:dyDescent="0.25">
      <c r="B98" s="178">
        <v>0.94</v>
      </c>
      <c r="C98" s="178">
        <v>1</v>
      </c>
      <c r="D98" s="184" t="s">
        <v>318</v>
      </c>
    </row>
    <row r="100" spans="1:4" x14ac:dyDescent="0.25">
      <c r="A100" s="214" t="s">
        <v>298</v>
      </c>
      <c r="B100" s="214" t="s">
        <v>299</v>
      </c>
      <c r="C100" s="219"/>
    </row>
    <row r="101" spans="1:4" x14ac:dyDescent="0.25">
      <c r="A101" s="184" t="s">
        <v>300</v>
      </c>
      <c r="B101" s="178">
        <v>0.11</v>
      </c>
    </row>
    <row r="102" spans="1:4" x14ac:dyDescent="0.25">
      <c r="A102" s="184" t="s">
        <v>301</v>
      </c>
      <c r="B102" s="219">
        <v>0.14599999999999999</v>
      </c>
    </row>
  </sheetData>
  <mergeCells count="6">
    <mergeCell ref="B96:D96"/>
    <mergeCell ref="B1:E1"/>
    <mergeCell ref="A45:C45"/>
    <mergeCell ref="B83:D83"/>
    <mergeCell ref="B87:D87"/>
    <mergeCell ref="B91:D9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526F-94B7-43BD-81EF-6E2B28946A51}">
  <sheetPr>
    <tabColor theme="1" tint="0.34998626667073579"/>
  </sheetPr>
  <dimension ref="A1:Q110"/>
  <sheetViews>
    <sheetView zoomScale="110" zoomScaleNormal="110" workbookViewId="0">
      <selection activeCell="E19" sqref="E19"/>
    </sheetView>
  </sheetViews>
  <sheetFormatPr defaultRowHeight="15" x14ac:dyDescent="0.25"/>
  <cols>
    <col min="1" max="1" width="41.5703125" style="184" customWidth="1"/>
    <col min="2" max="2" width="17" style="184" customWidth="1"/>
    <col min="3" max="3" width="19.7109375" style="184" customWidth="1"/>
    <col min="4" max="4" width="15.85546875" style="184" customWidth="1"/>
    <col min="5" max="6" width="9.140625" style="184"/>
    <col min="7" max="7" width="13.5703125" style="184" customWidth="1"/>
    <col min="8" max="8" width="17.140625" style="184" customWidth="1"/>
    <col min="9" max="9" width="16.28515625" style="184" customWidth="1"/>
    <col min="10" max="16384" width="9.140625" style="184"/>
  </cols>
  <sheetData>
    <row r="1" spans="1:12" x14ac:dyDescent="0.25">
      <c r="A1" s="184" t="s">
        <v>319</v>
      </c>
      <c r="B1" s="779" t="s">
        <v>192</v>
      </c>
      <c r="C1" s="779"/>
      <c r="D1" s="779"/>
      <c r="E1" s="779"/>
    </row>
    <row r="2" spans="1:12" x14ac:dyDescent="0.25">
      <c r="B2" s="184" t="s">
        <v>193</v>
      </c>
      <c r="C2" s="184" t="s">
        <v>194</v>
      </c>
      <c r="D2" s="184" t="s">
        <v>195</v>
      </c>
      <c r="E2" s="184" t="s">
        <v>196</v>
      </c>
    </row>
    <row r="3" spans="1:12" x14ac:dyDescent="0.25">
      <c r="B3" s="330">
        <v>0.51</v>
      </c>
      <c r="C3" s="330">
        <v>0.38</v>
      </c>
      <c r="D3" s="330">
        <v>0.09</v>
      </c>
      <c r="E3" s="178">
        <v>0.02</v>
      </c>
      <c r="F3" s="178"/>
      <c r="G3" s="178"/>
      <c r="H3" s="178"/>
    </row>
    <row r="4" spans="1:12" x14ac:dyDescent="0.25">
      <c r="B4" s="99"/>
      <c r="C4" s="99"/>
      <c r="D4" s="178"/>
      <c r="E4" s="178"/>
      <c r="F4" s="178"/>
      <c r="G4" s="178"/>
      <c r="H4" s="178"/>
      <c r="I4" s="178"/>
      <c r="J4" s="178"/>
      <c r="K4" s="178"/>
      <c r="L4" s="178"/>
    </row>
    <row r="5" spans="1:12" x14ac:dyDescent="0.25">
      <c r="B5" s="178" t="s">
        <v>197</v>
      </c>
      <c r="C5" s="178" t="s">
        <v>198</v>
      </c>
      <c r="D5" s="178" t="s">
        <v>199</v>
      </c>
      <c r="E5" s="178"/>
      <c r="F5" s="178"/>
      <c r="J5" s="178"/>
      <c r="K5" s="178"/>
      <c r="L5" s="178"/>
    </row>
    <row r="6" spans="1:12" x14ac:dyDescent="0.25">
      <c r="B6" s="331">
        <v>665300</v>
      </c>
      <c r="C6" s="99">
        <v>2600</v>
      </c>
      <c r="D6" s="99">
        <v>800</v>
      </c>
      <c r="E6" s="178"/>
      <c r="F6" s="178"/>
      <c r="J6" s="178"/>
      <c r="K6" s="178"/>
      <c r="L6" s="178"/>
    </row>
    <row r="7" spans="1:12" x14ac:dyDescent="0.25">
      <c r="B7" s="99"/>
      <c r="C7" s="99"/>
      <c r="D7" s="178"/>
      <c r="E7" s="178"/>
      <c r="F7" s="178"/>
      <c r="G7" s="178"/>
      <c r="H7" s="178"/>
      <c r="I7" s="178"/>
      <c r="J7" s="178"/>
      <c r="K7" s="178"/>
      <c r="L7" s="178"/>
    </row>
    <row r="8" spans="1:12" x14ac:dyDescent="0.25">
      <c r="A8" s="780" t="s">
        <v>260</v>
      </c>
      <c r="B8" s="780"/>
      <c r="C8" s="780"/>
      <c r="D8" s="178"/>
      <c r="E8" s="178"/>
      <c r="F8" s="178"/>
      <c r="G8" s="99"/>
      <c r="H8" s="99"/>
      <c r="I8" s="99"/>
      <c r="J8" s="178"/>
      <c r="K8" s="178"/>
      <c r="L8" s="178"/>
    </row>
    <row r="9" spans="1:12" x14ac:dyDescent="0.25">
      <c r="B9" s="99" t="s">
        <v>261</v>
      </c>
      <c r="C9" s="223" t="s">
        <v>320</v>
      </c>
      <c r="D9" s="178"/>
      <c r="E9" s="178"/>
      <c r="F9" s="178"/>
      <c r="G9" s="178"/>
      <c r="H9" s="178"/>
      <c r="I9" s="178"/>
      <c r="J9" s="178"/>
      <c r="K9" s="178"/>
      <c r="L9" s="178"/>
    </row>
    <row r="10" spans="1:12" x14ac:dyDescent="0.25">
      <c r="B10" s="99" t="s">
        <v>262</v>
      </c>
      <c r="C10" s="178">
        <v>2.5000000000000001E-2</v>
      </c>
      <c r="D10" s="178"/>
      <c r="E10" s="178"/>
      <c r="F10" s="178"/>
      <c r="G10" s="178"/>
      <c r="H10" s="178"/>
      <c r="I10" s="178"/>
      <c r="J10" s="178"/>
      <c r="K10" s="178"/>
      <c r="L10" s="178"/>
    </row>
    <row r="11" spans="1:12" x14ac:dyDescent="0.25">
      <c r="B11" s="99" t="s">
        <v>263</v>
      </c>
      <c r="C11" s="330">
        <v>1.7999999999999999E-2</v>
      </c>
      <c r="D11" s="178"/>
      <c r="E11" s="178"/>
      <c r="F11" s="178"/>
      <c r="G11" s="178"/>
      <c r="H11" s="178"/>
      <c r="I11" s="178"/>
      <c r="J11" s="178"/>
      <c r="K11" s="178"/>
      <c r="L11" s="178"/>
    </row>
    <row r="12" spans="1:12" x14ac:dyDescent="0.25">
      <c r="B12" s="99" t="s">
        <v>264</v>
      </c>
      <c r="C12" s="178">
        <v>0.01</v>
      </c>
      <c r="D12" s="178"/>
      <c r="E12" s="178"/>
      <c r="F12" s="178"/>
      <c r="G12" s="178"/>
      <c r="H12" s="178"/>
      <c r="I12" s="178"/>
      <c r="J12" s="178"/>
      <c r="K12" s="178"/>
      <c r="L12" s="178"/>
    </row>
    <row r="13" spans="1:12" x14ac:dyDescent="0.25">
      <c r="B13" s="99" t="s">
        <v>265</v>
      </c>
      <c r="C13" s="178">
        <v>0.05</v>
      </c>
      <c r="D13" s="178"/>
      <c r="E13" s="178"/>
      <c r="F13" s="178"/>
      <c r="G13" s="178"/>
      <c r="H13" s="178"/>
      <c r="I13" s="178"/>
      <c r="J13" s="178"/>
      <c r="K13" s="178"/>
      <c r="L13" s="178"/>
    </row>
    <row r="14" spans="1:12" x14ac:dyDescent="0.25">
      <c r="B14" s="99"/>
      <c r="C14" s="99"/>
      <c r="D14" s="178"/>
      <c r="E14" s="178"/>
      <c r="F14" s="178"/>
      <c r="G14" s="178"/>
      <c r="H14" s="178"/>
      <c r="I14" s="178"/>
      <c r="J14" s="178"/>
      <c r="K14" s="178"/>
      <c r="L14" s="178"/>
    </row>
    <row r="16" spans="1:12" x14ac:dyDescent="0.25">
      <c r="A16" s="214" t="s">
        <v>200</v>
      </c>
      <c r="B16" s="106"/>
      <c r="C16" s="76"/>
      <c r="D16" s="76"/>
      <c r="E16" s="76"/>
    </row>
    <row r="17" spans="1:17" x14ac:dyDescent="0.25">
      <c r="A17" s="202" t="s">
        <v>201</v>
      </c>
      <c r="B17" s="203" t="s">
        <v>202</v>
      </c>
      <c r="C17" s="76"/>
      <c r="D17" s="76"/>
      <c r="E17" s="76"/>
      <c r="G17" s="221" t="s">
        <v>203</v>
      </c>
      <c r="H17" s="222" t="s">
        <v>204</v>
      </c>
      <c r="I17" s="222" t="s">
        <v>205</v>
      </c>
      <c r="J17" s="222" t="s">
        <v>206</v>
      </c>
    </row>
    <row r="18" spans="1:17" x14ac:dyDescent="0.25">
      <c r="A18" s="207" t="s">
        <v>207</v>
      </c>
      <c r="B18" s="199">
        <v>0.49</v>
      </c>
      <c r="C18" s="76"/>
      <c r="D18" s="76"/>
      <c r="E18" s="76"/>
      <c r="G18" s="183" t="s">
        <v>208</v>
      </c>
      <c r="H18" s="174" t="s">
        <v>209</v>
      </c>
      <c r="I18" s="174"/>
      <c r="J18" s="174"/>
      <c r="L18" s="184" t="s">
        <v>321</v>
      </c>
    </row>
    <row r="19" spans="1:17" x14ac:dyDescent="0.25">
      <c r="A19" s="207" t="s">
        <v>210</v>
      </c>
      <c r="B19" s="199">
        <v>0.51</v>
      </c>
      <c r="C19" s="76"/>
      <c r="D19" s="76"/>
      <c r="E19" s="76"/>
      <c r="G19" s="183" t="s">
        <v>211</v>
      </c>
      <c r="H19" s="174" t="s">
        <v>209</v>
      </c>
      <c r="I19" s="174"/>
      <c r="J19" s="174"/>
      <c r="L19" s="184" t="s">
        <v>322</v>
      </c>
    </row>
    <row r="20" spans="1:17" x14ac:dyDescent="0.25">
      <c r="A20" s="207" t="s">
        <v>196</v>
      </c>
      <c r="B20" s="199">
        <v>0</v>
      </c>
      <c r="C20" s="76"/>
      <c r="D20" s="76"/>
      <c r="E20" s="76"/>
      <c r="G20" s="183" t="s">
        <v>212</v>
      </c>
      <c r="H20" s="174" t="s">
        <v>209</v>
      </c>
      <c r="I20" s="174"/>
      <c r="J20" s="174"/>
      <c r="L20" s="184" t="s">
        <v>323</v>
      </c>
    </row>
    <row r="21" spans="1:17" x14ac:dyDescent="0.25">
      <c r="A21" s="202" t="s">
        <v>213</v>
      </c>
      <c r="B21" s="209"/>
      <c r="C21" s="76"/>
      <c r="D21" s="76"/>
      <c r="E21" s="76"/>
      <c r="G21" s="183" t="s">
        <v>214</v>
      </c>
      <c r="H21" s="174"/>
      <c r="I21" s="174" t="s">
        <v>209</v>
      </c>
      <c r="J21" s="174"/>
    </row>
    <row r="22" spans="1:17" x14ac:dyDescent="0.25">
      <c r="A22" s="207" t="s">
        <v>215</v>
      </c>
      <c r="B22" s="210">
        <v>1.9329800000000001E-2</v>
      </c>
      <c r="C22" s="76"/>
      <c r="D22" s="76"/>
      <c r="E22" s="76"/>
      <c r="G22" s="183" t="s">
        <v>216</v>
      </c>
      <c r="H22" s="174"/>
      <c r="I22" s="174" t="s">
        <v>209</v>
      </c>
      <c r="J22" s="174"/>
      <c r="N22" s="211"/>
      <c r="O22" s="211"/>
      <c r="P22" s="211"/>
      <c r="Q22" s="211"/>
    </row>
    <row r="23" spans="1:17" x14ac:dyDescent="0.25">
      <c r="A23" s="207" t="s">
        <v>217</v>
      </c>
      <c r="B23" s="210">
        <v>1.4614E-2</v>
      </c>
      <c r="C23" s="76"/>
      <c r="D23" s="76"/>
      <c r="E23" s="76"/>
      <c r="G23" s="183" t="s">
        <v>218</v>
      </c>
      <c r="H23" s="174"/>
      <c r="I23" s="174" t="s">
        <v>209</v>
      </c>
      <c r="J23" s="174"/>
    </row>
    <row r="24" spans="1:17" x14ac:dyDescent="0.25">
      <c r="A24" s="207" t="s">
        <v>219</v>
      </c>
      <c r="B24" s="210">
        <v>9.11E-3</v>
      </c>
      <c r="C24" s="76"/>
      <c r="D24" s="76"/>
      <c r="E24" s="76"/>
      <c r="G24" s="183" t="s">
        <v>220</v>
      </c>
      <c r="H24" s="174"/>
      <c r="I24" s="174"/>
      <c r="J24" s="174" t="s">
        <v>209</v>
      </c>
    </row>
    <row r="25" spans="1:17" x14ac:dyDescent="0.25">
      <c r="A25" s="207" t="s">
        <v>221</v>
      </c>
      <c r="B25" s="210">
        <v>1.6799999999999999E-2</v>
      </c>
      <c r="C25" s="76"/>
      <c r="D25" s="76"/>
      <c r="E25" s="76"/>
      <c r="G25" s="183" t="s">
        <v>222</v>
      </c>
      <c r="H25" s="174"/>
      <c r="I25" s="174"/>
      <c r="J25" s="174" t="s">
        <v>209</v>
      </c>
    </row>
    <row r="26" spans="1:17" x14ac:dyDescent="0.25">
      <c r="A26" s="207" t="s">
        <v>223</v>
      </c>
      <c r="B26" s="332">
        <v>5.5160000000000001E-2</v>
      </c>
      <c r="C26" s="76"/>
      <c r="D26" s="76"/>
      <c r="E26" s="76"/>
      <c r="G26" s="183" t="s">
        <v>224</v>
      </c>
      <c r="H26" s="174"/>
      <c r="I26" s="174" t="s">
        <v>209</v>
      </c>
      <c r="J26" s="174"/>
    </row>
    <row r="27" spans="1:17" x14ac:dyDescent="0.25">
      <c r="A27" s="207" t="s">
        <v>225</v>
      </c>
      <c r="B27" s="332">
        <v>0.11075</v>
      </c>
      <c r="C27" s="76"/>
      <c r="D27" s="76"/>
      <c r="E27" s="76"/>
      <c r="G27" s="221" t="s">
        <v>226</v>
      </c>
      <c r="H27" s="222" t="s">
        <v>204</v>
      </c>
      <c r="I27" s="222" t="s">
        <v>205</v>
      </c>
      <c r="J27" s="222" t="s">
        <v>206</v>
      </c>
    </row>
    <row r="28" spans="1:17" x14ac:dyDescent="0.25">
      <c r="A28" s="207" t="s">
        <v>227</v>
      </c>
      <c r="B28" s="332">
        <v>0.1421</v>
      </c>
      <c r="C28" s="76"/>
      <c r="D28" s="76"/>
      <c r="E28" s="76"/>
      <c r="G28" s="183" t="s">
        <v>210</v>
      </c>
      <c r="H28" s="174"/>
      <c r="I28" s="174" t="s">
        <v>209</v>
      </c>
      <c r="J28" s="174"/>
    </row>
    <row r="29" spans="1:17" x14ac:dyDescent="0.25">
      <c r="A29" s="207" t="s">
        <v>228</v>
      </c>
      <c r="B29" s="332">
        <v>0.28537000000000001</v>
      </c>
      <c r="C29" s="76"/>
      <c r="D29" s="76"/>
      <c r="E29" s="76"/>
      <c r="G29" s="183" t="s">
        <v>207</v>
      </c>
      <c r="H29" s="174"/>
      <c r="I29" s="174" t="s">
        <v>209</v>
      </c>
      <c r="J29" s="174"/>
    </row>
    <row r="30" spans="1:17" x14ac:dyDescent="0.25">
      <c r="A30" s="207" t="s">
        <v>229</v>
      </c>
      <c r="B30" s="332">
        <v>0.30470000000000003</v>
      </c>
      <c r="C30" s="76"/>
      <c r="D30" s="76"/>
      <c r="E30" s="76"/>
      <c r="G30" s="221" t="s">
        <v>230</v>
      </c>
      <c r="H30" s="222" t="s">
        <v>204</v>
      </c>
      <c r="I30" s="222" t="s">
        <v>205</v>
      </c>
      <c r="J30" s="222" t="s">
        <v>206</v>
      </c>
    </row>
    <row r="31" spans="1:17" x14ac:dyDescent="0.25">
      <c r="A31" s="207" t="s">
        <v>231</v>
      </c>
      <c r="B31" s="210">
        <v>4.0559999999999999E-2</v>
      </c>
      <c r="C31" s="76"/>
      <c r="D31" s="76"/>
      <c r="E31" s="76"/>
      <c r="G31" s="183" t="s">
        <v>232</v>
      </c>
      <c r="H31" s="174"/>
      <c r="I31" s="174" t="s">
        <v>209</v>
      </c>
      <c r="J31" s="174"/>
    </row>
    <row r="32" spans="1:17" x14ac:dyDescent="0.25">
      <c r="A32" s="212" t="s">
        <v>233</v>
      </c>
      <c r="B32" s="213"/>
      <c r="C32" s="76"/>
      <c r="D32" s="76"/>
      <c r="E32" s="76"/>
      <c r="G32" s="183" t="s">
        <v>234</v>
      </c>
      <c r="H32" s="174" t="s">
        <v>209</v>
      </c>
      <c r="I32" s="174"/>
      <c r="J32" s="174"/>
      <c r="L32" s="184" t="s">
        <v>324</v>
      </c>
      <c r="N32" s="211"/>
    </row>
    <row r="33" spans="1:13" x14ac:dyDescent="0.25">
      <c r="A33" s="207" t="s">
        <v>236</v>
      </c>
      <c r="B33" s="210">
        <v>1.1617249E-2</v>
      </c>
      <c r="C33" s="76"/>
      <c r="D33" s="76"/>
      <c r="E33" s="76"/>
      <c r="G33" s="183" t="s">
        <v>237</v>
      </c>
      <c r="H33" s="174"/>
      <c r="I33" s="174" t="s">
        <v>209</v>
      </c>
      <c r="J33" s="174"/>
    </row>
    <row r="34" spans="1:13" x14ac:dyDescent="0.25">
      <c r="A34" s="207" t="s">
        <v>238</v>
      </c>
      <c r="B34" s="210">
        <v>0</v>
      </c>
      <c r="C34" s="76"/>
      <c r="D34" s="76"/>
      <c r="E34" s="76"/>
      <c r="G34" s="183" t="s">
        <v>239</v>
      </c>
      <c r="H34" s="174"/>
      <c r="I34" s="174" t="s">
        <v>209</v>
      </c>
      <c r="J34" s="174"/>
    </row>
    <row r="35" spans="1:13" x14ac:dyDescent="0.25">
      <c r="A35" s="207" t="s">
        <v>239</v>
      </c>
      <c r="B35" s="210">
        <v>5.6538113000000001E-2</v>
      </c>
      <c r="C35" s="76"/>
      <c r="D35" s="76"/>
      <c r="E35" s="76"/>
      <c r="G35" s="183" t="s">
        <v>196</v>
      </c>
      <c r="H35" s="174"/>
      <c r="I35" s="174" t="s">
        <v>209</v>
      </c>
      <c r="J35" s="174"/>
    </row>
    <row r="36" spans="1:13" x14ac:dyDescent="0.25">
      <c r="A36" s="207" t="s">
        <v>240</v>
      </c>
      <c r="B36" s="210">
        <v>0</v>
      </c>
      <c r="C36" s="76"/>
      <c r="D36" s="76"/>
      <c r="E36" s="76"/>
      <c r="G36" s="221" t="s">
        <v>241</v>
      </c>
      <c r="H36" s="222" t="s">
        <v>204</v>
      </c>
      <c r="I36" s="222" t="s">
        <v>205</v>
      </c>
      <c r="J36" s="222" t="s">
        <v>206</v>
      </c>
    </row>
    <row r="37" spans="1:13" x14ac:dyDescent="0.25">
      <c r="A37" s="207" t="s">
        <v>232</v>
      </c>
      <c r="B37" s="210">
        <v>0.90220866</v>
      </c>
      <c r="C37" s="76"/>
      <c r="D37" s="76"/>
      <c r="E37" s="76"/>
      <c r="G37" s="183" t="s">
        <v>242</v>
      </c>
      <c r="H37" s="174"/>
      <c r="I37" s="174"/>
      <c r="J37" s="174" t="s">
        <v>209</v>
      </c>
    </row>
    <row r="38" spans="1:13" x14ac:dyDescent="0.25">
      <c r="A38" s="207" t="s">
        <v>244</v>
      </c>
      <c r="B38" s="210">
        <v>2.0748699999999998E-2</v>
      </c>
      <c r="C38" s="76"/>
      <c r="D38" s="76"/>
      <c r="E38" s="76"/>
      <c r="G38" s="183" t="s">
        <v>245</v>
      </c>
      <c r="H38" s="174" t="s">
        <v>209</v>
      </c>
      <c r="I38" s="174"/>
      <c r="J38" s="174"/>
      <c r="L38" s="184" t="s">
        <v>325</v>
      </c>
    </row>
    <row r="39" spans="1:13" x14ac:dyDescent="0.25">
      <c r="A39" s="207" t="s">
        <v>246</v>
      </c>
      <c r="B39" s="210">
        <v>9.0740000000000005E-3</v>
      </c>
      <c r="C39" s="76"/>
      <c r="D39" s="76"/>
      <c r="E39" s="76"/>
      <c r="G39" s="221" t="s">
        <v>247</v>
      </c>
      <c r="H39" s="222" t="s">
        <v>204</v>
      </c>
      <c r="I39" s="222" t="s">
        <v>205</v>
      </c>
      <c r="J39" s="222" t="s">
        <v>206</v>
      </c>
    </row>
    <row r="40" spans="1:13" x14ac:dyDescent="0.25">
      <c r="A40" s="212" t="s">
        <v>248</v>
      </c>
      <c r="B40" s="213"/>
      <c r="C40" s="76"/>
      <c r="D40" s="76"/>
      <c r="E40" s="76"/>
      <c r="G40" s="183" t="s">
        <v>249</v>
      </c>
      <c r="H40" s="174" t="s">
        <v>209</v>
      </c>
      <c r="I40" s="174"/>
      <c r="J40" s="174"/>
      <c r="L40" s="184" t="s">
        <v>326</v>
      </c>
    </row>
    <row r="41" spans="1:13" x14ac:dyDescent="0.25">
      <c r="A41" s="207" t="s">
        <v>242</v>
      </c>
      <c r="B41" s="210">
        <v>0.99</v>
      </c>
      <c r="C41" s="76"/>
      <c r="D41" s="76"/>
      <c r="E41" s="76"/>
      <c r="G41" s="183" t="s">
        <v>251</v>
      </c>
      <c r="H41" s="174" t="s">
        <v>209</v>
      </c>
      <c r="I41" s="174"/>
      <c r="J41" s="174"/>
      <c r="L41" s="184" t="s">
        <v>327</v>
      </c>
    </row>
    <row r="42" spans="1:13" x14ac:dyDescent="0.25">
      <c r="A42" s="207" t="s">
        <v>245</v>
      </c>
      <c r="B42" s="210">
        <v>0.01</v>
      </c>
      <c r="C42" s="76"/>
      <c r="D42" s="76"/>
      <c r="E42" s="76"/>
      <c r="G42" s="183" t="s">
        <v>252</v>
      </c>
      <c r="H42" s="174"/>
      <c r="I42" s="174"/>
      <c r="J42" s="174" t="s">
        <v>209</v>
      </c>
    </row>
    <row r="43" spans="1:13" x14ac:dyDescent="0.25">
      <c r="A43" s="212" t="s">
        <v>253</v>
      </c>
      <c r="B43" s="213"/>
      <c r="C43" s="76"/>
      <c r="D43" s="76"/>
      <c r="E43" s="76"/>
    </row>
    <row r="44" spans="1:13" x14ac:dyDescent="0.25">
      <c r="A44" s="207" t="s">
        <v>254</v>
      </c>
      <c r="B44" s="210">
        <v>2.9834454E-2</v>
      </c>
      <c r="C44" s="76"/>
      <c r="D44" s="76"/>
      <c r="E44" s="76"/>
      <c r="H44" s="211"/>
      <c r="I44" s="211"/>
      <c r="J44" s="211"/>
      <c r="K44" s="211"/>
      <c r="L44" s="211"/>
      <c r="M44" s="211"/>
    </row>
    <row r="45" spans="1:13" x14ac:dyDescent="0.25">
      <c r="A45" s="207" t="s">
        <v>255</v>
      </c>
      <c r="B45" s="210">
        <v>7.1175519000000007E-2</v>
      </c>
      <c r="C45" s="174"/>
      <c r="D45" s="174"/>
      <c r="E45" s="174"/>
    </row>
    <row r="46" spans="1:13" x14ac:dyDescent="0.25">
      <c r="A46" s="207" t="s">
        <v>256</v>
      </c>
      <c r="B46" s="210">
        <v>0.10564586500000001</v>
      </c>
      <c r="C46" s="174"/>
      <c r="D46" s="174"/>
      <c r="E46" s="174"/>
    </row>
    <row r="47" spans="1:13" x14ac:dyDescent="0.25">
      <c r="A47" s="207" t="s">
        <v>257</v>
      </c>
      <c r="B47" s="210">
        <v>0.143003513</v>
      </c>
      <c r="C47" s="174"/>
      <c r="D47" s="174"/>
      <c r="E47" s="174"/>
    </row>
    <row r="48" spans="1:13" x14ac:dyDescent="0.25">
      <c r="A48" s="207" t="s">
        <v>258</v>
      </c>
      <c r="B48" s="210">
        <v>0.32869014000000002</v>
      </c>
      <c r="C48" s="174"/>
      <c r="D48" s="174"/>
      <c r="E48" s="174"/>
    </row>
    <row r="49" spans="1:5" x14ac:dyDescent="0.25">
      <c r="A49" s="207" t="s">
        <v>259</v>
      </c>
      <c r="B49" s="210">
        <v>0.32193169999999999</v>
      </c>
      <c r="C49" s="174"/>
      <c r="D49" s="174"/>
      <c r="E49" s="174"/>
    </row>
    <row r="50" spans="1:5" x14ac:dyDescent="0.25">
      <c r="B50" s="183"/>
      <c r="C50" s="174"/>
      <c r="D50" s="174"/>
      <c r="E50" s="174"/>
    </row>
    <row r="51" spans="1:5" x14ac:dyDescent="0.25">
      <c r="B51" s="183"/>
      <c r="C51" s="174"/>
      <c r="D51" s="174"/>
      <c r="E51" s="174"/>
    </row>
    <row r="52" spans="1:5" x14ac:dyDescent="0.25">
      <c r="A52" s="175" t="s">
        <v>266</v>
      </c>
      <c r="B52" s="175">
        <v>2014</v>
      </c>
      <c r="C52" s="175">
        <v>2019</v>
      </c>
      <c r="D52" s="175" t="s">
        <v>267</v>
      </c>
      <c r="E52" s="175" t="s">
        <v>268</v>
      </c>
    </row>
    <row r="53" spans="1:5" x14ac:dyDescent="0.25">
      <c r="A53" s="184" t="s">
        <v>269</v>
      </c>
      <c r="B53" s="183" t="s">
        <v>26</v>
      </c>
      <c r="C53" s="184" t="s">
        <v>270</v>
      </c>
      <c r="D53" s="184" t="s">
        <v>26</v>
      </c>
      <c r="E53" s="184">
        <v>1</v>
      </c>
    </row>
    <row r="54" spans="1:5" x14ac:dyDescent="0.25">
      <c r="A54" s="184" t="s">
        <v>271</v>
      </c>
      <c r="B54" s="183" t="s">
        <v>270</v>
      </c>
      <c r="C54" s="184" t="s">
        <v>270</v>
      </c>
      <c r="D54" s="184" t="s">
        <v>270</v>
      </c>
      <c r="E54" s="184">
        <v>1</v>
      </c>
    </row>
    <row r="55" spans="1:5" x14ac:dyDescent="0.25">
      <c r="A55" s="184" t="s">
        <v>272</v>
      </c>
      <c r="B55" s="183" t="s">
        <v>26</v>
      </c>
      <c r="C55" s="184" t="s">
        <v>328</v>
      </c>
      <c r="D55" s="184" t="s">
        <v>273</v>
      </c>
      <c r="E55" s="184">
        <v>1</v>
      </c>
    </row>
    <row r="56" spans="1:5" x14ac:dyDescent="0.25">
      <c r="A56" s="184" t="s">
        <v>274</v>
      </c>
      <c r="B56" s="183" t="s">
        <v>270</v>
      </c>
      <c r="C56" s="184" t="s">
        <v>26</v>
      </c>
      <c r="D56" s="184" t="s">
        <v>26</v>
      </c>
    </row>
    <row r="57" spans="1:5" x14ac:dyDescent="0.25">
      <c r="A57" s="184" t="s">
        <v>275</v>
      </c>
      <c r="B57" s="183" t="s">
        <v>5</v>
      </c>
      <c r="C57" s="184" t="s">
        <v>273</v>
      </c>
      <c r="D57" s="184" t="s">
        <v>273</v>
      </c>
      <c r="E57" s="184">
        <v>1</v>
      </c>
    </row>
    <row r="59" spans="1:5" x14ac:dyDescent="0.25">
      <c r="A59" s="184">
        <v>1</v>
      </c>
      <c r="B59" s="184" t="s">
        <v>276</v>
      </c>
    </row>
    <row r="60" spans="1:5" x14ac:dyDescent="0.25">
      <c r="A60" s="184">
        <v>2</v>
      </c>
      <c r="B60" s="184" t="s">
        <v>277</v>
      </c>
    </row>
    <row r="61" spans="1:5" x14ac:dyDescent="0.25">
      <c r="B61" s="183"/>
      <c r="C61" s="174"/>
      <c r="D61" s="174"/>
      <c r="E61" s="174"/>
    </row>
    <row r="63" spans="1:5" x14ac:dyDescent="0.25">
      <c r="A63" s="175" t="s">
        <v>305</v>
      </c>
    </row>
    <row r="64" spans="1:5" x14ac:dyDescent="0.25">
      <c r="A64" s="175"/>
      <c r="B64" s="184" t="s">
        <v>329</v>
      </c>
    </row>
    <row r="65" spans="1:3" x14ac:dyDescent="0.25">
      <c r="B65" s="184" t="s">
        <v>330</v>
      </c>
    </row>
    <row r="66" spans="1:3" x14ac:dyDescent="0.25">
      <c r="B66" s="184" t="s">
        <v>331</v>
      </c>
    </row>
    <row r="67" spans="1:3" x14ac:dyDescent="0.25">
      <c r="A67" s="215" t="s">
        <v>332</v>
      </c>
      <c r="B67" s="215" t="s">
        <v>333</v>
      </c>
    </row>
    <row r="68" spans="1:3" x14ac:dyDescent="0.25">
      <c r="B68" s="215" t="s">
        <v>334</v>
      </c>
    </row>
    <row r="71" spans="1:3" x14ac:dyDescent="0.25">
      <c r="A71" s="216" t="s">
        <v>335</v>
      </c>
      <c r="B71" s="216" t="s">
        <v>287</v>
      </c>
      <c r="C71" s="216" t="s">
        <v>280</v>
      </c>
    </row>
    <row r="72" spans="1:3" x14ac:dyDescent="0.25">
      <c r="A72" s="224" t="s">
        <v>336</v>
      </c>
      <c r="B72" s="225">
        <v>1</v>
      </c>
      <c r="C72" s="226">
        <v>0.05</v>
      </c>
    </row>
    <row r="73" spans="1:3" x14ac:dyDescent="0.25">
      <c r="A73" s="218" t="s">
        <v>337</v>
      </c>
      <c r="C73" s="75"/>
    </row>
    <row r="74" spans="1:3" x14ac:dyDescent="0.25">
      <c r="A74" s="218" t="s">
        <v>338</v>
      </c>
      <c r="C74" s="75"/>
    </row>
    <row r="75" spans="1:3" x14ac:dyDescent="0.25">
      <c r="A75" s="218" t="s">
        <v>339</v>
      </c>
      <c r="C75" s="75"/>
    </row>
    <row r="76" spans="1:3" x14ac:dyDescent="0.25">
      <c r="A76" s="218" t="s">
        <v>340</v>
      </c>
      <c r="C76" s="75"/>
    </row>
    <row r="77" spans="1:3" x14ac:dyDescent="0.25">
      <c r="A77" s="218" t="s">
        <v>341</v>
      </c>
      <c r="C77" s="75"/>
    </row>
    <row r="78" spans="1:3" x14ac:dyDescent="0.25">
      <c r="A78" s="218" t="s">
        <v>342</v>
      </c>
      <c r="C78" s="75"/>
    </row>
    <row r="79" spans="1:3" x14ac:dyDescent="0.25">
      <c r="A79" s="218" t="s">
        <v>343</v>
      </c>
      <c r="C79" s="75"/>
    </row>
    <row r="80" spans="1:3" x14ac:dyDescent="0.25">
      <c r="A80" s="218" t="s">
        <v>344</v>
      </c>
      <c r="C80" s="75"/>
    </row>
    <row r="81" spans="1:4" x14ac:dyDescent="0.25">
      <c r="A81" s="218" t="s">
        <v>345</v>
      </c>
      <c r="C81" s="75"/>
    </row>
    <row r="82" spans="1:4" x14ac:dyDescent="0.25">
      <c r="A82" s="218" t="s">
        <v>346</v>
      </c>
      <c r="C82" s="75"/>
    </row>
    <row r="83" spans="1:4" x14ac:dyDescent="0.25">
      <c r="A83" s="218" t="s">
        <v>347</v>
      </c>
      <c r="C83" s="75"/>
    </row>
    <row r="84" spans="1:4" x14ac:dyDescent="0.25">
      <c r="A84" s="218" t="s">
        <v>348</v>
      </c>
      <c r="C84" s="75"/>
    </row>
    <row r="85" spans="1:4" x14ac:dyDescent="0.25">
      <c r="A85" s="218" t="s">
        <v>349</v>
      </c>
      <c r="C85" s="75"/>
    </row>
    <row r="86" spans="1:4" x14ac:dyDescent="0.25">
      <c r="A86" s="218" t="s">
        <v>350</v>
      </c>
      <c r="C86" s="75"/>
    </row>
    <row r="87" spans="1:4" x14ac:dyDescent="0.25">
      <c r="A87" s="218" t="s">
        <v>351</v>
      </c>
      <c r="C87" s="75"/>
    </row>
    <row r="88" spans="1:4" x14ac:dyDescent="0.25">
      <c r="A88" s="218"/>
      <c r="C88" s="219"/>
    </row>
    <row r="89" spans="1:4" x14ac:dyDescent="0.25">
      <c r="A89" s="218"/>
      <c r="C89" s="219"/>
    </row>
    <row r="91" spans="1:4" x14ac:dyDescent="0.25">
      <c r="B91" s="780" t="s">
        <v>291</v>
      </c>
      <c r="C91" s="780"/>
      <c r="D91" s="780"/>
    </row>
    <row r="92" spans="1:4" x14ac:dyDescent="0.25">
      <c r="B92" s="184">
        <v>2019</v>
      </c>
      <c r="C92" s="184">
        <v>2014</v>
      </c>
      <c r="D92" s="184" t="s">
        <v>292</v>
      </c>
    </row>
    <row r="93" spans="1:4" x14ac:dyDescent="0.25">
      <c r="B93" s="178">
        <v>0.15</v>
      </c>
      <c r="C93" s="178">
        <v>0.12</v>
      </c>
      <c r="D93" s="184" t="s">
        <v>317</v>
      </c>
    </row>
    <row r="95" spans="1:4" x14ac:dyDescent="0.25">
      <c r="B95" s="780" t="s">
        <v>294</v>
      </c>
      <c r="C95" s="780"/>
      <c r="D95" s="780"/>
    </row>
    <row r="96" spans="1:4" x14ac:dyDescent="0.25">
      <c r="B96" s="184">
        <v>2019</v>
      </c>
      <c r="C96" s="184">
        <v>2014</v>
      </c>
      <c r="D96" s="184" t="s">
        <v>292</v>
      </c>
    </row>
    <row r="97" spans="1:4" x14ac:dyDescent="0.25">
      <c r="B97" s="178">
        <v>0.14000000000000001</v>
      </c>
      <c r="C97" s="178">
        <v>0.22</v>
      </c>
      <c r="D97" s="184" t="s">
        <v>318</v>
      </c>
    </row>
    <row r="99" spans="1:4" x14ac:dyDescent="0.25">
      <c r="B99" s="780" t="s">
        <v>295</v>
      </c>
      <c r="C99" s="780"/>
      <c r="D99" s="780"/>
    </row>
    <row r="100" spans="1:4" x14ac:dyDescent="0.25">
      <c r="B100" s="184">
        <v>2019</v>
      </c>
      <c r="C100" s="184">
        <v>2014</v>
      </c>
      <c r="D100" s="184" t="s">
        <v>292</v>
      </c>
    </row>
    <row r="101" spans="1:4" x14ac:dyDescent="0.25">
      <c r="B101" s="223" t="s">
        <v>320</v>
      </c>
      <c r="C101" s="178">
        <v>0.98</v>
      </c>
      <c r="D101" s="184" t="s">
        <v>318</v>
      </c>
    </row>
    <row r="102" spans="1:4" x14ac:dyDescent="0.25">
      <c r="B102" s="184" t="s">
        <v>296</v>
      </c>
    </row>
    <row r="104" spans="1:4" x14ac:dyDescent="0.25">
      <c r="B104" s="780" t="s">
        <v>297</v>
      </c>
      <c r="C104" s="780"/>
      <c r="D104" s="780"/>
    </row>
    <row r="105" spans="1:4" x14ac:dyDescent="0.25">
      <c r="B105" s="184">
        <v>2019</v>
      </c>
      <c r="C105" s="184">
        <v>2014</v>
      </c>
      <c r="D105" s="184" t="s">
        <v>292</v>
      </c>
    </row>
    <row r="106" spans="1:4" x14ac:dyDescent="0.25">
      <c r="B106" s="178">
        <v>0.97</v>
      </c>
      <c r="C106" s="178">
        <v>0.99</v>
      </c>
      <c r="D106" s="184" t="s">
        <v>317</v>
      </c>
    </row>
    <row r="108" spans="1:4" x14ac:dyDescent="0.25">
      <c r="A108" s="214" t="s">
        <v>298</v>
      </c>
      <c r="B108" s="214" t="s">
        <v>299</v>
      </c>
    </row>
    <row r="109" spans="1:4" x14ac:dyDescent="0.25">
      <c r="A109" s="184" t="s">
        <v>300</v>
      </c>
      <c r="B109" s="178">
        <v>5.1999999999999998E-2</v>
      </c>
    </row>
    <row r="110" spans="1:4" x14ac:dyDescent="0.25">
      <c r="A110" s="184" t="s">
        <v>301</v>
      </c>
      <c r="B110" s="219">
        <v>0.113</v>
      </c>
    </row>
  </sheetData>
  <mergeCells count="6">
    <mergeCell ref="B104:D104"/>
    <mergeCell ref="B1:E1"/>
    <mergeCell ref="A8:C8"/>
    <mergeCell ref="B91:D91"/>
    <mergeCell ref="B95:D95"/>
    <mergeCell ref="B99:D9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214B-D3BD-4B21-9F02-48DFE9E56BF2}">
  <sheetPr>
    <tabColor theme="1" tint="0.34998626667073579"/>
  </sheetPr>
  <dimension ref="A1:S107"/>
  <sheetViews>
    <sheetView zoomScaleNormal="100" workbookViewId="0">
      <selection activeCell="E2" sqref="E1:E1048576"/>
    </sheetView>
  </sheetViews>
  <sheetFormatPr defaultRowHeight="15" x14ac:dyDescent="0.25"/>
  <cols>
    <col min="1" max="1" width="42.42578125" style="184" bestFit="1" customWidth="1"/>
    <col min="2" max="2" width="18.42578125" style="184" customWidth="1"/>
    <col min="3" max="3" width="17.7109375" style="184" customWidth="1"/>
    <col min="4" max="4" width="16.5703125" style="184" customWidth="1"/>
    <col min="5" max="5" width="15.7109375" style="184" customWidth="1"/>
    <col min="6" max="6" width="9.140625" style="184"/>
    <col min="7" max="7" width="11.42578125" style="184" bestFit="1" customWidth="1"/>
    <col min="8" max="8" width="16.7109375" style="184" bestFit="1" customWidth="1"/>
    <col min="9" max="9" width="15.5703125" style="184" bestFit="1" customWidth="1"/>
    <col min="10" max="16384" width="9.140625" style="184"/>
  </cols>
  <sheetData>
    <row r="1" spans="1:12" x14ac:dyDescent="0.25">
      <c r="A1" s="184" t="s">
        <v>352</v>
      </c>
      <c r="B1" s="779" t="s">
        <v>192</v>
      </c>
      <c r="C1" s="779"/>
      <c r="D1" s="779"/>
      <c r="E1" s="779"/>
    </row>
    <row r="2" spans="1:12" x14ac:dyDescent="0.25">
      <c r="B2" s="184" t="s">
        <v>193</v>
      </c>
      <c r="C2" s="184" t="s">
        <v>194</v>
      </c>
      <c r="D2" s="184" t="s">
        <v>195</v>
      </c>
      <c r="E2" s="184" t="s">
        <v>196</v>
      </c>
    </row>
    <row r="3" spans="1:12" x14ac:dyDescent="0.25">
      <c r="B3" s="178">
        <v>0.51</v>
      </c>
      <c r="C3" s="178">
        <v>0.41</v>
      </c>
      <c r="D3" s="178">
        <v>7.0000000000000007E-2</v>
      </c>
      <c r="E3" s="178">
        <v>0.01</v>
      </c>
      <c r="F3" s="178"/>
      <c r="G3" s="178"/>
      <c r="H3" s="178"/>
    </row>
    <row r="4" spans="1:12" x14ac:dyDescent="0.25">
      <c r="B4" s="178"/>
      <c r="C4" s="178"/>
      <c r="D4" s="178"/>
      <c r="E4" s="178"/>
      <c r="F4" s="178"/>
      <c r="G4" s="178"/>
      <c r="H4" s="178"/>
    </row>
    <row r="5" spans="1:12" x14ac:dyDescent="0.25">
      <c r="B5" s="220" t="s">
        <v>197</v>
      </c>
      <c r="C5" s="220" t="s">
        <v>198</v>
      </c>
      <c r="D5" s="220" t="s">
        <v>199</v>
      </c>
      <c r="E5" s="178"/>
      <c r="F5" s="178"/>
      <c r="G5" s="178"/>
      <c r="H5" s="178"/>
      <c r="I5" s="178"/>
      <c r="J5" s="178"/>
      <c r="K5" s="178"/>
      <c r="L5" s="178"/>
    </row>
    <row r="6" spans="1:12" x14ac:dyDescent="0.25">
      <c r="B6" s="99">
        <v>552500</v>
      </c>
      <c r="C6" s="99">
        <v>1950</v>
      </c>
      <c r="D6" s="99">
        <v>850</v>
      </c>
      <c r="E6" s="178"/>
      <c r="F6" s="178"/>
      <c r="G6" s="99"/>
      <c r="H6" s="99"/>
      <c r="I6" s="99"/>
      <c r="J6" s="178"/>
      <c r="K6" s="178"/>
      <c r="L6" s="178"/>
    </row>
    <row r="7" spans="1:12" x14ac:dyDescent="0.25">
      <c r="B7" s="99"/>
      <c r="C7" s="99"/>
      <c r="D7" s="178"/>
      <c r="E7" s="178"/>
      <c r="F7" s="178"/>
      <c r="G7" s="99"/>
      <c r="H7" s="99"/>
      <c r="I7" s="99"/>
      <c r="J7" s="178"/>
      <c r="K7" s="178"/>
      <c r="L7" s="178"/>
    </row>
    <row r="8" spans="1:12" x14ac:dyDescent="0.25">
      <c r="A8" s="780" t="s">
        <v>260</v>
      </c>
      <c r="B8" s="780"/>
      <c r="C8" s="780"/>
      <c r="D8" s="178"/>
      <c r="E8" s="178"/>
      <c r="F8" s="178"/>
      <c r="G8" s="178"/>
      <c r="H8" s="178"/>
      <c r="I8" s="178"/>
      <c r="J8" s="178"/>
      <c r="K8" s="178"/>
      <c r="L8" s="178"/>
    </row>
    <row r="9" spans="1:12" x14ac:dyDescent="0.25">
      <c r="B9" s="99" t="s">
        <v>261</v>
      </c>
      <c r="C9" s="178">
        <v>0.94199999999999995</v>
      </c>
      <c r="D9" s="178"/>
      <c r="E9" s="178"/>
      <c r="F9" s="178"/>
      <c r="G9" s="178"/>
      <c r="H9" s="178"/>
      <c r="I9" s="178"/>
      <c r="J9" s="178"/>
      <c r="K9" s="178"/>
      <c r="L9" s="178"/>
    </row>
    <row r="10" spans="1:12" x14ac:dyDescent="0.25">
      <c r="B10" s="99" t="s">
        <v>262</v>
      </c>
      <c r="C10" s="178">
        <v>0.1</v>
      </c>
      <c r="D10" s="178"/>
      <c r="E10" s="178"/>
      <c r="F10" s="178"/>
      <c r="G10" s="178"/>
      <c r="H10" s="178"/>
      <c r="I10" s="178"/>
      <c r="J10" s="178"/>
      <c r="K10" s="178"/>
      <c r="L10" s="178"/>
    </row>
    <row r="11" spans="1:12" x14ac:dyDescent="0.25">
      <c r="B11" s="99" t="s">
        <v>263</v>
      </c>
      <c r="C11" s="178">
        <v>6.2300000000000001E-2</v>
      </c>
      <c r="D11" s="178"/>
      <c r="E11" s="178"/>
      <c r="F11" s="178"/>
      <c r="G11" s="178"/>
      <c r="H11" s="178"/>
      <c r="I11" s="178"/>
      <c r="J11" s="178"/>
      <c r="K11" s="178"/>
      <c r="L11" s="178"/>
    </row>
    <row r="12" spans="1:12" x14ac:dyDescent="0.25">
      <c r="B12" s="99" t="s">
        <v>264</v>
      </c>
      <c r="C12" s="178">
        <v>4.4600000000000001E-2</v>
      </c>
      <c r="D12" s="178"/>
      <c r="E12" s="178"/>
      <c r="F12" s="178"/>
      <c r="G12" s="178"/>
      <c r="H12" s="178"/>
      <c r="I12" s="178"/>
      <c r="J12" s="178"/>
      <c r="K12" s="178"/>
      <c r="L12" s="178"/>
    </row>
    <row r="13" spans="1:12" x14ac:dyDescent="0.25">
      <c r="B13" s="99" t="s">
        <v>265</v>
      </c>
      <c r="C13" s="178">
        <v>0.16689999999999999</v>
      </c>
      <c r="D13" s="178"/>
      <c r="E13" s="178"/>
      <c r="F13" s="178"/>
      <c r="G13" s="178"/>
      <c r="H13" s="178"/>
      <c r="I13" s="178"/>
      <c r="J13" s="178"/>
      <c r="K13" s="178"/>
      <c r="L13" s="178"/>
    </row>
    <row r="14" spans="1:12" x14ac:dyDescent="0.25">
      <c r="B14" s="99"/>
      <c r="C14" s="99"/>
      <c r="D14" s="178"/>
      <c r="E14" s="178"/>
      <c r="F14" s="178"/>
      <c r="G14" s="178"/>
      <c r="H14" s="178"/>
      <c r="I14" s="178"/>
      <c r="J14" s="178"/>
      <c r="K14" s="178"/>
      <c r="L14" s="178"/>
    </row>
    <row r="16" spans="1:12" x14ac:dyDescent="0.25">
      <c r="A16" s="175" t="s">
        <v>200</v>
      </c>
      <c r="B16" s="106"/>
      <c r="C16" s="76"/>
      <c r="D16" s="76"/>
      <c r="E16" s="76"/>
    </row>
    <row r="17" spans="1:19" x14ac:dyDescent="0.25">
      <c r="A17" s="202" t="s">
        <v>201</v>
      </c>
      <c r="B17" s="203" t="s">
        <v>202</v>
      </c>
      <c r="C17" s="76"/>
      <c r="D17" s="76"/>
      <c r="E17" s="204" t="s">
        <v>203</v>
      </c>
      <c r="F17" s="227" t="s">
        <v>204</v>
      </c>
      <c r="G17" s="227" t="s">
        <v>205</v>
      </c>
      <c r="H17" s="227" t="s">
        <v>206</v>
      </c>
      <c r="I17" s="206"/>
      <c r="J17" s="206"/>
    </row>
    <row r="18" spans="1:19" x14ac:dyDescent="0.25">
      <c r="A18" s="207" t="s">
        <v>207</v>
      </c>
      <c r="B18" s="199">
        <v>0.47</v>
      </c>
      <c r="C18" s="76"/>
      <c r="D18" s="76"/>
      <c r="E18" s="206" t="s">
        <v>208</v>
      </c>
      <c r="F18" s="228"/>
      <c r="G18" s="228" t="s">
        <v>209</v>
      </c>
      <c r="H18" s="228"/>
      <c r="I18" s="206"/>
      <c r="J18" s="206"/>
    </row>
    <row r="19" spans="1:19" x14ac:dyDescent="0.25">
      <c r="A19" s="207" t="s">
        <v>210</v>
      </c>
      <c r="B19" s="199">
        <v>0.53</v>
      </c>
      <c r="C19" s="76"/>
      <c r="D19" s="76"/>
      <c r="E19" s="206" t="s">
        <v>211</v>
      </c>
      <c r="F19" s="228"/>
      <c r="G19" s="228" t="s">
        <v>209</v>
      </c>
      <c r="H19" s="228"/>
      <c r="I19" s="206"/>
      <c r="J19" s="206"/>
    </row>
    <row r="20" spans="1:19" x14ac:dyDescent="0.25">
      <c r="A20" s="207" t="s">
        <v>196</v>
      </c>
      <c r="B20" s="199">
        <v>2.3E-3</v>
      </c>
      <c r="C20" s="76"/>
      <c r="D20" s="76"/>
      <c r="E20" s="183" t="s">
        <v>212</v>
      </c>
      <c r="F20" s="228" t="s">
        <v>209</v>
      </c>
      <c r="G20" s="228"/>
      <c r="H20" s="228"/>
      <c r="I20" s="206"/>
      <c r="J20" s="206" t="s">
        <v>353</v>
      </c>
    </row>
    <row r="21" spans="1:19" x14ac:dyDescent="0.25">
      <c r="A21" s="202" t="s">
        <v>213</v>
      </c>
      <c r="B21" s="209"/>
      <c r="C21" s="76"/>
      <c r="D21" s="76"/>
      <c r="E21" s="206" t="s">
        <v>214</v>
      </c>
      <c r="F21" s="228" t="s">
        <v>209</v>
      </c>
      <c r="G21" s="228"/>
      <c r="H21" s="228"/>
      <c r="I21" s="206"/>
      <c r="J21" s="206" t="s">
        <v>354</v>
      </c>
      <c r="K21" s="211"/>
      <c r="L21" s="211"/>
      <c r="M21" s="211"/>
      <c r="N21" s="211"/>
      <c r="O21" s="211"/>
      <c r="P21" s="211"/>
      <c r="Q21" s="211"/>
      <c r="R21" s="211"/>
      <c r="S21" s="211"/>
    </row>
    <row r="22" spans="1:19" x14ac:dyDescent="0.25">
      <c r="A22" s="207" t="s">
        <v>215</v>
      </c>
      <c r="B22" s="210">
        <v>6.2724680000000005E-2</v>
      </c>
      <c r="C22" s="76"/>
      <c r="D22" s="76"/>
      <c r="E22" s="206" t="s">
        <v>216</v>
      </c>
      <c r="F22" s="228" t="s">
        <v>209</v>
      </c>
      <c r="G22" s="228"/>
      <c r="H22" s="228"/>
      <c r="I22" s="206"/>
      <c r="J22" s="206" t="s">
        <v>355</v>
      </c>
    </row>
    <row r="23" spans="1:19" x14ac:dyDescent="0.25">
      <c r="A23" s="207" t="s">
        <v>217</v>
      </c>
      <c r="B23" s="210">
        <v>5.3338000000000003E-2</v>
      </c>
      <c r="C23" s="76"/>
      <c r="D23" s="76"/>
      <c r="E23" s="206" t="s">
        <v>218</v>
      </c>
      <c r="F23" s="228"/>
      <c r="G23" s="228" t="s">
        <v>209</v>
      </c>
      <c r="H23" s="228"/>
      <c r="I23" s="206"/>
      <c r="J23" s="206"/>
    </row>
    <row r="24" spans="1:19" x14ac:dyDescent="0.25">
      <c r="A24" s="207" t="s">
        <v>219</v>
      </c>
      <c r="B24" s="210">
        <v>1.6789999999999999E-2</v>
      </c>
      <c r="C24" s="76"/>
      <c r="D24" s="76"/>
      <c r="E24" s="206" t="s">
        <v>220</v>
      </c>
      <c r="F24" s="228"/>
      <c r="G24" s="228" t="s">
        <v>209</v>
      </c>
      <c r="H24" s="228"/>
      <c r="I24" s="206"/>
      <c r="J24" s="206"/>
    </row>
    <row r="25" spans="1:19" x14ac:dyDescent="0.25">
      <c r="A25" s="207" t="s">
        <v>221</v>
      </c>
      <c r="B25" s="210">
        <v>2.01E-2</v>
      </c>
      <c r="C25" s="76"/>
      <c r="D25" s="76"/>
      <c r="E25" s="206" t="s">
        <v>222</v>
      </c>
      <c r="F25" s="228"/>
      <c r="G25" s="228"/>
      <c r="H25" s="228" t="s">
        <v>209</v>
      </c>
      <c r="I25" s="206"/>
      <c r="J25" s="206"/>
    </row>
    <row r="26" spans="1:19" x14ac:dyDescent="0.25">
      <c r="A26" s="207" t="s">
        <v>223</v>
      </c>
      <c r="B26" s="210">
        <v>3.074E-2</v>
      </c>
      <c r="C26" s="76"/>
      <c r="D26" s="76"/>
      <c r="E26" s="206" t="s">
        <v>224</v>
      </c>
      <c r="F26" s="228"/>
      <c r="G26" s="228" t="s">
        <v>209</v>
      </c>
      <c r="H26" s="228"/>
      <c r="I26" s="206"/>
      <c r="J26" s="206"/>
    </row>
    <row r="27" spans="1:19" x14ac:dyDescent="0.25">
      <c r="A27" s="207" t="s">
        <v>225</v>
      </c>
      <c r="B27" s="210">
        <v>4.6399999999999997E-2</v>
      </c>
      <c r="C27" s="76"/>
      <c r="D27" s="76"/>
      <c r="E27" s="204" t="s">
        <v>226</v>
      </c>
      <c r="F27" s="227" t="s">
        <v>204</v>
      </c>
      <c r="G27" s="227" t="s">
        <v>205</v>
      </c>
      <c r="H27" s="227" t="s">
        <v>206</v>
      </c>
      <c r="I27" s="206"/>
      <c r="J27" s="206"/>
    </row>
    <row r="28" spans="1:19" x14ac:dyDescent="0.25">
      <c r="A28" s="207" t="s">
        <v>227</v>
      </c>
      <c r="B28" s="210">
        <v>0.16150999999999999</v>
      </c>
      <c r="C28" s="76"/>
      <c r="D28" s="76"/>
      <c r="E28" s="206" t="s">
        <v>210</v>
      </c>
      <c r="F28" s="228"/>
      <c r="G28" s="228" t="s">
        <v>209</v>
      </c>
      <c r="H28" s="228"/>
      <c r="I28" s="206"/>
      <c r="J28" s="206"/>
    </row>
    <row r="29" spans="1:19" x14ac:dyDescent="0.25">
      <c r="A29" s="207" t="s">
        <v>228</v>
      </c>
      <c r="B29" s="210">
        <v>0.19072</v>
      </c>
      <c r="C29" s="76"/>
      <c r="D29" s="76"/>
      <c r="E29" s="206" t="s">
        <v>207</v>
      </c>
      <c r="F29" s="228"/>
      <c r="G29" s="228" t="s">
        <v>209</v>
      </c>
      <c r="H29" s="228"/>
      <c r="I29" s="206"/>
      <c r="J29" s="206"/>
    </row>
    <row r="30" spans="1:19" x14ac:dyDescent="0.25">
      <c r="A30" s="207" t="s">
        <v>229</v>
      </c>
      <c r="B30" s="210">
        <v>0.35649999999999998</v>
      </c>
      <c r="C30" s="76"/>
      <c r="D30" s="76"/>
      <c r="E30" s="204" t="s">
        <v>230</v>
      </c>
      <c r="F30" s="227" t="s">
        <v>204</v>
      </c>
      <c r="G30" s="227" t="s">
        <v>205</v>
      </c>
      <c r="H30" s="227" t="s">
        <v>206</v>
      </c>
      <c r="I30" s="206"/>
      <c r="J30" s="206"/>
    </row>
    <row r="31" spans="1:19" x14ac:dyDescent="0.25">
      <c r="A31" s="229" t="s">
        <v>231</v>
      </c>
      <c r="B31" s="210">
        <v>6.1670000000000003E-2</v>
      </c>
      <c r="C31" s="76"/>
      <c r="D31" s="76"/>
      <c r="E31" s="206" t="s">
        <v>232</v>
      </c>
      <c r="F31" s="228"/>
      <c r="G31" s="228" t="s">
        <v>209</v>
      </c>
      <c r="H31" s="228"/>
      <c r="I31" s="206"/>
      <c r="J31" s="206"/>
    </row>
    <row r="32" spans="1:19" x14ac:dyDescent="0.25">
      <c r="A32" s="212" t="s">
        <v>233</v>
      </c>
      <c r="B32" s="213"/>
      <c r="C32" s="76"/>
      <c r="D32" s="76"/>
      <c r="E32" s="206" t="s">
        <v>234</v>
      </c>
      <c r="F32" s="228" t="s">
        <v>209</v>
      </c>
      <c r="G32" s="228"/>
      <c r="H32" s="228"/>
      <c r="I32" s="206"/>
      <c r="J32" s="206" t="s">
        <v>356</v>
      </c>
    </row>
    <row r="33" spans="1:16" x14ac:dyDescent="0.25">
      <c r="A33" s="207" t="s">
        <v>236</v>
      </c>
      <c r="B33" s="210">
        <v>3.1212311999999999E-2</v>
      </c>
      <c r="C33" s="76"/>
      <c r="D33" s="76"/>
      <c r="E33" s="206" t="s">
        <v>237</v>
      </c>
      <c r="F33" s="228"/>
      <c r="G33" s="228" t="s">
        <v>209</v>
      </c>
      <c r="H33" s="228"/>
      <c r="I33" s="206"/>
      <c r="J33" s="206"/>
      <c r="K33" s="211"/>
      <c r="L33" s="211"/>
      <c r="M33" s="211"/>
      <c r="N33" s="211"/>
      <c r="O33" s="211"/>
      <c r="P33" s="211"/>
    </row>
    <row r="34" spans="1:16" x14ac:dyDescent="0.25">
      <c r="A34" s="207" t="s">
        <v>238</v>
      </c>
      <c r="B34" s="210">
        <v>8.0639999999999998E-4</v>
      </c>
      <c r="C34" s="76"/>
      <c r="D34" s="76"/>
      <c r="E34" s="206" t="s">
        <v>239</v>
      </c>
      <c r="F34" s="228" t="s">
        <v>209</v>
      </c>
      <c r="G34" s="228"/>
      <c r="H34" s="228"/>
      <c r="I34" s="206"/>
      <c r="J34" s="206" t="s">
        <v>357</v>
      </c>
    </row>
    <row r="35" spans="1:16" x14ac:dyDescent="0.25">
      <c r="A35" s="207" t="s">
        <v>239</v>
      </c>
      <c r="B35" s="210">
        <v>1.5564791999999999E-2</v>
      </c>
      <c r="C35" s="76"/>
      <c r="D35" s="76"/>
      <c r="E35" s="206" t="s">
        <v>196</v>
      </c>
      <c r="F35" s="228"/>
      <c r="G35" s="228"/>
      <c r="H35" s="228" t="s">
        <v>209</v>
      </c>
      <c r="I35" s="206"/>
      <c r="J35" s="206"/>
    </row>
    <row r="36" spans="1:16" x14ac:dyDescent="0.25">
      <c r="A36" s="207" t="s">
        <v>240</v>
      </c>
      <c r="B36" s="210">
        <v>1.141504E-2</v>
      </c>
      <c r="C36" s="76"/>
      <c r="D36" s="76"/>
      <c r="E36" s="204" t="s">
        <v>241</v>
      </c>
      <c r="F36" s="227" t="s">
        <v>204</v>
      </c>
      <c r="G36" s="227" t="s">
        <v>205</v>
      </c>
      <c r="H36" s="227" t="s">
        <v>206</v>
      </c>
      <c r="I36" s="206"/>
      <c r="J36" s="206"/>
    </row>
    <row r="37" spans="1:16" x14ac:dyDescent="0.25">
      <c r="A37" s="207" t="s">
        <v>232</v>
      </c>
      <c r="B37" s="210">
        <v>0.86894282</v>
      </c>
      <c r="C37" s="76"/>
      <c r="D37" s="76"/>
      <c r="E37" s="206" t="s">
        <v>242</v>
      </c>
      <c r="F37" s="228" t="s">
        <v>209</v>
      </c>
      <c r="G37" s="228"/>
      <c r="H37" s="228"/>
      <c r="I37" s="206"/>
      <c r="J37" s="206" t="s">
        <v>358</v>
      </c>
    </row>
    <row r="38" spans="1:16" x14ac:dyDescent="0.25">
      <c r="A38" s="207" t="s">
        <v>244</v>
      </c>
      <c r="B38" s="210">
        <v>1.700869E-2</v>
      </c>
      <c r="C38" s="76"/>
      <c r="D38" s="76"/>
      <c r="E38" s="206" t="s">
        <v>245</v>
      </c>
      <c r="F38" s="228"/>
      <c r="G38" s="228"/>
      <c r="H38" s="228" t="s">
        <v>209</v>
      </c>
      <c r="I38" s="206"/>
      <c r="J38" s="206"/>
    </row>
    <row r="39" spans="1:16" x14ac:dyDescent="0.25">
      <c r="A39" s="207" t="s">
        <v>246</v>
      </c>
      <c r="B39" s="210">
        <v>5.5031999999999998E-2</v>
      </c>
      <c r="C39" s="76"/>
      <c r="D39" s="76"/>
      <c r="E39" s="204" t="s">
        <v>247</v>
      </c>
      <c r="F39" s="227" t="s">
        <v>204</v>
      </c>
      <c r="G39" s="227" t="s">
        <v>205</v>
      </c>
      <c r="H39" s="227" t="s">
        <v>206</v>
      </c>
      <c r="I39" s="206"/>
      <c r="J39" s="206"/>
    </row>
    <row r="40" spans="1:16" x14ac:dyDescent="0.25">
      <c r="A40" s="212" t="s">
        <v>248</v>
      </c>
      <c r="B40" s="213"/>
      <c r="C40" s="76"/>
      <c r="D40" s="76"/>
      <c r="E40" s="206" t="s">
        <v>249</v>
      </c>
      <c r="F40" s="228" t="s">
        <v>209</v>
      </c>
      <c r="G40" s="228"/>
      <c r="H40" s="228"/>
      <c r="I40" s="206"/>
      <c r="J40" s="206" t="s">
        <v>359</v>
      </c>
    </row>
    <row r="41" spans="1:16" x14ac:dyDescent="0.25">
      <c r="A41" s="207" t="s">
        <v>242</v>
      </c>
      <c r="B41" s="210">
        <v>0.91</v>
      </c>
      <c r="C41" s="76"/>
      <c r="D41" s="76"/>
      <c r="E41" s="206" t="s">
        <v>251</v>
      </c>
      <c r="F41" s="228"/>
      <c r="G41" s="228"/>
      <c r="H41" s="228" t="s">
        <v>209</v>
      </c>
      <c r="I41" s="206"/>
      <c r="J41" s="206"/>
    </row>
    <row r="42" spans="1:16" x14ac:dyDescent="0.25">
      <c r="A42" s="207" t="s">
        <v>245</v>
      </c>
      <c r="B42" s="210">
        <v>0.09</v>
      </c>
      <c r="C42" s="76"/>
      <c r="D42" s="76"/>
      <c r="E42" s="206" t="s">
        <v>252</v>
      </c>
      <c r="F42" s="228"/>
      <c r="G42" s="228"/>
      <c r="H42" s="228" t="s">
        <v>209</v>
      </c>
      <c r="I42" s="206"/>
      <c r="J42" s="206"/>
      <c r="K42" s="211"/>
      <c r="L42" s="211"/>
      <c r="M42" s="211"/>
      <c r="N42" s="211"/>
      <c r="O42" s="211"/>
    </row>
    <row r="43" spans="1:16" x14ac:dyDescent="0.25">
      <c r="A43" s="212" t="s">
        <v>253</v>
      </c>
      <c r="B43" s="213"/>
      <c r="C43" s="76"/>
      <c r="D43" s="76"/>
      <c r="E43" s="76"/>
    </row>
    <row r="44" spans="1:16" x14ac:dyDescent="0.25">
      <c r="A44" s="207" t="s">
        <v>254</v>
      </c>
      <c r="B44" s="210">
        <v>1.3881744E-2</v>
      </c>
      <c r="C44" s="76"/>
      <c r="D44" s="76"/>
      <c r="E44" s="76"/>
    </row>
    <row r="45" spans="1:16" x14ac:dyDescent="0.25">
      <c r="A45" s="207" t="s">
        <v>255</v>
      </c>
      <c r="B45" s="210">
        <v>6.5007568000000002E-2</v>
      </c>
      <c r="C45" s="76"/>
      <c r="D45" s="76"/>
      <c r="E45" s="76"/>
    </row>
    <row r="46" spans="1:16" x14ac:dyDescent="0.25">
      <c r="A46" s="207" t="s">
        <v>256</v>
      </c>
      <c r="B46" s="210">
        <v>0.21679515199999999</v>
      </c>
      <c r="C46" s="76"/>
      <c r="D46" s="76"/>
      <c r="E46" s="76"/>
    </row>
    <row r="47" spans="1:16" x14ac:dyDescent="0.25">
      <c r="A47" s="207" t="s">
        <v>257</v>
      </c>
      <c r="B47" s="210">
        <v>0.11877812</v>
      </c>
      <c r="C47" s="76"/>
      <c r="D47" s="76"/>
      <c r="E47" s="76"/>
    </row>
    <row r="48" spans="1:16" x14ac:dyDescent="0.25">
      <c r="A48" s="207" t="s">
        <v>258</v>
      </c>
      <c r="B48" s="210">
        <v>0.24682127200000001</v>
      </c>
      <c r="C48" s="76"/>
      <c r="D48" s="76"/>
      <c r="E48" s="76"/>
    </row>
    <row r="49" spans="1:5" x14ac:dyDescent="0.25">
      <c r="A49" s="207" t="s">
        <v>259</v>
      </c>
      <c r="B49" s="210">
        <v>0.33896988</v>
      </c>
      <c r="C49" s="76"/>
      <c r="D49" s="76"/>
      <c r="E49" s="76"/>
    </row>
    <row r="50" spans="1:5" x14ac:dyDescent="0.25">
      <c r="A50" s="175"/>
      <c r="B50" s="106"/>
      <c r="C50" s="76"/>
      <c r="D50" s="76"/>
      <c r="E50" s="76"/>
    </row>
    <row r="52" spans="1:5" x14ac:dyDescent="0.25">
      <c r="A52" s="214" t="s">
        <v>266</v>
      </c>
      <c r="B52" s="175">
        <v>2014</v>
      </c>
      <c r="C52" s="175">
        <v>2019</v>
      </c>
      <c r="D52" s="175" t="s">
        <v>267</v>
      </c>
      <c r="E52" s="175" t="s">
        <v>268</v>
      </c>
    </row>
    <row r="53" spans="1:5" x14ac:dyDescent="0.25">
      <c r="A53" s="184" t="s">
        <v>269</v>
      </c>
      <c r="B53" s="183" t="s">
        <v>360</v>
      </c>
      <c r="C53" s="184" t="s">
        <v>360</v>
      </c>
      <c r="D53" s="184" t="s">
        <v>26</v>
      </c>
      <c r="E53" s="184">
        <v>1</v>
      </c>
    </row>
    <row r="54" spans="1:5" x14ac:dyDescent="0.25">
      <c r="A54" s="184" t="s">
        <v>271</v>
      </c>
      <c r="B54" s="183" t="s">
        <v>270</v>
      </c>
      <c r="C54" s="184" t="s">
        <v>360</v>
      </c>
      <c r="D54" s="184" t="s">
        <v>270</v>
      </c>
      <c r="E54" s="184" t="s">
        <v>303</v>
      </c>
    </row>
    <row r="55" spans="1:5" x14ac:dyDescent="0.25">
      <c r="A55" s="184" t="s">
        <v>272</v>
      </c>
      <c r="B55" s="183" t="s">
        <v>328</v>
      </c>
      <c r="C55" s="184" t="s">
        <v>26</v>
      </c>
      <c r="D55" s="184" t="s">
        <v>273</v>
      </c>
      <c r="E55" s="184">
        <v>1</v>
      </c>
    </row>
    <row r="56" spans="1:5" x14ac:dyDescent="0.25">
      <c r="A56" s="184" t="s">
        <v>274</v>
      </c>
      <c r="B56" s="183" t="s">
        <v>26</v>
      </c>
      <c r="C56" s="184" t="s">
        <v>360</v>
      </c>
      <c r="D56" s="184" t="s">
        <v>26</v>
      </c>
      <c r="E56" s="184" t="s">
        <v>303</v>
      </c>
    </row>
    <row r="57" spans="1:5" x14ac:dyDescent="0.25">
      <c r="A57" s="184" t="s">
        <v>275</v>
      </c>
      <c r="B57" s="183" t="s">
        <v>5</v>
      </c>
      <c r="C57" s="184" t="s">
        <v>270</v>
      </c>
      <c r="D57" s="184" t="s">
        <v>273</v>
      </c>
      <c r="E57" s="184">
        <v>1</v>
      </c>
    </row>
    <row r="59" spans="1:5" x14ac:dyDescent="0.25">
      <c r="A59" s="184">
        <v>1</v>
      </c>
      <c r="B59" s="184" t="s">
        <v>276</v>
      </c>
    </row>
    <row r="60" spans="1:5" x14ac:dyDescent="0.25">
      <c r="A60" s="184">
        <v>2</v>
      </c>
      <c r="B60" s="184" t="s">
        <v>277</v>
      </c>
    </row>
    <row r="62" spans="1:5" x14ac:dyDescent="0.25">
      <c r="A62" s="214" t="s">
        <v>305</v>
      </c>
    </row>
    <row r="63" spans="1:5" x14ac:dyDescent="0.25">
      <c r="B63" s="184" t="s">
        <v>361</v>
      </c>
    </row>
    <row r="64" spans="1:5" x14ac:dyDescent="0.25">
      <c r="B64" s="184" t="s">
        <v>362</v>
      </c>
    </row>
    <row r="65" spans="1:4" x14ac:dyDescent="0.25">
      <c r="B65" s="184" t="s">
        <v>363</v>
      </c>
    </row>
    <row r="66" spans="1:4" x14ac:dyDescent="0.25">
      <c r="B66" s="184" t="s">
        <v>364</v>
      </c>
    </row>
    <row r="67" spans="1:4" x14ac:dyDescent="0.25">
      <c r="B67" s="184" t="s">
        <v>310</v>
      </c>
    </row>
    <row r="70" spans="1:4" x14ac:dyDescent="0.25">
      <c r="A70" s="216" t="s">
        <v>286</v>
      </c>
      <c r="B70" s="216" t="s">
        <v>287</v>
      </c>
      <c r="C70" s="216" t="s">
        <v>280</v>
      </c>
      <c r="D70" s="216" t="s">
        <v>268</v>
      </c>
    </row>
    <row r="71" spans="1:4" x14ac:dyDescent="0.25">
      <c r="A71" s="218" t="s">
        <v>342</v>
      </c>
      <c r="B71" s="184">
        <v>1</v>
      </c>
      <c r="C71" s="219">
        <v>0.106</v>
      </c>
    </row>
    <row r="72" spans="1:4" x14ac:dyDescent="0.25">
      <c r="A72" s="218" t="s">
        <v>365</v>
      </c>
      <c r="B72" s="184">
        <v>2</v>
      </c>
      <c r="C72" s="219">
        <v>4.2000000000000003E-2</v>
      </c>
    </row>
    <row r="73" spans="1:4" x14ac:dyDescent="0.25">
      <c r="A73" s="218" t="s">
        <v>366</v>
      </c>
      <c r="B73" s="184">
        <v>3</v>
      </c>
      <c r="C73" s="219">
        <v>3.9E-2</v>
      </c>
    </row>
    <row r="74" spans="1:4" x14ac:dyDescent="0.25">
      <c r="A74" s="218" t="s">
        <v>367</v>
      </c>
      <c r="C74" s="219"/>
    </row>
    <row r="75" spans="1:4" x14ac:dyDescent="0.25">
      <c r="A75" s="218" t="s">
        <v>368</v>
      </c>
      <c r="C75" s="219"/>
    </row>
    <row r="76" spans="1:4" x14ac:dyDescent="0.25">
      <c r="A76" s="218" t="s">
        <v>369</v>
      </c>
      <c r="C76" s="219"/>
    </row>
    <row r="77" spans="1:4" x14ac:dyDescent="0.25">
      <c r="A77" s="218" t="s">
        <v>370</v>
      </c>
      <c r="C77" s="219"/>
    </row>
    <row r="78" spans="1:4" x14ac:dyDescent="0.25">
      <c r="A78" s="218" t="s">
        <v>371</v>
      </c>
      <c r="C78" s="219"/>
    </row>
    <row r="79" spans="1:4" x14ac:dyDescent="0.25">
      <c r="A79" s="218" t="s">
        <v>372</v>
      </c>
      <c r="C79" s="219"/>
    </row>
    <row r="80" spans="1:4" x14ac:dyDescent="0.25">
      <c r="A80" s="218" t="s">
        <v>373</v>
      </c>
      <c r="C80" s="219"/>
    </row>
    <row r="81" spans="1:4" x14ac:dyDescent="0.25">
      <c r="A81" s="218" t="s">
        <v>374</v>
      </c>
      <c r="C81" s="219"/>
    </row>
    <row r="82" spans="1:4" x14ac:dyDescent="0.25">
      <c r="A82" s="218" t="s">
        <v>375</v>
      </c>
      <c r="C82" s="219"/>
    </row>
    <row r="83" spans="1:4" x14ac:dyDescent="0.25">
      <c r="A83" s="218" t="s">
        <v>376</v>
      </c>
      <c r="C83" s="219"/>
    </row>
    <row r="84" spans="1:4" x14ac:dyDescent="0.25">
      <c r="A84" s="218" t="s">
        <v>377</v>
      </c>
      <c r="C84" s="219"/>
    </row>
    <row r="85" spans="1:4" x14ac:dyDescent="0.25">
      <c r="A85" s="218" t="s">
        <v>378</v>
      </c>
      <c r="C85" s="219"/>
    </row>
    <row r="86" spans="1:4" x14ac:dyDescent="0.25">
      <c r="A86" s="218" t="s">
        <v>379</v>
      </c>
      <c r="C86" s="219"/>
    </row>
    <row r="88" spans="1:4" x14ac:dyDescent="0.25">
      <c r="B88" s="780" t="s">
        <v>291</v>
      </c>
      <c r="C88" s="780"/>
      <c r="D88" s="780"/>
    </row>
    <row r="89" spans="1:4" x14ac:dyDescent="0.25">
      <c r="B89" s="184">
        <v>2019</v>
      </c>
      <c r="C89" s="184">
        <v>2014</v>
      </c>
      <c r="D89" s="184" t="s">
        <v>292</v>
      </c>
    </row>
    <row r="90" spans="1:4" x14ac:dyDescent="0.25">
      <c r="B90" s="178">
        <v>0.08</v>
      </c>
      <c r="C90" s="178">
        <v>0.04</v>
      </c>
      <c r="D90" s="184" t="s">
        <v>317</v>
      </c>
    </row>
    <row r="92" spans="1:4" x14ac:dyDescent="0.25">
      <c r="B92" s="780" t="s">
        <v>294</v>
      </c>
      <c r="C92" s="780"/>
      <c r="D92" s="780"/>
    </row>
    <row r="93" spans="1:4" x14ac:dyDescent="0.25">
      <c r="B93" s="184">
        <v>2019</v>
      </c>
      <c r="C93" s="184">
        <v>2014</v>
      </c>
      <c r="D93" s="184" t="s">
        <v>292</v>
      </c>
    </row>
    <row r="94" spans="1:4" x14ac:dyDescent="0.25">
      <c r="B94" s="178">
        <v>0.18</v>
      </c>
      <c r="C94" s="178">
        <v>0.17</v>
      </c>
      <c r="D94" s="184" t="s">
        <v>317</v>
      </c>
    </row>
    <row r="96" spans="1:4" x14ac:dyDescent="0.25">
      <c r="B96" s="780" t="s">
        <v>295</v>
      </c>
      <c r="C96" s="780"/>
      <c r="D96" s="780"/>
    </row>
    <row r="97" spans="1:4" x14ac:dyDescent="0.25">
      <c r="B97" s="184">
        <v>2019</v>
      </c>
      <c r="C97" s="184">
        <v>2014</v>
      </c>
      <c r="D97" s="184" t="s">
        <v>292</v>
      </c>
    </row>
    <row r="98" spans="1:4" x14ac:dyDescent="0.25">
      <c r="B98" s="178">
        <v>0.99</v>
      </c>
      <c r="C98" s="178">
        <v>0.97</v>
      </c>
      <c r="D98" s="184" t="s">
        <v>318</v>
      </c>
    </row>
    <row r="99" spans="1:4" x14ac:dyDescent="0.25">
      <c r="B99" s="184" t="s">
        <v>296</v>
      </c>
    </row>
    <row r="101" spans="1:4" x14ac:dyDescent="0.25">
      <c r="B101" s="780" t="s">
        <v>297</v>
      </c>
      <c r="C101" s="780"/>
      <c r="D101" s="780"/>
    </row>
    <row r="102" spans="1:4" x14ac:dyDescent="0.25">
      <c r="B102" s="184">
        <v>2019</v>
      </c>
      <c r="C102" s="184">
        <v>2014</v>
      </c>
      <c r="D102" s="184" t="s">
        <v>292</v>
      </c>
    </row>
    <row r="103" spans="1:4" x14ac:dyDescent="0.25">
      <c r="B103" s="178">
        <v>0.96</v>
      </c>
      <c r="C103" s="178">
        <v>0.95</v>
      </c>
      <c r="D103" s="184" t="s">
        <v>317</v>
      </c>
    </row>
    <row r="105" spans="1:4" x14ac:dyDescent="0.25">
      <c r="A105" s="214" t="s">
        <v>298</v>
      </c>
      <c r="B105" s="214" t="s">
        <v>299</v>
      </c>
    </row>
    <row r="106" spans="1:4" x14ac:dyDescent="0.25">
      <c r="A106" s="184" t="s">
        <v>300</v>
      </c>
      <c r="B106" s="178">
        <v>7.0999999999999994E-2</v>
      </c>
    </row>
    <row r="107" spans="1:4" x14ac:dyDescent="0.25">
      <c r="A107" s="184" t="s">
        <v>301</v>
      </c>
      <c r="B107" s="219">
        <v>0.115</v>
      </c>
    </row>
  </sheetData>
  <mergeCells count="6">
    <mergeCell ref="B101:D101"/>
    <mergeCell ref="B1:E1"/>
    <mergeCell ref="A8:C8"/>
    <mergeCell ref="B88:D88"/>
    <mergeCell ref="B92:D92"/>
    <mergeCell ref="B96:D9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62671-098E-4E00-B0B1-967832101BDC}">
  <sheetPr>
    <tabColor theme="1" tint="0.34998626667073579"/>
  </sheetPr>
  <dimension ref="A1:S106"/>
  <sheetViews>
    <sheetView zoomScaleNormal="100" workbookViewId="0">
      <selection activeCell="I16" sqref="I16"/>
    </sheetView>
  </sheetViews>
  <sheetFormatPr defaultRowHeight="15" x14ac:dyDescent="0.25"/>
  <cols>
    <col min="1" max="1" width="38.7109375" style="184" customWidth="1"/>
    <col min="2" max="2" width="18" style="184" customWidth="1"/>
    <col min="3" max="3" width="17.5703125" style="184" customWidth="1"/>
    <col min="4" max="4" width="15.42578125" style="184" customWidth="1"/>
    <col min="5" max="6" width="9.140625" style="184"/>
    <col min="7" max="7" width="11.5703125" style="184" bestFit="1" customWidth="1"/>
    <col min="8" max="8" width="16.85546875" style="184" bestFit="1" customWidth="1"/>
    <col min="9" max="9" width="15.5703125" style="184" bestFit="1" customWidth="1"/>
    <col min="10" max="16384" width="9.140625" style="184"/>
  </cols>
  <sheetData>
    <row r="1" spans="1:12" x14ac:dyDescent="0.25">
      <c r="B1" s="779" t="s">
        <v>192</v>
      </c>
      <c r="C1" s="779"/>
      <c r="D1" s="779"/>
      <c r="E1" s="779"/>
    </row>
    <row r="2" spans="1:12" x14ac:dyDescent="0.25">
      <c r="B2" s="184" t="s">
        <v>193</v>
      </c>
      <c r="C2" s="184" t="s">
        <v>194</v>
      </c>
      <c r="D2" s="184" t="s">
        <v>195</v>
      </c>
      <c r="E2" s="184" t="s">
        <v>196</v>
      </c>
    </row>
    <row r="3" spans="1:12" x14ac:dyDescent="0.25">
      <c r="B3" s="178">
        <v>0.66</v>
      </c>
      <c r="C3" s="178">
        <v>0.23</v>
      </c>
      <c r="D3" s="178">
        <v>0.09</v>
      </c>
      <c r="E3" s="178">
        <v>0.02</v>
      </c>
      <c r="F3" s="178"/>
      <c r="G3" s="178"/>
      <c r="H3" s="178"/>
    </row>
    <row r="4" spans="1:12" x14ac:dyDescent="0.25">
      <c r="B4" s="99"/>
      <c r="C4" s="99"/>
      <c r="D4" s="178"/>
      <c r="E4" s="178"/>
      <c r="F4" s="178"/>
      <c r="G4" s="178"/>
      <c r="H4" s="178"/>
      <c r="I4" s="178"/>
      <c r="J4" s="178"/>
      <c r="K4" s="178"/>
      <c r="L4" s="178"/>
    </row>
    <row r="5" spans="1:12" x14ac:dyDescent="0.25">
      <c r="B5" s="220" t="s">
        <v>197</v>
      </c>
      <c r="C5" s="220" t="s">
        <v>198</v>
      </c>
      <c r="D5" s="220" t="s">
        <v>199</v>
      </c>
      <c r="E5" s="178"/>
      <c r="F5" s="178"/>
      <c r="J5" s="178"/>
      <c r="K5" s="178"/>
      <c r="L5" s="178"/>
    </row>
    <row r="6" spans="1:12" x14ac:dyDescent="0.25">
      <c r="B6" s="99">
        <v>282600</v>
      </c>
      <c r="C6" s="99">
        <v>1100</v>
      </c>
      <c r="D6" s="99">
        <v>350</v>
      </c>
      <c r="E6" s="178"/>
      <c r="F6" s="178"/>
      <c r="J6" s="178"/>
      <c r="K6" s="178"/>
      <c r="L6" s="178"/>
    </row>
    <row r="7" spans="1:12" x14ac:dyDescent="0.25">
      <c r="B7" s="99"/>
      <c r="C7" s="99"/>
      <c r="D7" s="178"/>
      <c r="E7" s="178"/>
      <c r="F7" s="178"/>
      <c r="G7" s="99"/>
      <c r="H7" s="99"/>
      <c r="I7" s="99"/>
      <c r="J7" s="178"/>
      <c r="K7" s="178"/>
      <c r="L7" s="178"/>
    </row>
    <row r="8" spans="1:12" x14ac:dyDescent="0.25">
      <c r="A8" s="780" t="s">
        <v>260</v>
      </c>
      <c r="B8" s="780"/>
      <c r="C8" s="780"/>
      <c r="D8" s="178"/>
      <c r="E8" s="178"/>
      <c r="F8" s="178"/>
      <c r="G8" s="178"/>
      <c r="H8" s="178"/>
      <c r="I8" s="178"/>
      <c r="J8" s="178"/>
      <c r="K8" s="178"/>
      <c r="L8" s="178"/>
    </row>
    <row r="9" spans="1:12" x14ac:dyDescent="0.25">
      <c r="B9" s="99" t="s">
        <v>261</v>
      </c>
      <c r="C9" s="178">
        <v>0.99099999999999999</v>
      </c>
      <c r="D9" s="178" t="s">
        <v>293</v>
      </c>
      <c r="E9" s="178"/>
      <c r="F9" s="178"/>
      <c r="G9" s="178"/>
      <c r="H9" s="178"/>
      <c r="I9" s="178"/>
      <c r="J9" s="178"/>
      <c r="K9" s="178"/>
      <c r="L9" s="178"/>
    </row>
    <row r="10" spans="1:12" x14ac:dyDescent="0.25">
      <c r="B10" s="99" t="s">
        <v>262</v>
      </c>
      <c r="C10" s="178">
        <v>1.7000000000000001E-2</v>
      </c>
      <c r="D10" s="178" t="s">
        <v>293</v>
      </c>
      <c r="E10" s="178"/>
      <c r="F10" s="178"/>
      <c r="G10" s="178"/>
      <c r="H10" s="178"/>
      <c r="I10" s="178"/>
      <c r="J10" s="178"/>
      <c r="K10" s="178"/>
      <c r="L10" s="178"/>
    </row>
    <row r="11" spans="1:12" x14ac:dyDescent="0.25">
      <c r="B11" s="99" t="s">
        <v>263</v>
      </c>
      <c r="C11" s="178">
        <v>2.1000000000000001E-2</v>
      </c>
      <c r="D11" s="178" t="s">
        <v>293</v>
      </c>
      <c r="E11" s="178"/>
      <c r="F11" s="178"/>
      <c r="G11" s="178"/>
      <c r="H11" s="178"/>
      <c r="I11" s="178"/>
      <c r="J11" s="178"/>
      <c r="K11" s="178"/>
      <c r="L11" s="178"/>
    </row>
    <row r="12" spans="1:12" x14ac:dyDescent="0.25">
      <c r="B12" s="99" t="s">
        <v>264</v>
      </c>
      <c r="C12" s="178">
        <v>2.0500000000000001E-2</v>
      </c>
      <c r="D12" s="178" t="s">
        <v>293</v>
      </c>
      <c r="E12" s="178"/>
      <c r="F12" s="178"/>
      <c r="G12" s="178"/>
      <c r="H12" s="178"/>
      <c r="I12" s="178"/>
      <c r="J12" s="178"/>
      <c r="K12" s="178"/>
      <c r="L12" s="178"/>
    </row>
    <row r="13" spans="1:12" x14ac:dyDescent="0.25">
      <c r="B13" s="99" t="s">
        <v>265</v>
      </c>
      <c r="C13" s="178">
        <v>5.3600000000000002E-2</v>
      </c>
      <c r="D13" s="178" t="s">
        <v>293</v>
      </c>
      <c r="E13" s="178"/>
      <c r="F13" s="178"/>
      <c r="G13" s="178"/>
      <c r="H13" s="178"/>
      <c r="I13" s="178"/>
      <c r="J13" s="178"/>
      <c r="K13" s="178"/>
      <c r="L13" s="178"/>
    </row>
    <row r="15" spans="1:12" x14ac:dyDescent="0.25">
      <c r="A15" s="175" t="s">
        <v>200</v>
      </c>
      <c r="B15" s="106"/>
      <c r="C15" s="76"/>
      <c r="D15" s="76"/>
      <c r="E15" s="76"/>
    </row>
    <row r="16" spans="1:12" x14ac:dyDescent="0.25">
      <c r="A16" s="202" t="s">
        <v>201</v>
      </c>
      <c r="B16" s="203" t="s">
        <v>202</v>
      </c>
      <c r="C16" s="76"/>
      <c r="D16" s="76"/>
      <c r="E16" s="204" t="s">
        <v>203</v>
      </c>
      <c r="F16" s="205" t="s">
        <v>204</v>
      </c>
      <c r="G16" s="205" t="s">
        <v>205</v>
      </c>
      <c r="H16" s="205" t="s">
        <v>206</v>
      </c>
      <c r="I16" s="206"/>
      <c r="J16" s="206"/>
    </row>
    <row r="17" spans="1:19" x14ac:dyDescent="0.25">
      <c r="A17" s="207" t="s">
        <v>207</v>
      </c>
      <c r="B17" s="199">
        <v>0.54139999999999999</v>
      </c>
      <c r="C17" s="76"/>
      <c r="D17" s="76"/>
      <c r="E17" s="206" t="s">
        <v>208</v>
      </c>
      <c r="F17" s="208" t="s">
        <v>209</v>
      </c>
      <c r="G17" s="208"/>
      <c r="H17" s="208"/>
      <c r="I17" s="206"/>
      <c r="J17" s="206" t="s">
        <v>380</v>
      </c>
    </row>
    <row r="18" spans="1:19" x14ac:dyDescent="0.25">
      <c r="A18" s="207" t="s">
        <v>210</v>
      </c>
      <c r="B18" s="199">
        <v>0.45779999999999998</v>
      </c>
      <c r="C18" s="76"/>
      <c r="D18" s="76"/>
      <c r="E18" s="206" t="s">
        <v>211</v>
      </c>
      <c r="F18" s="208" t="s">
        <v>209</v>
      </c>
      <c r="G18" s="208"/>
      <c r="H18" s="208"/>
      <c r="I18" s="206"/>
      <c r="J18" s="206" t="s">
        <v>381</v>
      </c>
    </row>
    <row r="19" spans="1:19" x14ac:dyDescent="0.25">
      <c r="A19" s="207" t="s">
        <v>196</v>
      </c>
      <c r="B19" s="199">
        <v>6.8000000000000005E-4</v>
      </c>
      <c r="C19" s="76"/>
      <c r="D19" s="76"/>
      <c r="E19" s="183" t="s">
        <v>212</v>
      </c>
      <c r="F19" s="208" t="s">
        <v>209</v>
      </c>
      <c r="G19" s="208"/>
      <c r="H19" s="208"/>
      <c r="I19" s="206"/>
      <c r="J19" s="206" t="s">
        <v>382</v>
      </c>
    </row>
    <row r="20" spans="1:19" x14ac:dyDescent="0.25">
      <c r="A20" s="202" t="s">
        <v>213</v>
      </c>
      <c r="B20" s="209"/>
      <c r="C20" s="76"/>
      <c r="D20" s="76"/>
      <c r="E20" s="206" t="s">
        <v>214</v>
      </c>
      <c r="F20" s="208" t="s">
        <v>209</v>
      </c>
      <c r="G20" s="208"/>
      <c r="H20" s="208"/>
      <c r="I20" s="206"/>
      <c r="J20" s="206" t="s">
        <v>354</v>
      </c>
      <c r="K20" s="211"/>
      <c r="L20" s="211"/>
      <c r="M20" s="211"/>
      <c r="N20" s="211"/>
      <c r="O20" s="211"/>
      <c r="P20" s="211"/>
      <c r="Q20" s="211"/>
      <c r="R20" s="211"/>
      <c r="S20" s="211"/>
    </row>
    <row r="21" spans="1:19" x14ac:dyDescent="0.25">
      <c r="A21" s="207" t="s">
        <v>215</v>
      </c>
      <c r="B21" s="210">
        <v>2.588619E-2</v>
      </c>
      <c r="C21" s="76"/>
      <c r="D21" s="76"/>
      <c r="E21" s="206" t="s">
        <v>216</v>
      </c>
      <c r="F21" s="208" t="s">
        <v>209</v>
      </c>
      <c r="G21" s="208"/>
      <c r="H21" s="208"/>
      <c r="I21" s="206"/>
      <c r="J21" s="206" t="s">
        <v>354</v>
      </c>
    </row>
    <row r="22" spans="1:19" x14ac:dyDescent="0.25">
      <c r="A22" s="207" t="s">
        <v>217</v>
      </c>
      <c r="B22" s="210">
        <v>3.8716E-2</v>
      </c>
      <c r="C22" s="76"/>
      <c r="D22" s="76"/>
      <c r="E22" s="206" t="s">
        <v>218</v>
      </c>
      <c r="F22" s="208"/>
      <c r="G22" s="208" t="s">
        <v>209</v>
      </c>
      <c r="H22" s="208"/>
      <c r="I22" s="206"/>
      <c r="J22" s="206"/>
    </row>
    <row r="23" spans="1:19" x14ac:dyDescent="0.25">
      <c r="A23" s="207" t="s">
        <v>219</v>
      </c>
      <c r="B23" s="210">
        <v>2.3099000000000001E-2</v>
      </c>
      <c r="C23" s="76"/>
      <c r="D23" s="76"/>
      <c r="E23" s="206" t="s">
        <v>220</v>
      </c>
      <c r="F23" s="208"/>
      <c r="G23" s="208"/>
      <c r="H23" s="208" t="s">
        <v>209</v>
      </c>
      <c r="I23" s="206"/>
      <c r="J23" s="206"/>
    </row>
    <row r="24" spans="1:19" x14ac:dyDescent="0.25">
      <c r="A24" s="207" t="s">
        <v>221</v>
      </c>
      <c r="B24" s="210">
        <v>1.3010000000000001E-2</v>
      </c>
      <c r="C24" s="76"/>
      <c r="D24" s="76"/>
      <c r="E24" s="206" t="s">
        <v>222</v>
      </c>
      <c r="F24" s="208"/>
      <c r="G24" s="208"/>
      <c r="H24" s="208" t="s">
        <v>209</v>
      </c>
      <c r="I24" s="206"/>
      <c r="J24" s="206"/>
    </row>
    <row r="25" spans="1:19" x14ac:dyDescent="0.25">
      <c r="A25" s="207" t="s">
        <v>223</v>
      </c>
      <c r="B25" s="210">
        <v>2.1100000000000001E-2</v>
      </c>
      <c r="C25" s="76"/>
      <c r="D25" s="76"/>
      <c r="E25" s="206" t="s">
        <v>224</v>
      </c>
      <c r="F25" s="208"/>
      <c r="G25" s="208" t="s">
        <v>209</v>
      </c>
      <c r="H25" s="208"/>
      <c r="I25" s="206"/>
      <c r="J25" s="206"/>
    </row>
    <row r="26" spans="1:19" x14ac:dyDescent="0.25">
      <c r="A26" s="207" t="s">
        <v>225</v>
      </c>
      <c r="B26" s="210">
        <v>8.9171E-2</v>
      </c>
      <c r="C26" s="76"/>
      <c r="D26" s="76"/>
      <c r="E26" s="204" t="s">
        <v>226</v>
      </c>
      <c r="F26" s="205" t="s">
        <v>204</v>
      </c>
      <c r="G26" s="205" t="s">
        <v>205</v>
      </c>
      <c r="H26" s="205" t="s">
        <v>206</v>
      </c>
      <c r="I26" s="206"/>
      <c r="J26" s="206"/>
    </row>
    <row r="27" spans="1:19" x14ac:dyDescent="0.25">
      <c r="A27" s="207" t="s">
        <v>227</v>
      </c>
      <c r="B27" s="210">
        <v>0.10889500000000001</v>
      </c>
      <c r="C27" s="76"/>
      <c r="D27" s="76"/>
      <c r="E27" s="206" t="s">
        <v>210</v>
      </c>
      <c r="F27" s="208" t="s">
        <v>209</v>
      </c>
      <c r="G27" s="208"/>
      <c r="H27" s="208"/>
      <c r="I27" s="206"/>
      <c r="J27" s="206" t="s">
        <v>383</v>
      </c>
    </row>
    <row r="28" spans="1:19" x14ac:dyDescent="0.25">
      <c r="A28" s="207" t="s">
        <v>228</v>
      </c>
      <c r="B28" s="210">
        <v>0.32641300000000001</v>
      </c>
      <c r="C28" s="76"/>
      <c r="D28" s="76"/>
      <c r="E28" s="206" t="s">
        <v>207</v>
      </c>
      <c r="F28" s="208"/>
      <c r="G28" s="208"/>
      <c r="H28" s="208" t="s">
        <v>209</v>
      </c>
      <c r="I28" s="206"/>
      <c r="J28" s="206"/>
    </row>
    <row r="29" spans="1:19" x14ac:dyDescent="0.25">
      <c r="A29" s="207" t="s">
        <v>229</v>
      </c>
      <c r="B29" s="210">
        <v>0.30286999999999997</v>
      </c>
      <c r="C29" s="76"/>
      <c r="D29" s="76"/>
      <c r="E29" s="204" t="s">
        <v>230</v>
      </c>
      <c r="F29" s="205" t="s">
        <v>204</v>
      </c>
      <c r="G29" s="205" t="s">
        <v>205</v>
      </c>
      <c r="H29" s="205" t="s">
        <v>206</v>
      </c>
      <c r="I29" s="206"/>
      <c r="J29" s="206"/>
    </row>
    <row r="30" spans="1:19" x14ac:dyDescent="0.25">
      <c r="A30" s="207" t="s">
        <v>231</v>
      </c>
      <c r="B30" s="210">
        <v>5.1792999999999999E-2</v>
      </c>
      <c r="C30" s="76"/>
      <c r="D30" s="76"/>
      <c r="E30" s="206" t="s">
        <v>232</v>
      </c>
      <c r="F30" s="208"/>
      <c r="G30" s="208"/>
      <c r="H30" s="208" t="s">
        <v>209</v>
      </c>
      <c r="I30" s="206"/>
      <c r="J30" s="206"/>
    </row>
    <row r="31" spans="1:19" x14ac:dyDescent="0.25">
      <c r="A31" s="212" t="s">
        <v>233</v>
      </c>
      <c r="B31" s="213"/>
      <c r="C31" s="76"/>
      <c r="D31" s="76"/>
      <c r="E31" s="206" t="s">
        <v>234</v>
      </c>
      <c r="F31" s="208" t="s">
        <v>209</v>
      </c>
      <c r="G31" s="208"/>
      <c r="H31" s="208"/>
      <c r="I31" s="206"/>
      <c r="J31" s="206" t="s">
        <v>356</v>
      </c>
      <c r="K31" s="211"/>
      <c r="L31" s="211"/>
      <c r="M31" s="211"/>
      <c r="N31" s="211"/>
      <c r="O31" s="211"/>
      <c r="P31" s="211"/>
    </row>
    <row r="32" spans="1:19" x14ac:dyDescent="0.25">
      <c r="A32" s="207" t="s">
        <v>236</v>
      </c>
      <c r="B32" s="210">
        <v>3.0153019999999999E-2</v>
      </c>
      <c r="C32" s="76"/>
      <c r="D32" s="76"/>
      <c r="E32" s="206" t="s">
        <v>237</v>
      </c>
      <c r="F32" s="208"/>
      <c r="G32" s="208" t="s">
        <v>209</v>
      </c>
      <c r="H32" s="208"/>
      <c r="I32" s="206"/>
      <c r="J32" s="206"/>
    </row>
    <row r="33" spans="1:15" x14ac:dyDescent="0.25">
      <c r="A33" s="207" t="s">
        <v>238</v>
      </c>
      <c r="B33" s="210">
        <v>4.8509299999999998E-3</v>
      </c>
      <c r="C33" s="76"/>
      <c r="D33" s="76"/>
      <c r="E33" s="206" t="s">
        <v>239</v>
      </c>
      <c r="F33" s="208"/>
      <c r="G33" s="208" t="s">
        <v>209</v>
      </c>
      <c r="H33" s="208"/>
      <c r="I33" s="206"/>
      <c r="J33" s="206"/>
    </row>
    <row r="34" spans="1:15" x14ac:dyDescent="0.25">
      <c r="A34" s="207" t="s">
        <v>239</v>
      </c>
      <c r="B34" s="210">
        <v>4.2359027E-2</v>
      </c>
      <c r="C34" s="76"/>
      <c r="D34" s="76"/>
      <c r="E34" s="206" t="s">
        <v>196</v>
      </c>
      <c r="F34" s="208" t="s">
        <v>209</v>
      </c>
      <c r="G34" s="208"/>
      <c r="H34" s="208"/>
      <c r="I34" s="206"/>
      <c r="J34" s="206" t="s">
        <v>384</v>
      </c>
    </row>
    <row r="35" spans="1:15" x14ac:dyDescent="0.25">
      <c r="A35" s="207" t="s">
        <v>240</v>
      </c>
      <c r="B35" s="210">
        <v>0</v>
      </c>
      <c r="C35" s="76"/>
      <c r="D35" s="76"/>
      <c r="E35" s="204" t="s">
        <v>241</v>
      </c>
      <c r="F35" s="205" t="s">
        <v>204</v>
      </c>
      <c r="G35" s="205" t="s">
        <v>205</v>
      </c>
      <c r="H35" s="205" t="s">
        <v>206</v>
      </c>
      <c r="I35" s="206"/>
      <c r="J35" s="206"/>
    </row>
    <row r="36" spans="1:15" x14ac:dyDescent="0.25">
      <c r="A36" s="207" t="s">
        <v>232</v>
      </c>
      <c r="B36" s="210">
        <v>0.91539652999999999</v>
      </c>
      <c r="C36" s="76"/>
      <c r="D36" s="76"/>
      <c r="E36" s="206" t="s">
        <v>242</v>
      </c>
      <c r="F36" s="208"/>
      <c r="G36" s="208"/>
      <c r="H36" s="208" t="s">
        <v>209</v>
      </c>
      <c r="I36" s="206"/>
      <c r="J36" s="206"/>
    </row>
    <row r="37" spans="1:15" x14ac:dyDescent="0.25">
      <c r="A37" s="207" t="s">
        <v>244</v>
      </c>
      <c r="B37" s="210">
        <v>7.2436200000000001E-3</v>
      </c>
      <c r="C37" s="76"/>
      <c r="D37" s="76"/>
      <c r="E37" s="206" t="s">
        <v>245</v>
      </c>
      <c r="F37" s="208" t="s">
        <v>209</v>
      </c>
      <c r="G37" s="208"/>
      <c r="H37" s="208"/>
      <c r="I37" s="206"/>
      <c r="J37" s="206" t="s">
        <v>385</v>
      </c>
    </row>
    <row r="38" spans="1:15" x14ac:dyDescent="0.25">
      <c r="A38" s="207" t="s">
        <v>246</v>
      </c>
      <c r="B38" s="210">
        <v>0</v>
      </c>
      <c r="C38" s="76"/>
      <c r="D38" s="76"/>
      <c r="E38" s="204" t="s">
        <v>247</v>
      </c>
      <c r="F38" s="205" t="s">
        <v>204</v>
      </c>
      <c r="G38" s="205" t="s">
        <v>205</v>
      </c>
      <c r="H38" s="205" t="s">
        <v>206</v>
      </c>
      <c r="I38" s="206"/>
      <c r="J38" s="206"/>
    </row>
    <row r="39" spans="1:15" x14ac:dyDescent="0.25">
      <c r="A39" s="212" t="s">
        <v>248</v>
      </c>
      <c r="B39" s="213"/>
      <c r="C39" s="76"/>
      <c r="D39" s="76"/>
      <c r="E39" s="206" t="s">
        <v>249</v>
      </c>
      <c r="F39" s="208" t="s">
        <v>209</v>
      </c>
      <c r="G39" s="208"/>
      <c r="H39" s="208"/>
      <c r="I39" s="206"/>
      <c r="J39" s="206" t="s">
        <v>386</v>
      </c>
    </row>
    <row r="40" spans="1:15" x14ac:dyDescent="0.25">
      <c r="A40" s="207" t="s">
        <v>242</v>
      </c>
      <c r="B40" s="210">
        <v>0.99399999999999999</v>
      </c>
      <c r="C40" s="76"/>
      <c r="D40" s="76"/>
      <c r="E40" s="206" t="s">
        <v>251</v>
      </c>
      <c r="F40" s="208"/>
      <c r="G40" s="208" t="s">
        <v>209</v>
      </c>
      <c r="H40" s="208"/>
      <c r="I40" s="206"/>
      <c r="J40" s="206"/>
    </row>
    <row r="41" spans="1:15" x14ac:dyDescent="0.25">
      <c r="A41" s="207" t="s">
        <v>245</v>
      </c>
      <c r="B41" s="210">
        <v>6.0000000000000001E-3</v>
      </c>
      <c r="C41" s="76"/>
      <c r="D41" s="76"/>
      <c r="E41" s="206" t="s">
        <v>252</v>
      </c>
      <c r="F41" s="208"/>
      <c r="G41" s="208"/>
      <c r="H41" s="208" t="s">
        <v>209</v>
      </c>
      <c r="I41" s="206"/>
      <c r="J41" s="206"/>
      <c r="K41" s="211"/>
      <c r="L41" s="211"/>
      <c r="M41" s="211"/>
      <c r="N41" s="211"/>
      <c r="O41" s="211"/>
    </row>
    <row r="42" spans="1:15" x14ac:dyDescent="0.25">
      <c r="A42" s="212" t="s">
        <v>253</v>
      </c>
      <c r="B42" s="213"/>
      <c r="C42" s="76"/>
      <c r="D42" s="76"/>
      <c r="E42" s="76"/>
    </row>
    <row r="43" spans="1:15" x14ac:dyDescent="0.25">
      <c r="A43" s="207" t="s">
        <v>254</v>
      </c>
      <c r="B43" s="210">
        <v>3.4084905999999998E-2</v>
      </c>
      <c r="C43" s="76"/>
      <c r="D43" s="76"/>
      <c r="E43" s="76"/>
    </row>
    <row r="44" spans="1:15" x14ac:dyDescent="0.25">
      <c r="A44" s="207" t="s">
        <v>255</v>
      </c>
      <c r="B44" s="210">
        <v>0.116708981</v>
      </c>
      <c r="C44" s="76"/>
      <c r="D44" s="76"/>
      <c r="E44" s="76"/>
    </row>
    <row r="45" spans="1:15" x14ac:dyDescent="0.25">
      <c r="A45" s="207" t="s">
        <v>256</v>
      </c>
      <c r="B45" s="210">
        <v>0.186157357</v>
      </c>
      <c r="C45" s="76"/>
      <c r="D45" s="76"/>
      <c r="E45" s="76"/>
    </row>
    <row r="46" spans="1:15" x14ac:dyDescent="0.25">
      <c r="A46" s="207" t="s">
        <v>257</v>
      </c>
      <c r="B46" s="210">
        <v>0.20946002</v>
      </c>
      <c r="C46" s="76"/>
      <c r="D46" s="76"/>
      <c r="E46" s="76"/>
    </row>
    <row r="47" spans="1:15" x14ac:dyDescent="0.25">
      <c r="A47" s="207" t="s">
        <v>258</v>
      </c>
      <c r="B47" s="210">
        <v>0.188216145</v>
      </c>
      <c r="C47" s="76"/>
      <c r="D47" s="76"/>
      <c r="E47" s="76"/>
    </row>
    <row r="48" spans="1:15" x14ac:dyDescent="0.25">
      <c r="A48" s="207" t="s">
        <v>259</v>
      </c>
      <c r="B48" s="210">
        <v>0.26556711</v>
      </c>
      <c r="C48" s="76"/>
      <c r="D48" s="76"/>
      <c r="E48" s="76"/>
    </row>
    <row r="49" spans="1:5" x14ac:dyDescent="0.25">
      <c r="A49" s="175"/>
      <c r="B49" s="106"/>
      <c r="C49" s="76"/>
      <c r="D49" s="76"/>
      <c r="E49" s="76"/>
    </row>
    <row r="50" spans="1:5" x14ac:dyDescent="0.25">
      <c r="A50" s="175"/>
      <c r="B50" s="106"/>
      <c r="C50" s="76"/>
      <c r="D50" s="76"/>
      <c r="E50" s="76"/>
    </row>
    <row r="51" spans="1:5" x14ac:dyDescent="0.25">
      <c r="B51" s="183"/>
      <c r="C51" s="174"/>
      <c r="D51" s="174"/>
      <c r="E51" s="174"/>
    </row>
    <row r="52" spans="1:5" x14ac:dyDescent="0.25">
      <c r="B52" s="183"/>
      <c r="C52" s="174"/>
      <c r="D52" s="174"/>
      <c r="E52" s="174"/>
    </row>
    <row r="53" spans="1:5" x14ac:dyDescent="0.25">
      <c r="A53" s="175" t="s">
        <v>266</v>
      </c>
      <c r="B53" s="175">
        <v>2014</v>
      </c>
      <c r="C53" s="175">
        <v>2019</v>
      </c>
      <c r="D53" s="175" t="s">
        <v>267</v>
      </c>
      <c r="E53" s="175" t="s">
        <v>268</v>
      </c>
    </row>
    <row r="54" spans="1:5" x14ac:dyDescent="0.25">
      <c r="A54" s="184" t="s">
        <v>269</v>
      </c>
      <c r="B54" s="183" t="s">
        <v>270</v>
      </c>
      <c r="C54" s="184" t="s">
        <v>270</v>
      </c>
      <c r="D54" s="184" t="s">
        <v>26</v>
      </c>
      <c r="E54" s="184">
        <v>1</v>
      </c>
    </row>
    <row r="55" spans="1:5" x14ac:dyDescent="0.25">
      <c r="A55" s="184" t="s">
        <v>271</v>
      </c>
      <c r="B55" s="183" t="s">
        <v>270</v>
      </c>
      <c r="C55" s="184" t="s">
        <v>270</v>
      </c>
      <c r="D55" s="184" t="s">
        <v>270</v>
      </c>
      <c r="E55" s="184">
        <v>1</v>
      </c>
    </row>
    <row r="56" spans="1:5" x14ac:dyDescent="0.25">
      <c r="A56" s="184" t="s">
        <v>272</v>
      </c>
      <c r="B56" s="183" t="s">
        <v>273</v>
      </c>
      <c r="C56" s="184" t="s">
        <v>273</v>
      </c>
      <c r="D56" s="184" t="s">
        <v>273</v>
      </c>
      <c r="E56" s="184" t="s">
        <v>303</v>
      </c>
    </row>
    <row r="57" spans="1:5" x14ac:dyDescent="0.25">
      <c r="A57" s="184" t="s">
        <v>274</v>
      </c>
      <c r="B57" s="183" t="s">
        <v>270</v>
      </c>
      <c r="C57" s="184" t="s">
        <v>26</v>
      </c>
      <c r="D57" s="184" t="s">
        <v>26</v>
      </c>
      <c r="E57" s="184">
        <v>1</v>
      </c>
    </row>
    <row r="58" spans="1:5" x14ac:dyDescent="0.25">
      <c r="A58" s="184" t="s">
        <v>275</v>
      </c>
      <c r="B58" s="183" t="s">
        <v>5</v>
      </c>
      <c r="C58" s="184" t="s">
        <v>273</v>
      </c>
      <c r="D58" s="184" t="s">
        <v>273</v>
      </c>
    </row>
    <row r="59" spans="1:5" x14ac:dyDescent="0.25">
      <c r="A59" s="184">
        <v>1</v>
      </c>
      <c r="B59" s="184" t="s">
        <v>276</v>
      </c>
    </row>
    <row r="60" spans="1:5" x14ac:dyDescent="0.25">
      <c r="A60" s="184">
        <v>2</v>
      </c>
      <c r="B60" s="184" t="s">
        <v>277</v>
      </c>
    </row>
    <row r="61" spans="1:5" x14ac:dyDescent="0.25">
      <c r="B61" s="183"/>
      <c r="C61" s="174"/>
      <c r="D61" s="174"/>
      <c r="E61" s="174"/>
    </row>
    <row r="63" spans="1:5" x14ac:dyDescent="0.25">
      <c r="A63" s="214" t="s">
        <v>305</v>
      </c>
    </row>
    <row r="64" spans="1:5" x14ac:dyDescent="0.25">
      <c r="B64" s="184" t="s">
        <v>387</v>
      </c>
    </row>
    <row r="65" spans="1:3" x14ac:dyDescent="0.25">
      <c r="B65" s="184" t="s">
        <v>388</v>
      </c>
    </row>
    <row r="66" spans="1:3" x14ac:dyDescent="0.25">
      <c r="B66" s="184" t="s">
        <v>389</v>
      </c>
    </row>
    <row r="67" spans="1:3" x14ac:dyDescent="0.25">
      <c r="B67" s="184" t="s">
        <v>390</v>
      </c>
    </row>
    <row r="68" spans="1:3" x14ac:dyDescent="0.25">
      <c r="B68" s="184" t="s">
        <v>391</v>
      </c>
    </row>
    <row r="71" spans="1:3" x14ac:dyDescent="0.25">
      <c r="A71" s="216" t="s">
        <v>286</v>
      </c>
      <c r="B71" s="216" t="s">
        <v>287</v>
      </c>
      <c r="C71" s="216" t="s">
        <v>280</v>
      </c>
    </row>
    <row r="72" spans="1:3" x14ac:dyDescent="0.25">
      <c r="A72" s="218" t="s">
        <v>392</v>
      </c>
      <c r="B72" s="184">
        <v>1</v>
      </c>
      <c r="C72" s="219">
        <v>0.50900000000000001</v>
      </c>
    </row>
    <row r="73" spans="1:3" x14ac:dyDescent="0.25">
      <c r="A73" s="230" t="s">
        <v>393</v>
      </c>
      <c r="B73" s="184">
        <v>2</v>
      </c>
      <c r="C73" s="219">
        <v>0.129</v>
      </c>
    </row>
    <row r="74" spans="1:3" x14ac:dyDescent="0.25">
      <c r="A74" s="218" t="s">
        <v>394</v>
      </c>
      <c r="B74" s="184">
        <v>3</v>
      </c>
      <c r="C74" s="178">
        <v>0.08</v>
      </c>
    </row>
    <row r="75" spans="1:3" x14ac:dyDescent="0.25">
      <c r="A75" s="230" t="s">
        <v>395</v>
      </c>
      <c r="C75" s="178"/>
    </row>
    <row r="76" spans="1:3" x14ac:dyDescent="0.25">
      <c r="A76" s="218" t="s">
        <v>396</v>
      </c>
      <c r="C76" s="178"/>
    </row>
    <row r="77" spans="1:3" x14ac:dyDescent="0.25">
      <c r="A77" s="218" t="s">
        <v>397</v>
      </c>
      <c r="C77" s="178"/>
    </row>
    <row r="78" spans="1:3" x14ac:dyDescent="0.25">
      <c r="A78" s="218" t="s">
        <v>398</v>
      </c>
      <c r="C78" s="178"/>
    </row>
    <row r="79" spans="1:3" x14ac:dyDescent="0.25">
      <c r="A79" s="218" t="s">
        <v>399</v>
      </c>
      <c r="C79" s="178"/>
    </row>
    <row r="80" spans="1:3" x14ac:dyDescent="0.25">
      <c r="A80" s="218" t="s">
        <v>400</v>
      </c>
      <c r="C80" s="178"/>
    </row>
    <row r="81" spans="1:4" x14ac:dyDescent="0.25">
      <c r="A81" s="218" t="s">
        <v>401</v>
      </c>
      <c r="C81" s="178"/>
    </row>
    <row r="82" spans="1:4" x14ac:dyDescent="0.25">
      <c r="A82" s="218" t="s">
        <v>402</v>
      </c>
      <c r="C82" s="178"/>
    </row>
    <row r="83" spans="1:4" x14ac:dyDescent="0.25">
      <c r="A83" s="218" t="s">
        <v>403</v>
      </c>
      <c r="C83" s="178"/>
    </row>
    <row r="84" spans="1:4" x14ac:dyDescent="0.25">
      <c r="A84" s="218" t="s">
        <v>404</v>
      </c>
      <c r="C84" s="178"/>
    </row>
    <row r="85" spans="1:4" x14ac:dyDescent="0.25">
      <c r="A85" s="218" t="s">
        <v>405</v>
      </c>
      <c r="C85" s="178"/>
    </row>
    <row r="86" spans="1:4" x14ac:dyDescent="0.25">
      <c r="A86" s="218"/>
      <c r="C86" s="178"/>
    </row>
    <row r="87" spans="1:4" x14ac:dyDescent="0.25">
      <c r="B87" s="780" t="s">
        <v>291</v>
      </c>
      <c r="C87" s="780"/>
      <c r="D87" s="780"/>
    </row>
    <row r="88" spans="1:4" x14ac:dyDescent="0.25">
      <c r="B88" s="184">
        <v>2019</v>
      </c>
      <c r="C88" s="184">
        <v>2014</v>
      </c>
      <c r="D88" s="184" t="s">
        <v>292</v>
      </c>
    </row>
    <row r="89" spans="1:4" x14ac:dyDescent="0.25">
      <c r="B89" s="178">
        <v>0.13</v>
      </c>
      <c r="C89" s="178">
        <v>0.1</v>
      </c>
      <c r="D89" s="184" t="s">
        <v>317</v>
      </c>
    </row>
    <row r="91" spans="1:4" x14ac:dyDescent="0.25">
      <c r="B91" s="780" t="s">
        <v>294</v>
      </c>
      <c r="C91" s="780"/>
      <c r="D91" s="780"/>
    </row>
    <row r="92" spans="1:4" x14ac:dyDescent="0.25">
      <c r="B92" s="184">
        <v>2019</v>
      </c>
      <c r="C92" s="184">
        <v>2014</v>
      </c>
      <c r="D92" s="184" t="s">
        <v>292</v>
      </c>
    </row>
    <row r="93" spans="1:4" x14ac:dyDescent="0.25">
      <c r="B93" s="178">
        <v>0.4</v>
      </c>
      <c r="C93" s="178">
        <v>0.3</v>
      </c>
      <c r="D93" s="184" t="s">
        <v>318</v>
      </c>
    </row>
    <row r="95" spans="1:4" x14ac:dyDescent="0.25">
      <c r="B95" s="780" t="s">
        <v>295</v>
      </c>
      <c r="C95" s="780"/>
      <c r="D95" s="780"/>
    </row>
    <row r="96" spans="1:4" x14ac:dyDescent="0.25">
      <c r="B96" s="184">
        <v>2019</v>
      </c>
      <c r="C96" s="184">
        <v>2014</v>
      </c>
      <c r="D96" s="184" t="s">
        <v>292</v>
      </c>
    </row>
    <row r="97" spans="1:4" x14ac:dyDescent="0.25">
      <c r="B97" s="178">
        <v>0.99</v>
      </c>
      <c r="C97" s="178">
        <v>0.97</v>
      </c>
      <c r="D97" s="184" t="s">
        <v>318</v>
      </c>
    </row>
    <row r="98" spans="1:4" x14ac:dyDescent="0.25">
      <c r="B98" s="184" t="s">
        <v>296</v>
      </c>
    </row>
    <row r="100" spans="1:4" x14ac:dyDescent="0.25">
      <c r="B100" s="780" t="s">
        <v>297</v>
      </c>
      <c r="C100" s="780"/>
      <c r="D100" s="780"/>
    </row>
    <row r="101" spans="1:4" x14ac:dyDescent="0.25">
      <c r="B101" s="184">
        <v>2019</v>
      </c>
      <c r="C101" s="184">
        <v>2014</v>
      </c>
      <c r="D101" s="184" t="s">
        <v>292</v>
      </c>
    </row>
    <row r="102" spans="1:4" x14ac:dyDescent="0.25">
      <c r="B102" s="178">
        <v>0.98</v>
      </c>
      <c r="C102" s="178">
        <v>1</v>
      </c>
      <c r="D102" s="184" t="s">
        <v>317</v>
      </c>
    </row>
    <row r="104" spans="1:4" x14ac:dyDescent="0.25">
      <c r="A104" s="214" t="s">
        <v>298</v>
      </c>
      <c r="B104" s="214" t="s">
        <v>299</v>
      </c>
    </row>
    <row r="105" spans="1:4" x14ac:dyDescent="0.25">
      <c r="A105" s="184" t="s">
        <v>300</v>
      </c>
      <c r="B105" s="178">
        <v>4.2999999999999997E-2</v>
      </c>
    </row>
    <row r="106" spans="1:4" x14ac:dyDescent="0.25">
      <c r="A106" s="184" t="s">
        <v>301</v>
      </c>
      <c r="B106" s="219">
        <v>8.5999999999999993E-2</v>
      </c>
    </row>
  </sheetData>
  <mergeCells count="6">
    <mergeCell ref="B100:D100"/>
    <mergeCell ref="B1:E1"/>
    <mergeCell ref="A8:C8"/>
    <mergeCell ref="B87:D87"/>
    <mergeCell ref="B91:D91"/>
    <mergeCell ref="B95:D9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52EF-DBFC-4018-886E-C378696242B1}">
  <sheetPr>
    <tabColor theme="1" tint="0.34998626667073579"/>
  </sheetPr>
  <dimension ref="A1:S99"/>
  <sheetViews>
    <sheetView zoomScaleNormal="100" workbookViewId="0">
      <selection activeCell="G8" sqref="G8"/>
    </sheetView>
  </sheetViews>
  <sheetFormatPr defaultRowHeight="15" x14ac:dyDescent="0.25"/>
  <cols>
    <col min="1" max="1" width="38.7109375" style="184" customWidth="1"/>
    <col min="2" max="2" width="19.28515625" style="184" customWidth="1"/>
    <col min="3" max="3" width="20.140625" style="184" customWidth="1"/>
    <col min="4" max="4" width="17.140625" style="184" customWidth="1"/>
    <col min="5" max="6" width="9.140625" style="184"/>
    <col min="7" max="7" width="13.5703125" style="184" customWidth="1"/>
    <col min="8" max="8" width="18.140625" style="184" customWidth="1"/>
    <col min="9" max="9" width="16.85546875" style="184" customWidth="1"/>
    <col min="10" max="16384" width="9.140625" style="184"/>
  </cols>
  <sheetData>
    <row r="1" spans="1:12" x14ac:dyDescent="0.25">
      <c r="B1" s="779" t="s">
        <v>192</v>
      </c>
      <c r="C1" s="779"/>
      <c r="D1" s="779"/>
      <c r="E1" s="779"/>
    </row>
    <row r="2" spans="1:12" x14ac:dyDescent="0.25">
      <c r="B2" s="184" t="s">
        <v>193</v>
      </c>
      <c r="C2" s="184" t="s">
        <v>194</v>
      </c>
      <c r="D2" s="184" t="s">
        <v>195</v>
      </c>
      <c r="E2" s="184" t="s">
        <v>196</v>
      </c>
    </row>
    <row r="3" spans="1:12" x14ac:dyDescent="0.25">
      <c r="B3" s="178">
        <v>0.39</v>
      </c>
      <c r="C3" s="178">
        <v>0.52</v>
      </c>
      <c r="D3" s="178">
        <v>7.0000000000000007E-2</v>
      </c>
      <c r="E3" s="178">
        <v>0.02</v>
      </c>
      <c r="F3" s="178"/>
      <c r="G3" s="178"/>
      <c r="H3" s="178"/>
    </row>
    <row r="4" spans="1:12" x14ac:dyDescent="0.25">
      <c r="B4" s="99"/>
      <c r="C4" s="99"/>
      <c r="D4" s="178"/>
      <c r="E4" s="178"/>
      <c r="F4" s="178"/>
      <c r="G4" s="178"/>
      <c r="H4" s="178"/>
      <c r="I4" s="178"/>
      <c r="J4" s="178"/>
      <c r="K4" s="178"/>
      <c r="L4" s="178"/>
    </row>
    <row r="5" spans="1:12" x14ac:dyDescent="0.25">
      <c r="B5" s="220" t="s">
        <v>197</v>
      </c>
      <c r="C5" s="220" t="s">
        <v>198</v>
      </c>
      <c r="D5" s="220" t="s">
        <v>199</v>
      </c>
      <c r="E5" s="178"/>
      <c r="F5" s="178"/>
      <c r="J5" s="178"/>
      <c r="K5" s="178"/>
      <c r="L5" s="178"/>
    </row>
    <row r="6" spans="1:12" x14ac:dyDescent="0.25">
      <c r="B6" s="99">
        <v>311600</v>
      </c>
      <c r="C6" s="99">
        <v>1100</v>
      </c>
      <c r="D6" s="99">
        <v>500</v>
      </c>
      <c r="E6" s="178"/>
      <c r="F6" s="178"/>
      <c r="J6" s="178"/>
      <c r="K6" s="178"/>
      <c r="L6" s="178"/>
    </row>
    <row r="7" spans="1:12" x14ac:dyDescent="0.25">
      <c r="B7" s="99"/>
      <c r="C7" s="99"/>
      <c r="D7" s="178"/>
      <c r="E7" s="178"/>
      <c r="F7" s="178"/>
      <c r="G7" s="178"/>
      <c r="H7" s="178"/>
      <c r="I7" s="178"/>
      <c r="J7" s="178"/>
      <c r="K7" s="178"/>
      <c r="L7" s="178"/>
    </row>
    <row r="8" spans="1:12" x14ac:dyDescent="0.25">
      <c r="A8" s="780" t="s">
        <v>260</v>
      </c>
      <c r="B8" s="780"/>
      <c r="C8" s="780"/>
      <c r="D8" s="178"/>
      <c r="E8" s="178"/>
      <c r="F8" s="178"/>
      <c r="G8" s="99"/>
      <c r="H8" s="99"/>
      <c r="I8" s="99"/>
      <c r="J8" s="178"/>
      <c r="K8" s="178"/>
      <c r="L8" s="178"/>
    </row>
    <row r="9" spans="1:12" x14ac:dyDescent="0.25">
      <c r="B9" s="99" t="s">
        <v>261</v>
      </c>
      <c r="C9" s="223" t="s">
        <v>320</v>
      </c>
      <c r="D9" s="178"/>
      <c r="E9" s="178"/>
      <c r="F9" s="178"/>
      <c r="G9" s="178"/>
      <c r="H9" s="178"/>
      <c r="I9" s="178"/>
      <c r="J9" s="178"/>
      <c r="K9" s="178"/>
      <c r="L9" s="178"/>
    </row>
    <row r="10" spans="1:12" x14ac:dyDescent="0.25">
      <c r="B10" s="99" t="s">
        <v>262</v>
      </c>
      <c r="C10" s="178">
        <v>7.5899999999999995E-2</v>
      </c>
      <c r="D10" s="178"/>
      <c r="E10" s="178"/>
      <c r="F10" s="178"/>
      <c r="G10" s="178"/>
      <c r="H10" s="178"/>
      <c r="I10" s="178"/>
      <c r="J10" s="178"/>
      <c r="K10" s="178"/>
      <c r="L10" s="178"/>
    </row>
    <row r="11" spans="1:12" x14ac:dyDescent="0.25">
      <c r="B11" s="99" t="s">
        <v>263</v>
      </c>
      <c r="C11" s="178">
        <v>4.4999999999999998E-2</v>
      </c>
      <c r="D11" s="178"/>
      <c r="E11" s="178"/>
      <c r="F11" s="178"/>
      <c r="G11" s="178"/>
      <c r="H11" s="178"/>
      <c r="I11" s="178"/>
      <c r="J11" s="178"/>
      <c r="K11" s="178"/>
      <c r="L11" s="178"/>
    </row>
    <row r="12" spans="1:12" x14ac:dyDescent="0.25">
      <c r="B12" s="99" t="s">
        <v>264</v>
      </c>
      <c r="C12" s="178">
        <v>5.1999999999999998E-2</v>
      </c>
      <c r="D12" s="178"/>
      <c r="E12" s="178"/>
      <c r="F12" s="178"/>
      <c r="G12" s="178"/>
      <c r="H12" s="178"/>
      <c r="I12" s="178"/>
      <c r="J12" s="178"/>
      <c r="K12" s="178"/>
      <c r="L12" s="178"/>
    </row>
    <row r="13" spans="1:12" x14ac:dyDescent="0.25">
      <c r="B13" s="99" t="s">
        <v>265</v>
      </c>
      <c r="C13" s="178">
        <v>0.11600000000000001</v>
      </c>
      <c r="D13" s="178"/>
      <c r="E13" s="178"/>
      <c r="F13" s="178"/>
      <c r="G13" s="178"/>
      <c r="H13" s="178"/>
      <c r="I13" s="178"/>
      <c r="J13" s="178"/>
      <c r="K13" s="178"/>
      <c r="L13" s="178"/>
    </row>
    <row r="14" spans="1:12" x14ac:dyDescent="0.25">
      <c r="B14" s="99"/>
      <c r="C14" s="99"/>
      <c r="D14" s="178"/>
      <c r="E14" s="178"/>
      <c r="F14" s="178"/>
      <c r="G14" s="178"/>
      <c r="H14" s="178"/>
      <c r="I14" s="178"/>
      <c r="J14" s="178"/>
      <c r="K14" s="178"/>
      <c r="L14" s="178"/>
    </row>
    <row r="16" spans="1:12" x14ac:dyDescent="0.25">
      <c r="A16" s="175" t="s">
        <v>200</v>
      </c>
      <c r="B16" s="106"/>
      <c r="C16" s="76"/>
      <c r="D16" s="76"/>
      <c r="E16" s="76"/>
    </row>
    <row r="17" spans="1:19" x14ac:dyDescent="0.25">
      <c r="A17" s="202" t="s">
        <v>201</v>
      </c>
      <c r="B17" s="203" t="s">
        <v>202</v>
      </c>
      <c r="C17" s="76"/>
      <c r="D17" s="76"/>
      <c r="E17" s="76"/>
      <c r="G17" s="221" t="s">
        <v>203</v>
      </c>
      <c r="H17" s="222" t="s">
        <v>204</v>
      </c>
      <c r="I17" s="222" t="s">
        <v>205</v>
      </c>
      <c r="J17" s="222" t="s">
        <v>206</v>
      </c>
    </row>
    <row r="18" spans="1:19" x14ac:dyDescent="0.25">
      <c r="A18" s="207" t="s">
        <v>207</v>
      </c>
      <c r="B18" s="199">
        <v>0.4718</v>
      </c>
      <c r="C18" s="76"/>
      <c r="D18" s="76"/>
      <c r="E18" s="76"/>
      <c r="G18" s="183" t="s">
        <v>208</v>
      </c>
      <c r="H18" s="174"/>
      <c r="I18" s="174" t="s">
        <v>209</v>
      </c>
      <c r="J18" s="174"/>
    </row>
    <row r="19" spans="1:19" x14ac:dyDescent="0.25">
      <c r="A19" s="207" t="s">
        <v>210</v>
      </c>
      <c r="B19" s="199">
        <v>0.51739999999999997</v>
      </c>
      <c r="C19" s="76"/>
      <c r="D19" s="76"/>
      <c r="E19" s="76"/>
      <c r="G19" s="183" t="s">
        <v>211</v>
      </c>
      <c r="H19" s="174"/>
      <c r="I19" s="174" t="s">
        <v>209</v>
      </c>
      <c r="J19" s="174"/>
    </row>
    <row r="20" spans="1:19" x14ac:dyDescent="0.25">
      <c r="A20" s="207" t="s">
        <v>196</v>
      </c>
      <c r="B20" s="199">
        <v>1.0699999999999999E-2</v>
      </c>
      <c r="C20" s="76"/>
      <c r="D20" s="76"/>
      <c r="E20" s="76"/>
      <c r="G20" s="183" t="s">
        <v>212</v>
      </c>
      <c r="H20" s="174" t="s">
        <v>209</v>
      </c>
      <c r="I20" s="174"/>
      <c r="J20" s="174"/>
      <c r="L20" s="184" t="s">
        <v>406</v>
      </c>
    </row>
    <row r="21" spans="1:19" x14ac:dyDescent="0.25">
      <c r="A21" s="202" t="s">
        <v>213</v>
      </c>
      <c r="B21" s="209"/>
      <c r="C21" s="76"/>
      <c r="D21" s="76"/>
      <c r="E21" s="76"/>
      <c r="G21" s="183" t="s">
        <v>214</v>
      </c>
      <c r="H21" s="174"/>
      <c r="I21" s="174" t="s">
        <v>209</v>
      </c>
      <c r="J21" s="174"/>
      <c r="M21" s="211"/>
      <c r="N21" s="211"/>
      <c r="O21" s="211"/>
      <c r="P21" s="211"/>
      <c r="Q21" s="211"/>
      <c r="R21" s="211"/>
      <c r="S21" s="211"/>
    </row>
    <row r="22" spans="1:19" x14ac:dyDescent="0.25">
      <c r="A22" s="207" t="s">
        <v>215</v>
      </c>
      <c r="B22" s="210">
        <v>5.0917949999999997E-2</v>
      </c>
      <c r="C22" s="76"/>
      <c r="D22" s="76"/>
      <c r="E22" s="76"/>
      <c r="G22" s="183" t="s">
        <v>216</v>
      </c>
      <c r="H22" s="174"/>
      <c r="I22" s="174" t="s">
        <v>209</v>
      </c>
      <c r="J22" s="174"/>
    </row>
    <row r="23" spans="1:19" x14ac:dyDescent="0.25">
      <c r="A23" s="207" t="s">
        <v>217</v>
      </c>
      <c r="B23" s="210">
        <v>9.4352000000000005E-2</v>
      </c>
      <c r="C23" s="76"/>
      <c r="D23" s="76"/>
      <c r="E23" s="76"/>
      <c r="G23" s="183" t="s">
        <v>218</v>
      </c>
      <c r="H23" s="174"/>
      <c r="I23" s="174" t="s">
        <v>209</v>
      </c>
      <c r="J23" s="174"/>
    </row>
    <row r="24" spans="1:19" x14ac:dyDescent="0.25">
      <c r="A24" s="207" t="s">
        <v>219</v>
      </c>
      <c r="B24" s="210">
        <v>3.5180000000000003E-2</v>
      </c>
      <c r="C24" s="76"/>
      <c r="D24" s="76"/>
      <c r="E24" s="76"/>
      <c r="G24" s="183" t="s">
        <v>220</v>
      </c>
      <c r="H24" s="174"/>
      <c r="I24" s="174" t="s">
        <v>209</v>
      </c>
      <c r="J24" s="174"/>
    </row>
    <row r="25" spans="1:19" x14ac:dyDescent="0.25">
      <c r="A25" s="207" t="s">
        <v>221</v>
      </c>
      <c r="B25" s="210">
        <v>1.3299999999999999E-2</v>
      </c>
      <c r="C25" s="76"/>
      <c r="D25" s="76"/>
      <c r="E25" s="76"/>
      <c r="G25" s="183" t="s">
        <v>222</v>
      </c>
      <c r="H25" s="174"/>
      <c r="I25" s="174"/>
      <c r="J25" s="174" t="s">
        <v>209</v>
      </c>
    </row>
    <row r="26" spans="1:19" x14ac:dyDescent="0.25">
      <c r="A26" s="207" t="s">
        <v>223</v>
      </c>
      <c r="B26" s="210">
        <v>6.2619999999999995E-2</v>
      </c>
      <c r="C26" s="76"/>
      <c r="D26" s="76"/>
      <c r="E26" s="76"/>
      <c r="G26" s="183" t="s">
        <v>224</v>
      </c>
      <c r="H26" s="174"/>
      <c r="I26" s="174" t="s">
        <v>209</v>
      </c>
      <c r="J26" s="174"/>
    </row>
    <row r="27" spans="1:19" x14ac:dyDescent="0.25">
      <c r="A27" s="207" t="s">
        <v>225</v>
      </c>
      <c r="B27" s="210">
        <v>0.14927000000000001</v>
      </c>
      <c r="C27" s="76"/>
      <c r="D27" s="76"/>
      <c r="E27" s="76"/>
      <c r="G27" s="221" t="s">
        <v>226</v>
      </c>
      <c r="H27" s="222" t="s">
        <v>204</v>
      </c>
      <c r="I27" s="222" t="s">
        <v>205</v>
      </c>
      <c r="J27" s="222" t="s">
        <v>206</v>
      </c>
    </row>
    <row r="28" spans="1:19" x14ac:dyDescent="0.25">
      <c r="A28" s="207" t="s">
        <v>227</v>
      </c>
      <c r="B28" s="210">
        <v>0.12382</v>
      </c>
      <c r="C28" s="76"/>
      <c r="D28" s="76"/>
      <c r="E28" s="76"/>
      <c r="G28" s="183" t="s">
        <v>210</v>
      </c>
      <c r="H28" s="174"/>
      <c r="I28" s="174" t="s">
        <v>209</v>
      </c>
      <c r="J28" s="174"/>
    </row>
    <row r="29" spans="1:19" x14ac:dyDescent="0.25">
      <c r="A29" s="207" t="s">
        <v>228</v>
      </c>
      <c r="B29" s="210">
        <v>0.24188999999999999</v>
      </c>
      <c r="C29" s="76"/>
      <c r="D29" s="76"/>
      <c r="E29" s="76"/>
      <c r="G29" s="183" t="s">
        <v>207</v>
      </c>
      <c r="H29" s="174"/>
      <c r="I29" s="174" t="s">
        <v>209</v>
      </c>
      <c r="J29" s="174"/>
    </row>
    <row r="30" spans="1:19" x14ac:dyDescent="0.25">
      <c r="A30" s="207" t="s">
        <v>229</v>
      </c>
      <c r="B30" s="210">
        <v>0.21079999999999999</v>
      </c>
      <c r="C30" s="76"/>
      <c r="D30" s="76"/>
      <c r="E30" s="76"/>
      <c r="G30" s="221" t="s">
        <v>230</v>
      </c>
      <c r="H30" s="222" t="s">
        <v>204</v>
      </c>
      <c r="I30" s="222" t="s">
        <v>205</v>
      </c>
      <c r="J30" s="222" t="s">
        <v>206</v>
      </c>
    </row>
    <row r="31" spans="1:19" x14ac:dyDescent="0.25">
      <c r="A31" s="207" t="s">
        <v>231</v>
      </c>
      <c r="B31" s="210">
        <v>1.8350000000000002E-2</v>
      </c>
      <c r="C31" s="76"/>
      <c r="D31" s="76"/>
      <c r="E31" s="76"/>
      <c r="G31" s="183" t="s">
        <v>232</v>
      </c>
      <c r="H31" s="174"/>
      <c r="I31" s="174" t="s">
        <v>209</v>
      </c>
      <c r="J31" s="174"/>
    </row>
    <row r="32" spans="1:19" x14ac:dyDescent="0.25">
      <c r="A32" s="212" t="s">
        <v>233</v>
      </c>
      <c r="B32" s="213"/>
      <c r="C32" s="76"/>
      <c r="D32" s="76"/>
      <c r="E32" s="76"/>
      <c r="G32" s="183" t="s">
        <v>234</v>
      </c>
      <c r="H32" s="174" t="s">
        <v>209</v>
      </c>
      <c r="I32" s="174"/>
      <c r="J32" s="174"/>
      <c r="L32" s="184" t="s">
        <v>407</v>
      </c>
      <c r="M32" s="211"/>
      <c r="N32" s="211"/>
      <c r="O32" s="211"/>
      <c r="P32" s="211"/>
    </row>
    <row r="33" spans="1:15" x14ac:dyDescent="0.25">
      <c r="A33" s="207" t="s">
        <v>236</v>
      </c>
      <c r="B33" s="210">
        <v>5.7148071000000002E-2</v>
      </c>
      <c r="C33" s="76"/>
      <c r="D33" s="76"/>
      <c r="E33" s="76"/>
      <c r="G33" s="183" t="s">
        <v>237</v>
      </c>
      <c r="H33" s="174"/>
      <c r="I33" s="174" t="s">
        <v>209</v>
      </c>
      <c r="J33" s="174"/>
    </row>
    <row r="34" spans="1:15" x14ac:dyDescent="0.25">
      <c r="A34" s="207" t="s">
        <v>238</v>
      </c>
      <c r="B34" s="210">
        <v>1.0149711E-2</v>
      </c>
      <c r="C34" s="76"/>
      <c r="D34" s="76"/>
      <c r="E34" s="76"/>
      <c r="G34" s="183" t="s">
        <v>239</v>
      </c>
      <c r="H34" s="174"/>
      <c r="I34" s="174" t="s">
        <v>209</v>
      </c>
      <c r="J34" s="174"/>
    </row>
    <row r="35" spans="1:15" x14ac:dyDescent="0.25">
      <c r="A35" s="207" t="s">
        <v>239</v>
      </c>
      <c r="B35" s="210">
        <v>0.11685571</v>
      </c>
      <c r="C35" s="76"/>
      <c r="D35" s="76"/>
      <c r="E35" s="76"/>
      <c r="G35" s="183" t="s">
        <v>196</v>
      </c>
      <c r="H35" s="174"/>
      <c r="I35" s="174" t="s">
        <v>209</v>
      </c>
      <c r="J35" s="174"/>
    </row>
    <row r="36" spans="1:15" x14ac:dyDescent="0.25">
      <c r="A36" s="207" t="s">
        <v>240</v>
      </c>
      <c r="B36" s="210">
        <v>0</v>
      </c>
      <c r="C36" s="76"/>
      <c r="D36" s="76"/>
      <c r="E36" s="76"/>
      <c r="G36" s="221" t="s">
        <v>241</v>
      </c>
      <c r="H36" s="222" t="s">
        <v>204</v>
      </c>
      <c r="I36" s="222" t="s">
        <v>205</v>
      </c>
      <c r="J36" s="222" t="s">
        <v>206</v>
      </c>
    </row>
    <row r="37" spans="1:15" x14ac:dyDescent="0.25">
      <c r="A37" s="207" t="s">
        <v>232</v>
      </c>
      <c r="B37" s="210">
        <v>0.74891883999999997</v>
      </c>
      <c r="C37" s="76"/>
      <c r="D37" s="76"/>
      <c r="E37" s="76"/>
      <c r="G37" s="183" t="s">
        <v>242</v>
      </c>
      <c r="H37" s="174"/>
      <c r="I37" s="174" t="s">
        <v>209</v>
      </c>
      <c r="J37" s="174"/>
    </row>
    <row r="38" spans="1:15" x14ac:dyDescent="0.25">
      <c r="A38" s="207" t="s">
        <v>244</v>
      </c>
      <c r="B38" s="210">
        <v>3.3932219999999999E-2</v>
      </c>
      <c r="C38" s="76"/>
      <c r="D38" s="76"/>
      <c r="E38" s="76"/>
      <c r="G38" s="183" t="s">
        <v>245</v>
      </c>
      <c r="H38" s="174"/>
      <c r="I38" s="174" t="s">
        <v>209</v>
      </c>
      <c r="J38" s="174"/>
    </row>
    <row r="39" spans="1:15" x14ac:dyDescent="0.25">
      <c r="A39" s="207" t="s">
        <v>246</v>
      </c>
      <c r="B39" s="210">
        <v>3.3585999999999998E-2</v>
      </c>
      <c r="C39" s="76"/>
      <c r="D39" s="76"/>
      <c r="E39" s="76"/>
      <c r="G39" s="221" t="s">
        <v>247</v>
      </c>
      <c r="H39" s="222" t="s">
        <v>204</v>
      </c>
      <c r="I39" s="222" t="s">
        <v>205</v>
      </c>
      <c r="J39" s="222" t="s">
        <v>206</v>
      </c>
    </row>
    <row r="40" spans="1:15" x14ac:dyDescent="0.25">
      <c r="A40" s="212" t="s">
        <v>248</v>
      </c>
      <c r="B40" s="213"/>
      <c r="C40" s="76"/>
      <c r="D40" s="76"/>
      <c r="E40" s="76"/>
      <c r="G40" s="183" t="s">
        <v>249</v>
      </c>
      <c r="H40" s="174" t="s">
        <v>209</v>
      </c>
      <c r="I40" s="174"/>
      <c r="J40" s="174"/>
      <c r="L40" s="184" t="s">
        <v>408</v>
      </c>
    </row>
    <row r="41" spans="1:15" x14ac:dyDescent="0.25">
      <c r="A41" s="207" t="s">
        <v>242</v>
      </c>
      <c r="B41" s="210">
        <v>0.91900000000000004</v>
      </c>
      <c r="C41" s="76"/>
      <c r="D41" s="76"/>
      <c r="E41" s="76"/>
      <c r="G41" s="183" t="s">
        <v>251</v>
      </c>
      <c r="H41" s="174"/>
      <c r="I41" s="174" t="s">
        <v>209</v>
      </c>
      <c r="J41" s="174"/>
    </row>
    <row r="42" spans="1:15" x14ac:dyDescent="0.25">
      <c r="A42" s="207" t="s">
        <v>245</v>
      </c>
      <c r="B42" s="210">
        <v>8.1000000000000003E-2</v>
      </c>
      <c r="C42" s="76"/>
      <c r="D42" s="76"/>
      <c r="E42" s="76"/>
      <c r="G42" s="183" t="s">
        <v>252</v>
      </c>
      <c r="H42" s="174"/>
      <c r="I42" s="174"/>
      <c r="J42" s="174" t="s">
        <v>209</v>
      </c>
    </row>
    <row r="43" spans="1:15" x14ac:dyDescent="0.25">
      <c r="A43" s="212" t="s">
        <v>253</v>
      </c>
      <c r="B43" s="213"/>
      <c r="C43" s="76"/>
      <c r="D43" s="76"/>
      <c r="E43" s="76"/>
      <c r="J43" s="211"/>
      <c r="K43" s="211"/>
      <c r="L43" s="211"/>
      <c r="M43" s="211"/>
      <c r="N43" s="211"/>
      <c r="O43" s="211"/>
    </row>
    <row r="44" spans="1:15" x14ac:dyDescent="0.25">
      <c r="A44" s="207" t="s">
        <v>254</v>
      </c>
      <c r="B44" s="210">
        <v>8.9451698999999996E-2</v>
      </c>
      <c r="C44" s="76"/>
      <c r="D44" s="76"/>
      <c r="E44" s="76"/>
    </row>
    <row r="45" spans="1:15" x14ac:dyDescent="0.25">
      <c r="A45" s="207" t="s">
        <v>255</v>
      </c>
      <c r="B45" s="210">
        <v>6.4098123000000007E-2</v>
      </c>
      <c r="C45" s="76"/>
      <c r="D45" s="76"/>
      <c r="E45" s="76"/>
    </row>
    <row r="46" spans="1:15" x14ac:dyDescent="0.25">
      <c r="A46" s="207" t="s">
        <v>256</v>
      </c>
      <c r="B46" s="210">
        <v>0.26191461399999999</v>
      </c>
      <c r="C46" s="76"/>
      <c r="D46" s="76"/>
      <c r="E46" s="76"/>
    </row>
    <row r="47" spans="1:15" x14ac:dyDescent="0.25">
      <c r="A47" s="207" t="s">
        <v>257</v>
      </c>
      <c r="B47" s="210">
        <v>0.150665941</v>
      </c>
      <c r="C47" s="76"/>
      <c r="D47" s="76"/>
      <c r="E47" s="76"/>
    </row>
    <row r="48" spans="1:15" x14ac:dyDescent="0.25">
      <c r="A48" s="207" t="s">
        <v>258</v>
      </c>
      <c r="B48" s="210">
        <v>0.24116589999999999</v>
      </c>
      <c r="C48" s="76"/>
      <c r="D48" s="76"/>
      <c r="E48" s="76"/>
    </row>
    <row r="49" spans="1:5" x14ac:dyDescent="0.25">
      <c r="A49" s="207" t="s">
        <v>259</v>
      </c>
      <c r="B49" s="210">
        <v>0.1931658</v>
      </c>
      <c r="C49" s="76"/>
      <c r="D49" s="76"/>
      <c r="E49" s="76"/>
    </row>
    <row r="50" spans="1:5" x14ac:dyDescent="0.25">
      <c r="A50" s="175"/>
      <c r="B50" s="106"/>
      <c r="C50" s="76"/>
      <c r="D50" s="76"/>
      <c r="E50" s="76"/>
    </row>
    <row r="51" spans="1:5" x14ac:dyDescent="0.25">
      <c r="B51" s="183"/>
      <c r="C51" s="174"/>
      <c r="D51" s="174"/>
      <c r="E51" s="174"/>
    </row>
    <row r="52" spans="1:5" x14ac:dyDescent="0.25">
      <c r="A52" s="214" t="s">
        <v>266</v>
      </c>
      <c r="B52" s="175">
        <v>2014</v>
      </c>
      <c r="C52" s="175">
        <v>2019</v>
      </c>
      <c r="D52" s="175" t="s">
        <v>267</v>
      </c>
      <c r="E52" s="175" t="s">
        <v>268</v>
      </c>
    </row>
    <row r="53" spans="1:5" x14ac:dyDescent="0.25">
      <c r="A53" s="184" t="s">
        <v>269</v>
      </c>
      <c r="B53" s="183" t="s">
        <v>26</v>
      </c>
      <c r="C53" s="184" t="s">
        <v>273</v>
      </c>
      <c r="D53" s="184" t="s">
        <v>26</v>
      </c>
      <c r="E53" s="184" t="s">
        <v>303</v>
      </c>
    </row>
    <row r="54" spans="1:5" x14ac:dyDescent="0.25">
      <c r="A54" s="184" t="s">
        <v>271</v>
      </c>
      <c r="B54" s="183" t="s">
        <v>26</v>
      </c>
      <c r="C54" s="184" t="s">
        <v>328</v>
      </c>
      <c r="D54" s="184" t="s">
        <v>270</v>
      </c>
      <c r="E54" s="184">
        <v>1</v>
      </c>
    </row>
    <row r="55" spans="1:5" x14ac:dyDescent="0.25">
      <c r="A55" s="184" t="s">
        <v>272</v>
      </c>
      <c r="B55" s="183" t="s">
        <v>273</v>
      </c>
      <c r="C55" s="184" t="s">
        <v>273</v>
      </c>
      <c r="D55" s="184" t="s">
        <v>273</v>
      </c>
    </row>
    <row r="56" spans="1:5" x14ac:dyDescent="0.25">
      <c r="A56" s="184" t="s">
        <v>274</v>
      </c>
      <c r="B56" s="183" t="s">
        <v>26</v>
      </c>
      <c r="C56" s="184" t="s">
        <v>26</v>
      </c>
      <c r="D56" s="184" t="s">
        <v>26</v>
      </c>
    </row>
    <row r="57" spans="1:5" x14ac:dyDescent="0.25">
      <c r="A57" s="184" t="s">
        <v>275</v>
      </c>
      <c r="B57" s="183" t="s">
        <v>5</v>
      </c>
      <c r="C57" s="184" t="s">
        <v>273</v>
      </c>
      <c r="D57" s="184" t="s">
        <v>273</v>
      </c>
    </row>
    <row r="59" spans="1:5" x14ac:dyDescent="0.25">
      <c r="A59" s="184">
        <v>1</v>
      </c>
      <c r="B59" s="184" t="s">
        <v>276</v>
      </c>
    </row>
    <row r="60" spans="1:5" x14ac:dyDescent="0.25">
      <c r="A60" s="184">
        <v>2</v>
      </c>
      <c r="B60" s="184" t="s">
        <v>277</v>
      </c>
    </row>
    <row r="61" spans="1:5" x14ac:dyDescent="0.25">
      <c r="B61" s="183"/>
      <c r="C61" s="174"/>
      <c r="D61" s="174"/>
      <c r="E61" s="174"/>
    </row>
    <row r="63" spans="1:5" x14ac:dyDescent="0.25">
      <c r="A63" s="214" t="s">
        <v>305</v>
      </c>
    </row>
    <row r="64" spans="1:5" x14ac:dyDescent="0.25">
      <c r="B64" s="184" t="s">
        <v>409</v>
      </c>
    </row>
    <row r="65" spans="1:4" x14ac:dyDescent="0.25">
      <c r="B65" s="184" t="s">
        <v>410</v>
      </c>
    </row>
    <row r="66" spans="1:4" x14ac:dyDescent="0.25">
      <c r="B66" s="184" t="s">
        <v>411</v>
      </c>
    </row>
    <row r="67" spans="1:4" x14ac:dyDescent="0.25">
      <c r="B67" s="184" t="s">
        <v>412</v>
      </c>
    </row>
    <row r="68" spans="1:4" x14ac:dyDescent="0.25">
      <c r="B68" s="184" t="s">
        <v>413</v>
      </c>
    </row>
    <row r="71" spans="1:4" x14ac:dyDescent="0.25">
      <c r="A71" s="216" t="s">
        <v>286</v>
      </c>
      <c r="B71" s="216" t="s">
        <v>287</v>
      </c>
      <c r="C71" s="216" t="s">
        <v>280</v>
      </c>
    </row>
    <row r="72" spans="1:4" x14ac:dyDescent="0.25">
      <c r="A72" s="218" t="s">
        <v>414</v>
      </c>
      <c r="B72" s="184">
        <v>1</v>
      </c>
      <c r="C72" s="219">
        <v>5.8999999999999997E-2</v>
      </c>
    </row>
    <row r="73" spans="1:4" x14ac:dyDescent="0.25">
      <c r="A73" s="218" t="s">
        <v>415</v>
      </c>
      <c r="B73" s="184">
        <v>2</v>
      </c>
      <c r="C73" s="219">
        <v>4.9000000000000002E-2</v>
      </c>
    </row>
    <row r="74" spans="1:4" x14ac:dyDescent="0.25">
      <c r="A74" s="218" t="s">
        <v>416</v>
      </c>
      <c r="B74" s="184">
        <v>3</v>
      </c>
      <c r="C74" s="219">
        <v>4.8000000000000001E-2</v>
      </c>
    </row>
    <row r="75" spans="1:4" x14ac:dyDescent="0.25">
      <c r="A75" s="218" t="s">
        <v>417</v>
      </c>
      <c r="C75" s="219"/>
    </row>
    <row r="76" spans="1:4" x14ac:dyDescent="0.25">
      <c r="A76" s="218" t="s">
        <v>418</v>
      </c>
      <c r="C76" s="219"/>
    </row>
    <row r="77" spans="1:4" x14ac:dyDescent="0.25">
      <c r="A77" s="218" t="s">
        <v>419</v>
      </c>
      <c r="C77" s="219"/>
    </row>
    <row r="78" spans="1:4" x14ac:dyDescent="0.25">
      <c r="A78" s="218"/>
      <c r="C78" s="219"/>
    </row>
    <row r="79" spans="1:4" x14ac:dyDescent="0.25">
      <c r="B79" s="780" t="s">
        <v>291</v>
      </c>
      <c r="C79" s="780"/>
      <c r="D79" s="780"/>
    </row>
    <row r="80" spans="1:4" x14ac:dyDescent="0.25">
      <c r="B80" s="184">
        <v>2019</v>
      </c>
      <c r="C80" s="184">
        <v>2014</v>
      </c>
      <c r="D80" s="184" t="s">
        <v>292</v>
      </c>
    </row>
    <row r="81" spans="2:6" x14ac:dyDescent="0.25">
      <c r="B81" s="178">
        <v>0.1</v>
      </c>
      <c r="C81" s="178">
        <v>0.1</v>
      </c>
      <c r="D81" s="184" t="s">
        <v>317</v>
      </c>
    </row>
    <row r="83" spans="2:6" x14ac:dyDescent="0.25">
      <c r="B83" s="780" t="s">
        <v>294</v>
      </c>
      <c r="C83" s="780"/>
      <c r="D83" s="780"/>
    </row>
    <row r="84" spans="2:6" x14ac:dyDescent="0.25">
      <c r="B84" s="184">
        <v>2019</v>
      </c>
      <c r="C84" s="184">
        <v>2014</v>
      </c>
      <c r="D84" s="184" t="s">
        <v>292</v>
      </c>
    </row>
    <row r="85" spans="2:6" x14ac:dyDescent="0.25">
      <c r="B85" s="178">
        <v>0.18</v>
      </c>
      <c r="C85" s="178">
        <v>0.11</v>
      </c>
      <c r="D85" s="184" t="s">
        <v>317</v>
      </c>
    </row>
    <row r="87" spans="2:6" x14ac:dyDescent="0.25">
      <c r="B87" s="780" t="s">
        <v>295</v>
      </c>
      <c r="C87" s="780"/>
      <c r="D87" s="780"/>
    </row>
    <row r="88" spans="2:6" x14ac:dyDescent="0.25">
      <c r="B88" s="184">
        <v>2019</v>
      </c>
      <c r="C88" s="184">
        <v>2014</v>
      </c>
      <c r="D88" s="184" t="s">
        <v>292</v>
      </c>
    </row>
    <row r="89" spans="2:6" x14ac:dyDescent="0.25">
      <c r="B89" s="178">
        <v>0.99</v>
      </c>
      <c r="C89" s="178">
        <v>0.99</v>
      </c>
      <c r="D89" s="184" t="s">
        <v>317</v>
      </c>
    </row>
    <row r="90" spans="2:6" x14ac:dyDescent="0.25">
      <c r="B90" s="781" t="s">
        <v>296</v>
      </c>
      <c r="C90" s="781"/>
      <c r="D90" s="781"/>
      <c r="E90" s="781"/>
      <c r="F90" s="781"/>
    </row>
    <row r="92" spans="2:6" x14ac:dyDescent="0.25">
      <c r="B92" s="780" t="s">
        <v>297</v>
      </c>
      <c r="C92" s="780"/>
      <c r="D92" s="780"/>
    </row>
    <row r="93" spans="2:6" x14ac:dyDescent="0.25">
      <c r="B93" s="184">
        <v>2019</v>
      </c>
      <c r="C93" s="184">
        <v>2014</v>
      </c>
      <c r="D93" s="184" t="s">
        <v>292</v>
      </c>
    </row>
    <row r="94" spans="2:6" x14ac:dyDescent="0.25">
      <c r="B94" s="178">
        <v>0.87</v>
      </c>
      <c r="C94" s="178">
        <v>0.93</v>
      </c>
      <c r="D94" s="184" t="s">
        <v>318</v>
      </c>
    </row>
    <row r="97" spans="1:2" x14ac:dyDescent="0.25">
      <c r="A97" s="214" t="s">
        <v>298</v>
      </c>
      <c r="B97" s="214" t="s">
        <v>299</v>
      </c>
    </row>
    <row r="98" spans="1:2" x14ac:dyDescent="0.25">
      <c r="A98" s="184" t="s">
        <v>300</v>
      </c>
      <c r="B98" s="178">
        <v>0.05</v>
      </c>
    </row>
    <row r="99" spans="1:2" x14ac:dyDescent="0.25">
      <c r="A99" s="184" t="s">
        <v>420</v>
      </c>
      <c r="B99" s="219">
        <v>0.24</v>
      </c>
    </row>
  </sheetData>
  <mergeCells count="7">
    <mergeCell ref="B92:D92"/>
    <mergeCell ref="B1:E1"/>
    <mergeCell ref="A8:C8"/>
    <mergeCell ref="B79:D79"/>
    <mergeCell ref="B83:D83"/>
    <mergeCell ref="B87:D87"/>
    <mergeCell ref="B90:F9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A2F2-AAAD-4533-B3C3-06396622A8FC}">
  <sheetPr>
    <tabColor theme="1" tint="0.34998626667073579"/>
  </sheetPr>
  <dimension ref="A1:M125"/>
  <sheetViews>
    <sheetView workbookViewId="0">
      <selection activeCell="E14" sqref="E14"/>
    </sheetView>
  </sheetViews>
  <sheetFormatPr defaultRowHeight="15" x14ac:dyDescent="0.25"/>
  <cols>
    <col min="1" max="1" width="40.42578125" style="184" bestFit="1" customWidth="1"/>
    <col min="2" max="2" width="22.42578125" style="184" customWidth="1"/>
    <col min="3" max="3" width="17.28515625" style="184" customWidth="1"/>
    <col min="4" max="4" width="17.5703125" style="184" customWidth="1"/>
    <col min="5" max="5" width="18.28515625" style="184" customWidth="1"/>
    <col min="6" max="6" width="10.5703125" style="184" customWidth="1"/>
    <col min="7" max="7" width="13.42578125" style="184" customWidth="1"/>
    <col min="8" max="8" width="18" style="184" customWidth="1"/>
    <col min="9" max="9" width="17.85546875" style="184" customWidth="1"/>
    <col min="10" max="16384" width="9.140625" style="184"/>
  </cols>
  <sheetData>
    <row r="1" spans="1:13" x14ac:dyDescent="0.25">
      <c r="B1" s="778" t="s">
        <v>421</v>
      </c>
      <c r="C1" s="778"/>
      <c r="D1" s="778"/>
      <c r="E1" s="778"/>
    </row>
    <row r="2" spans="1:13" x14ac:dyDescent="0.25">
      <c r="A2" s="215"/>
      <c r="B2" s="198" t="s">
        <v>193</v>
      </c>
      <c r="C2" s="198" t="s">
        <v>194</v>
      </c>
      <c r="D2" s="198" t="s">
        <v>195</v>
      </c>
      <c r="E2" s="198" t="s">
        <v>196</v>
      </c>
      <c r="F2" s="198"/>
      <c r="G2" s="198"/>
    </row>
    <row r="3" spans="1:13" x14ac:dyDescent="0.25">
      <c r="B3" s="199">
        <v>0.56599999999999995</v>
      </c>
      <c r="C3" s="199">
        <v>0.34100000000000003</v>
      </c>
      <c r="D3" s="199">
        <v>7.9000000000000001E-2</v>
      </c>
      <c r="E3" s="199">
        <v>1.2999999999999999E-2</v>
      </c>
      <c r="F3" s="199"/>
      <c r="G3" s="199"/>
      <c r="L3" s="199"/>
      <c r="M3" s="199"/>
    </row>
    <row r="4" spans="1:13" x14ac:dyDescent="0.25">
      <c r="B4" s="231"/>
      <c r="C4" s="178"/>
      <c r="D4" s="178"/>
      <c r="E4" s="178"/>
      <c r="F4" s="178"/>
      <c r="G4" s="178"/>
      <c r="H4" s="178"/>
      <c r="I4" s="178"/>
      <c r="J4" s="178"/>
      <c r="K4" s="178"/>
    </row>
    <row r="5" spans="1:13" x14ac:dyDescent="0.25">
      <c r="B5" s="232" t="s">
        <v>197</v>
      </c>
      <c r="C5" s="232" t="s">
        <v>422</v>
      </c>
      <c r="D5" s="232" t="s">
        <v>423</v>
      </c>
      <c r="E5" s="233"/>
      <c r="I5" s="233"/>
      <c r="J5" s="233"/>
      <c r="K5" s="233"/>
    </row>
    <row r="6" spans="1:13" x14ac:dyDescent="0.25">
      <c r="B6" s="200">
        <v>5808500</v>
      </c>
      <c r="C6" s="200">
        <v>22200</v>
      </c>
      <c r="D6" s="200">
        <v>7850</v>
      </c>
      <c r="E6" s="233"/>
      <c r="I6" s="233"/>
      <c r="J6" s="233"/>
      <c r="K6" s="233"/>
    </row>
    <row r="7" spans="1:13" x14ac:dyDescent="0.25">
      <c r="B7" s="99"/>
      <c r="C7" s="99"/>
      <c r="D7" s="178"/>
      <c r="E7" s="178"/>
      <c r="F7" s="178"/>
      <c r="G7" s="178"/>
      <c r="H7" s="178"/>
      <c r="I7" s="178"/>
      <c r="J7" s="178"/>
      <c r="K7" s="178"/>
      <c r="L7" s="178"/>
    </row>
    <row r="8" spans="1:13" x14ac:dyDescent="0.25">
      <c r="A8" s="778" t="s">
        <v>260</v>
      </c>
      <c r="B8" s="778"/>
      <c r="C8" s="778"/>
      <c r="D8" s="178"/>
      <c r="E8" s="178"/>
      <c r="F8" s="178"/>
      <c r="G8" s="99"/>
      <c r="H8" s="99"/>
      <c r="I8" s="99"/>
      <c r="J8" s="178"/>
      <c r="K8" s="178"/>
      <c r="L8" s="178"/>
    </row>
    <row r="9" spans="1:13" x14ac:dyDescent="0.25">
      <c r="B9" s="99" t="s">
        <v>261</v>
      </c>
      <c r="C9" s="178">
        <v>0.92620000000000002</v>
      </c>
      <c r="D9" s="178"/>
      <c r="E9" s="178"/>
      <c r="F9" s="178"/>
      <c r="G9" s="178"/>
      <c r="H9" s="178"/>
      <c r="I9" s="178"/>
      <c r="J9" s="178"/>
      <c r="K9" s="178"/>
      <c r="L9" s="178"/>
    </row>
    <row r="10" spans="1:13" x14ac:dyDescent="0.25">
      <c r="B10" s="99" t="s">
        <v>262</v>
      </c>
      <c r="C10" s="178">
        <v>0.1205</v>
      </c>
      <c r="D10" s="178"/>
      <c r="E10" s="178"/>
      <c r="F10" s="178"/>
      <c r="G10" s="178"/>
      <c r="H10" s="178"/>
      <c r="I10" s="178"/>
      <c r="J10" s="178"/>
      <c r="K10" s="178"/>
      <c r="L10" s="178"/>
    </row>
    <row r="11" spans="1:13" x14ac:dyDescent="0.25">
      <c r="B11" s="99" t="s">
        <v>263</v>
      </c>
      <c r="C11" s="178">
        <v>9.2600000000000002E-2</v>
      </c>
      <c r="D11" s="178"/>
      <c r="E11" s="178"/>
      <c r="F11" s="178"/>
      <c r="G11" s="178"/>
      <c r="H11" s="178"/>
      <c r="I11" s="178"/>
      <c r="J11" s="178"/>
      <c r="K11" s="178"/>
      <c r="L11" s="178"/>
    </row>
    <row r="12" spans="1:13" x14ac:dyDescent="0.25">
      <c r="B12" s="99" t="s">
        <v>264</v>
      </c>
      <c r="C12" s="178">
        <v>5.3400000000000003E-2</v>
      </c>
      <c r="D12" s="178"/>
      <c r="E12" s="178"/>
      <c r="F12" s="178"/>
      <c r="G12" s="178"/>
      <c r="H12" s="178"/>
      <c r="I12" s="178"/>
      <c r="J12" s="178"/>
      <c r="K12" s="178"/>
      <c r="L12" s="178"/>
    </row>
    <row r="13" spans="1:13" x14ac:dyDescent="0.25">
      <c r="B13" s="99" t="s">
        <v>265</v>
      </c>
      <c r="C13" s="178">
        <v>0.22847000000000001</v>
      </c>
      <c r="D13" s="178"/>
      <c r="E13" s="178"/>
      <c r="F13" s="178"/>
      <c r="G13" s="178"/>
      <c r="H13" s="178"/>
      <c r="I13" s="178"/>
      <c r="J13" s="178"/>
      <c r="K13" s="178"/>
      <c r="L13" s="178"/>
    </row>
    <row r="14" spans="1:13" x14ac:dyDescent="0.25">
      <c r="B14" s="99"/>
      <c r="C14" s="99"/>
      <c r="D14" s="178"/>
      <c r="E14" s="178"/>
      <c r="F14" s="178"/>
      <c r="G14" s="178"/>
      <c r="H14" s="178"/>
      <c r="I14" s="178"/>
      <c r="J14" s="178"/>
      <c r="K14" s="178"/>
      <c r="L14" s="178"/>
    </row>
    <row r="16" spans="1:13" x14ac:dyDescent="0.25">
      <c r="A16" s="234" t="s">
        <v>200</v>
      </c>
      <c r="B16" s="106"/>
      <c r="C16" s="76"/>
      <c r="D16" s="76"/>
      <c r="E16" s="76"/>
    </row>
    <row r="17" spans="1:10" x14ac:dyDescent="0.25">
      <c r="A17" s="202" t="s">
        <v>201</v>
      </c>
      <c r="B17" s="203" t="s">
        <v>202</v>
      </c>
      <c r="C17" s="174"/>
      <c r="D17" s="174"/>
      <c r="E17" s="204" t="s">
        <v>203</v>
      </c>
      <c r="F17" s="205" t="s">
        <v>204</v>
      </c>
      <c r="G17" s="205" t="s">
        <v>205</v>
      </c>
      <c r="H17" s="205" t="s">
        <v>206</v>
      </c>
      <c r="I17" s="206"/>
      <c r="J17" s="206"/>
    </row>
    <row r="18" spans="1:10" x14ac:dyDescent="0.25">
      <c r="A18" s="207" t="s">
        <v>207</v>
      </c>
      <c r="B18" s="199">
        <v>0.52093999999999996</v>
      </c>
      <c r="C18" s="174"/>
      <c r="D18" s="174"/>
      <c r="E18" s="206" t="s">
        <v>208</v>
      </c>
      <c r="F18" s="208" t="s">
        <v>209</v>
      </c>
      <c r="G18" s="208"/>
      <c r="H18" s="208"/>
      <c r="I18" s="206"/>
      <c r="J18" s="206" t="s">
        <v>424</v>
      </c>
    </row>
    <row r="19" spans="1:10" x14ac:dyDescent="0.25">
      <c r="A19" s="207" t="s">
        <v>210</v>
      </c>
      <c r="B19" s="199">
        <v>0.47560000000000002</v>
      </c>
      <c r="C19" s="174"/>
      <c r="D19" s="174"/>
      <c r="E19" s="206" t="s">
        <v>211</v>
      </c>
      <c r="F19" s="208" t="s">
        <v>209</v>
      </c>
      <c r="G19" s="208"/>
      <c r="H19" s="208"/>
      <c r="I19" s="206"/>
      <c r="J19" s="206" t="s">
        <v>425</v>
      </c>
    </row>
    <row r="20" spans="1:10" x14ac:dyDescent="0.25">
      <c r="A20" s="207" t="s">
        <v>196</v>
      </c>
      <c r="B20" s="199" t="s">
        <v>426</v>
      </c>
      <c r="C20" s="174"/>
      <c r="D20" s="174"/>
      <c r="E20" s="183" t="s">
        <v>212</v>
      </c>
      <c r="F20" s="208" t="s">
        <v>209</v>
      </c>
      <c r="G20" s="208"/>
      <c r="H20" s="208"/>
      <c r="I20" s="206"/>
      <c r="J20" s="206" t="s">
        <v>427</v>
      </c>
    </row>
    <row r="21" spans="1:10" x14ac:dyDescent="0.25">
      <c r="A21" s="202" t="s">
        <v>213</v>
      </c>
      <c r="B21" s="209"/>
      <c r="C21" s="174"/>
      <c r="D21" s="174"/>
      <c r="E21" s="206" t="s">
        <v>214</v>
      </c>
      <c r="F21" s="208" t="s">
        <v>209</v>
      </c>
      <c r="G21" s="208"/>
      <c r="H21" s="208"/>
      <c r="I21" s="206"/>
      <c r="J21" s="206" t="s">
        <v>428</v>
      </c>
    </row>
    <row r="22" spans="1:10" x14ac:dyDescent="0.25">
      <c r="A22" s="207" t="s">
        <v>215</v>
      </c>
      <c r="B22" s="210">
        <v>2.8985950192152717E-2</v>
      </c>
      <c r="C22" s="174"/>
      <c r="D22" s="174"/>
      <c r="E22" s="206" t="s">
        <v>216</v>
      </c>
      <c r="F22" s="208" t="s">
        <v>209</v>
      </c>
      <c r="G22" s="208"/>
      <c r="H22" s="208"/>
      <c r="I22" s="206"/>
      <c r="J22" s="206" t="s">
        <v>429</v>
      </c>
    </row>
    <row r="23" spans="1:10" x14ac:dyDescent="0.25">
      <c r="A23" s="207" t="s">
        <v>217</v>
      </c>
      <c r="B23" s="210">
        <v>2.6239779103385267E-2</v>
      </c>
      <c r="C23" s="174"/>
      <c r="D23" s="174"/>
      <c r="E23" s="206" t="s">
        <v>218</v>
      </c>
      <c r="F23" s="208"/>
      <c r="G23" s="208" t="s">
        <v>209</v>
      </c>
      <c r="H23" s="208"/>
      <c r="I23" s="206"/>
      <c r="J23" s="206"/>
    </row>
    <row r="24" spans="1:10" x14ac:dyDescent="0.25">
      <c r="A24" s="207" t="s">
        <v>219</v>
      </c>
      <c r="B24" s="210">
        <v>1.7658557236038003E-2</v>
      </c>
      <c r="C24" s="174"/>
      <c r="D24" s="174"/>
      <c r="E24" s="206" t="s">
        <v>220</v>
      </c>
      <c r="F24" s="208"/>
      <c r="G24" s="208"/>
      <c r="H24" s="208" t="s">
        <v>209</v>
      </c>
      <c r="I24" s="206"/>
      <c r="J24" s="206"/>
    </row>
    <row r="25" spans="1:10" x14ac:dyDescent="0.25">
      <c r="A25" s="207" t="s">
        <v>221</v>
      </c>
      <c r="B25" s="210">
        <v>2.8965706071242242E-2</v>
      </c>
      <c r="C25" s="174"/>
      <c r="D25" s="174"/>
      <c r="E25" s="206" t="s">
        <v>222</v>
      </c>
      <c r="F25" s="208"/>
      <c r="G25" s="208"/>
      <c r="H25" s="208" t="s">
        <v>209</v>
      </c>
      <c r="I25" s="206"/>
      <c r="J25" s="206"/>
    </row>
    <row r="26" spans="1:10" x14ac:dyDescent="0.25">
      <c r="A26" s="207" t="s">
        <v>223</v>
      </c>
      <c r="B26" s="210">
        <v>4.0983221116469778E-2</v>
      </c>
      <c r="C26" s="76"/>
      <c r="D26" s="76"/>
      <c r="E26" s="206" t="s">
        <v>224</v>
      </c>
      <c r="F26" s="208" t="s">
        <v>209</v>
      </c>
      <c r="G26" s="208"/>
      <c r="H26" s="208"/>
      <c r="I26" s="206"/>
      <c r="J26" s="206" t="s">
        <v>430</v>
      </c>
    </row>
    <row r="27" spans="1:10" x14ac:dyDescent="0.25">
      <c r="A27" s="207" t="s">
        <v>225</v>
      </c>
      <c r="B27" s="210">
        <v>0.11764971747842722</v>
      </c>
      <c r="C27" s="174"/>
      <c r="D27" s="174"/>
      <c r="E27" s="204" t="s">
        <v>226</v>
      </c>
      <c r="F27" s="205" t="s">
        <v>204</v>
      </c>
      <c r="G27" s="205" t="s">
        <v>205</v>
      </c>
      <c r="H27" s="205" t="s">
        <v>206</v>
      </c>
      <c r="I27" s="206"/>
      <c r="J27" s="206"/>
    </row>
    <row r="28" spans="1:10" x14ac:dyDescent="0.25">
      <c r="A28" s="207" t="s">
        <v>227</v>
      </c>
      <c r="B28" s="210">
        <v>0.12656651123940346</v>
      </c>
      <c r="C28" s="174"/>
      <c r="D28" s="174"/>
      <c r="E28" s="206" t="s">
        <v>210</v>
      </c>
      <c r="F28" s="208" t="s">
        <v>209</v>
      </c>
      <c r="G28" s="208"/>
      <c r="H28" s="208"/>
      <c r="I28" s="206"/>
      <c r="J28" s="206" t="s">
        <v>424</v>
      </c>
    </row>
    <row r="29" spans="1:10" x14ac:dyDescent="0.25">
      <c r="A29" s="207" t="s">
        <v>228</v>
      </c>
      <c r="B29" s="210">
        <v>0.30471819016383805</v>
      </c>
      <c r="C29" s="76"/>
      <c r="D29" s="76"/>
      <c r="E29" s="206" t="s">
        <v>207</v>
      </c>
      <c r="F29" s="208"/>
      <c r="G29" s="208"/>
      <c r="H29" s="208" t="s">
        <v>209</v>
      </c>
      <c r="I29" s="206"/>
      <c r="J29" s="206"/>
    </row>
    <row r="30" spans="1:10" x14ac:dyDescent="0.25">
      <c r="A30" s="207" t="s">
        <v>229</v>
      </c>
      <c r="B30" s="210">
        <v>0.27313271909270354</v>
      </c>
      <c r="C30" s="174"/>
      <c r="D30" s="174"/>
      <c r="E30" s="204" t="s">
        <v>230</v>
      </c>
      <c r="F30" s="205" t="s">
        <v>204</v>
      </c>
      <c r="G30" s="205" t="s">
        <v>205</v>
      </c>
      <c r="H30" s="205" t="s">
        <v>206</v>
      </c>
      <c r="I30" s="206"/>
      <c r="J30" s="206"/>
    </row>
    <row r="31" spans="1:10" x14ac:dyDescent="0.25">
      <c r="A31" s="207" t="s">
        <v>231</v>
      </c>
      <c r="B31" s="210">
        <v>3.551991651866783E-2</v>
      </c>
      <c r="C31" s="174"/>
      <c r="D31" s="174"/>
      <c r="E31" s="206" t="s">
        <v>232</v>
      </c>
      <c r="F31" s="208"/>
      <c r="G31" s="208"/>
      <c r="H31" s="208" t="s">
        <v>209</v>
      </c>
      <c r="I31" s="206"/>
      <c r="J31" s="206"/>
    </row>
    <row r="32" spans="1:10" x14ac:dyDescent="0.25">
      <c r="A32" s="212" t="s">
        <v>233</v>
      </c>
      <c r="B32" s="213"/>
      <c r="C32" s="174"/>
      <c r="D32" s="174"/>
      <c r="E32" s="206" t="s">
        <v>234</v>
      </c>
      <c r="F32" s="208" t="s">
        <v>209</v>
      </c>
      <c r="G32" s="208"/>
      <c r="H32" s="208"/>
      <c r="I32" s="206"/>
      <c r="J32" s="206" t="s">
        <v>431</v>
      </c>
    </row>
    <row r="33" spans="1:10" x14ac:dyDescent="0.25">
      <c r="A33" s="207" t="s">
        <v>236</v>
      </c>
      <c r="B33" s="210">
        <v>3.1122803487775463E-2</v>
      </c>
      <c r="C33" s="174"/>
      <c r="D33" s="174"/>
      <c r="E33" s="206" t="s">
        <v>237</v>
      </c>
      <c r="F33" s="208"/>
      <c r="G33" s="208" t="s">
        <v>209</v>
      </c>
      <c r="H33" s="208"/>
      <c r="I33" s="206"/>
      <c r="J33" s="206"/>
    </row>
    <row r="34" spans="1:10" x14ac:dyDescent="0.25">
      <c r="A34" s="207" t="s">
        <v>238</v>
      </c>
      <c r="B34" s="210">
        <v>2.2865771588246962E-3</v>
      </c>
      <c r="C34" s="174"/>
      <c r="D34" s="174"/>
      <c r="E34" s="206" t="s">
        <v>239</v>
      </c>
      <c r="F34" s="208" t="s">
        <v>209</v>
      </c>
      <c r="G34" s="208"/>
      <c r="H34" s="208"/>
      <c r="I34" s="206"/>
      <c r="J34" s="206" t="s">
        <v>432</v>
      </c>
    </row>
    <row r="35" spans="1:10" x14ac:dyDescent="0.25">
      <c r="A35" s="207" t="s">
        <v>239</v>
      </c>
      <c r="B35" s="210">
        <v>3.7123984675650118E-2</v>
      </c>
      <c r="C35" s="174"/>
      <c r="D35" s="174"/>
      <c r="E35" s="206" t="s">
        <v>196</v>
      </c>
      <c r="F35" s="208"/>
      <c r="G35" s="208" t="s">
        <v>209</v>
      </c>
      <c r="H35" s="208"/>
      <c r="I35" s="206"/>
    </row>
    <row r="36" spans="1:10" x14ac:dyDescent="0.25">
      <c r="A36" s="207" t="s">
        <v>240</v>
      </c>
      <c r="B36" s="210">
        <v>9.9284557583358027E-4</v>
      </c>
      <c r="C36" s="174"/>
      <c r="D36" s="174"/>
      <c r="E36" s="204" t="s">
        <v>241</v>
      </c>
      <c r="F36" s="205" t="s">
        <v>204</v>
      </c>
      <c r="G36" s="205" t="s">
        <v>205</v>
      </c>
      <c r="H36" s="205" t="s">
        <v>206</v>
      </c>
      <c r="I36" s="206"/>
      <c r="J36" s="206"/>
    </row>
    <row r="37" spans="1:10" x14ac:dyDescent="0.25">
      <c r="A37" s="207" t="s">
        <v>232</v>
      </c>
      <c r="B37" s="210">
        <v>0.89102581962174443</v>
      </c>
      <c r="C37" s="174"/>
      <c r="D37" s="174"/>
      <c r="E37" s="206" t="s">
        <v>242</v>
      </c>
      <c r="F37" s="208"/>
      <c r="G37" s="208" t="s">
        <v>209</v>
      </c>
      <c r="H37" s="208"/>
      <c r="I37" s="206"/>
      <c r="J37" s="206"/>
    </row>
    <row r="38" spans="1:10" x14ac:dyDescent="0.25">
      <c r="A38" s="207" t="s">
        <v>244</v>
      </c>
      <c r="B38" s="210">
        <v>1.9135351195853714E-2</v>
      </c>
      <c r="C38" s="174"/>
      <c r="D38" s="174"/>
      <c r="E38" s="206" t="s">
        <v>245</v>
      </c>
      <c r="F38" s="208"/>
      <c r="G38" s="208" t="s">
        <v>209</v>
      </c>
      <c r="H38" s="208"/>
      <c r="I38" s="206"/>
      <c r="J38" s="206"/>
    </row>
    <row r="39" spans="1:10" x14ac:dyDescent="0.25">
      <c r="A39" s="207" t="s">
        <v>246</v>
      </c>
      <c r="B39" s="210">
        <v>1.8297532368570721E-2</v>
      </c>
      <c r="C39" s="174"/>
      <c r="D39" s="174"/>
      <c r="E39" s="204" t="s">
        <v>247</v>
      </c>
      <c r="F39" s="205" t="s">
        <v>204</v>
      </c>
      <c r="G39" s="205" t="s">
        <v>205</v>
      </c>
      <c r="H39" s="205" t="s">
        <v>206</v>
      </c>
      <c r="I39" s="206"/>
      <c r="J39" s="206"/>
    </row>
    <row r="40" spans="1:10" x14ac:dyDescent="0.25">
      <c r="A40" s="212" t="s">
        <v>248</v>
      </c>
      <c r="B40" s="213"/>
      <c r="C40" s="174"/>
      <c r="D40" s="174"/>
      <c r="E40" s="206" t="s">
        <v>249</v>
      </c>
      <c r="F40" s="208" t="s">
        <v>209</v>
      </c>
      <c r="G40" s="208"/>
      <c r="H40" s="208"/>
      <c r="I40" s="206"/>
      <c r="J40" s="206" t="s">
        <v>433</v>
      </c>
    </row>
    <row r="41" spans="1:10" x14ac:dyDescent="0.25">
      <c r="A41" s="207" t="s">
        <v>242</v>
      </c>
      <c r="B41" s="210">
        <v>0.96660000000000001</v>
      </c>
      <c r="C41" s="174"/>
      <c r="D41" s="174"/>
      <c r="E41" s="206" t="s">
        <v>251</v>
      </c>
      <c r="F41" s="208"/>
      <c r="G41" s="208" t="s">
        <v>209</v>
      </c>
      <c r="H41" s="208"/>
      <c r="I41" s="206"/>
      <c r="J41" s="206"/>
    </row>
    <row r="42" spans="1:10" x14ac:dyDescent="0.25">
      <c r="A42" s="207" t="s">
        <v>245</v>
      </c>
      <c r="B42" s="210">
        <v>3.3300000000000003E-2</v>
      </c>
      <c r="C42" s="174"/>
      <c r="D42" s="174"/>
      <c r="E42" s="206" t="s">
        <v>252</v>
      </c>
      <c r="F42" s="208"/>
      <c r="G42" s="208"/>
      <c r="H42" s="208" t="s">
        <v>209</v>
      </c>
      <c r="I42" s="206"/>
      <c r="J42" s="206"/>
    </row>
    <row r="43" spans="1:10" x14ac:dyDescent="0.25">
      <c r="A43" s="212" t="s">
        <v>253</v>
      </c>
      <c r="B43" s="213"/>
      <c r="C43" s="174"/>
      <c r="D43" s="174"/>
      <c r="E43" s="174"/>
    </row>
    <row r="44" spans="1:10" x14ac:dyDescent="0.25">
      <c r="A44" s="207" t="s">
        <v>254</v>
      </c>
      <c r="B44" s="210">
        <v>5.3607387068573903E-2</v>
      </c>
      <c r="C44" s="174"/>
      <c r="D44" s="174"/>
      <c r="E44" s="174"/>
    </row>
    <row r="45" spans="1:10" x14ac:dyDescent="0.25">
      <c r="A45" s="207" t="s">
        <v>255</v>
      </c>
      <c r="B45" s="210">
        <v>9.9396945587084007E-2</v>
      </c>
      <c r="C45" s="76"/>
      <c r="D45" s="76"/>
      <c r="E45" s="76"/>
    </row>
    <row r="46" spans="1:10" x14ac:dyDescent="0.25">
      <c r="A46" s="207" t="s">
        <v>256</v>
      </c>
      <c r="B46" s="210">
        <v>0.15316627867908658</v>
      </c>
      <c r="C46" s="174"/>
      <c r="D46" s="174"/>
      <c r="E46" s="174"/>
    </row>
    <row r="47" spans="1:10" x14ac:dyDescent="0.25">
      <c r="A47" s="207" t="s">
        <v>257</v>
      </c>
      <c r="B47" s="210">
        <v>0.16373676704061538</v>
      </c>
      <c r="C47" s="174"/>
      <c r="D47" s="174"/>
      <c r="E47" s="174"/>
    </row>
    <row r="48" spans="1:10" x14ac:dyDescent="0.25">
      <c r="A48" s="207" t="s">
        <v>258</v>
      </c>
      <c r="B48" s="210">
        <v>0.23364213232271422</v>
      </c>
      <c r="C48" s="76"/>
      <c r="D48" s="76"/>
      <c r="E48" s="76"/>
    </row>
    <row r="49" spans="1:5" x14ac:dyDescent="0.25">
      <c r="A49" s="207" t="s">
        <v>259</v>
      </c>
      <c r="B49" s="210">
        <v>0.29647264928753841</v>
      </c>
      <c r="C49" s="174"/>
      <c r="D49" s="174"/>
      <c r="E49" s="174"/>
    </row>
    <row r="50" spans="1:5" x14ac:dyDescent="0.25">
      <c r="B50" s="183"/>
      <c r="C50" s="174"/>
      <c r="D50" s="174"/>
      <c r="E50" s="174"/>
    </row>
    <row r="51" spans="1:5" x14ac:dyDescent="0.25">
      <c r="B51" s="183"/>
      <c r="C51" s="174"/>
      <c r="D51" s="174"/>
      <c r="E51" s="174"/>
    </row>
    <row r="54" spans="1:5" x14ac:dyDescent="0.25">
      <c r="A54" s="214" t="s">
        <v>266</v>
      </c>
      <c r="B54" s="175">
        <v>2014</v>
      </c>
      <c r="C54" s="175">
        <v>2019</v>
      </c>
      <c r="D54" s="175" t="s">
        <v>268</v>
      </c>
      <c r="E54" s="175"/>
    </row>
    <row r="55" spans="1:5" x14ac:dyDescent="0.25">
      <c r="A55" s="184" t="s">
        <v>269</v>
      </c>
      <c r="B55" s="183" t="s">
        <v>26</v>
      </c>
      <c r="C55" s="184" t="s">
        <v>26</v>
      </c>
      <c r="D55" s="184">
        <v>2</v>
      </c>
    </row>
    <row r="56" spans="1:5" x14ac:dyDescent="0.25">
      <c r="A56" s="184" t="s">
        <v>271</v>
      </c>
      <c r="B56" s="183" t="s">
        <v>270</v>
      </c>
      <c r="C56" s="184" t="s">
        <v>26</v>
      </c>
      <c r="D56" s="184">
        <v>2</v>
      </c>
    </row>
    <row r="57" spans="1:5" x14ac:dyDescent="0.25">
      <c r="A57" s="184" t="s">
        <v>272</v>
      </c>
      <c r="B57" s="183" t="s">
        <v>273</v>
      </c>
      <c r="C57" s="184" t="s">
        <v>273</v>
      </c>
      <c r="D57" s="184">
        <v>2</v>
      </c>
    </row>
    <row r="58" spans="1:5" x14ac:dyDescent="0.25">
      <c r="A58" s="184" t="s">
        <v>274</v>
      </c>
      <c r="B58" s="183" t="s">
        <v>26</v>
      </c>
      <c r="C58" s="184" t="s">
        <v>26</v>
      </c>
      <c r="D58" s="184">
        <v>2</v>
      </c>
    </row>
    <row r="59" spans="1:5" x14ac:dyDescent="0.25">
      <c r="A59" s="184" t="s">
        <v>275</v>
      </c>
      <c r="B59" s="183" t="s">
        <v>5</v>
      </c>
      <c r="C59" s="184" t="s">
        <v>26</v>
      </c>
      <c r="D59" s="184" t="s">
        <v>5</v>
      </c>
    </row>
    <row r="61" spans="1:5" x14ac:dyDescent="0.25">
      <c r="A61" s="184">
        <v>2</v>
      </c>
      <c r="B61" s="184" t="s">
        <v>277</v>
      </c>
    </row>
    <row r="63" spans="1:5" x14ac:dyDescent="0.25">
      <c r="A63" s="175" t="s">
        <v>278</v>
      </c>
    </row>
    <row r="64" spans="1:5" x14ac:dyDescent="0.25">
      <c r="A64" s="184">
        <v>1</v>
      </c>
    </row>
    <row r="65" spans="1:3" x14ac:dyDescent="0.25">
      <c r="A65" s="184">
        <v>2</v>
      </c>
    </row>
    <row r="66" spans="1:3" x14ac:dyDescent="0.25">
      <c r="A66" s="184">
        <v>3</v>
      </c>
    </row>
    <row r="67" spans="1:3" x14ac:dyDescent="0.25">
      <c r="A67" s="184">
        <v>4</v>
      </c>
    </row>
    <row r="68" spans="1:3" x14ac:dyDescent="0.25">
      <c r="A68" s="184">
        <v>5</v>
      </c>
    </row>
    <row r="71" spans="1:3" x14ac:dyDescent="0.25">
      <c r="A71" s="782" t="s">
        <v>434</v>
      </c>
      <c r="B71" s="782"/>
    </row>
    <row r="72" spans="1:3" x14ac:dyDescent="0.25">
      <c r="A72" s="235" t="s">
        <v>435</v>
      </c>
      <c r="B72" s="154">
        <v>2.1880000000000002</v>
      </c>
      <c r="C72" s="783"/>
    </row>
    <row r="73" spans="1:3" x14ac:dyDescent="0.25">
      <c r="A73" s="236" t="s">
        <v>436</v>
      </c>
      <c r="B73" s="154">
        <v>2.2090000000000001</v>
      </c>
      <c r="C73" s="783"/>
    </row>
    <row r="74" spans="1:3" x14ac:dyDescent="0.25">
      <c r="A74" s="237" t="s">
        <v>437</v>
      </c>
      <c r="B74" s="154">
        <v>2.254</v>
      </c>
      <c r="C74" s="783"/>
    </row>
    <row r="75" spans="1:3" x14ac:dyDescent="0.25">
      <c r="A75" s="235" t="s">
        <v>438</v>
      </c>
      <c r="B75" s="154">
        <v>2.3010000000000002</v>
      </c>
      <c r="C75" s="783"/>
    </row>
    <row r="76" spans="1:3" x14ac:dyDescent="0.25">
      <c r="A76" s="237" t="s">
        <v>439</v>
      </c>
      <c r="B76" s="154">
        <v>2.448</v>
      </c>
    </row>
    <row r="77" spans="1:3" x14ac:dyDescent="0.25">
      <c r="A77" s="238" t="s">
        <v>440</v>
      </c>
      <c r="B77" s="154">
        <v>2.5350000000000001</v>
      </c>
    </row>
    <row r="78" spans="1:3" x14ac:dyDescent="0.25">
      <c r="A78" s="37" t="s">
        <v>441</v>
      </c>
      <c r="B78" s="154">
        <v>2.6019999999999999</v>
      </c>
    </row>
    <row r="79" spans="1:3" x14ac:dyDescent="0.25">
      <c r="A79" s="37" t="s">
        <v>442</v>
      </c>
      <c r="B79" s="154">
        <v>2.67</v>
      </c>
    </row>
    <row r="80" spans="1:3" x14ac:dyDescent="0.25">
      <c r="A80" s="37" t="s">
        <v>443</v>
      </c>
      <c r="B80" s="154">
        <v>2.74</v>
      </c>
    </row>
    <row r="81" spans="1:4" x14ac:dyDescent="0.25">
      <c r="A81" s="37" t="s">
        <v>444</v>
      </c>
      <c r="B81" s="154">
        <v>2.7469999999999999</v>
      </c>
    </row>
    <row r="82" spans="1:4" x14ac:dyDescent="0.25">
      <c r="A82" s="239"/>
      <c r="B82" s="174"/>
    </row>
    <row r="84" spans="1:4" x14ac:dyDescent="0.25">
      <c r="A84" s="216" t="s">
        <v>445</v>
      </c>
      <c r="B84" s="216" t="s">
        <v>446</v>
      </c>
      <c r="C84" s="216" t="s">
        <v>447</v>
      </c>
    </row>
    <row r="85" spans="1:4" x14ac:dyDescent="0.25">
      <c r="A85" s="218" t="s">
        <v>448</v>
      </c>
      <c r="B85" s="99">
        <v>240148</v>
      </c>
      <c r="C85" s="178" t="s">
        <v>449</v>
      </c>
    </row>
    <row r="86" spans="1:4" x14ac:dyDescent="0.25">
      <c r="A86" s="218" t="s">
        <v>450</v>
      </c>
      <c r="B86" s="99">
        <v>188609</v>
      </c>
      <c r="C86" s="219" t="s">
        <v>451</v>
      </c>
    </row>
    <row r="87" spans="1:4" x14ac:dyDescent="0.25">
      <c r="A87" s="218" t="s">
        <v>392</v>
      </c>
      <c r="B87" s="99">
        <v>143951</v>
      </c>
      <c r="C87" s="219" t="s">
        <v>452</v>
      </c>
    </row>
    <row r="88" spans="1:4" x14ac:dyDescent="0.25">
      <c r="A88" s="218" t="s">
        <v>453</v>
      </c>
      <c r="B88" s="99">
        <v>119197</v>
      </c>
      <c r="C88" s="219" t="s">
        <v>451</v>
      </c>
    </row>
    <row r="89" spans="1:4" x14ac:dyDescent="0.25">
      <c r="A89" s="218" t="s">
        <v>454</v>
      </c>
      <c r="B89" s="99">
        <v>83810</v>
      </c>
      <c r="C89" s="219" t="s">
        <v>455</v>
      </c>
    </row>
    <row r="90" spans="1:4" x14ac:dyDescent="0.25">
      <c r="A90" s="218" t="s">
        <v>456</v>
      </c>
      <c r="B90" s="99">
        <v>76633</v>
      </c>
      <c r="C90" s="178" t="s">
        <v>449</v>
      </c>
    </row>
    <row r="91" spans="1:4" ht="15.75" thickBot="1" x14ac:dyDescent="0.3">
      <c r="A91" s="218"/>
      <c r="B91" s="99"/>
      <c r="C91" s="219"/>
    </row>
    <row r="92" spans="1:4" x14ac:dyDescent="0.25">
      <c r="A92" s="218" t="s">
        <v>457</v>
      </c>
      <c r="B92" s="99">
        <v>34505</v>
      </c>
      <c r="C92" s="219" t="s">
        <v>458</v>
      </c>
      <c r="D92" s="784" t="s">
        <v>459</v>
      </c>
    </row>
    <row r="93" spans="1:4" x14ac:dyDescent="0.25">
      <c r="A93" s="218" t="s">
        <v>460</v>
      </c>
      <c r="B93" s="99">
        <v>15528</v>
      </c>
      <c r="C93" s="219" t="s">
        <v>461</v>
      </c>
      <c r="D93" s="785"/>
    </row>
    <row r="94" spans="1:4" x14ac:dyDescent="0.25">
      <c r="A94" s="218" t="s">
        <v>462</v>
      </c>
      <c r="B94" s="99">
        <v>58317</v>
      </c>
      <c r="C94" s="219" t="s">
        <v>463</v>
      </c>
      <c r="D94" s="785"/>
    </row>
    <row r="95" spans="1:4" x14ac:dyDescent="0.25">
      <c r="A95" s="218" t="s">
        <v>464</v>
      </c>
      <c r="B95" s="99">
        <v>32881</v>
      </c>
      <c r="C95" s="219" t="s">
        <v>319</v>
      </c>
      <c r="D95" s="785"/>
    </row>
    <row r="96" spans="1:4" ht="15.75" thickBot="1" x14ac:dyDescent="0.3">
      <c r="A96" s="218" t="s">
        <v>414</v>
      </c>
      <c r="B96" s="99">
        <v>18446</v>
      </c>
      <c r="C96" s="219" t="s">
        <v>465</v>
      </c>
      <c r="D96" s="786"/>
    </row>
    <row r="97" spans="1:4" x14ac:dyDescent="0.25">
      <c r="A97" s="218"/>
      <c r="B97" s="99"/>
      <c r="C97" s="219"/>
    </row>
    <row r="98" spans="1:4" x14ac:dyDescent="0.25">
      <c r="A98" s="218"/>
      <c r="C98" s="219"/>
    </row>
    <row r="99" spans="1:4" x14ac:dyDescent="0.25">
      <c r="A99" s="214" t="s">
        <v>466</v>
      </c>
      <c r="B99" s="214" t="s">
        <v>287</v>
      </c>
      <c r="C99" s="214" t="s">
        <v>288</v>
      </c>
    </row>
    <row r="100" spans="1:4" x14ac:dyDescent="0.25">
      <c r="A100" s="218"/>
      <c r="C100" s="217"/>
    </row>
    <row r="101" spans="1:4" x14ac:dyDescent="0.25">
      <c r="A101" s="218"/>
      <c r="C101" s="217"/>
    </row>
    <row r="102" spans="1:4" x14ac:dyDescent="0.25">
      <c r="A102" s="218"/>
      <c r="C102" s="217"/>
    </row>
    <row r="104" spans="1:4" x14ac:dyDescent="0.25">
      <c r="B104" s="780" t="s">
        <v>291</v>
      </c>
      <c r="C104" s="780"/>
      <c r="D104" s="780"/>
    </row>
    <row r="105" spans="1:4" x14ac:dyDescent="0.25">
      <c r="B105" s="184">
        <v>2019</v>
      </c>
      <c r="C105" s="184">
        <v>2014</v>
      </c>
      <c r="D105" s="184" t="s">
        <v>292</v>
      </c>
    </row>
    <row r="106" spans="1:4" x14ac:dyDescent="0.25">
      <c r="B106" s="178">
        <v>0.13980000000000001</v>
      </c>
      <c r="C106" s="178">
        <v>0.1394</v>
      </c>
      <c r="D106" s="184" t="s">
        <v>317</v>
      </c>
    </row>
    <row r="108" spans="1:4" x14ac:dyDescent="0.25">
      <c r="B108" s="780" t="s">
        <v>294</v>
      </c>
      <c r="C108" s="780"/>
      <c r="D108" s="780"/>
    </row>
    <row r="109" spans="1:4" x14ac:dyDescent="0.25">
      <c r="B109" s="184">
        <v>2019</v>
      </c>
      <c r="C109" s="184">
        <v>2014</v>
      </c>
      <c r="D109" s="184" t="s">
        <v>292</v>
      </c>
    </row>
    <row r="110" spans="1:4" x14ac:dyDescent="0.25">
      <c r="B110" s="178">
        <v>0.29899999999999999</v>
      </c>
      <c r="C110" s="199">
        <v>0.33500000000000002</v>
      </c>
      <c r="D110" s="184" t="s">
        <v>318</v>
      </c>
    </row>
    <row r="112" spans="1:4" x14ac:dyDescent="0.25">
      <c r="B112" s="780" t="s">
        <v>295</v>
      </c>
      <c r="C112" s="780"/>
      <c r="D112" s="780"/>
    </row>
    <row r="113" spans="2:6" x14ac:dyDescent="0.25">
      <c r="B113" s="184">
        <v>2019</v>
      </c>
      <c r="C113" s="184">
        <v>2014</v>
      </c>
      <c r="D113" s="184" t="s">
        <v>292</v>
      </c>
    </row>
    <row r="114" spans="2:6" x14ac:dyDescent="0.25">
      <c r="B114" s="178">
        <v>0.98650000000000004</v>
      </c>
      <c r="C114" s="178">
        <v>0.97319999999999995</v>
      </c>
      <c r="D114" s="225"/>
    </row>
    <row r="115" spans="2:6" x14ac:dyDescent="0.25">
      <c r="B115" s="781" t="s">
        <v>296</v>
      </c>
      <c r="C115" s="781"/>
      <c r="D115" s="781"/>
      <c r="E115" s="781"/>
      <c r="F115" s="781"/>
    </row>
    <row r="117" spans="2:6" x14ac:dyDescent="0.25">
      <c r="B117" s="780" t="s">
        <v>297</v>
      </c>
      <c r="C117" s="780"/>
      <c r="D117" s="780"/>
    </row>
    <row r="118" spans="2:6" x14ac:dyDescent="0.25">
      <c r="B118" s="184">
        <v>2019</v>
      </c>
      <c r="C118" s="184">
        <v>2014</v>
      </c>
      <c r="D118" s="184" t="s">
        <v>292</v>
      </c>
    </row>
    <row r="119" spans="2:6" x14ac:dyDescent="0.25">
      <c r="B119" s="178">
        <v>0.96</v>
      </c>
      <c r="C119" s="178">
        <v>0.97</v>
      </c>
      <c r="D119" s="184" t="s">
        <v>318</v>
      </c>
    </row>
    <row r="123" spans="2:6" x14ac:dyDescent="0.25">
      <c r="B123" s="781"/>
      <c r="C123" s="781"/>
      <c r="D123" s="781"/>
    </row>
    <row r="125" spans="2:6" x14ac:dyDescent="0.25">
      <c r="B125" s="178"/>
      <c r="C125" s="178"/>
    </row>
  </sheetData>
  <mergeCells count="11">
    <mergeCell ref="B108:D108"/>
    <mergeCell ref="B112:D112"/>
    <mergeCell ref="B115:F115"/>
    <mergeCell ref="B117:D117"/>
    <mergeCell ref="B123:D123"/>
    <mergeCell ref="B104:D104"/>
    <mergeCell ref="B1:E1"/>
    <mergeCell ref="A8:C8"/>
    <mergeCell ref="A71:B71"/>
    <mergeCell ref="C72:C75"/>
    <mergeCell ref="D92:D9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A75"/>
  <sheetViews>
    <sheetView tabSelected="1" view="pageBreakPreview" topLeftCell="A34" zoomScale="85" zoomScaleNormal="85" zoomScaleSheetLayoutView="85" workbookViewId="0">
      <selection activeCell="J53" sqref="J53"/>
    </sheetView>
  </sheetViews>
  <sheetFormatPr defaultRowHeight="15" x14ac:dyDescent="0.25"/>
  <cols>
    <col min="1" max="1" width="3.5703125" customWidth="1"/>
    <col min="2" max="2" width="20.7109375" customWidth="1"/>
    <col min="3" max="5" width="13.28515625" customWidth="1"/>
    <col min="6" max="6" width="13.28515625" style="55" customWidth="1"/>
    <col min="7" max="7" width="13.28515625" style="71" customWidth="1"/>
    <col min="8" max="8" width="13.28515625" customWidth="1"/>
    <col min="9" max="9" width="13.28515625" style="71" customWidth="1"/>
    <col min="10" max="12" width="13.28515625" customWidth="1"/>
    <col min="13" max="13" width="15.5703125" customWidth="1"/>
    <col min="14" max="14" width="15.85546875" customWidth="1"/>
    <col min="15" max="15" width="13.5703125" bestFit="1" customWidth="1"/>
    <col min="16" max="16" width="15.28515625" bestFit="1" customWidth="1"/>
    <col min="17" max="17" width="14" customWidth="1"/>
    <col min="18" max="18" width="11.85546875" customWidth="1"/>
    <col min="19" max="19" width="11.85546875" bestFit="1" customWidth="1"/>
  </cols>
  <sheetData>
    <row r="1" spans="1:27" ht="23.25" x14ac:dyDescent="0.35">
      <c r="A1" s="25"/>
      <c r="B1" s="35" t="s">
        <v>691</v>
      </c>
      <c r="C1" s="35"/>
      <c r="D1" s="35"/>
    </row>
    <row r="2" spans="1:27" x14ac:dyDescent="0.25">
      <c r="H2" s="129"/>
      <c r="I2"/>
      <c r="J2" s="71"/>
    </row>
    <row r="3" spans="1:27" ht="16.5" thickBot="1" x14ac:dyDescent="0.3">
      <c r="B3" s="42" t="s">
        <v>6</v>
      </c>
      <c r="C3" s="42"/>
      <c r="D3" s="42"/>
      <c r="H3" s="129"/>
      <c r="I3"/>
    </row>
    <row r="4" spans="1:27" s="57" customFormat="1" ht="24.75" thickBot="1" x14ac:dyDescent="0.3">
      <c r="B4" s="58"/>
      <c r="C4" s="682" t="s">
        <v>73</v>
      </c>
      <c r="D4" s="683"/>
      <c r="E4" s="683"/>
      <c r="F4" s="683"/>
      <c r="G4" s="683"/>
      <c r="H4" s="683"/>
      <c r="I4" s="683"/>
      <c r="J4" s="683"/>
      <c r="K4" s="683"/>
      <c r="L4" s="684"/>
      <c r="M4" s="543" t="s">
        <v>630</v>
      </c>
      <c r="N4" s="682" t="s">
        <v>629</v>
      </c>
      <c r="O4" s="684"/>
      <c r="P4" s="685" t="s">
        <v>586</v>
      </c>
      <c r="Q4" s="686"/>
    </row>
    <row r="5" spans="1:27" ht="35.1" customHeight="1" x14ac:dyDescent="0.25">
      <c r="B5" s="674" t="s">
        <v>0</v>
      </c>
      <c r="C5" s="676" t="s">
        <v>63</v>
      </c>
      <c r="D5" s="677"/>
      <c r="E5" s="677"/>
      <c r="F5" s="677"/>
      <c r="G5" s="677"/>
      <c r="H5" s="677"/>
      <c r="I5" s="677"/>
      <c r="J5" s="677"/>
      <c r="K5" s="677"/>
      <c r="L5" s="678"/>
      <c r="M5" s="670" t="s">
        <v>658</v>
      </c>
      <c r="N5" s="680" t="s">
        <v>631</v>
      </c>
      <c r="O5" s="693" t="s">
        <v>632</v>
      </c>
      <c r="P5" s="674" t="s">
        <v>40</v>
      </c>
      <c r="Q5" s="687" t="s">
        <v>27</v>
      </c>
      <c r="R5" s="670" t="s">
        <v>42</v>
      </c>
      <c r="S5" s="687" t="s">
        <v>1</v>
      </c>
    </row>
    <row r="6" spans="1:27" ht="35.1" customHeight="1" thickBot="1" x14ac:dyDescent="0.3">
      <c r="B6" s="675"/>
      <c r="C6" s="418" t="s">
        <v>458</v>
      </c>
      <c r="D6" s="419" t="s">
        <v>573</v>
      </c>
      <c r="E6" s="419" t="s">
        <v>550</v>
      </c>
      <c r="F6" s="419" t="s">
        <v>551</v>
      </c>
      <c r="G6" s="419" t="s">
        <v>319</v>
      </c>
      <c r="H6" s="419" t="s">
        <v>463</v>
      </c>
      <c r="I6" s="419" t="s">
        <v>452</v>
      </c>
      <c r="J6" s="419" t="s">
        <v>575</v>
      </c>
      <c r="K6" s="419" t="s">
        <v>581</v>
      </c>
      <c r="L6" s="420" t="s">
        <v>23</v>
      </c>
      <c r="M6" s="671"/>
      <c r="N6" s="681"/>
      <c r="O6" s="694"/>
      <c r="P6" s="692"/>
      <c r="Q6" s="689"/>
      <c r="R6" s="679"/>
      <c r="S6" s="688"/>
      <c r="U6" s="68"/>
      <c r="V6" s="69"/>
    </row>
    <row r="7" spans="1:27" ht="15" customHeight="1" x14ac:dyDescent="0.25">
      <c r="B7" s="81">
        <f>'Project Data and Assumptions'!C4</f>
        <v>2028</v>
      </c>
      <c r="C7" s="406">
        <f>_xlfn.XLOOKUP($B7,'QoL Benefits - BCRT'!$B$7:$B$31,'QoL Benefits - BCRT'!$U$7:$U$31,0)</f>
        <v>0</v>
      </c>
      <c r="D7" s="421">
        <f>_xlfn.XLOOKUP($B7,'QoL Benefits - Bryant RT'!$B$7:$B$31,'QoL Benefits - Bryant RT'!$U$7:$U$31,0)</f>
        <v>0</v>
      </c>
      <c r="E7" s="421">
        <f>_xlfn.XLOOKUP($B7,'QoL Benefits - CP RT'!$B$7:$B$31,'QoL Benefits - CP RT'!$U$7:$U$31,0)</f>
        <v>0</v>
      </c>
      <c r="F7" s="421">
        <f>_xlfn.XLOOKUP($B7,'QoL Benefits -Eagle RT'!$B$7:$B$31,'QoL Benefits -Eagle RT'!$U$7:$U$31,0)</f>
        <v>0</v>
      </c>
      <c r="G7" s="421">
        <f>_xlfn.XLOOKUP($B7,'QoL Benefits - Med Lake RT'!$B$7:$B$31,'QoL Benefits - Med Lake RT'!$U$7:$U$31,0)</f>
        <v>0</v>
      </c>
      <c r="H7" s="421">
        <f>_xlfn.XLOOKUP($B7,'QoL Benefits - 9Mi RT'!$B$7:$B$31,'QoL Benefits - 9Mi RT'!$U$7:$U$31,0)</f>
        <v>0</v>
      </c>
      <c r="I7" s="421">
        <f>_xlfn.XLOOKUP($B7,'QoL Benefits - Rush Crk RT'!$B$7:$B$31,'QoL Benefits - Rush Crk RT'!$U$7:$U$31,0)</f>
        <v>0</v>
      </c>
      <c r="J7" s="421">
        <f>_xlfn.XLOOKUP($B7,'QoL Benefits - Shingle Crk BCR'!$B$7:$B$31,'QoL Benefits - Shingle Crk BCR'!$U$7:$U$31,0)</f>
        <v>0</v>
      </c>
      <c r="K7" s="421">
        <f>_xlfn.XLOOKUP($B7,'QoL Benefits - Shingle Crk NAR'!$B$7:$B$31,'QoL Benefits - Shingle Crk NAR'!$U$7:$U$31,0)</f>
        <v>0</v>
      </c>
      <c r="L7" s="424">
        <f t="shared" ref="L7:L30" si="0">SUM(C7:K7)</f>
        <v>0</v>
      </c>
      <c r="M7" s="407">
        <f>_xlfn.XLOOKUP(B7,'Operating Cost Savings'!$B$6:$B$32,'Operating Cost Savings'!$D$6:$D$32,0)</f>
        <v>0</v>
      </c>
      <c r="N7" s="82">
        <f>_xlfn.XLOOKUP(B7,'Air Quality'!$B$5:$B$32,'Air Quality'!$M$5:$M$32)</f>
        <v>0</v>
      </c>
      <c r="O7" s="540">
        <f>_xlfn.XLOOKUP(B7,'Air Quality'!$B$5:$B$32,'Air Quality'!$E$5:$E$32)</f>
        <v>0</v>
      </c>
      <c r="P7" s="546">
        <f>-_xlfn.XLOOKUP($B7,'Operation and Maintenance'!$B$9:$B$32,'Operation and Maintenance'!$AA$9:$AA$32,0)</f>
        <v>-23347.200000000001</v>
      </c>
      <c r="Q7" s="10">
        <f>_xlfn.XLOOKUP($B7,'Capital Costs'!$B$7:$B$38,'Capital Costs'!$E$7:$E$38)</f>
        <v>0</v>
      </c>
      <c r="R7" s="407">
        <f>SUM(L7:N7,P7:Q7)</f>
        <v>-23347.200000000001</v>
      </c>
      <c r="S7" s="412">
        <f>R7*(1+0.07)^-(B7-'Project Data and Assumptions'!$C$3)+O7</f>
        <v>-13588.282966100865</v>
      </c>
    </row>
    <row r="8" spans="1:27" ht="15" customHeight="1" x14ac:dyDescent="0.25">
      <c r="B8" s="431">
        <f>B7+1</f>
        <v>2029</v>
      </c>
      <c r="C8" s="432">
        <f>_xlfn.XLOOKUP($B8,'QoL Benefits - BCRT'!$B$7:$B$31,'QoL Benefits - BCRT'!$U$7:$U$31,0)</f>
        <v>144149.90808188441</v>
      </c>
      <c r="D8" s="433">
        <f>_xlfn.XLOOKUP($B8,'QoL Benefits - Bryant RT'!$B$7:$B$31,'QoL Benefits - Bryant RT'!$U$7:$U$31,0)</f>
        <v>0</v>
      </c>
      <c r="E8" s="433">
        <f>_xlfn.XLOOKUP($B8,'QoL Benefits - CP RT'!$B$7:$B$31,'QoL Benefits - CP RT'!$U$7:$U$31,0)</f>
        <v>0</v>
      </c>
      <c r="F8" s="433">
        <f>_xlfn.XLOOKUP($B8,'QoL Benefits -Eagle RT'!$B$7:$B$31,'QoL Benefits -Eagle RT'!$U$7:$U$31,0)</f>
        <v>0</v>
      </c>
      <c r="G8" s="433">
        <f>_xlfn.XLOOKUP($B8,'QoL Benefits - Med Lake RT'!$B$7:$B$31,'QoL Benefits - Med Lake RT'!$U$7:$U$31,0)</f>
        <v>2785486.2432525097</v>
      </c>
      <c r="H8" s="433">
        <f>_xlfn.XLOOKUP($B8,'QoL Benefits - 9Mi RT'!$B$7:$B$31,'QoL Benefits - 9Mi RT'!$U$7:$U$31,0)</f>
        <v>0</v>
      </c>
      <c r="I8" s="433">
        <f>_xlfn.XLOOKUP($B8,'QoL Benefits - Rush Crk RT'!$B$7:$B$31,'QoL Benefits - Rush Crk RT'!$U$7:$U$31,0)</f>
        <v>0</v>
      </c>
      <c r="J8" s="433">
        <f>_xlfn.XLOOKUP($B8,'QoL Benefits - Shingle Crk BCR'!$B$7:$B$31,'QoL Benefits - Shingle Crk BCR'!$U$7:$U$31,0)</f>
        <v>843072.578589187</v>
      </c>
      <c r="K8" s="433">
        <f>_xlfn.XLOOKUP($B8,'QoL Benefits - Shingle Crk NAR'!$B$7:$B$31,'QoL Benefits - Shingle Crk NAR'!$U$7:$U$31,0)</f>
        <v>707764.16053905035</v>
      </c>
      <c r="L8" s="426">
        <f t="shared" si="0"/>
        <v>4480472.8904626314</v>
      </c>
      <c r="M8" s="410">
        <f>_xlfn.XLOOKUP(B8,'Operating Cost Savings'!$B$6:$B$32,'Operating Cost Savings'!$D$6:$D$32,0)</f>
        <v>7159.1399975708209</v>
      </c>
      <c r="N8" s="382">
        <f>_xlfn.XLOOKUP(B8,'Air Quality'!$B$5:$B$32,'Air Quality'!$M$5:$M$32)</f>
        <v>144.81200547425908</v>
      </c>
      <c r="O8" s="541">
        <f>_xlfn.XLOOKUP(B8,'Air Quality'!$B$5:$B$32,'Air Quality'!$E$5:$E$32)</f>
        <v>235.94464530411747</v>
      </c>
      <c r="P8" s="434">
        <f>-_xlfn.XLOOKUP($B8,'Operation and Maintenance'!$B$9:$B$32,'Operation and Maintenance'!$AA$9:$AA$32,0)</f>
        <v>-23347.200000000001</v>
      </c>
      <c r="Q8" s="11">
        <f>_xlfn.XLOOKUP($B8,'Capital Costs'!$B$7:$B$38,'Capital Costs'!$E$7:$E$38)</f>
        <v>0</v>
      </c>
      <c r="R8" s="410">
        <f t="shared" ref="R8:R9" si="1">SUM(L8:N8,P8:Q8)</f>
        <v>4464429.6424656762</v>
      </c>
      <c r="S8" s="412">
        <f>R8*(1+0.07)^-(B8-'Project Data and Assumptions'!$C$3)+O8</f>
        <v>2428589.8685752694</v>
      </c>
      <c r="T8" s="10"/>
    </row>
    <row r="9" spans="1:27" ht="15" customHeight="1" x14ac:dyDescent="0.25">
      <c r="B9" s="427">
        <f t="shared" ref="B9:B30" si="2">B8+1</f>
        <v>2030</v>
      </c>
      <c r="C9" s="428">
        <f>_xlfn.XLOOKUP($B9,'QoL Benefits - BCRT'!$B$7:$B$31,'QoL Benefits - BCRT'!$U$7:$U$31,0)</f>
        <v>147032.9062435221</v>
      </c>
      <c r="D9" s="429">
        <f>_xlfn.XLOOKUP($B9,'QoL Benefits - Bryant RT'!$B$7:$B$31,'QoL Benefits - Bryant RT'!$U$7:$U$31,0)</f>
        <v>0</v>
      </c>
      <c r="E9" s="429">
        <f>_xlfn.XLOOKUP($B9,'QoL Benefits - CP RT'!$B$7:$B$31,'QoL Benefits - CP RT'!$U$7:$U$31,0)</f>
        <v>1162848.4104195596</v>
      </c>
      <c r="F9" s="429">
        <f>_xlfn.XLOOKUP($B9,'QoL Benefits -Eagle RT'!$B$7:$B$31,'QoL Benefits -Eagle RT'!$U$7:$U$31,0)</f>
        <v>0</v>
      </c>
      <c r="G9" s="429">
        <f>_xlfn.XLOOKUP($B9,'QoL Benefits - Med Lake RT'!$B$7:$B$31,'QoL Benefits - Med Lake RT'!$U$7:$U$31,0)</f>
        <v>2841195.9681175603</v>
      </c>
      <c r="H9" s="429">
        <f>_xlfn.XLOOKUP($B9,'QoL Benefits - 9Mi RT'!$B$7:$B$31,'QoL Benefits - 9Mi RT'!$U$7:$U$31,0)</f>
        <v>421018.11770674959</v>
      </c>
      <c r="I9" s="429">
        <f>_xlfn.XLOOKUP($B9,'QoL Benefits - Rush Crk RT'!$B$7:$B$31,'QoL Benefits - Rush Crk RT'!$U$7:$U$31,0)</f>
        <v>10072.823947166758</v>
      </c>
      <c r="J9" s="429">
        <f>_xlfn.XLOOKUP($B9,'QoL Benefits - Shingle Crk BCR'!$B$7:$B$31,'QoL Benefits - Shingle Crk BCR'!$U$7:$U$31,0)</f>
        <v>859934.03016097075</v>
      </c>
      <c r="K9" s="429">
        <f>_xlfn.XLOOKUP($B9,'QoL Benefits - Shingle Crk NAR'!$B$7:$B$31,'QoL Benefits - Shingle Crk NAR'!$U$7:$U$31,0)</f>
        <v>721919.44374983164</v>
      </c>
      <c r="L9" s="430">
        <f t="shared" si="0"/>
        <v>6164021.7003453616</v>
      </c>
      <c r="M9" s="417">
        <f>_xlfn.XLOOKUP(B9,'Operating Cost Savings'!$B$6:$B$32,'Operating Cost Savings'!$D$6:$D$32,0)</f>
        <v>16647.771000664521</v>
      </c>
      <c r="N9" s="384">
        <f>_xlfn.XLOOKUP(B9,'Air Quality'!$B$5:$B$32,'Air Quality'!$M$5:$M$32)</f>
        <v>343.11274754603392</v>
      </c>
      <c r="O9" s="542">
        <f>_xlfn.XLOOKUP(B9,'Air Quality'!$B$5:$B$32,'Air Quality'!$E$5:$E$32)</f>
        <v>541.41463808960179</v>
      </c>
      <c r="P9" s="413">
        <f>-_xlfn.XLOOKUP($B9,'Operation and Maintenance'!$B$9:$B$32,'Operation and Maintenance'!$AA$9:$AA$32,0)</f>
        <v>-33987.199999999997</v>
      </c>
      <c r="Q9" s="10">
        <f>_xlfn.XLOOKUP($B9,'Capital Costs'!$B$7:$B$38,'Capital Costs'!$E$7:$E$38)</f>
        <v>0</v>
      </c>
      <c r="R9" s="417">
        <f t="shared" si="1"/>
        <v>6147025.3840935724</v>
      </c>
      <c r="S9" s="412">
        <f>R9*(1+0.07)^-(B9-'Project Data and Assumptions'!$C$3)+O9</f>
        <v>3125377.4173761988</v>
      </c>
      <c r="U9" s="147"/>
      <c r="V9" s="147"/>
      <c r="W9" s="147"/>
      <c r="X9" s="147"/>
      <c r="Y9" s="147"/>
      <c r="Z9" s="147"/>
      <c r="AA9" s="147"/>
    </row>
    <row r="10" spans="1:27" ht="15" customHeight="1" x14ac:dyDescent="0.25">
      <c r="B10" s="74">
        <f t="shared" si="2"/>
        <v>2031</v>
      </c>
      <c r="C10" s="409">
        <f>_xlfn.XLOOKUP($B10,'QoL Benefits - BCRT'!$B$7:$B$31,'QoL Benefits - BCRT'!$U$7:$U$31,0)</f>
        <v>149973.56436839252</v>
      </c>
      <c r="D10" s="422">
        <f>_xlfn.XLOOKUP($B10,'QoL Benefits - Bryant RT'!$B$7:$B$31,'QoL Benefits - Bryant RT'!$U$7:$U$31,0)</f>
        <v>2507765.657670524</v>
      </c>
      <c r="E10" s="422">
        <f>_xlfn.XLOOKUP($B10,'QoL Benefits - CP RT'!$B$7:$B$31,'QoL Benefits - CP RT'!$U$7:$U$31,0)</f>
        <v>1186105.3786279508</v>
      </c>
      <c r="F10" s="422">
        <f>_xlfn.XLOOKUP($B10,'QoL Benefits -Eagle RT'!$B$7:$B$31,'QoL Benefits -Eagle RT'!$U$7:$U$31,0)</f>
        <v>2141154.7992577627</v>
      </c>
      <c r="G10" s="422">
        <f>_xlfn.XLOOKUP($B10,'QoL Benefits - Med Lake RT'!$B$7:$B$31,'QoL Benefits - Med Lake RT'!$U$7:$U$31,0)</f>
        <v>2898019.8874799111</v>
      </c>
      <c r="H10" s="422">
        <f>_xlfn.XLOOKUP($B10,'QoL Benefits - 9Mi RT'!$B$7:$B$31,'QoL Benefits - 9Mi RT'!$U$7:$U$31,0)</f>
        <v>429438.48006088444</v>
      </c>
      <c r="I10" s="422">
        <f>_xlfn.XLOOKUP($B10,'QoL Benefits - Rush Crk RT'!$B$7:$B$31,'QoL Benefits - Rush Crk RT'!$U$7:$U$31,0)</f>
        <v>10274.280426110092</v>
      </c>
      <c r="J10" s="422">
        <f>_xlfn.XLOOKUP($B10,'QoL Benefits - Shingle Crk BCR'!$B$7:$B$31,'QoL Benefits - Shingle Crk BCR'!$U$7:$U$31,0)</f>
        <v>877132.71076418983</v>
      </c>
      <c r="K10" s="422">
        <f>_xlfn.XLOOKUP($B10,'QoL Benefits - Shingle Crk NAR'!$B$7:$B$31,'QoL Benefits - Shingle Crk NAR'!$U$7:$U$31,0)</f>
        <v>736357.83262482786</v>
      </c>
      <c r="L10" s="426">
        <f t="shared" si="0"/>
        <v>10936222.591280553</v>
      </c>
      <c r="M10" s="410">
        <f>_xlfn.XLOOKUP(B10,'Operating Cost Savings'!$B$6:$B$32,'Operating Cost Savings'!$D$6:$D$32,0)</f>
        <v>43192.278231510529</v>
      </c>
      <c r="N10" s="382">
        <f>_xlfn.XLOOKUP(B10,'Air Quality'!$B$5:$B$32,'Air Quality'!$M$5:$M$32)</f>
        <v>890.19852905201401</v>
      </c>
      <c r="O10" s="541">
        <f>_xlfn.XLOOKUP(B10,'Air Quality'!$B$5:$B$32,'Air Quality'!$E$5:$E$32)</f>
        <v>1385.7715708876951</v>
      </c>
      <c r="P10" s="411">
        <f>-_xlfn.XLOOKUP($B10,'Operation and Maintenance'!$B$9:$B$32,'Operation and Maintenance'!$AA$9:$AA$32,0)</f>
        <v>-44627.199999999997</v>
      </c>
      <c r="Q10" s="414">
        <f>_xlfn.XLOOKUP($B10,'Capital Costs'!$B$7:$B$38,'Capital Costs'!$E$7:$E$38)</f>
        <v>0</v>
      </c>
      <c r="R10" s="410">
        <f>SUM(L10:N10,P10:Q10)</f>
        <v>10935677.868041117</v>
      </c>
      <c r="S10" s="412">
        <f>R10*(1+0.07)^-(B10-'Project Data and Assumptions'!$C$3)+O10</f>
        <v>5196847.5502923839</v>
      </c>
      <c r="U10" s="147"/>
      <c r="V10" s="147"/>
      <c r="W10" s="147"/>
      <c r="X10" s="147"/>
      <c r="Y10" s="147"/>
      <c r="Z10" s="147"/>
      <c r="AA10" s="147"/>
    </row>
    <row r="11" spans="1:27" ht="15" customHeight="1" x14ac:dyDescent="0.25">
      <c r="B11" s="74">
        <f t="shared" si="2"/>
        <v>2032</v>
      </c>
      <c r="C11" s="409">
        <f>_xlfn.XLOOKUP($B11,'QoL Benefits - BCRT'!$B$7:$B$31,'QoL Benefits - BCRT'!$U$7:$U$31,0)</f>
        <v>152973.03565576038</v>
      </c>
      <c r="D11" s="422">
        <f>_xlfn.XLOOKUP($B11,'QoL Benefits - Bryant RT'!$B$7:$B$31,'QoL Benefits - Bryant RT'!$U$7:$U$31,0)</f>
        <v>2557920.9708239357</v>
      </c>
      <c r="E11" s="422">
        <f>_xlfn.XLOOKUP($B11,'QoL Benefits - CP RT'!$B$7:$B$31,'QoL Benefits - CP RT'!$U$7:$U$31,0)</f>
        <v>1209827.4862005101</v>
      </c>
      <c r="F11" s="422">
        <f>_xlfn.XLOOKUP($B11,'QoL Benefits -Eagle RT'!$B$7:$B$31,'QoL Benefits -Eagle RT'!$U$7:$U$31,0)</f>
        <v>2183977.8952429178</v>
      </c>
      <c r="G11" s="422">
        <f>_xlfn.XLOOKUP($B11,'QoL Benefits - Med Lake RT'!$B$7:$B$31,'QoL Benefits - Med Lake RT'!$U$7:$U$31,0)</f>
        <v>2955980.2852295097</v>
      </c>
      <c r="H11" s="422">
        <f>_xlfn.XLOOKUP($B11,'QoL Benefits - 9Mi RT'!$B$7:$B$31,'QoL Benefits - 9Mi RT'!$U$7:$U$31,0)</f>
        <v>438027.2496621022</v>
      </c>
      <c r="I11" s="422">
        <f>_xlfn.XLOOKUP($B11,'QoL Benefits - Rush Crk RT'!$B$7:$B$31,'QoL Benefits - Rush Crk RT'!$U$7:$U$31,0)</f>
        <v>10479.766034632294</v>
      </c>
      <c r="J11" s="422">
        <f>_xlfn.XLOOKUP($B11,'QoL Benefits - Shingle Crk BCR'!$B$7:$B$31,'QoL Benefits - Shingle Crk BCR'!$U$7:$U$31,0)</f>
        <v>894675.36497947399</v>
      </c>
      <c r="K11" s="422">
        <f>_xlfn.XLOOKUP($B11,'QoL Benefits - Shingle Crk NAR'!$B$7:$B$31,'QoL Benefits - Shingle Crk NAR'!$U$7:$U$31,0)</f>
        <v>751084.98927732464</v>
      </c>
      <c r="L11" s="426">
        <f t="shared" si="0"/>
        <v>11154947.043106165</v>
      </c>
      <c r="M11" s="410">
        <f>_xlfn.XLOOKUP(B11,'Operating Cost Savings'!$B$6:$B$32,'Operating Cost Savings'!$D$6:$D$32,0)</f>
        <v>44056.123796140761</v>
      </c>
      <c r="N11" s="382">
        <f>_xlfn.XLOOKUP(B11,'Air Quality'!$B$5:$B$32,'Air Quality'!$M$5:$M$32)</f>
        <v>908.00249963305487</v>
      </c>
      <c r="O11" s="541">
        <f>_xlfn.XLOOKUP(B11,'Air Quality'!$B$5:$B$32,'Air Quality'!$E$5:$E$32)</f>
        <v>1394.1002950770351</v>
      </c>
      <c r="P11" s="411">
        <f>-_xlfn.XLOOKUP($B11,'Operation and Maintenance'!$B$9:$B$32,'Operation and Maintenance'!$AA$9:$AA$32,0)</f>
        <v>-85363.199999999997</v>
      </c>
      <c r="Q11" s="414">
        <f>_xlfn.XLOOKUP($B11,'Capital Costs'!$B$7:$B$38,'Capital Costs'!$E$7:$E$38)</f>
        <v>0</v>
      </c>
      <c r="R11" s="410">
        <f t="shared" ref="R11:R30" si="3">SUM(L11:N11,P11:Q11)</f>
        <v>11114547.969401939</v>
      </c>
      <c r="S11" s="412">
        <f>R11*(1+0.07)^-(B11-'Project Data and Assumptions'!$C$3)+O11</f>
        <v>4936386.3202643674</v>
      </c>
      <c r="U11" s="147"/>
      <c r="V11" s="147"/>
      <c r="W11" s="147"/>
      <c r="X11" s="147"/>
      <c r="Y11" s="147"/>
      <c r="Z11" s="147"/>
      <c r="AA11" s="147"/>
    </row>
    <row r="12" spans="1:27" ht="15" customHeight="1" x14ac:dyDescent="0.25">
      <c r="B12" s="74">
        <f t="shared" si="2"/>
        <v>2033</v>
      </c>
      <c r="C12" s="409">
        <f>_xlfn.XLOOKUP($B12,'QoL Benefits - BCRT'!$B$7:$B$31,'QoL Benefits - BCRT'!$U$7:$U$31,0)</f>
        <v>156032.49636887558</v>
      </c>
      <c r="D12" s="422">
        <f>_xlfn.XLOOKUP($B12,'QoL Benefits - Bryant RT'!$B$7:$B$31,'QoL Benefits - Bryant RT'!$U$7:$U$31,0)</f>
        <v>2609079.3902404131</v>
      </c>
      <c r="E12" s="422">
        <f>_xlfn.XLOOKUP($B12,'QoL Benefits - CP RT'!$B$7:$B$31,'QoL Benefits - CP RT'!$U$7:$U$31,0)</f>
        <v>1234024.0359245201</v>
      </c>
      <c r="F12" s="422">
        <f>_xlfn.XLOOKUP($B12,'QoL Benefits -Eagle RT'!$B$7:$B$31,'QoL Benefits -Eagle RT'!$U$7:$U$31,0)</f>
        <v>2227657.4531477764</v>
      </c>
      <c r="G12" s="422">
        <f>_xlfn.XLOOKUP($B12,'QoL Benefits - Med Lake RT'!$B$7:$B$31,'QoL Benefits - Med Lake RT'!$U$7:$U$31,0)</f>
        <v>3015099.8909340999</v>
      </c>
      <c r="H12" s="422">
        <f>_xlfn.XLOOKUP($B12,'QoL Benefits - 9Mi RT'!$B$7:$B$31,'QoL Benefits - 9Mi RT'!$U$7:$U$31,0)</f>
        <v>446787.79465534427</v>
      </c>
      <c r="I12" s="422">
        <f>_xlfn.XLOOKUP($B12,'QoL Benefits - Rush Crk RT'!$B$7:$B$31,'QoL Benefits - Rush Crk RT'!$U$7:$U$31,0)</f>
        <v>10689.36135532494</v>
      </c>
      <c r="J12" s="422">
        <f>_xlfn.XLOOKUP($B12,'QoL Benefits - Shingle Crk BCR'!$B$7:$B$31,'QoL Benefits - Shingle Crk BCR'!$U$7:$U$31,0)</f>
        <v>912568.87227906345</v>
      </c>
      <c r="K12" s="422">
        <f>_xlfn.XLOOKUP($B12,'QoL Benefits - Shingle Crk NAR'!$B$7:$B$31,'QoL Benefits - Shingle Crk NAR'!$U$7:$U$31,0)</f>
        <v>766106.68906287104</v>
      </c>
      <c r="L12" s="426">
        <f t="shared" si="0"/>
        <v>11378045.983968288</v>
      </c>
      <c r="M12" s="410">
        <f>_xlfn.XLOOKUP(B12,'Operating Cost Savings'!$B$6:$B$32,'Operating Cost Savings'!$D$6:$D$32,0)</f>
        <v>44937.246272063567</v>
      </c>
      <c r="N12" s="382">
        <f>_xlfn.XLOOKUP(B12,'Air Quality'!$B$5:$B$32,'Air Quality'!$M$5:$M$32)</f>
        <v>926.16254962571554</v>
      </c>
      <c r="O12" s="541">
        <f>_xlfn.XLOOKUP(B12,'Air Quality'!$B$5:$B$32,'Air Quality'!$E$5:$E$32)</f>
        <v>1402.1366742052094</v>
      </c>
      <c r="P12" s="411">
        <f>-_xlfn.XLOOKUP($B12,'Operation and Maintenance'!$B$9:$B$32,'Operation and Maintenance'!$AA$9:$AA$32,0)</f>
        <v>-85363.199999999997</v>
      </c>
      <c r="Q12" s="414">
        <f>_xlfn.XLOOKUP($B12,'Capital Costs'!$B$7:$B$38,'Capital Costs'!$E$7:$E$38)</f>
        <v>0</v>
      </c>
      <c r="R12" s="410">
        <f t="shared" si="3"/>
        <v>11338546.192789977</v>
      </c>
      <c r="S12" s="412">
        <f>R12*(1+0.07)^-(B12-'Project Data and Assumptions'!$C$3)+O12</f>
        <v>4706495.6974239778</v>
      </c>
      <c r="U12" s="147"/>
      <c r="V12" s="147"/>
      <c r="W12" s="147"/>
      <c r="X12" s="147"/>
      <c r="Y12" s="147"/>
      <c r="Z12" s="147"/>
      <c r="AA12" s="147"/>
    </row>
    <row r="13" spans="1:27" ht="15" customHeight="1" x14ac:dyDescent="0.25">
      <c r="B13" s="74">
        <f t="shared" si="2"/>
        <v>2034</v>
      </c>
      <c r="C13" s="409">
        <f>_xlfn.XLOOKUP($B13,'QoL Benefits - BCRT'!$B$7:$B$31,'QoL Benefits - BCRT'!$U$7:$U$31,0)</f>
        <v>604781.95592576184</v>
      </c>
      <c r="D13" s="422">
        <f>_xlfn.XLOOKUP($B13,'QoL Benefits - Bryant RT'!$B$7:$B$31,'QoL Benefits - Bryant RT'!$U$7:$U$31,0)</f>
        <v>2661260.9780452219</v>
      </c>
      <c r="E13" s="422">
        <f>_xlfn.XLOOKUP($B13,'QoL Benefits - CP RT'!$B$7:$B$31,'QoL Benefits - CP RT'!$U$7:$U$31,0)</f>
        <v>1258704.5166430103</v>
      </c>
      <c r="F13" s="422">
        <f>_xlfn.XLOOKUP($B13,'QoL Benefits -Eagle RT'!$B$7:$B$31,'QoL Benefits -Eagle RT'!$U$7:$U$31,0)</f>
        <v>2272210.6022107322</v>
      </c>
      <c r="G13" s="422">
        <f>_xlfn.XLOOKUP($B13,'QoL Benefits - Med Lake RT'!$B$7:$B$31,'QoL Benefits - Med Lake RT'!$U$7:$U$31,0)</f>
        <v>3075401.8887527818</v>
      </c>
      <c r="H13" s="422">
        <f>_xlfn.XLOOKUP($B13,'QoL Benefits - 9Mi RT'!$B$7:$B$31,'QoL Benefits - 9Mi RT'!$U$7:$U$31,0)</f>
        <v>455723.5505484512</v>
      </c>
      <c r="I13" s="422">
        <f>_xlfn.XLOOKUP($B13,'QoL Benefits - Rush Crk RT'!$B$7:$B$31,'QoL Benefits - Rush Crk RT'!$U$7:$U$31,0)</f>
        <v>10903.14858243144</v>
      </c>
      <c r="J13" s="422">
        <f>_xlfn.XLOOKUP($B13,'QoL Benefits - Shingle Crk BCR'!$B$7:$B$31,'QoL Benefits - Shingle Crk BCR'!$U$7:$U$31,0)</f>
        <v>930820.24972464482</v>
      </c>
      <c r="K13" s="422">
        <f>_xlfn.XLOOKUP($B13,'QoL Benefits - Shingle Crk NAR'!$B$7:$B$31,'QoL Benefits - Shingle Crk NAR'!$U$7:$U$31,0)</f>
        <v>781428.82284412859</v>
      </c>
      <c r="L13" s="426">
        <f t="shared" si="0"/>
        <v>12051235.713277165</v>
      </c>
      <c r="M13" s="410">
        <f>_xlfn.XLOOKUP(B13,'Operating Cost Savings'!$B$6:$B$32,'Operating Cost Savings'!$D$6:$D$32,0)</f>
        <v>47645.059694972231</v>
      </c>
      <c r="N13" s="382">
        <f>_xlfn.XLOOKUP(B13,'Air Quality'!$B$5:$B$32,'Air Quality'!$M$5:$M$32)</f>
        <v>981.97094003060147</v>
      </c>
      <c r="O13" s="541">
        <f>_xlfn.XLOOKUP(B13,'Air Quality'!$B$5:$B$32,'Air Quality'!$E$5:$E$32)</f>
        <v>1465.5313828980545</v>
      </c>
      <c r="P13" s="411">
        <f>-_xlfn.XLOOKUP($B13,'Operation and Maintenance'!$B$9:$B$32,'Operation and Maintenance'!$AA$9:$AA$32,0)</f>
        <v>-204703.2</v>
      </c>
      <c r="Q13" s="414">
        <f>_xlfn.XLOOKUP($B13,'Capital Costs'!$B$7:$B$38,'Capital Costs'!$E$7:$E$38)</f>
        <v>0</v>
      </c>
      <c r="R13" s="410">
        <f t="shared" si="3"/>
        <v>11895159.543912169</v>
      </c>
      <c r="S13" s="412">
        <f>R13*(1+0.07)^-(B13-'Project Data and Assumptions'!$C$3)+O13</f>
        <v>4614613.4871638156</v>
      </c>
      <c r="U13" s="147"/>
      <c r="V13" s="147"/>
      <c r="W13" s="147"/>
      <c r="X13" s="147"/>
      <c r="Y13" s="147"/>
      <c r="Z13" s="147"/>
      <c r="AA13" s="147"/>
    </row>
    <row r="14" spans="1:27" ht="15" customHeight="1" x14ac:dyDescent="0.25">
      <c r="B14" s="74">
        <f t="shared" si="2"/>
        <v>2035</v>
      </c>
      <c r="C14" s="409">
        <f>_xlfn.XLOOKUP($B14,'QoL Benefits - BCRT'!$B$7:$B$31,'QoL Benefits - BCRT'!$U$7:$U$31,0)</f>
        <v>616877.59504427679</v>
      </c>
      <c r="D14" s="422">
        <f>_xlfn.XLOOKUP($B14,'QoL Benefits - Bryant RT'!$B$7:$B$31,'QoL Benefits - Bryant RT'!$U$7:$U$31,0)</f>
        <v>2714486.1976061258</v>
      </c>
      <c r="E14" s="422">
        <f>_xlfn.XLOOKUP($B14,'QoL Benefits - CP RT'!$B$7:$B$31,'QoL Benefits - CP RT'!$U$7:$U$31,0)</f>
        <v>1283878.6069758707</v>
      </c>
      <c r="F14" s="422">
        <f>_xlfn.XLOOKUP($B14,'QoL Benefits -Eagle RT'!$B$7:$B$31,'QoL Benefits -Eagle RT'!$U$7:$U$31,0)</f>
        <v>2317654.8142549461</v>
      </c>
      <c r="G14" s="422">
        <f>_xlfn.XLOOKUP($B14,'QoL Benefits - Med Lake RT'!$B$7:$B$31,'QoL Benefits - Med Lake RT'!$U$7:$U$31,0)</f>
        <v>3136909.9265278368</v>
      </c>
      <c r="H14" s="422">
        <f>_xlfn.XLOOKUP($B14,'QoL Benefits - 9Mi RT'!$B$7:$B$31,'QoL Benefits - 9Mi RT'!$U$7:$U$31,0)</f>
        <v>464838.0215594201</v>
      </c>
      <c r="I14" s="422">
        <f>_xlfn.XLOOKUP($B14,'QoL Benefits - Rush Crk RT'!$B$7:$B$31,'QoL Benefits - Rush Crk RT'!$U$7:$U$31,0)</f>
        <v>11121.211554080068</v>
      </c>
      <c r="J14" s="422">
        <f>_xlfn.XLOOKUP($B14,'QoL Benefits - Shingle Crk BCR'!$B$7:$B$31,'QoL Benefits - Shingle Crk BCR'!$U$7:$U$31,0)</f>
        <v>949436.65471913735</v>
      </c>
      <c r="K14" s="422">
        <f>_xlfn.XLOOKUP($B14,'QoL Benefits - Shingle Crk NAR'!$B$7:$B$31,'QoL Benefits - Shingle Crk NAR'!$U$7:$U$31,0)</f>
        <v>797057.39930101077</v>
      </c>
      <c r="L14" s="426">
        <f t="shared" si="0"/>
        <v>12292260.427542705</v>
      </c>
      <c r="M14" s="410">
        <f>_xlfn.XLOOKUP(B14,'Operating Cost Savings'!$B$6:$B$32,'Operating Cost Savings'!$D$6:$D$32,0)</f>
        <v>48597.960888871668</v>
      </c>
      <c r="N14" s="382">
        <f>_xlfn.XLOOKUP(B14,'Air Quality'!$B$5:$B$32,'Air Quality'!$M$5:$M$32)</f>
        <v>1001.6103588312135</v>
      </c>
      <c r="O14" s="541">
        <f>_xlfn.XLOOKUP(B14,'Air Quality'!$B$5:$B$32,'Air Quality'!$E$5:$E$32)</f>
        <v>1473.2923610952193</v>
      </c>
      <c r="P14" s="411">
        <f>-_xlfn.XLOOKUP($B14,'Operation and Maintenance'!$B$9:$B$32,'Operation and Maintenance'!$AA$9:$AA$32,0)</f>
        <v>-85363.199999999997</v>
      </c>
      <c r="Q14" s="414">
        <f>_xlfn.XLOOKUP($B14,'Capital Costs'!$B$7:$B$38,'Capital Costs'!$E$7:$E$38)</f>
        <v>0</v>
      </c>
      <c r="R14" s="410">
        <f t="shared" si="3"/>
        <v>12256496.798790408</v>
      </c>
      <c r="S14" s="412">
        <f>R14*(1+0.07)^-(B14-'Project Data and Assumptions'!$C$3)+O14</f>
        <v>4443791.7718420019</v>
      </c>
      <c r="U14" s="147"/>
      <c r="V14" s="147"/>
      <c r="W14" s="147"/>
      <c r="X14" s="147"/>
      <c r="Y14" s="147"/>
      <c r="Z14" s="147"/>
      <c r="AA14" s="147"/>
    </row>
    <row r="15" spans="1:27" ht="15" customHeight="1" x14ac:dyDescent="0.25">
      <c r="B15" s="74">
        <f t="shared" si="2"/>
        <v>2036</v>
      </c>
      <c r="C15" s="409">
        <f>_xlfn.XLOOKUP($B15,'QoL Benefits - BCRT'!$B$7:$B$31,'QoL Benefits - BCRT'!$U$7:$U$31,0)</f>
        <v>629215.14694516244</v>
      </c>
      <c r="D15" s="422">
        <f>_xlfn.XLOOKUP($B15,'QoL Benefits - Bryant RT'!$B$7:$B$31,'QoL Benefits - Bryant RT'!$U$7:$U$31,0)</f>
        <v>2768775.9215582483</v>
      </c>
      <c r="E15" s="422">
        <f>_xlfn.XLOOKUP($B15,'QoL Benefits - CP RT'!$B$7:$B$31,'QoL Benefits - CP RT'!$U$7:$U$31,0)</f>
        <v>1309556.1791153883</v>
      </c>
      <c r="F15" s="422">
        <f>_xlfn.XLOOKUP($B15,'QoL Benefits -Eagle RT'!$B$7:$B$31,'QoL Benefits -Eagle RT'!$U$7:$U$31,0)</f>
        <v>2364007.9105400448</v>
      </c>
      <c r="G15" s="422">
        <f>_xlfn.XLOOKUP($B15,'QoL Benefits - Med Lake RT'!$B$7:$B$31,'QoL Benefits - Med Lake RT'!$U$7:$U$31,0)</f>
        <v>3199648.1250583944</v>
      </c>
      <c r="H15" s="422">
        <f>_xlfn.XLOOKUP($B15,'QoL Benefits - 9Mi RT'!$B$7:$B$31,'QoL Benefits - 9Mi RT'!$U$7:$U$31,0)</f>
        <v>474134.78199060855</v>
      </c>
      <c r="I15" s="422">
        <f>_xlfn.XLOOKUP($B15,'QoL Benefits - Rush Crk RT'!$B$7:$B$31,'QoL Benefits - Rush Crk RT'!$U$7:$U$31,0)</f>
        <v>11343.635785161669</v>
      </c>
      <c r="J15" s="422">
        <f>_xlfn.XLOOKUP($B15,'QoL Benefits - Shingle Crk BCR'!$B$7:$B$31,'QoL Benefits - Shingle Crk BCR'!$U$7:$U$31,0)</f>
        <v>968425.38781352015</v>
      </c>
      <c r="K15" s="422">
        <f>_xlfn.XLOOKUP($B15,'QoL Benefits - Shingle Crk NAR'!$B$7:$B$31,'QoL Benefits - Shingle Crk NAR'!$U$7:$U$31,0)</f>
        <v>812998.54728703119</v>
      </c>
      <c r="L15" s="426">
        <f t="shared" si="0"/>
        <v>12538105.636093561</v>
      </c>
      <c r="M15" s="410">
        <f>_xlfn.XLOOKUP(B15,'Operating Cost Savings'!$B$6:$B$32,'Operating Cost Savings'!$D$6:$D$32,0)</f>
        <v>49569.9201066491</v>
      </c>
      <c r="N15" s="382">
        <f>_xlfn.XLOOKUP(B15,'Air Quality'!$B$5:$B$32,'Air Quality'!$M$5:$M$32)</f>
        <v>1021.6425660078376</v>
      </c>
      <c r="O15" s="541">
        <f>_xlfn.XLOOKUP(B15,'Air Quality'!$B$5:$B$32,'Air Quality'!$E$5:$E$32)</f>
        <v>1502.5404488317863</v>
      </c>
      <c r="P15" s="411">
        <f>-_xlfn.XLOOKUP($B15,'Operation and Maintenance'!$B$9:$B$32,'Operation and Maintenance'!$AA$9:$AA$32,0)</f>
        <v>-146463.20000000001</v>
      </c>
      <c r="Q15" s="414">
        <f>_xlfn.XLOOKUP($B15,'Capital Costs'!$B$7:$B$38,'Capital Costs'!$E$7:$E$38)</f>
        <v>0</v>
      </c>
      <c r="R15" s="410">
        <f t="shared" si="3"/>
        <v>12442233.998766219</v>
      </c>
      <c r="S15" s="412">
        <f>R15*(1+0.07)^-(B15-'Project Data and Assumptions'!$C$3)+O15</f>
        <v>4216117.669712062</v>
      </c>
      <c r="U15" s="147"/>
      <c r="V15" s="147"/>
      <c r="W15" s="147"/>
      <c r="X15" s="147"/>
      <c r="Y15" s="147"/>
      <c r="Z15" s="147"/>
      <c r="AA15" s="147"/>
    </row>
    <row r="16" spans="1:27" ht="15" customHeight="1" x14ac:dyDescent="0.25">
      <c r="B16" s="74">
        <f t="shared" si="2"/>
        <v>2037</v>
      </c>
      <c r="C16" s="409">
        <f>_xlfn.XLOOKUP($B16,'QoL Benefits - BCRT'!$B$7:$B$31,'QoL Benefits - BCRT'!$U$7:$U$31,0)</f>
        <v>641799.44988406589</v>
      </c>
      <c r="D16" s="422">
        <f>_xlfn.XLOOKUP($B16,'QoL Benefits - Bryant RT'!$B$7:$B$31,'QoL Benefits - Bryant RT'!$U$7:$U$31,0)</f>
        <v>2824151.4399894145</v>
      </c>
      <c r="E16" s="422">
        <f>_xlfn.XLOOKUP($B16,'QoL Benefits - CP RT'!$B$7:$B$31,'QoL Benefits - CP RT'!$U$7:$U$31,0)</f>
        <v>1335747.302697696</v>
      </c>
      <c r="F16" s="422">
        <f>_xlfn.XLOOKUP($B16,'QoL Benefits -Eagle RT'!$B$7:$B$31,'QoL Benefits -Eagle RT'!$U$7:$U$31,0)</f>
        <v>2411288.0687508467</v>
      </c>
      <c r="G16" s="422">
        <f>_xlfn.XLOOKUP($B16,'QoL Benefits - Med Lake RT'!$B$7:$B$31,'QoL Benefits - Med Lake RT'!$U$7:$U$31,0)</f>
        <v>3263641.0875595626</v>
      </c>
      <c r="H16" s="422">
        <f>_xlfn.XLOOKUP($B16,'QoL Benefits - 9Mi RT'!$B$7:$B$31,'QoL Benefits - 9Mi RT'!$U$7:$U$31,0)</f>
        <v>483617.4776304207</v>
      </c>
      <c r="I16" s="422">
        <f>_xlfn.XLOOKUP($B16,'QoL Benefits - Rush Crk RT'!$B$7:$B$31,'QoL Benefits - Rush Crk RT'!$U$7:$U$31,0)</f>
        <v>11570.508500864906</v>
      </c>
      <c r="J16" s="422">
        <f>_xlfn.XLOOKUP($B16,'QoL Benefits - Shingle Crk BCR'!$B$7:$B$31,'QoL Benefits - Shingle Crk BCR'!$U$7:$U$31,0)</f>
        <v>987793.89556979074</v>
      </c>
      <c r="K16" s="422">
        <f>_xlfn.XLOOKUP($B16,'QoL Benefits - Shingle Crk NAR'!$B$7:$B$31,'QoL Benefits - Shingle Crk NAR'!$U$7:$U$31,0)</f>
        <v>829258.51823277189</v>
      </c>
      <c r="L16" s="426">
        <f t="shared" si="0"/>
        <v>12788867.748815434</v>
      </c>
      <c r="M16" s="410">
        <f>_xlfn.XLOOKUP(B16,'Operating Cost Savings'!$B$6:$B$32,'Operating Cost Savings'!$D$6:$D$32,0)</f>
        <v>50561.318508782089</v>
      </c>
      <c r="N16" s="382">
        <f>_xlfn.XLOOKUP(B16,'Air Quality'!$B$5:$B$32,'Air Quality'!$M$5:$M$32)</f>
        <v>1042.0754173279943</v>
      </c>
      <c r="O16" s="541">
        <f>_xlfn.XLOOKUP(B16,'Air Quality'!$B$5:$B$32,'Air Quality'!$E$5:$E$32)</f>
        <v>1509.5172090416429</v>
      </c>
      <c r="P16" s="411">
        <f>-_xlfn.XLOOKUP($B16,'Operation and Maintenance'!$B$9:$B$32,'Operation and Maintenance'!$AA$9:$AA$32,0)</f>
        <v>-130863.2</v>
      </c>
      <c r="Q16" s="414">
        <f>_xlfn.XLOOKUP($B16,'Capital Costs'!$B$7:$B$38,'Capital Costs'!$E$7:$E$38)</f>
        <v>0</v>
      </c>
      <c r="R16" s="410">
        <f t="shared" si="3"/>
        <v>12709607.942741545</v>
      </c>
      <c r="S16" s="412">
        <f>R16*(1+0.07)^-(B16-'Project Data and Assumptions'!$C$3)+O16</f>
        <v>4025045.9047202598</v>
      </c>
      <c r="U16" s="147"/>
      <c r="V16" s="147"/>
      <c r="W16" s="147"/>
      <c r="X16" s="147"/>
      <c r="Y16" s="147"/>
      <c r="Z16" s="147"/>
      <c r="AA16" s="147"/>
    </row>
    <row r="17" spans="2:27" ht="15" customHeight="1" x14ac:dyDescent="0.25">
      <c r="B17" s="74">
        <f t="shared" si="2"/>
        <v>2038</v>
      </c>
      <c r="C17" s="409">
        <f>_xlfn.XLOOKUP($B17,'QoL Benefits - BCRT'!$B$7:$B$31,'QoL Benefits - BCRT'!$U$7:$U$31,0)</f>
        <v>654635.43888174719</v>
      </c>
      <c r="D17" s="422">
        <f>_xlfn.XLOOKUP($B17,'QoL Benefits - Bryant RT'!$B$7:$B$31,'QoL Benefits - Bryant RT'!$U$7:$U$31,0)</f>
        <v>2880634.4687892017</v>
      </c>
      <c r="E17" s="422">
        <f>_xlfn.XLOOKUP($B17,'QoL Benefits - CP RT'!$B$7:$B$31,'QoL Benefits - CP RT'!$U$7:$U$31,0)</f>
        <v>1362462.2487516499</v>
      </c>
      <c r="F17" s="422">
        <f>_xlfn.XLOOKUP($B17,'QoL Benefits -Eagle RT'!$B$7:$B$31,'QoL Benefits -Eagle RT'!$U$7:$U$31,0)</f>
        <v>2459513.8301258632</v>
      </c>
      <c r="G17" s="422">
        <f>_xlfn.XLOOKUP($B17,'QoL Benefits - Med Lake RT'!$B$7:$B$31,'QoL Benefits - Med Lake RT'!$U$7:$U$31,0)</f>
        <v>3328913.9093107525</v>
      </c>
      <c r="H17" s="422">
        <f>_xlfn.XLOOKUP($B17,'QoL Benefits - 9Mi RT'!$B$7:$B$31,'QoL Benefits - 9Mi RT'!$U$7:$U$31,0)</f>
        <v>493289.82718302915</v>
      </c>
      <c r="I17" s="422">
        <f>_xlfn.XLOOKUP($B17,'QoL Benefits - Rush Crk RT'!$B$7:$B$31,'QoL Benefits - Rush Crk RT'!$U$7:$U$31,0)</f>
        <v>11801.918670882202</v>
      </c>
      <c r="J17" s="422">
        <f>_xlfn.XLOOKUP($B17,'QoL Benefits - Shingle Crk BCR'!$B$7:$B$31,'QoL Benefits - Shingle Crk BCR'!$U$7:$U$31,0)</f>
        <v>1007549.7734811865</v>
      </c>
      <c r="K17" s="422">
        <f>_xlfn.XLOOKUP($B17,'QoL Benefits - Shingle Crk NAR'!$B$7:$B$31,'QoL Benefits - Shingle Crk NAR'!$U$7:$U$31,0)</f>
        <v>845843.68859742733</v>
      </c>
      <c r="L17" s="426">
        <f t="shared" ref="L17:L20" si="4">SUM(C17:K17)</f>
        <v>13044645.103791738</v>
      </c>
      <c r="M17" s="410">
        <f>_xlfn.XLOOKUP(B17,'Operating Cost Savings'!$B$6:$B$32,'Operating Cost Savings'!$D$6:$D$32,0)</f>
        <v>51572.54487895772</v>
      </c>
      <c r="N17" s="382">
        <f>_xlfn.XLOOKUP(B17,'Air Quality'!$B$5:$B$32,'Air Quality'!$M$5:$M$32)</f>
        <v>1062.916925674554</v>
      </c>
      <c r="O17" s="541">
        <f>_xlfn.XLOOKUP(B17,'Air Quality'!$B$5:$B$32,'Air Quality'!$E$5:$E$32)</f>
        <v>1516.216869331425</v>
      </c>
      <c r="P17" s="411">
        <f>-_xlfn.XLOOKUP($B17,'Operation and Maintenance'!$B$9:$B$32,'Operation and Maintenance'!$AA$9:$AA$32,0)</f>
        <v>-259563.2</v>
      </c>
      <c r="Q17" s="414">
        <f>_xlfn.XLOOKUP($B17,'Capital Costs'!$B$7:$B$38,'Capital Costs'!$E$7:$E$38)</f>
        <v>0</v>
      </c>
      <c r="R17" s="410">
        <f t="shared" ref="R17:R20" si="5">SUM(L17:N17,P17:Q17)</f>
        <v>12837717.365596371</v>
      </c>
      <c r="S17" s="412">
        <f>R17*(1+0.07)^-(B17-'Project Data and Assumptions'!$C$3)+O17</f>
        <v>3799733.5532844649</v>
      </c>
      <c r="U17" s="147"/>
      <c r="V17" s="147"/>
      <c r="W17" s="147"/>
      <c r="X17" s="147"/>
      <c r="Y17" s="147"/>
      <c r="Z17" s="147"/>
      <c r="AA17" s="147"/>
    </row>
    <row r="18" spans="2:27" ht="15" customHeight="1" x14ac:dyDescent="0.25">
      <c r="B18" s="74">
        <f t="shared" si="2"/>
        <v>2039</v>
      </c>
      <c r="C18" s="409">
        <f>_xlfn.XLOOKUP($B18,'QoL Benefits - BCRT'!$B$7:$B$31,'QoL Benefits - BCRT'!$U$7:$U$31,0)</f>
        <v>667728.14765938197</v>
      </c>
      <c r="D18" s="422">
        <f>_xlfn.XLOOKUP($B18,'QoL Benefits - Bryant RT'!$B$7:$B$31,'QoL Benefits - Bryant RT'!$U$7:$U$31,0)</f>
        <v>2938247.1581649855</v>
      </c>
      <c r="E18" s="422">
        <f>_xlfn.XLOOKUP($B18,'QoL Benefits - CP RT'!$B$7:$B$31,'QoL Benefits - CP RT'!$U$7:$U$31,0)</f>
        <v>1389711.4937266828</v>
      </c>
      <c r="F18" s="422">
        <f>_xlfn.XLOOKUP($B18,'QoL Benefits -Eagle RT'!$B$7:$B$31,'QoL Benefits -Eagle RT'!$U$7:$U$31,0)</f>
        <v>2508704.1067283801</v>
      </c>
      <c r="G18" s="422">
        <f>_xlfn.XLOOKUP($B18,'QoL Benefits - Med Lake RT'!$B$7:$B$31,'QoL Benefits - Med Lake RT'!$U$7:$U$31,0)</f>
        <v>3395492.1874969681</v>
      </c>
      <c r="H18" s="422">
        <f>_xlfn.XLOOKUP($B18,'QoL Benefits - 9Mi RT'!$B$7:$B$31,'QoL Benefits - 9Mi RT'!$U$7:$U$31,0)</f>
        <v>503155.62372668972</v>
      </c>
      <c r="I18" s="422">
        <f>_xlfn.XLOOKUP($B18,'QoL Benefits - Rush Crk RT'!$B$7:$B$31,'QoL Benefits - Rush Crk RT'!$U$7:$U$31,0)</f>
        <v>12037.957044299843</v>
      </c>
      <c r="J18" s="422">
        <f>_xlfn.XLOOKUP($B18,'QoL Benefits - Shingle Crk BCR'!$B$7:$B$31,'QoL Benefits - Shingle Crk BCR'!$U$7:$U$31,0)</f>
        <v>1027700.7689508102</v>
      </c>
      <c r="K18" s="422">
        <f>_xlfn.XLOOKUP($B18,'QoL Benefits - Shingle Crk NAR'!$B$7:$B$31,'QoL Benefits - Shingle Crk NAR'!$U$7:$U$31,0)</f>
        <v>862760.56236937596</v>
      </c>
      <c r="L18" s="426">
        <f t="shared" si="4"/>
        <v>13305538.005867574</v>
      </c>
      <c r="M18" s="410">
        <f>_xlfn.XLOOKUP(B18,'Operating Cost Savings'!$B$6:$B$32,'Operating Cost Savings'!$D$6:$D$32,0)</f>
        <v>52603.995776536874</v>
      </c>
      <c r="N18" s="382">
        <f>_xlfn.XLOOKUP(B18,'Air Quality'!$B$5:$B$32,'Air Quality'!$M$5:$M$32)</f>
        <v>1084.1752641880453</v>
      </c>
      <c r="O18" s="541">
        <f>_xlfn.XLOOKUP(B18,'Air Quality'!$B$5:$B$32,'Air Quality'!$E$5:$E$32)</f>
        <v>1522.6441526555429</v>
      </c>
      <c r="P18" s="411">
        <f>-_xlfn.XLOOKUP($B18,'Operation and Maintenance'!$B$9:$B$32,'Operation and Maintenance'!$AA$9:$AA$32,0)</f>
        <v>-85363.199999999997</v>
      </c>
      <c r="Q18" s="414">
        <f>_xlfn.XLOOKUP($B18,'Capital Costs'!$B$7:$B$38,'Capital Costs'!$E$7:$E$38)</f>
        <v>0</v>
      </c>
      <c r="R18" s="410">
        <f t="shared" si="5"/>
        <v>13273862.9769083</v>
      </c>
      <c r="S18" s="412">
        <f>R18*(1+0.07)^-(B18-'Project Data and Assumptions'!$C$3)+O18</f>
        <v>3671856.3685118691</v>
      </c>
      <c r="U18" s="147"/>
      <c r="V18" s="147"/>
      <c r="W18" s="147"/>
      <c r="X18" s="147"/>
      <c r="Y18" s="147"/>
      <c r="Z18" s="147"/>
      <c r="AA18" s="147"/>
    </row>
    <row r="19" spans="2:27" ht="15" customHeight="1" x14ac:dyDescent="0.25">
      <c r="B19" s="74">
        <f t="shared" si="2"/>
        <v>2040</v>
      </c>
      <c r="C19" s="409">
        <f>_xlfn.XLOOKUP($B19,'QoL Benefits - BCRT'!$B$7:$B$31,'QoL Benefits - BCRT'!$U$7:$U$31,0)</f>
        <v>681082.7106125697</v>
      </c>
      <c r="D19" s="422">
        <f>_xlfn.XLOOKUP($B19,'QoL Benefits - Bryant RT'!$B$7:$B$31,'QoL Benefits - Bryant RT'!$U$7:$U$31,0)</f>
        <v>2997012.1013282859</v>
      </c>
      <c r="E19" s="422">
        <f>_xlfn.XLOOKUP($B19,'QoL Benefits - CP RT'!$B$7:$B$31,'QoL Benefits - CP RT'!$U$7:$U$31,0)</f>
        <v>1417505.7236012167</v>
      </c>
      <c r="F19" s="422">
        <f>_xlfn.XLOOKUP($B19,'QoL Benefits -Eagle RT'!$B$7:$B$31,'QoL Benefits -Eagle RT'!$U$7:$U$31,0)</f>
        <v>2558878.1888629482</v>
      </c>
      <c r="G19" s="422">
        <f>_xlfn.XLOOKUP($B19,'QoL Benefits - Med Lake RT'!$B$7:$B$31,'QoL Benefits - Med Lake RT'!$U$7:$U$31,0)</f>
        <v>3463402.031246908</v>
      </c>
      <c r="H19" s="422">
        <f>_xlfn.XLOOKUP($B19,'QoL Benefits - 9Mi RT'!$B$7:$B$31,'QoL Benefits - 9Mi RT'!$U$7:$U$31,0)</f>
        <v>513218.73620122357</v>
      </c>
      <c r="I19" s="422">
        <f>_xlfn.XLOOKUP($B19,'QoL Benefits - Rush Crk RT'!$B$7:$B$31,'QoL Benefits - Rush Crk RT'!$U$7:$U$31,0)</f>
        <v>12278.716185185844</v>
      </c>
      <c r="J19" s="422">
        <f>_xlfn.XLOOKUP($B19,'QoL Benefits - Shingle Crk BCR'!$B$7:$B$31,'QoL Benefits - Shingle Crk BCR'!$U$7:$U$31,0)</f>
        <v>1048254.7843298265</v>
      </c>
      <c r="K19" s="422">
        <f>_xlfn.XLOOKUP($B19,'QoL Benefits - Shingle Crk NAR'!$B$7:$B$31,'QoL Benefits - Shingle Crk NAR'!$U$7:$U$31,0)</f>
        <v>880015.77361676318</v>
      </c>
      <c r="L19" s="426">
        <f t="shared" si="4"/>
        <v>13571648.765984926</v>
      </c>
      <c r="M19" s="410">
        <f>_xlfn.XLOOKUP(B19,'Operating Cost Savings'!$B$6:$B$32,'Operating Cost Savings'!$D$6:$D$32,0)</f>
        <v>53656.075692067621</v>
      </c>
      <c r="N19" s="382">
        <f>_xlfn.XLOOKUP(B19,'Air Quality'!$B$5:$B$32,'Air Quality'!$M$5:$M$32)</f>
        <v>1105.8587694718065</v>
      </c>
      <c r="O19" s="541">
        <f>_xlfn.XLOOKUP(B19,'Air Quality'!$B$5:$B$32,'Air Quality'!$E$5:$E$32)</f>
        <v>1528.8037163798781</v>
      </c>
      <c r="P19" s="411">
        <f>-_xlfn.XLOOKUP($B19,'Operation and Maintenance'!$B$9:$B$32,'Operation and Maintenance'!$AA$9:$AA$32,0)</f>
        <v>-85363.199999999997</v>
      </c>
      <c r="Q19" s="414">
        <f>_xlfn.XLOOKUP($B19,'Capital Costs'!$B$7:$B$38,'Capital Costs'!$E$7:$E$38)</f>
        <v>0</v>
      </c>
      <c r="R19" s="410">
        <f t="shared" si="5"/>
        <v>13541047.500446467</v>
      </c>
      <c r="S19" s="412">
        <f>R19*(1+0.07)^-(B19-'Project Data and Assumptions'!$C$3)+O19</f>
        <v>3500792.7958369851</v>
      </c>
      <c r="U19" s="147"/>
      <c r="V19" s="147"/>
      <c r="W19" s="147"/>
      <c r="X19" s="147"/>
      <c r="Y19" s="147"/>
      <c r="Z19" s="147"/>
      <c r="AA19" s="147"/>
    </row>
    <row r="20" spans="2:27" ht="15" customHeight="1" x14ac:dyDescent="0.25">
      <c r="B20" s="74">
        <f t="shared" si="2"/>
        <v>2041</v>
      </c>
      <c r="C20" s="409">
        <f>_xlfn.XLOOKUP($B20,'QoL Benefits - BCRT'!$B$7:$B$31,'QoL Benefits - BCRT'!$U$7:$U$31,0)</f>
        <v>694704.36482482112</v>
      </c>
      <c r="D20" s="422">
        <f>_xlfn.XLOOKUP($B20,'QoL Benefits - Bryant RT'!$B$7:$B$31,'QoL Benefits - Bryant RT'!$U$7:$U$31,0)</f>
        <v>3056952.343354851</v>
      </c>
      <c r="E20" s="422">
        <f>_xlfn.XLOOKUP($B20,'QoL Benefits - CP RT'!$B$7:$B$31,'QoL Benefits - CP RT'!$U$7:$U$31,0)</f>
        <v>1445855.8380732408</v>
      </c>
      <c r="F20" s="422">
        <f>_xlfn.XLOOKUP($B20,'QoL Benefits -Eagle RT'!$B$7:$B$31,'QoL Benefits -Eagle RT'!$U$7:$U$31,0)</f>
        <v>2610055.7526402068</v>
      </c>
      <c r="G20" s="422">
        <f>_xlfn.XLOOKUP($B20,'QoL Benefits - Med Lake RT'!$B$7:$B$31,'QoL Benefits - Med Lake RT'!$U$7:$U$31,0)</f>
        <v>3532670.0718718455</v>
      </c>
      <c r="H20" s="422">
        <f>_xlfn.XLOOKUP($B20,'QoL Benefits - 9Mi RT'!$B$7:$B$31,'QoL Benefits - 9Mi RT'!$U$7:$U$31,0)</f>
        <v>523483.11092524789</v>
      </c>
      <c r="I20" s="422">
        <f>_xlfn.XLOOKUP($B20,'QoL Benefits - Rush Crk RT'!$B$7:$B$31,'QoL Benefits - Rush Crk RT'!$U$7:$U$31,0)</f>
        <v>12524.290508889559</v>
      </c>
      <c r="J20" s="422">
        <f>_xlfn.XLOOKUP($B20,'QoL Benefits - Shingle Crk BCR'!$B$7:$B$31,'QoL Benefits - Shingle Crk BCR'!$U$7:$U$31,0)</f>
        <v>1069219.8800164228</v>
      </c>
      <c r="K20" s="422">
        <f>_xlfn.XLOOKUP($B20,'QoL Benefits - Shingle Crk NAR'!$B$7:$B$31,'QoL Benefits - Shingle Crk NAR'!$U$7:$U$31,0)</f>
        <v>897616.08908909874</v>
      </c>
      <c r="L20" s="426">
        <f t="shared" si="4"/>
        <v>13843081.741304625</v>
      </c>
      <c r="M20" s="410">
        <f>_xlfn.XLOOKUP(B20,'Operating Cost Savings'!$B$6:$B$32,'Operating Cost Savings'!$D$6:$D$32,0)</f>
        <v>54729.197205908975</v>
      </c>
      <c r="N20" s="382">
        <f>_xlfn.XLOOKUP(B20,'Air Quality'!$B$5:$B$32,'Air Quality'!$M$5:$M$32)</f>
        <v>1127.9759448612424</v>
      </c>
      <c r="O20" s="541">
        <f>_xlfn.XLOOKUP(B20,'Air Quality'!$B$5:$B$32,'Air Quality'!$E$5:$E$32)</f>
        <v>1534.7001531101635</v>
      </c>
      <c r="P20" s="411">
        <f>-_xlfn.XLOOKUP($B20,'Operation and Maintenance'!$B$9:$B$32,'Operation and Maintenance'!$AA$9:$AA$32,0)</f>
        <v>-204703.2</v>
      </c>
      <c r="Q20" s="414">
        <f>_xlfn.XLOOKUP($B20,'Capital Costs'!$B$7:$B$38,'Capital Costs'!$E$7:$E$38)</f>
        <v>0</v>
      </c>
      <c r="R20" s="410">
        <f t="shared" si="5"/>
        <v>13694235.714455396</v>
      </c>
      <c r="S20" s="412">
        <f>R20*(1+0.07)^-(B20-'Project Data and Assumptions'!$C$3)+O20</f>
        <v>3308871.8381228577</v>
      </c>
      <c r="U20" s="147"/>
      <c r="V20" s="147"/>
      <c r="W20" s="147"/>
      <c r="X20" s="147"/>
      <c r="Y20" s="147"/>
      <c r="Z20" s="147"/>
      <c r="AA20" s="147"/>
    </row>
    <row r="21" spans="2:27" s="316" customFormat="1" ht="15" customHeight="1" x14ac:dyDescent="0.25">
      <c r="B21" s="74">
        <f t="shared" si="2"/>
        <v>2042</v>
      </c>
      <c r="C21" s="409">
        <f>_xlfn.XLOOKUP($B21,'QoL Benefits - BCRT'!$B$7:$B$31,'QoL Benefits - BCRT'!$U$7:$U$31,0)</f>
        <v>708598.4521213175</v>
      </c>
      <c r="D21" s="422">
        <f>_xlfn.XLOOKUP($B21,'QoL Benefits - Bryant RT'!$B$7:$B$31,'QoL Benefits - Bryant RT'!$U$7:$U$31,0)</f>
        <v>3118091.3902219478</v>
      </c>
      <c r="E21" s="422">
        <f>_xlfn.XLOOKUP($B21,'QoL Benefits - CP RT'!$B$7:$B$31,'QoL Benefits - CP RT'!$U$7:$U$31,0)</f>
        <v>1474772.9548347057</v>
      </c>
      <c r="F21" s="422">
        <f>_xlfn.XLOOKUP($B21,'QoL Benefits -Eagle RT'!$B$7:$B$31,'QoL Benefits -Eagle RT'!$U$7:$U$31,0)</f>
        <v>2662256.8676930116</v>
      </c>
      <c r="G21" s="422">
        <f>_xlfn.XLOOKUP($B21,'QoL Benefits - Med Lake RT'!$B$7:$B$31,'QoL Benefits - Med Lake RT'!$U$7:$U$31,0)</f>
        <v>3603323.4733092827</v>
      </c>
      <c r="H21" s="422">
        <f>_xlfn.XLOOKUP($B21,'QoL Benefits - 9Mi RT'!$B$7:$B$31,'QoL Benefits - 9Mi RT'!$U$7:$U$31,0)</f>
        <v>533952.77314375294</v>
      </c>
      <c r="I21" s="422">
        <f>_xlfn.XLOOKUP($B21,'QoL Benefits - Rush Crk RT'!$B$7:$B$31,'QoL Benefits - Rush Crk RT'!$U$7:$U$31,0)</f>
        <v>12774.77631906735</v>
      </c>
      <c r="J21" s="422">
        <f>_xlfn.XLOOKUP($B21,'QoL Benefits - Shingle Crk BCR'!$B$7:$B$31,'QoL Benefits - Shingle Crk BCR'!$U$7:$U$31,0)</f>
        <v>1090604.2776167516</v>
      </c>
      <c r="K21" s="422">
        <f>_xlfn.XLOOKUP($B21,'QoL Benefits - Shingle Crk NAR'!$B$7:$B$31,'QoL Benefits - Shingle Crk NAR'!$U$7:$U$31,0)</f>
        <v>915568.41087088059</v>
      </c>
      <c r="L21" s="426">
        <f t="shared" si="0"/>
        <v>14119943.376130719</v>
      </c>
      <c r="M21" s="410">
        <f>_xlfn.XLOOKUP(B21,'Operating Cost Savings'!$B$6:$B$32,'Operating Cost Savings'!$D$6:$D$32,0)</f>
        <v>55823.781150027156</v>
      </c>
      <c r="N21" s="382">
        <f>_xlfn.XLOOKUP(B21,'Air Quality'!$B$5:$B$32,'Air Quality'!$M$5:$M$32)</f>
        <v>1150.5354637584674</v>
      </c>
      <c r="O21" s="541">
        <f>_xlfn.XLOOKUP(B21,'Air Quality'!$B$5:$B$32,'Air Quality'!$E$5:$E$32)</f>
        <v>1540.3379915104633</v>
      </c>
      <c r="P21" s="411">
        <f>-_xlfn.XLOOKUP($B21,'Operation and Maintenance'!$B$9:$B$32,'Operation and Maintenance'!$AA$9:$AA$32,0)</f>
        <v>-85363.199999999997</v>
      </c>
      <c r="Q21" s="414">
        <f>_xlfn.XLOOKUP($B21,'Capital Costs'!$B$7:$B$38,'Capital Costs'!$E$7:$E$38)</f>
        <v>0</v>
      </c>
      <c r="R21" s="410">
        <f t="shared" si="3"/>
        <v>14091554.492744504</v>
      </c>
      <c r="S21" s="412">
        <f>R21*(1+0.07)^-(B21-'Project Data and Assumptions'!$C$3)+O21</f>
        <v>3182189.7048465423</v>
      </c>
      <c r="U21" s="147"/>
      <c r="V21" s="147"/>
      <c r="W21" s="147"/>
      <c r="X21" s="147"/>
      <c r="Y21" s="147"/>
      <c r="Z21" s="147"/>
      <c r="AA21" s="147"/>
    </row>
    <row r="22" spans="2:27" s="316" customFormat="1" ht="15" customHeight="1" x14ac:dyDescent="0.25">
      <c r="B22" s="74">
        <f t="shared" si="2"/>
        <v>2043</v>
      </c>
      <c r="C22" s="409">
        <f>_xlfn.XLOOKUP($B22,'QoL Benefits - BCRT'!$B$7:$B$31,'QoL Benefits - BCRT'!$U$7:$U$31,0)</f>
        <v>722770.42116374383</v>
      </c>
      <c r="D22" s="422">
        <f>_xlfn.XLOOKUP($B22,'QoL Benefits - Bryant RT'!$B$7:$B$31,'QoL Benefits - Bryant RT'!$U$7:$U$31,0)</f>
        <v>3180453.2180263866</v>
      </c>
      <c r="E22" s="422">
        <f>_xlfn.XLOOKUP($B22,'QoL Benefits - CP RT'!$B$7:$B$31,'QoL Benefits - CP RT'!$U$7:$U$31,0)</f>
        <v>1504268.4139313996</v>
      </c>
      <c r="F22" s="422">
        <f>_xlfn.XLOOKUP($B22,'QoL Benefits -Eagle RT'!$B$7:$B$31,'QoL Benefits -Eagle RT'!$U$7:$U$31,0)</f>
        <v>2715502.005046872</v>
      </c>
      <c r="G22" s="422">
        <f>_xlfn.XLOOKUP($B22,'QoL Benefits - Med Lake RT'!$B$7:$B$31,'QoL Benefits - Med Lake RT'!$U$7:$U$31,0)</f>
        <v>3675389.9427754669</v>
      </c>
      <c r="H22" s="422">
        <f>_xlfn.XLOOKUP($B22,'QoL Benefits - 9Mi RT'!$B$7:$B$31,'QoL Benefits - 9Mi RT'!$U$7:$U$31,0)</f>
        <v>544631.828606628</v>
      </c>
      <c r="I22" s="422">
        <f>_xlfn.XLOOKUP($B22,'QoL Benefits - Rush Crk RT'!$B$7:$B$31,'QoL Benefits - Rush Crk RT'!$U$7:$U$31,0)</f>
        <v>13030.271845448695</v>
      </c>
      <c r="J22" s="422">
        <f>_xlfn.XLOOKUP($B22,'QoL Benefits - Shingle Crk BCR'!$B$7:$B$31,'QoL Benefits - Shingle Crk BCR'!$U$7:$U$31,0)</f>
        <v>1112416.3631690864</v>
      </c>
      <c r="K22" s="422">
        <f>_xlfn.XLOOKUP($B22,'QoL Benefits - Shingle Crk NAR'!$B$7:$B$31,'QoL Benefits - Shingle Crk NAR'!$U$7:$U$31,0)</f>
        <v>933879.77908829809</v>
      </c>
      <c r="L22" s="426">
        <f t="shared" si="0"/>
        <v>14402342.243653331</v>
      </c>
      <c r="M22" s="410">
        <f>_xlfn.XLOOKUP(B22,'Operating Cost Savings'!$B$6:$B$32,'Operating Cost Savings'!$D$6:$D$32,0)</f>
        <v>56940.256773027686</v>
      </c>
      <c r="N22" s="382">
        <f>_xlfn.XLOOKUP(B22,'Air Quality'!$B$5:$B$32,'Air Quality'!$M$5:$M$32)</f>
        <v>1173.5461730336363</v>
      </c>
      <c r="O22" s="541">
        <f>_xlfn.XLOOKUP(B22,'Air Quality'!$B$5:$B$32,'Air Quality'!$E$5:$E$32)</f>
        <v>1566.0601404949091</v>
      </c>
      <c r="P22" s="411">
        <f>-_xlfn.XLOOKUP($B22,'Operation and Maintenance'!$B$9:$B$32,'Operation and Maintenance'!$AA$9:$AA$32,0)</f>
        <v>-146463.20000000001</v>
      </c>
      <c r="Q22" s="414">
        <f>_xlfn.XLOOKUP($B22,'Capital Costs'!$B$7:$B$38,'Capital Costs'!$E$7:$E$38)</f>
        <v>0</v>
      </c>
      <c r="R22" s="410">
        <f t="shared" si="3"/>
        <v>14313992.846599394</v>
      </c>
      <c r="S22" s="412">
        <f>R22*(1+0.07)^-(B22-'Project Data and Assumptions'!$C$3)+O22</f>
        <v>3021058.239356298</v>
      </c>
      <c r="U22" s="147"/>
      <c r="V22" s="147"/>
      <c r="W22" s="147"/>
      <c r="X22" s="147"/>
      <c r="Y22" s="147"/>
      <c r="Z22" s="147"/>
      <c r="AA22" s="147"/>
    </row>
    <row r="23" spans="2:27" s="316" customFormat="1" ht="15" customHeight="1" x14ac:dyDescent="0.25">
      <c r="B23" s="74">
        <f t="shared" si="2"/>
        <v>2044</v>
      </c>
      <c r="C23" s="409">
        <f>_xlfn.XLOOKUP($B23,'QoL Benefits - BCRT'!$B$7:$B$31,'QoL Benefits - BCRT'!$U$7:$U$31,0)</f>
        <v>737225.82958701858</v>
      </c>
      <c r="D23" s="422">
        <f>_xlfn.XLOOKUP($B23,'QoL Benefits - Bryant RT'!$B$7:$B$31,'QoL Benefits - Bryant RT'!$U$7:$U$31,0)</f>
        <v>3244062.2823869148</v>
      </c>
      <c r="E23" s="422">
        <f>_xlfn.XLOOKUP($B23,'QoL Benefits - CP RT'!$B$7:$B$31,'QoL Benefits - CP RT'!$U$7:$U$31,0)</f>
        <v>1534353.7822100276</v>
      </c>
      <c r="F23" s="422">
        <f>_xlfn.XLOOKUP($B23,'QoL Benefits -Eagle RT'!$B$7:$B$31,'QoL Benefits -Eagle RT'!$U$7:$U$31,0)</f>
        <v>2769812.0451478087</v>
      </c>
      <c r="G23" s="422">
        <f>_xlfn.XLOOKUP($B23,'QoL Benefits - Med Lake RT'!$B$7:$B$31,'QoL Benefits - Med Lake RT'!$U$7:$U$31,0)</f>
        <v>3748897.741630977</v>
      </c>
      <c r="H23" s="422">
        <f>_xlfn.XLOOKUP($B23,'QoL Benefits - 9Mi RT'!$B$7:$B$31,'QoL Benefits - 9Mi RT'!$U$7:$U$31,0)</f>
        <v>555524.46517876047</v>
      </c>
      <c r="I23" s="422">
        <f>_xlfn.XLOOKUP($B23,'QoL Benefits - Rush Crk RT'!$B$7:$B$31,'QoL Benefits - Rush Crk RT'!$U$7:$U$31,0)</f>
        <v>13290.877282357669</v>
      </c>
      <c r="J23" s="422">
        <f>_xlfn.XLOOKUP($B23,'QoL Benefits - Shingle Crk BCR'!$B$7:$B$31,'QoL Benefits - Shingle Crk BCR'!$U$7:$U$31,0)</f>
        <v>1134664.690432468</v>
      </c>
      <c r="K23" s="422">
        <f>_xlfn.XLOOKUP($B23,'QoL Benefits - Shingle Crk NAR'!$B$7:$B$31,'QoL Benefits - Shingle Crk NAR'!$U$7:$U$31,0)</f>
        <v>952557.37467006408</v>
      </c>
      <c r="L23" s="426">
        <f t="shared" si="0"/>
        <v>14690389.088526396</v>
      </c>
      <c r="M23" s="410">
        <f>_xlfn.XLOOKUP(B23,'Operating Cost Savings'!$B$6:$B$32,'Operating Cost Savings'!$D$6:$D$32,0)</f>
        <v>58079.061908488249</v>
      </c>
      <c r="N23" s="382">
        <f>_xlfn.XLOOKUP(B23,'Air Quality'!$B$5:$B$32,'Air Quality'!$M$5:$M$32)</f>
        <v>1197.0170964943095</v>
      </c>
      <c r="O23" s="541">
        <f>_xlfn.XLOOKUP(B23,'Air Quality'!$B$5:$B$32,'Air Quality'!$E$5:$E$32)</f>
        <v>1570.9966558791452</v>
      </c>
      <c r="P23" s="411">
        <f>-_xlfn.XLOOKUP($B23,'Operation and Maintenance'!$B$9:$B$32,'Operation and Maintenance'!$AA$9:$AA$32,0)</f>
        <v>-130863.2</v>
      </c>
      <c r="Q23" s="414">
        <f>_xlfn.XLOOKUP($B23,'Capital Costs'!$B$7:$B$38,'Capital Costs'!$E$7:$E$38)</f>
        <v>0</v>
      </c>
      <c r="R23" s="410">
        <f t="shared" si="3"/>
        <v>14618801.967531379</v>
      </c>
      <c r="S23" s="412">
        <f>R23*(1+0.07)^-(B23-'Project Data and Assumptions'!$C$3)+O23</f>
        <v>2883618.3922555046</v>
      </c>
      <c r="U23" s="147"/>
      <c r="V23" s="147"/>
      <c r="W23" s="147"/>
      <c r="X23" s="147"/>
      <c r="Y23" s="147"/>
      <c r="Z23" s="147"/>
      <c r="AA23" s="147"/>
    </row>
    <row r="24" spans="2:27" s="316" customFormat="1" ht="15" customHeight="1" x14ac:dyDescent="0.25">
      <c r="B24" s="74">
        <f t="shared" si="2"/>
        <v>2045</v>
      </c>
      <c r="C24" s="409">
        <f>_xlfn.XLOOKUP($B24,'QoL Benefits - BCRT'!$B$7:$B$31,'QoL Benefits - BCRT'!$U$7:$U$31,0)</f>
        <v>751970.34617875912</v>
      </c>
      <c r="D24" s="422">
        <f>_xlfn.XLOOKUP($B24,'QoL Benefits - Bryant RT'!$B$7:$B$31,'QoL Benefits - Bryant RT'!$U$7:$U$31,0)</f>
        <v>3308943.5280346526</v>
      </c>
      <c r="E24" s="422">
        <f>_xlfn.XLOOKUP($B24,'QoL Benefits - CP RT'!$B$7:$B$31,'QoL Benefits - CP RT'!$U$7:$U$31,0)</f>
        <v>1565040.8578542282</v>
      </c>
      <c r="F24" s="422">
        <f>_xlfn.XLOOKUP($B24,'QoL Benefits -Eagle RT'!$B$7:$B$31,'QoL Benefits -Eagle RT'!$U$7:$U$31,0)</f>
        <v>2825208.2860507653</v>
      </c>
      <c r="G24" s="422">
        <f>_xlfn.XLOOKUP($B24,'QoL Benefits - Med Lake RT'!$B$7:$B$31,'QoL Benefits - Med Lake RT'!$U$7:$U$31,0)</f>
        <v>3823875.6964635965</v>
      </c>
      <c r="H24" s="422">
        <f>_xlfn.XLOOKUP($B24,'QoL Benefits - 9Mi RT'!$B$7:$B$31,'QoL Benefits - 9Mi RT'!$U$7:$U$31,0)</f>
        <v>566634.95448233571</v>
      </c>
      <c r="I24" s="422">
        <f>_xlfn.XLOOKUP($B24,'QoL Benefits - Rush Crk RT'!$B$7:$B$31,'QoL Benefits - Rush Crk RT'!$U$7:$U$31,0)</f>
        <v>13556.694828004824</v>
      </c>
      <c r="J24" s="422">
        <f>_xlfn.XLOOKUP($B24,'QoL Benefits - Shingle Crk BCR'!$B$7:$B$31,'QoL Benefits - Shingle Crk BCR'!$U$7:$U$31,0)</f>
        <v>1157357.9842411175</v>
      </c>
      <c r="K24" s="422">
        <f>_xlfn.XLOOKUP($B24,'QoL Benefits - Shingle Crk NAR'!$B$7:$B$31,'QoL Benefits - Shingle Crk NAR'!$U$7:$U$31,0)</f>
        <v>971608.52216346527</v>
      </c>
      <c r="L24" s="426">
        <f t="shared" si="0"/>
        <v>14984196.870296925</v>
      </c>
      <c r="M24" s="410">
        <f>_xlfn.XLOOKUP(B24,'Operating Cost Savings'!$B$6:$B$32,'Operating Cost Savings'!$D$6:$D$32,0)</f>
        <v>59240.643146657996</v>
      </c>
      <c r="N24" s="382">
        <f>_xlfn.XLOOKUP(B24,'Air Quality'!$B$5:$B$32,'Air Quality'!$M$5:$M$32)</f>
        <v>1220.9574384241951</v>
      </c>
      <c r="O24" s="541">
        <f>_xlfn.XLOOKUP(B24,'Air Quality'!$B$5:$B$32,'Air Quality'!$E$5:$E$32)</f>
        <v>1575.6897004075367</v>
      </c>
      <c r="P24" s="411">
        <f>-_xlfn.XLOOKUP($B24,'Operation and Maintenance'!$B$9:$B$32,'Operation and Maintenance'!$AA$9:$AA$32,0)</f>
        <v>-259563.2</v>
      </c>
      <c r="Q24" s="414">
        <f>_xlfn.XLOOKUP($B24,'Capital Costs'!$B$7:$B$38,'Capital Costs'!$E$7:$E$38)</f>
        <v>0</v>
      </c>
      <c r="R24" s="410">
        <f t="shared" si="3"/>
        <v>14785095.270882009</v>
      </c>
      <c r="S24" s="412">
        <f>R24*(1+0.07)^-(B24-'Project Data and Assumptions'!$C$3)+O24</f>
        <v>2725717.3329483713</v>
      </c>
      <c r="U24" s="147"/>
      <c r="V24" s="147"/>
      <c r="W24" s="147"/>
      <c r="X24" s="147"/>
      <c r="Y24" s="147"/>
      <c r="Z24" s="147"/>
      <c r="AA24" s="147"/>
    </row>
    <row r="25" spans="2:27" s="316" customFormat="1" ht="15" customHeight="1" x14ac:dyDescent="0.25">
      <c r="B25" s="74">
        <f t="shared" si="2"/>
        <v>2046</v>
      </c>
      <c r="C25" s="409">
        <f>_xlfn.XLOOKUP($B25,'QoL Benefits - BCRT'!$B$7:$B$31,'QoL Benefits - BCRT'!$U$7:$U$31,0)</f>
        <v>767009.75310233398</v>
      </c>
      <c r="D25" s="422">
        <f>_xlfn.XLOOKUP($B25,'QoL Benefits - Bryant RT'!$B$7:$B$31,'QoL Benefits - Bryant RT'!$U$7:$U$31,0)</f>
        <v>3375122.3985953466</v>
      </c>
      <c r="E25" s="422">
        <f>_xlfn.XLOOKUP($B25,'QoL Benefits - CP RT'!$B$7:$B$31,'QoL Benefits - CP RT'!$U$7:$U$31,0)</f>
        <v>1596341.6750113131</v>
      </c>
      <c r="F25" s="422">
        <f>_xlfn.XLOOKUP($B25,'QoL Benefits -Eagle RT'!$B$7:$B$31,'QoL Benefits -Eagle RT'!$U$7:$U$31,0)</f>
        <v>2881712.4517717804</v>
      </c>
      <c r="G25" s="422">
        <f>_xlfn.XLOOKUP($B25,'QoL Benefits - Med Lake RT'!$B$7:$B$31,'QoL Benefits - Med Lake RT'!$U$7:$U$31,0)</f>
        <v>3900353.2103928691</v>
      </c>
      <c r="H25" s="422">
        <f>_xlfn.XLOOKUP($B25,'QoL Benefits - 9Mi RT'!$B$7:$B$31,'QoL Benefits - 9Mi RT'!$U$7:$U$31,0)</f>
        <v>577967.65357198252</v>
      </c>
      <c r="I25" s="422">
        <f>_xlfn.XLOOKUP($B25,'QoL Benefits - Rush Crk RT'!$B$7:$B$31,'QoL Benefits - Rush Crk RT'!$U$7:$U$31,0)</f>
        <v>13827.828724564921</v>
      </c>
      <c r="J25" s="422">
        <f>_xlfn.XLOOKUP($B25,'QoL Benefits - Shingle Crk BCR'!$B$7:$B$31,'QoL Benefits - Shingle Crk BCR'!$U$7:$U$31,0)</f>
        <v>1180505.1439259399</v>
      </c>
      <c r="K25" s="422">
        <f>_xlfn.XLOOKUP($B25,'QoL Benefits - Shingle Crk NAR'!$B$7:$B$31,'QoL Benefits - Shingle Crk NAR'!$U$7:$U$31,0)</f>
        <v>991040.69260673469</v>
      </c>
      <c r="L25" s="426">
        <f t="shared" si="0"/>
        <v>15283880.807702864</v>
      </c>
      <c r="M25" s="410">
        <f>_xlfn.XLOOKUP(B25,'Operating Cost Savings'!$B$6:$B$32,'Operating Cost Savings'!$D$6:$D$32,0)</f>
        <v>60425.456009591166</v>
      </c>
      <c r="N25" s="382">
        <f>_xlfn.XLOOKUP(B25,'Air Quality'!$B$5:$B$32,'Air Quality'!$M$5:$M$32)</f>
        <v>1245.3765871926794</v>
      </c>
      <c r="O25" s="541">
        <f>_xlfn.XLOOKUP(B25,'Air Quality'!$B$5:$B$32,'Air Quality'!$E$5:$E$32)</f>
        <v>1580.1435363555979</v>
      </c>
      <c r="P25" s="411">
        <f>-_xlfn.XLOOKUP($B25,'Operation and Maintenance'!$B$9:$B$32,'Operation and Maintenance'!$AA$9:$AA$32,0)</f>
        <v>-85363.199999999997</v>
      </c>
      <c r="Q25" s="414">
        <f>_xlfn.XLOOKUP($B25,'Capital Costs'!$B$7:$B$38,'Capital Costs'!$E$7:$E$38)</f>
        <v>0</v>
      </c>
      <c r="R25" s="410">
        <f t="shared" si="3"/>
        <v>15260188.440299649</v>
      </c>
      <c r="S25" s="412">
        <f>R25*(1+0.07)^-(B25-'Project Data and Assumptions'!$C$3)+O25</f>
        <v>2629315.8154612146</v>
      </c>
      <c r="U25" s="147"/>
      <c r="V25" s="147"/>
      <c r="W25" s="147"/>
      <c r="X25" s="147"/>
      <c r="Y25" s="147"/>
      <c r="Z25" s="147"/>
      <c r="AA25" s="147"/>
    </row>
    <row r="26" spans="2:27" ht="15" customHeight="1" x14ac:dyDescent="0.25">
      <c r="B26" s="74">
        <f t="shared" si="2"/>
        <v>2047</v>
      </c>
      <c r="C26" s="409">
        <f>_xlfn.XLOOKUP($B26,'QoL Benefits - BCRT'!$B$7:$B$31,'QoL Benefits - BCRT'!$U$7:$U$31,0)</f>
        <v>782349.94816438085</v>
      </c>
      <c r="D26" s="422">
        <f>_xlfn.XLOOKUP($B26,'QoL Benefits - Bryant RT'!$B$7:$B$31,'QoL Benefits - Bryant RT'!$U$7:$U$31,0)</f>
        <v>3442624.8465672527</v>
      </c>
      <c r="E26" s="422">
        <f>_xlfn.XLOOKUP($B26,'QoL Benefits - CP RT'!$B$7:$B$31,'QoL Benefits - CP RT'!$U$7:$U$31,0)</f>
        <v>1628268.5085115389</v>
      </c>
      <c r="F26" s="422">
        <f>_xlfn.XLOOKUP($B26,'QoL Benefits -Eagle RT'!$B$7:$B$31,'QoL Benefits -Eagle RT'!$U$7:$U$31,0)</f>
        <v>2939346.7008072161</v>
      </c>
      <c r="G26" s="422">
        <f>_xlfn.XLOOKUP($B26,'QoL Benefits - Med Lake RT'!$B$7:$B$31,'QoL Benefits - Med Lake RT'!$U$7:$U$31,0)</f>
        <v>3978360.2746007256</v>
      </c>
      <c r="H26" s="422">
        <f>_xlfn.XLOOKUP($B26,'QoL Benefits - 9Mi RT'!$B$7:$B$31,'QoL Benefits - 9Mi RT'!$U$7:$U$31,0)</f>
        <v>589527.00664342206</v>
      </c>
      <c r="I26" s="422">
        <f>_xlfn.XLOOKUP($B26,'QoL Benefits - Rush Crk RT'!$B$7:$B$31,'QoL Benefits - Rush Crk RT'!$U$7:$U$31,0)</f>
        <v>14104.385299056215</v>
      </c>
      <c r="J26" s="422">
        <f>_xlfn.XLOOKUP($B26,'QoL Benefits - Shingle Crk BCR'!$B$7:$B$31,'QoL Benefits - Shingle Crk BCR'!$U$7:$U$31,0)</f>
        <v>1204115.2468044588</v>
      </c>
      <c r="K26" s="422">
        <f>_xlfn.XLOOKUP($B26,'QoL Benefits - Shingle Crk NAR'!$B$7:$B$31,'QoL Benefits - Shingle Crk NAR'!$U$7:$U$31,0)</f>
        <v>1010861.5064588694</v>
      </c>
      <c r="L26" s="426">
        <f t="shared" si="0"/>
        <v>15589558.423856921</v>
      </c>
      <c r="M26" s="410">
        <f>_xlfn.XLOOKUP(B26,'Operating Cost Savings'!$B$6:$B$32,'Operating Cost Savings'!$D$6:$D$32,0)</f>
        <v>61633.965129782984</v>
      </c>
      <c r="N26" s="382">
        <f>_xlfn.XLOOKUP(B26,'Air Quality'!$B$5:$B$32,'Air Quality'!$M$5:$M$32)</f>
        <v>1270.2841189365326</v>
      </c>
      <c r="O26" s="541">
        <f>_xlfn.XLOOKUP(B26,'Air Quality'!$B$5:$B$32,'Air Quality'!$E$5:$E$32)</f>
        <v>1584.3623661856734</v>
      </c>
      <c r="P26" s="411">
        <f>-_xlfn.XLOOKUP($B26,'Operation and Maintenance'!$B$9:$B$32,'Operation and Maintenance'!$AA$9:$AA$32,0)</f>
        <v>-85363.199999999997</v>
      </c>
      <c r="Q26" s="414">
        <f>_xlfn.XLOOKUP($B26,'Capital Costs'!$B$7:$B$38,'Capital Costs'!$E$7:$E$38)</f>
        <v>0</v>
      </c>
      <c r="R26" s="410">
        <f t="shared" si="3"/>
        <v>15567099.473105643</v>
      </c>
      <c r="S26" s="412">
        <f>R26*(1+0.07)^-(B26-'Project Data and Assumptions'!$C$3)+O26</f>
        <v>2506803.3983750977</v>
      </c>
      <c r="U26" s="147"/>
      <c r="V26" s="147"/>
      <c r="W26" s="147"/>
      <c r="X26" s="147"/>
      <c r="Y26" s="147"/>
      <c r="Z26" s="147"/>
      <c r="AA26" s="147"/>
    </row>
    <row r="27" spans="2:27" ht="15" customHeight="1" x14ac:dyDescent="0.25">
      <c r="B27" s="74">
        <f t="shared" si="2"/>
        <v>2048</v>
      </c>
      <c r="C27" s="409">
        <f>_xlfn.XLOOKUP($B27,'QoL Benefits - BCRT'!$B$7:$B$31,'QoL Benefits - BCRT'!$U$7:$U$31,0)</f>
        <v>797996.94712766854</v>
      </c>
      <c r="D27" s="422">
        <f>_xlfn.XLOOKUP($B27,'QoL Benefits - Bryant RT'!$B$7:$B$31,'QoL Benefits - Bryant RT'!$U$7:$U$31,0)</f>
        <v>3511477.3434985992</v>
      </c>
      <c r="E27" s="422">
        <f>_xlfn.XLOOKUP($B27,'QoL Benefits - CP RT'!$B$7:$B$31,'QoL Benefits - CP RT'!$U$7:$U$31,0)</f>
        <v>1660833.8786817701</v>
      </c>
      <c r="F27" s="422">
        <f>_xlfn.XLOOKUP($B27,'QoL Benefits -Eagle RT'!$B$7:$B$31,'QoL Benefits -Eagle RT'!$U$7:$U$31,0)</f>
        <v>2998133.6348233605</v>
      </c>
      <c r="G27" s="422">
        <f>_xlfn.XLOOKUP($B27,'QoL Benefits - Med Lake RT'!$B$7:$B$31,'QoL Benefits - Med Lake RT'!$U$7:$U$31,0)</f>
        <v>4057927.4800927415</v>
      </c>
      <c r="H27" s="422">
        <f>_xlfn.XLOOKUP($B27,'QoL Benefits - 9Mi RT'!$B$7:$B$31,'QoL Benefits - 9Mi RT'!$U$7:$U$31,0)</f>
        <v>601317.54677629075</v>
      </c>
      <c r="I27" s="422">
        <f>_xlfn.XLOOKUP($B27,'QoL Benefits - Rush Crk RT'!$B$7:$B$31,'QoL Benefits - Rush Crk RT'!$U$7:$U$31,0)</f>
        <v>14386.473005037344</v>
      </c>
      <c r="J27" s="422">
        <f>_xlfn.XLOOKUP($B27,'QoL Benefits - Shingle Crk BCR'!$B$7:$B$31,'QoL Benefits - Shingle Crk BCR'!$U$7:$U$31,0)</f>
        <v>1228197.5517405479</v>
      </c>
      <c r="K27" s="422">
        <f>_xlfn.XLOOKUP($B27,'QoL Benefits - Shingle Crk NAR'!$B$7:$B$31,'QoL Benefits - Shingle Crk NAR'!$U$7:$U$31,0)</f>
        <v>1031078.736588047</v>
      </c>
      <c r="L27" s="426">
        <f t="shared" si="0"/>
        <v>15901349.592334066</v>
      </c>
      <c r="M27" s="410">
        <f>_xlfn.XLOOKUP(B27,'Operating Cost Savings'!$B$6:$B$32,'Operating Cost Savings'!$D$6:$D$32,0)</f>
        <v>62866.644432378649</v>
      </c>
      <c r="N27" s="382">
        <f>_xlfn.XLOOKUP(B27,'Air Quality'!$B$5:$B$32,'Air Quality'!$M$5:$M$32)</f>
        <v>1295.6898013152634</v>
      </c>
      <c r="O27" s="541">
        <f>_xlfn.XLOOKUP(B27,'Air Quality'!$B$5:$B$32,'Air Quality'!$E$5:$E$32)</f>
        <v>1588.3503333066014</v>
      </c>
      <c r="P27" s="411">
        <f>-_xlfn.XLOOKUP($B27,'Operation and Maintenance'!$B$9:$B$32,'Operation and Maintenance'!$AA$9:$AA$32,0)</f>
        <v>-204703.2</v>
      </c>
      <c r="Q27" s="414">
        <f>_xlfn.XLOOKUP($B27,'Capital Costs'!$B$7:$B$38,'Capital Costs'!$E$7:$E$38)</f>
        <v>0</v>
      </c>
      <c r="R27" s="410">
        <f t="shared" si="3"/>
        <v>15760808.72656776</v>
      </c>
      <c r="S27" s="412">
        <f>R27*(1+0.07)^-(B27-'Project Data and Assumptions'!$C$3)+O27</f>
        <v>2372048.8524997169</v>
      </c>
      <c r="U27" s="147"/>
      <c r="V27" s="147"/>
      <c r="W27" s="147"/>
      <c r="X27" s="147"/>
      <c r="Y27" s="147"/>
      <c r="Z27" s="147"/>
      <c r="AA27" s="147"/>
    </row>
    <row r="28" spans="2:27" ht="15" customHeight="1" x14ac:dyDescent="0.25">
      <c r="B28" s="74">
        <f t="shared" si="2"/>
        <v>2049</v>
      </c>
      <c r="C28" s="409">
        <f>_xlfn.XLOOKUP($B28,'QoL Benefits - BCRT'!$B$7:$B$31,'QoL Benefits - BCRT'!$U$7:$U$31,0)</f>
        <v>813956.88607022178</v>
      </c>
      <c r="D28" s="422">
        <f>_xlfn.XLOOKUP($B28,'QoL Benefits - Bryant RT'!$B$7:$B$31,'QoL Benefits - Bryant RT'!$U$7:$U$31,0)</f>
        <v>3581706.8903685696</v>
      </c>
      <c r="E28" s="422">
        <f>_xlfn.XLOOKUP($B28,'QoL Benefits - CP RT'!$B$7:$B$31,'QoL Benefits - CP RT'!$U$7:$U$31,0)</f>
        <v>1694050.5562554051</v>
      </c>
      <c r="F28" s="422">
        <f>_xlfn.XLOOKUP($B28,'QoL Benefits -Eagle RT'!$B$7:$B$31,'QoL Benefits -Eagle RT'!$U$7:$U$31,0)</f>
        <v>3058096.3075198266</v>
      </c>
      <c r="G28" s="422">
        <f>_xlfn.XLOOKUP($B28,'QoL Benefits - Med Lake RT'!$B$7:$B$31,'QoL Benefits - Med Lake RT'!$U$7:$U$31,0)</f>
        <v>4139086.0296945958</v>
      </c>
      <c r="H28" s="422">
        <f>_xlfn.XLOOKUP($B28,'QoL Benefits - 9Mi RT'!$B$7:$B$31,'QoL Benefits - 9Mi RT'!$U$7:$U$31,0)</f>
        <v>613343.89771181636</v>
      </c>
      <c r="I28" s="422">
        <f>_xlfn.XLOOKUP($B28,'QoL Benefits - Rush Crk RT'!$B$7:$B$31,'QoL Benefits - Rush Crk RT'!$U$7:$U$31,0)</f>
        <v>14674.202465138089</v>
      </c>
      <c r="J28" s="422">
        <f>_xlfn.XLOOKUP($B28,'QoL Benefits - Shingle Crk BCR'!$B$7:$B$31,'QoL Benefits - Shingle Crk BCR'!$U$7:$U$31,0)</f>
        <v>1252761.5027753585</v>
      </c>
      <c r="K28" s="422">
        <f>_xlfn.XLOOKUP($B28,'QoL Benefits - Shingle Crk NAR'!$B$7:$B$31,'QoL Benefits - Shingle Crk NAR'!$U$7:$U$31,0)</f>
        <v>1051700.3113198075</v>
      </c>
      <c r="L28" s="426">
        <f t="shared" si="0"/>
        <v>16219376.584180739</v>
      </c>
      <c r="M28" s="410">
        <f>_xlfn.XLOOKUP(B28,'Operating Cost Savings'!$B$6:$B$32,'Operating Cost Savings'!$D$6:$D$32,0)</f>
        <v>64123.977321026236</v>
      </c>
      <c r="N28" s="382">
        <f>_xlfn.XLOOKUP(B28,'Air Quality'!$B$5:$B$32,'Air Quality'!$M$5:$M$32)</f>
        <v>1321.603597341569</v>
      </c>
      <c r="O28" s="541">
        <f>_xlfn.XLOOKUP(B28,'Air Quality'!$B$5:$B$32,'Air Quality'!$E$5:$E$32)</f>
        <v>1592.1115228242588</v>
      </c>
      <c r="P28" s="411">
        <f>-_xlfn.XLOOKUP($B28,'Operation and Maintenance'!$B$9:$B$32,'Operation and Maintenance'!$AA$9:$AA$32,0)</f>
        <v>-85363.199999999997</v>
      </c>
      <c r="Q28" s="414">
        <f>_xlfn.XLOOKUP($B28,'Capital Costs'!$B$7:$B$38,'Capital Costs'!$E$7:$E$38)</f>
        <v>0</v>
      </c>
      <c r="R28" s="410">
        <f t="shared" si="3"/>
        <v>16199458.965099107</v>
      </c>
      <c r="S28" s="412">
        <f>R28*(1+0.07)^-(B28-'Project Data and Assumptions'!$C$3)+O28</f>
        <v>2278633.670891609</v>
      </c>
      <c r="U28" s="147"/>
      <c r="V28" s="147"/>
      <c r="W28" s="147"/>
      <c r="X28" s="147"/>
      <c r="Y28" s="147"/>
      <c r="Z28" s="147"/>
      <c r="AA28" s="147"/>
    </row>
    <row r="29" spans="2:27" ht="15" customHeight="1" x14ac:dyDescent="0.25">
      <c r="B29" s="74">
        <f t="shared" si="2"/>
        <v>2050</v>
      </c>
      <c r="C29" s="409">
        <f>_xlfn.XLOOKUP($B29,'QoL Benefits - BCRT'!$B$7:$B$31,'QoL Benefits - BCRT'!$U$7:$U$31,0)</f>
        <v>830236.02379162633</v>
      </c>
      <c r="D29" s="422">
        <f>_xlfn.XLOOKUP($B29,'QoL Benefits - Bryant RT'!$B$7:$B$31,'QoL Benefits - Bryant RT'!$U$7:$U$31,0)</f>
        <v>3653341.0281759417</v>
      </c>
      <c r="E29" s="422">
        <f>_xlfn.XLOOKUP($B29,'QoL Benefits - CP RT'!$B$7:$B$31,'QoL Benefits - CP RT'!$U$7:$U$31,0)</f>
        <v>1727931.5673805133</v>
      </c>
      <c r="F29" s="422">
        <f>_xlfn.XLOOKUP($B29,'QoL Benefits -Eagle RT'!$B$7:$B$31,'QoL Benefits -Eagle RT'!$U$7:$U$31,0)</f>
        <v>3119258.2336702244</v>
      </c>
      <c r="G29" s="422">
        <f>_xlfn.XLOOKUP($B29,'QoL Benefits - Med Lake RT'!$B$7:$B$31,'QoL Benefits - Med Lake RT'!$U$7:$U$31,0)</f>
        <v>4221867.7502884874</v>
      </c>
      <c r="H29" s="422">
        <f>_xlfn.XLOOKUP($B29,'QoL Benefits - 9Mi RT'!$B$7:$B$31,'QoL Benefits - 9Mi RT'!$U$7:$U$31,0)</f>
        <v>625610.77566605271</v>
      </c>
      <c r="I29" s="422">
        <f>_xlfn.XLOOKUP($B29,'QoL Benefits - Rush Crk RT'!$B$7:$B$31,'QoL Benefits - Rush Crk RT'!$U$7:$U$31,0)</f>
        <v>14967.686514440851</v>
      </c>
      <c r="J29" s="422">
        <f>_xlfn.XLOOKUP($B29,'QoL Benefits - Shingle Crk BCR'!$B$7:$B$31,'QoL Benefits - Shingle Crk BCR'!$U$7:$U$31,0)</f>
        <v>1277816.732830866</v>
      </c>
      <c r="K29" s="422">
        <f>_xlfn.XLOOKUP($B29,'QoL Benefits - Shingle Crk NAR'!$B$7:$B$31,'QoL Benefits - Shingle Crk NAR'!$U$7:$U$31,0)</f>
        <v>1072734.3175462037</v>
      </c>
      <c r="L29" s="426">
        <f t="shared" si="0"/>
        <v>16543764.115864355</v>
      </c>
      <c r="M29" s="417">
        <f>_xlfn.XLOOKUP(B29,'Operating Cost Savings'!$B$6:$B$32,'Operating Cost Savings'!$D$6:$D$32,0)</f>
        <v>65406.456867446745</v>
      </c>
      <c r="N29" s="384">
        <f>_xlfn.XLOOKUP(B29,'Air Quality'!$B$5:$B$32,'Air Quality'!$M$5:$M$32)</f>
        <v>1348.0356692884002</v>
      </c>
      <c r="O29" s="542">
        <f>_xlfn.XLOOKUP(B29,'Air Quality'!$B$5:$B$32,'Air Quality'!$E$5:$E$32)</f>
        <v>1614.6457951674256</v>
      </c>
      <c r="P29" s="413">
        <f>-_xlfn.XLOOKUP($B29,'Operation and Maintenance'!$B$9:$B$32,'Operation and Maintenance'!$AA$9:$AA$32,0)</f>
        <v>-146463.20000000001</v>
      </c>
      <c r="Q29" s="414">
        <f>_xlfn.XLOOKUP($B29,'Capital Costs'!$B$7:$B$38,'Capital Costs'!$E$7:$E$38)</f>
        <v>10517975.418204224</v>
      </c>
      <c r="R29" s="410">
        <f t="shared" si="3"/>
        <v>26982030.826605313</v>
      </c>
      <c r="S29" s="412">
        <f>R29*(1+0.07)^-(B29-'Project Data and Assumptions'!$C$3)+O29</f>
        <v>3546166.2504625814</v>
      </c>
      <c r="U29" s="147"/>
      <c r="V29" s="147"/>
      <c r="W29" s="147"/>
      <c r="X29" s="147"/>
      <c r="Y29" s="147"/>
      <c r="Z29" s="147"/>
      <c r="AA29" s="147"/>
    </row>
    <row r="30" spans="2:27" s="316" customFormat="1" ht="15" customHeight="1" thickBot="1" x14ac:dyDescent="0.3">
      <c r="B30" s="545">
        <f t="shared" si="2"/>
        <v>2051</v>
      </c>
      <c r="C30" s="415">
        <f>_xlfn.XLOOKUP($B30,'QoL Benefits - BCRT'!$B$7:$B$31,'QoL Benefits - BCRT'!$U$7:$U$31,0)</f>
        <v>0</v>
      </c>
      <c r="D30" s="423">
        <f>_xlfn.XLOOKUP($B30,'QoL Benefits - Bryant RT'!$B$7:$B$31,'QoL Benefits - Bryant RT'!$U$7:$U$31,0)</f>
        <v>0</v>
      </c>
      <c r="E30" s="423">
        <f>_xlfn.XLOOKUP($B30,'QoL Benefits - CP RT'!$B$7:$B$31,'QoL Benefits - CP RT'!$U$7:$U$31,0)</f>
        <v>0</v>
      </c>
      <c r="F30" s="423">
        <f>_xlfn.XLOOKUP($B30,'QoL Benefits -Eagle RT'!$B$7:$B$31,'QoL Benefits -Eagle RT'!$U$7:$U$31,0)</f>
        <v>0</v>
      </c>
      <c r="G30" s="423">
        <f>_xlfn.XLOOKUP($B30,'QoL Benefits - Med Lake RT'!$B$7:$B$31,'QoL Benefits - Med Lake RT'!$U$7:$U$31,0)</f>
        <v>0</v>
      </c>
      <c r="H30" s="423">
        <f>_xlfn.XLOOKUP($B30,'QoL Benefits - 9Mi RT'!$B$7:$B$31,'QoL Benefits - 9Mi RT'!$U$7:$U$31,0)</f>
        <v>0</v>
      </c>
      <c r="I30" s="423">
        <f>_xlfn.XLOOKUP($B30,'QoL Benefits - Rush Crk RT'!$B$7:$B$31,'QoL Benefits - Rush Crk RT'!$U$7:$U$31,0)</f>
        <v>0</v>
      </c>
      <c r="J30" s="423">
        <f>_xlfn.XLOOKUP($B30,'QoL Benefits - Shingle Crk BCR'!$B$7:$B$31,'QoL Benefits - Shingle Crk BCR'!$U$7:$U$31,0)</f>
        <v>0</v>
      </c>
      <c r="K30" s="423">
        <f>_xlfn.XLOOKUP($B30,'QoL Benefits - Shingle Crk NAR'!$B$7:$B$31,'QoL Benefits - Shingle Crk NAR'!$U$7:$U$31,0)</f>
        <v>0</v>
      </c>
      <c r="L30" s="425">
        <f t="shared" si="0"/>
        <v>0</v>
      </c>
      <c r="M30" s="408">
        <f>_xlfn.XLOOKUP(B30,'Operating Cost Savings'!$B$6:$B$32,'Operating Cost Savings'!$D$6:$D$32,0)</f>
        <v>0</v>
      </c>
      <c r="N30" s="383">
        <f>_xlfn.XLOOKUP(B30,'Air Quality'!$B$5:$B$32,'Air Quality'!$M$5:$M$32)</f>
        <v>0</v>
      </c>
      <c r="O30" s="425">
        <f>_xlfn.XLOOKUP(B30,'Air Quality'!$B$5:$B$32,'Air Quality'!$E$5:$E$32)</f>
        <v>0</v>
      </c>
      <c r="P30" s="611">
        <f>-_xlfn.XLOOKUP($B30,'Operation and Maintenance'!$B$9:$B$32,'Operation and Maintenance'!$AA$9:$AA$32,0)</f>
        <v>0</v>
      </c>
      <c r="Q30" s="416">
        <f>_xlfn.XLOOKUP($B30,'Capital Costs'!$B$7:$B$38,'Capital Costs'!$E$7:$E$38)</f>
        <v>0</v>
      </c>
      <c r="R30" s="408">
        <f t="shared" si="3"/>
        <v>0</v>
      </c>
      <c r="S30" s="585">
        <f>R30*(1+0.07)^-(B30-'Project Data and Assumptions'!$C$3)+O30</f>
        <v>0</v>
      </c>
      <c r="U30" s="147"/>
      <c r="V30" s="147"/>
      <c r="W30" s="147"/>
      <c r="X30" s="147"/>
      <c r="Y30" s="147"/>
      <c r="Z30" s="147"/>
      <c r="AA30" s="147"/>
    </row>
    <row r="31" spans="2:27" ht="15" customHeight="1" x14ac:dyDescent="0.25">
      <c r="B31" s="15"/>
      <c r="C31" s="63"/>
      <c r="D31" s="63"/>
      <c r="E31" s="63"/>
      <c r="F31" s="63"/>
      <c r="G31" s="63"/>
      <c r="H31" s="63"/>
      <c r="I31" s="63"/>
      <c r="M31" s="498"/>
      <c r="N31" s="498"/>
      <c r="Q31" s="498"/>
      <c r="S31" s="149">
        <f>SUM(S7:S30)</f>
        <v>77106483.617257357</v>
      </c>
    </row>
    <row r="32" spans="2:27" s="71" customFormat="1" ht="15" customHeight="1" x14ac:dyDescent="0.25">
      <c r="B32" s="148"/>
      <c r="C32" s="149"/>
      <c r="D32" s="149"/>
      <c r="M32" s="498"/>
      <c r="N32" s="498"/>
      <c r="Q32" s="498"/>
      <c r="S32" s="473">
        <f>'QoL Benefits - BCRT'!V32+'QoL Benefits - Bryant RT'!V28+'QoL Benefits - CP RT'!V29+'QoL Benefits -Eagle RT'!V28+'QoL Benefits - Med Lake RT'!V31+'QoL Benefits - 9Mi RT'!V30+'QoL Benefits - Rush Crk RT'!V29+'QoL Benefits - Shingle Crk BCR'!V30+'QoL Benefits - Shingle Crk NAR'!V30-'Operation and Maintenance'!AB33+'Capital Costs'!F39+'Operating Cost Savings'!E33+'Air Quality'!N33+'Air Quality'!E33</f>
        <v>77106483.617257327</v>
      </c>
    </row>
    <row r="33" spans="1:19" ht="15" customHeight="1" x14ac:dyDescent="0.25">
      <c r="B33" s="15"/>
      <c r="C33" s="67"/>
      <c r="D33" s="67"/>
      <c r="E33" s="67"/>
      <c r="F33" s="67"/>
      <c r="G33" s="67"/>
      <c r="H33" s="67"/>
      <c r="I33" s="67"/>
      <c r="J33" s="21"/>
      <c r="K33" s="21"/>
      <c r="L33" s="21"/>
      <c r="S33" s="149"/>
    </row>
    <row r="34" spans="1:19" ht="15" customHeight="1" x14ac:dyDescent="0.25">
      <c r="B34" s="43" t="s">
        <v>7</v>
      </c>
      <c r="C34" s="43"/>
      <c r="D34" s="16"/>
      <c r="E34" s="10"/>
      <c r="F34" s="10"/>
      <c r="G34" s="10"/>
      <c r="H34" s="10"/>
      <c r="I34" s="10"/>
      <c r="J34" s="10"/>
      <c r="K34" s="10"/>
      <c r="L34" s="10"/>
    </row>
    <row r="35" spans="1:19" ht="15" customHeight="1" thickBot="1" x14ac:dyDescent="0.3">
      <c r="D35" s="41"/>
      <c r="E35" s="41"/>
      <c r="F35" s="65"/>
      <c r="G35" s="65"/>
      <c r="H35" s="10"/>
      <c r="I35" s="66"/>
    </row>
    <row r="36" spans="1:19" ht="35.1" customHeight="1" x14ac:dyDescent="0.25">
      <c r="B36" s="670" t="s">
        <v>0</v>
      </c>
      <c r="C36" s="672" t="s">
        <v>8</v>
      </c>
      <c r="D36" s="680" t="s">
        <v>43</v>
      </c>
      <c r="E36" s="690" t="s">
        <v>1</v>
      </c>
      <c r="F36" s="128"/>
      <c r="G36" s="30"/>
      <c r="I36"/>
    </row>
    <row r="37" spans="1:19" ht="15" customHeight="1" thickBot="1" x14ac:dyDescent="0.3">
      <c r="A37" s="9"/>
      <c r="B37" s="671"/>
      <c r="C37" s="673"/>
      <c r="D37" s="681"/>
      <c r="E37" s="691"/>
      <c r="F37" s="128"/>
      <c r="G37"/>
      <c r="I37"/>
    </row>
    <row r="38" spans="1:19" x14ac:dyDescent="0.25">
      <c r="B38" s="559">
        <f>'Project Data and Assumptions'!C4</f>
        <v>2028</v>
      </c>
      <c r="C38" s="83">
        <f>VLOOKUP($B38,'Capital Costs'!$B$7:$F$38,2,FALSE)</f>
        <v>12602297.943690794</v>
      </c>
      <c r="D38" s="82">
        <f>+C38</f>
        <v>12602297.943690794</v>
      </c>
      <c r="E38" s="80">
        <f>D38*(1+0.07)^-(B38-'Project Data and Assumptions'!$C$3)</f>
        <v>7334652.1416693032</v>
      </c>
      <c r="F38" s="108"/>
      <c r="G38"/>
      <c r="I38"/>
    </row>
    <row r="39" spans="1:19" x14ac:dyDescent="0.25">
      <c r="B39" s="481">
        <f>B38+1</f>
        <v>2029</v>
      </c>
      <c r="C39" s="619">
        <f>VLOOKUP($B39,'Capital Costs'!$B$7:$F$38,2,FALSE)</f>
        <v>7475815.4800805356</v>
      </c>
      <c r="D39" s="382">
        <f t="shared" ref="D39:D51" si="6">+C39</f>
        <v>7475815.4800805356</v>
      </c>
      <c r="E39" s="377">
        <f>D39*(1+0.07)^-(B39-'Project Data and Assumptions'!$C$3)</f>
        <v>4066348.2929487154</v>
      </c>
      <c r="F39" s="108"/>
      <c r="I39"/>
    </row>
    <row r="40" spans="1:19" x14ac:dyDescent="0.25">
      <c r="B40" s="2">
        <f t="shared" ref="B40:B61" si="7">B39+1</f>
        <v>2030</v>
      </c>
      <c r="C40" s="11">
        <f>VLOOKUP($B40,'Capital Costs'!$B$7:$F$38,2,FALSE)</f>
        <v>11578220.568373106</v>
      </c>
      <c r="D40" s="17">
        <f t="shared" si="6"/>
        <v>11578220.568373106</v>
      </c>
      <c r="E40" s="6">
        <f>D40*(1+0.07)^-(B40-'Project Data and Assumptions'!$C$3)</f>
        <v>5885780.2301120991</v>
      </c>
      <c r="F40" s="10"/>
      <c r="G40"/>
      <c r="I40"/>
    </row>
    <row r="41" spans="1:19" x14ac:dyDescent="0.25">
      <c r="B41" s="2">
        <f t="shared" si="7"/>
        <v>2031</v>
      </c>
      <c r="C41" s="11">
        <f>VLOOKUP($B41,'Capital Costs'!$B$7:$F$38,2,FALSE)</f>
        <v>0</v>
      </c>
      <c r="D41" s="17">
        <f t="shared" si="6"/>
        <v>0</v>
      </c>
      <c r="E41" s="6">
        <f>D41*(1+0.07)^-(B41-'Project Data and Assumptions'!$C$3)</f>
        <v>0</v>
      </c>
      <c r="F41" s="10"/>
      <c r="G41"/>
      <c r="I41"/>
    </row>
    <row r="42" spans="1:19" x14ac:dyDescent="0.25">
      <c r="B42" s="2">
        <f t="shared" si="7"/>
        <v>2032</v>
      </c>
      <c r="C42" s="11">
        <f>VLOOKUP($B42,'Capital Costs'!$B$7:$F$38,2,FALSE)</f>
        <v>0</v>
      </c>
      <c r="D42" s="17">
        <f t="shared" si="6"/>
        <v>0</v>
      </c>
      <c r="E42" s="6">
        <f>D42*(1+0.07)^-(B42-'Project Data and Assumptions'!$C$3)</f>
        <v>0</v>
      </c>
      <c r="F42" s="10"/>
      <c r="G42"/>
      <c r="I42"/>
    </row>
    <row r="43" spans="1:19" ht="15" customHeight="1" x14ac:dyDescent="0.25">
      <c r="A43" s="9"/>
      <c r="B43" s="2">
        <f t="shared" si="7"/>
        <v>2033</v>
      </c>
      <c r="C43" s="11">
        <f>VLOOKUP($B43,'Capital Costs'!$B$7:$F$38,2,FALSE)</f>
        <v>0</v>
      </c>
      <c r="D43" s="17">
        <f t="shared" si="6"/>
        <v>0</v>
      </c>
      <c r="E43" s="6">
        <f>D43*(1+0.07)^-(B43-'Project Data and Assumptions'!$C$3)</f>
        <v>0</v>
      </c>
      <c r="F43" s="10"/>
      <c r="G43"/>
      <c r="I43"/>
    </row>
    <row r="44" spans="1:19" x14ac:dyDescent="0.25">
      <c r="B44" s="2">
        <f t="shared" si="7"/>
        <v>2034</v>
      </c>
      <c r="C44" s="11">
        <f>VLOOKUP($B44,'Capital Costs'!$B$7:$F$38,2,FALSE)</f>
        <v>0</v>
      </c>
      <c r="D44" s="17">
        <f t="shared" si="6"/>
        <v>0</v>
      </c>
      <c r="E44" s="6">
        <f>D44*(1+0.07)^-(B44-'Project Data and Assumptions'!$C$3)</f>
        <v>0</v>
      </c>
      <c r="F44" s="10"/>
      <c r="G44"/>
      <c r="I44"/>
    </row>
    <row r="45" spans="1:19" x14ac:dyDescent="0.25">
      <c r="B45" s="2">
        <f t="shared" si="7"/>
        <v>2035</v>
      </c>
      <c r="C45" s="11">
        <f>VLOOKUP($B45,'Capital Costs'!$B$7:$F$38,2,FALSE)</f>
        <v>0</v>
      </c>
      <c r="D45" s="17">
        <f t="shared" si="6"/>
        <v>0</v>
      </c>
      <c r="E45" s="6">
        <f>D45*(1+0.07)^-(B45-'Project Data and Assumptions'!$C$3)</f>
        <v>0</v>
      </c>
      <c r="F45" s="10"/>
      <c r="G45"/>
      <c r="I45"/>
    </row>
    <row r="46" spans="1:19" x14ac:dyDescent="0.25">
      <c r="B46" s="2">
        <f t="shared" si="7"/>
        <v>2036</v>
      </c>
      <c r="C46" s="11">
        <f>VLOOKUP($B46,'Capital Costs'!$B$7:$F$38,2,FALSE)</f>
        <v>0</v>
      </c>
      <c r="D46" s="17">
        <f t="shared" ref="D46:D48" si="8">+C46</f>
        <v>0</v>
      </c>
      <c r="E46" s="6">
        <f>D46*(1+0.07)^-(B46-'Project Data and Assumptions'!$C$3)</f>
        <v>0</v>
      </c>
      <c r="F46" s="10"/>
      <c r="G46"/>
      <c r="I46"/>
    </row>
    <row r="47" spans="1:19" x14ac:dyDescent="0.25">
      <c r="B47" s="2">
        <f t="shared" si="7"/>
        <v>2037</v>
      </c>
      <c r="C47" s="11">
        <f>VLOOKUP($B47,'Capital Costs'!$B$7:$F$38,2,FALSE)</f>
        <v>0</v>
      </c>
      <c r="D47" s="17">
        <f t="shared" si="8"/>
        <v>0</v>
      </c>
      <c r="E47" s="6">
        <f>D47*(1+0.07)^-(B47-'Project Data and Assumptions'!$C$3)</f>
        <v>0</v>
      </c>
      <c r="F47" s="10"/>
      <c r="G47"/>
      <c r="I47"/>
    </row>
    <row r="48" spans="1:19" x14ac:dyDescent="0.25">
      <c r="B48" s="2">
        <f t="shared" si="7"/>
        <v>2038</v>
      </c>
      <c r="C48" s="11">
        <f>VLOOKUP($B48,'Capital Costs'!$B$7:$F$38,2,FALSE)</f>
        <v>0</v>
      </c>
      <c r="D48" s="17">
        <f t="shared" si="8"/>
        <v>0</v>
      </c>
      <c r="E48" s="6">
        <f>D48*(1+0.07)^-(B48-'Project Data and Assumptions'!$C$3)</f>
        <v>0</v>
      </c>
      <c r="F48" s="10"/>
      <c r="G48"/>
      <c r="I48"/>
    </row>
    <row r="49" spans="2:9" x14ac:dyDescent="0.25">
      <c r="B49" s="2">
        <f t="shared" si="7"/>
        <v>2039</v>
      </c>
      <c r="C49" s="11">
        <f>VLOOKUP($B49,'Capital Costs'!$B$7:$F$38,2,FALSE)</f>
        <v>0</v>
      </c>
      <c r="D49" s="17">
        <f t="shared" si="6"/>
        <v>0</v>
      </c>
      <c r="E49" s="6">
        <f>D49*(1+0.07)^-(B49-'Project Data and Assumptions'!$C$3)</f>
        <v>0</v>
      </c>
      <c r="F49" s="10"/>
      <c r="G49"/>
      <c r="I49"/>
    </row>
    <row r="50" spans="2:9" x14ac:dyDescent="0.25">
      <c r="B50" s="2">
        <f t="shared" si="7"/>
        <v>2040</v>
      </c>
      <c r="C50" s="11">
        <f>VLOOKUP($B50,'Capital Costs'!$B$7:$F$38,2,FALSE)</f>
        <v>0</v>
      </c>
      <c r="D50" s="17">
        <f t="shared" si="6"/>
        <v>0</v>
      </c>
      <c r="E50" s="6">
        <f>D50*(1+0.07)^-(B50-'Project Data and Assumptions'!$C$3)</f>
        <v>0</v>
      </c>
      <c r="F50" s="10"/>
      <c r="G50"/>
      <c r="I50"/>
    </row>
    <row r="51" spans="2:9" s="316" customFormat="1" x14ac:dyDescent="0.25">
      <c r="B51" s="2">
        <f t="shared" si="7"/>
        <v>2041</v>
      </c>
      <c r="C51" s="11">
        <f>VLOOKUP($B51,'Capital Costs'!$B$7:$F$38,2,FALSE)</f>
        <v>0</v>
      </c>
      <c r="D51" s="17">
        <f t="shared" si="6"/>
        <v>0</v>
      </c>
      <c r="E51" s="6">
        <f>D51*(1+0.07)^-(B51-'Project Data and Assumptions'!$C$3)</f>
        <v>0</v>
      </c>
      <c r="F51" s="10"/>
    </row>
    <row r="52" spans="2:9" s="316" customFormat="1" x14ac:dyDescent="0.25">
      <c r="B52" s="2">
        <f t="shared" si="7"/>
        <v>2042</v>
      </c>
      <c r="C52" s="11">
        <f>VLOOKUP($B52,'Capital Costs'!$B$7:$F$38,2,FALSE)</f>
        <v>0</v>
      </c>
      <c r="D52" s="17">
        <f t="shared" ref="D52:D61" si="9">+C52</f>
        <v>0</v>
      </c>
      <c r="E52" s="6">
        <f>D52*(1+0.07)^-(B52-'Project Data and Assumptions'!$C$3)</f>
        <v>0</v>
      </c>
      <c r="F52" s="10"/>
    </row>
    <row r="53" spans="2:9" s="316" customFormat="1" x14ac:dyDescent="0.25">
      <c r="B53" s="2">
        <f t="shared" si="7"/>
        <v>2043</v>
      </c>
      <c r="C53" s="11">
        <f>VLOOKUP($B53,'Capital Costs'!$B$7:$F$38,2,FALSE)</f>
        <v>0</v>
      </c>
      <c r="D53" s="17">
        <f t="shared" si="9"/>
        <v>0</v>
      </c>
      <c r="E53" s="6">
        <f>D53*(1+0.07)^-(B53-'Project Data and Assumptions'!$C$3)</f>
        <v>0</v>
      </c>
      <c r="F53" s="10"/>
    </row>
    <row r="54" spans="2:9" s="316" customFormat="1" x14ac:dyDescent="0.25">
      <c r="B54" s="2">
        <f t="shared" si="7"/>
        <v>2044</v>
      </c>
      <c r="C54" s="11">
        <f>VLOOKUP($B54,'Capital Costs'!$B$7:$F$38,2,FALSE)</f>
        <v>0</v>
      </c>
      <c r="D54" s="17">
        <f t="shared" si="9"/>
        <v>0</v>
      </c>
      <c r="E54" s="6">
        <f>D54*(1+0.07)^-(B54-'Project Data and Assumptions'!$C$3)</f>
        <v>0</v>
      </c>
      <c r="F54" s="10"/>
    </row>
    <row r="55" spans="2:9" s="316" customFormat="1" x14ac:dyDescent="0.25">
      <c r="B55" s="2">
        <f t="shared" si="7"/>
        <v>2045</v>
      </c>
      <c r="C55" s="11">
        <f>VLOOKUP($B55,'Capital Costs'!$B$7:$F$38,2,FALSE)</f>
        <v>0</v>
      </c>
      <c r="D55" s="17">
        <f t="shared" si="9"/>
        <v>0</v>
      </c>
      <c r="E55" s="6">
        <f>D55*(1+0.07)^-(B55-'Project Data and Assumptions'!$C$3)</f>
        <v>0</v>
      </c>
      <c r="F55" s="10"/>
    </row>
    <row r="56" spans="2:9" x14ac:dyDescent="0.25">
      <c r="B56" s="2">
        <f t="shared" si="7"/>
        <v>2046</v>
      </c>
      <c r="C56" s="11">
        <f>VLOOKUP($B56,'Capital Costs'!$B$7:$F$38,2,FALSE)</f>
        <v>0</v>
      </c>
      <c r="D56" s="17">
        <f t="shared" si="9"/>
        <v>0</v>
      </c>
      <c r="E56" s="6">
        <f>D56*(1+0.07)^-(B56-'Project Data and Assumptions'!$C$3)</f>
        <v>0</v>
      </c>
      <c r="F56" s="10"/>
      <c r="G56"/>
      <c r="I56"/>
    </row>
    <row r="57" spans="2:9" x14ac:dyDescent="0.25">
      <c r="B57" s="2">
        <f t="shared" si="7"/>
        <v>2047</v>
      </c>
      <c r="C57" s="11">
        <f>VLOOKUP($B57,'Capital Costs'!$B$7:$F$38,2,FALSE)</f>
        <v>0</v>
      </c>
      <c r="D57" s="17">
        <f t="shared" si="9"/>
        <v>0</v>
      </c>
      <c r="E57" s="6">
        <f>D57*(1+0.07)^-(B57-'Project Data and Assumptions'!$C$3)</f>
        <v>0</v>
      </c>
      <c r="F57" s="10"/>
      <c r="G57"/>
      <c r="I57"/>
    </row>
    <row r="58" spans="2:9" x14ac:dyDescent="0.25">
      <c r="B58" s="2">
        <f t="shared" si="7"/>
        <v>2048</v>
      </c>
      <c r="C58" s="11">
        <f>VLOOKUP($B58,'Capital Costs'!$B$7:$F$38,2,FALSE)</f>
        <v>0</v>
      </c>
      <c r="D58" s="17">
        <f t="shared" si="9"/>
        <v>0</v>
      </c>
      <c r="E58" s="6">
        <f>D58*(1+0.07)^-(B58-'Project Data and Assumptions'!$C$3)</f>
        <v>0</v>
      </c>
      <c r="F58" s="10"/>
      <c r="G58"/>
      <c r="I58"/>
    </row>
    <row r="59" spans="2:9" x14ac:dyDescent="0.25">
      <c r="B59" s="2">
        <f t="shared" si="7"/>
        <v>2049</v>
      </c>
      <c r="C59" s="11">
        <f>VLOOKUP($B59,'Capital Costs'!$B$7:$F$38,2,FALSE)</f>
        <v>0</v>
      </c>
      <c r="D59" s="17">
        <f t="shared" si="9"/>
        <v>0</v>
      </c>
      <c r="E59" s="6">
        <f>D59*(1+0.07)^-(B59-'Project Data and Assumptions'!$C$3)</f>
        <v>0</v>
      </c>
      <c r="F59" s="10"/>
      <c r="G59"/>
      <c r="I59"/>
    </row>
    <row r="60" spans="2:9" x14ac:dyDescent="0.25">
      <c r="B60" s="2">
        <f t="shared" si="7"/>
        <v>2050</v>
      </c>
      <c r="C60" s="11">
        <f>VLOOKUP($B60,'Capital Costs'!$B$7:$F$38,2,FALSE)</f>
        <v>0</v>
      </c>
      <c r="D60" s="17">
        <f t="shared" si="9"/>
        <v>0</v>
      </c>
      <c r="E60" s="6">
        <f>D60*(1+0.07)^-(B60-'Project Data and Assumptions'!$C$3)</f>
        <v>0</v>
      </c>
      <c r="F60" s="10"/>
      <c r="G60"/>
      <c r="I60"/>
    </row>
    <row r="61" spans="2:9" ht="15.75" thickBot="1" x14ac:dyDescent="0.3">
      <c r="B61" s="3">
        <f t="shared" si="7"/>
        <v>2051</v>
      </c>
      <c r="C61" s="585">
        <f>VLOOKUP($B61,'Capital Costs'!$B$7:$F$38,2,FALSE)</f>
        <v>0</v>
      </c>
      <c r="D61" s="18">
        <f t="shared" si="9"/>
        <v>0</v>
      </c>
      <c r="E61" s="7">
        <f>D61*(1+0.07)^-(B61-'Project Data and Assumptions'!$C$3)</f>
        <v>0</v>
      </c>
      <c r="F61" s="10"/>
      <c r="G61"/>
      <c r="I61"/>
    </row>
    <row r="62" spans="2:9" x14ac:dyDescent="0.25">
      <c r="D62" s="76" t="s">
        <v>4</v>
      </c>
      <c r="E62" s="5">
        <f>SUM(E38:E61)</f>
        <v>17286780.664730117</v>
      </c>
      <c r="F62" s="5"/>
      <c r="G62"/>
      <c r="I62"/>
    </row>
    <row r="63" spans="2:9" x14ac:dyDescent="0.25">
      <c r="E63" s="88">
        <f>'Capital Costs'!D39</f>
        <v>17286780.664730117</v>
      </c>
      <c r="F63" s="88"/>
      <c r="G63" s="21"/>
      <c r="I63"/>
    </row>
    <row r="64" spans="2:9" ht="16.5" thickBot="1" x14ac:dyDescent="0.3">
      <c r="B64" s="19" t="s">
        <v>14</v>
      </c>
      <c r="E64" s="56"/>
      <c r="F64"/>
      <c r="H64" s="20"/>
      <c r="I64"/>
    </row>
    <row r="65" spans="2:10" ht="15.75" thickBot="1" x14ac:dyDescent="0.3">
      <c r="B65" s="22"/>
      <c r="C65" s="44" t="s">
        <v>637</v>
      </c>
      <c r="D65" s="50"/>
      <c r="E65" s="51"/>
      <c r="F65" s="51"/>
      <c r="G65" s="51"/>
      <c r="I65"/>
    </row>
    <row r="66" spans="2:10" x14ac:dyDescent="0.25">
      <c r="B66" s="23" t="s">
        <v>9</v>
      </c>
      <c r="C66" s="45">
        <f>S31</f>
        <v>77106483.617257357</v>
      </c>
      <c r="D66" s="47"/>
      <c r="E66" s="48"/>
      <c r="F66" s="48"/>
      <c r="G66" s="48"/>
      <c r="H66" s="48"/>
      <c r="I66" s="21"/>
    </row>
    <row r="67" spans="2:10" ht="15.75" thickBot="1" x14ac:dyDescent="0.3">
      <c r="B67" s="24" t="s">
        <v>10</v>
      </c>
      <c r="C67" s="46">
        <f>E62</f>
        <v>17286780.664730117</v>
      </c>
      <c r="D67" s="47"/>
      <c r="E67" s="48"/>
      <c r="F67" s="48"/>
      <c r="G67" s="48"/>
      <c r="H67" s="48"/>
      <c r="I67" s="20"/>
      <c r="J67" s="21"/>
    </row>
    <row r="68" spans="2:10" ht="15.75" thickTop="1" x14ac:dyDescent="0.25">
      <c r="B68" s="136" t="s">
        <v>11</v>
      </c>
      <c r="C68" s="137">
        <f>+C66/C67</f>
        <v>4.4604304938383477</v>
      </c>
      <c r="D68" s="49"/>
      <c r="E68" s="49"/>
      <c r="F68" s="49"/>
      <c r="G68" s="49"/>
      <c r="H68" s="49"/>
      <c r="I68" s="21"/>
    </row>
    <row r="69" spans="2:10" ht="15.75" thickBot="1" x14ac:dyDescent="0.3">
      <c r="B69" s="138" t="s">
        <v>79</v>
      </c>
      <c r="C69" s="139">
        <f>C66-C67</f>
        <v>59819702.95252724</v>
      </c>
      <c r="E69" s="55"/>
      <c r="F69"/>
      <c r="I69" s="21"/>
    </row>
    <row r="70" spans="2:10" ht="15.75" thickBot="1" x14ac:dyDescent="0.3">
      <c r="E70" s="55"/>
      <c r="F70"/>
      <c r="I70" s="21"/>
    </row>
    <row r="71" spans="2:10" ht="15.75" thickBot="1" x14ac:dyDescent="0.3">
      <c r="B71" s="22"/>
      <c r="C71" s="589" t="s">
        <v>637</v>
      </c>
      <c r="D71" s="40"/>
    </row>
    <row r="72" spans="2:10" x14ac:dyDescent="0.25">
      <c r="B72" s="23" t="s">
        <v>9</v>
      </c>
      <c r="C72" s="553">
        <f>MROUND(C66,100000)/10^6</f>
        <v>77.099999999999994</v>
      </c>
    </row>
    <row r="73" spans="2:10" ht="15.75" thickBot="1" x14ac:dyDescent="0.3">
      <c r="B73" s="24" t="s">
        <v>10</v>
      </c>
      <c r="C73" s="554">
        <f>MROUND(C67,100000)/10^6</f>
        <v>17.3</v>
      </c>
    </row>
    <row r="74" spans="2:10" ht="15.75" thickTop="1" x14ac:dyDescent="0.25">
      <c r="B74" s="136" t="s">
        <v>11</v>
      </c>
      <c r="C74" s="555">
        <f>+C72/C73</f>
        <v>4.4566473988439297</v>
      </c>
    </row>
    <row r="75" spans="2:10" ht="15.75" thickBot="1" x14ac:dyDescent="0.3">
      <c r="B75" s="556" t="s">
        <v>634</v>
      </c>
      <c r="C75" s="557">
        <f>C72-C73</f>
        <v>59.8</v>
      </c>
    </row>
  </sheetData>
  <mergeCells count="16">
    <mergeCell ref="C4:L4"/>
    <mergeCell ref="P4:Q4"/>
    <mergeCell ref="S5:S6"/>
    <mergeCell ref="Q5:Q6"/>
    <mergeCell ref="E36:E37"/>
    <mergeCell ref="D36:D37"/>
    <mergeCell ref="P5:P6"/>
    <mergeCell ref="M5:M6"/>
    <mergeCell ref="O5:O6"/>
    <mergeCell ref="N4:O4"/>
    <mergeCell ref="B36:B37"/>
    <mergeCell ref="C36:C37"/>
    <mergeCell ref="B5:B6"/>
    <mergeCell ref="C5:L5"/>
    <mergeCell ref="R5:R6"/>
    <mergeCell ref="N5:N6"/>
  </mergeCells>
  <pageMargins left="0.25" right="0.25" top="0.75" bottom="0.75" header="0.3" footer="0.3"/>
  <pageSetup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1403-4CCD-49A1-987B-DE94EA9902D2}">
  <sheetPr>
    <tabColor rgb="FF00B050"/>
  </sheetPr>
  <dimension ref="A1:AW76"/>
  <sheetViews>
    <sheetView view="pageBreakPreview" topLeftCell="M28" zoomScale="85" zoomScaleNormal="100" zoomScaleSheetLayoutView="85" workbookViewId="0">
      <selection activeCell="I59" sqref="I59"/>
    </sheetView>
  </sheetViews>
  <sheetFormatPr defaultRowHeight="15" x14ac:dyDescent="0.25"/>
  <cols>
    <col min="1" max="1" width="9.140625" style="9"/>
    <col min="2" max="2" width="10.140625" style="151" customWidth="1"/>
    <col min="3" max="3" width="11.42578125" style="184" customWidth="1"/>
    <col min="4" max="4" width="11.42578125" style="151" customWidth="1"/>
    <col min="5" max="5" width="11.42578125" style="184" customWidth="1"/>
    <col min="6" max="6" width="12.5703125" style="151" customWidth="1"/>
    <col min="7" max="8" width="11.42578125" style="151" customWidth="1"/>
    <col min="9" max="9" width="12.5703125" style="151" customWidth="1"/>
    <col min="10" max="10" width="13.7109375" style="110" bestFit="1" customWidth="1"/>
    <col min="11" max="11" width="15" style="110" customWidth="1"/>
    <col min="12" max="12" width="12.5703125" style="184" customWidth="1"/>
    <col min="13" max="13" width="12.5703125" style="151" customWidth="1"/>
    <col min="14" max="14" width="15.28515625" style="151" customWidth="1"/>
    <col min="15" max="15" width="12.5703125" style="184" customWidth="1"/>
    <col min="16" max="16" width="13.7109375" style="174" bestFit="1" customWidth="1"/>
    <col min="17" max="17" width="11.42578125" style="174" customWidth="1"/>
    <col min="18" max="19" width="12.5703125" style="184" customWidth="1"/>
    <col min="20" max="20" width="15.28515625" style="184" customWidth="1"/>
    <col min="21" max="21" width="14" style="151" customWidth="1"/>
    <col min="22" max="22" width="13.140625" style="151" bestFit="1" customWidth="1"/>
    <col min="23" max="23" width="9.140625" style="151"/>
    <col min="24" max="24" width="36.7109375" style="151" customWidth="1"/>
    <col min="25" max="25" width="12" style="151" customWidth="1"/>
    <col min="26" max="26" width="12.140625" style="151" customWidth="1"/>
    <col min="27" max="27" width="12.5703125" style="151" customWidth="1"/>
    <col min="28" max="29" width="16.5703125" style="151" customWidth="1"/>
    <col min="30" max="30" width="16" style="151" customWidth="1"/>
    <col min="31" max="31" width="18.140625" style="151" customWidth="1"/>
    <col min="32" max="32" width="17.7109375" style="151" customWidth="1"/>
    <col min="33" max="46" width="9.140625" style="151"/>
    <col min="47" max="47" width="76.140625" style="151" customWidth="1"/>
    <col min="48" max="16384" width="9.140625" style="151"/>
  </cols>
  <sheetData>
    <row r="1" spans="1:49" ht="16.5" customHeight="1" x14ac:dyDescent="0.25"/>
    <row r="2" spans="1:49" ht="16.5" customHeight="1" x14ac:dyDescent="0.25">
      <c r="B2" s="8" t="s">
        <v>74</v>
      </c>
    </row>
    <row r="3" spans="1:49" ht="15.75" thickBot="1" x14ac:dyDescent="0.3">
      <c r="H3" s="8"/>
      <c r="J3" s="110" t="s">
        <v>480</v>
      </c>
      <c r="K3" s="110" t="s">
        <v>481</v>
      </c>
      <c r="L3" s="184" t="s">
        <v>157</v>
      </c>
      <c r="M3" s="151" t="s">
        <v>482</v>
      </c>
      <c r="N3" s="151" t="s">
        <v>480</v>
      </c>
      <c r="P3" s="174" t="s">
        <v>480</v>
      </c>
      <c r="Q3" s="174" t="s">
        <v>481</v>
      </c>
      <c r="R3" s="184" t="s">
        <v>157</v>
      </c>
      <c r="S3" s="184" t="s">
        <v>482</v>
      </c>
      <c r="T3" s="184" t="s">
        <v>480</v>
      </c>
      <c r="X3" s="525" t="s">
        <v>639</v>
      </c>
      <c r="Y3" s="9" t="s">
        <v>474</v>
      </c>
      <c r="Z3" s="547" t="s">
        <v>91</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150" t="s">
        <v>52</v>
      </c>
      <c r="Y4" s="153">
        <v>2020</v>
      </c>
      <c r="AU4" s="8"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W5" s="292"/>
      <c r="X5" s="269" t="s">
        <v>545</v>
      </c>
      <c r="Y5" s="323">
        <f>IFERROR((_xlfn.XLOOKUP($Z$3,'Trail Project Summary'!$B$3:$B$32,'Trail Project Summary'!$L$3:$L$32)),0)</f>
        <v>2029</v>
      </c>
      <c r="Z5" s="292"/>
      <c r="AA5" s="292"/>
      <c r="AB5" s="292"/>
      <c r="AC5" s="292"/>
      <c r="AD5" s="292"/>
      <c r="AE5" s="292"/>
      <c r="AF5" s="292"/>
      <c r="AG5" s="292"/>
      <c r="AH5" s="292"/>
      <c r="AI5" s="292"/>
      <c r="AJ5" s="292"/>
      <c r="AK5" s="292"/>
      <c r="AL5" s="292"/>
      <c r="AM5" s="292"/>
      <c r="AN5" s="292"/>
      <c r="AO5" s="292"/>
      <c r="AP5" s="292"/>
      <c r="AQ5" s="292"/>
      <c r="AR5" s="292"/>
      <c r="AS5" s="292"/>
      <c r="AT5" s="292"/>
      <c r="AU5" s="151" t="s">
        <v>125</v>
      </c>
      <c r="AV5" s="178">
        <v>0.05</v>
      </c>
      <c r="AW5" s="151"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W6" s="292"/>
      <c r="X6" s="269" t="s">
        <v>546</v>
      </c>
      <c r="Y6" s="323">
        <f>_xlfn.XLOOKUP('QoL Benefits - BCRT'!$Z$3,'Original Build Years'!$A$1:$A$20,'Original Build Years'!$D$1:$D$20,0)+30</f>
        <v>2034</v>
      </c>
      <c r="Z6" s="292"/>
      <c r="AA6" s="292"/>
      <c r="AB6" s="292"/>
      <c r="AC6" s="292"/>
      <c r="AD6" s="292"/>
      <c r="AE6" s="292"/>
      <c r="AF6" s="292"/>
      <c r="AG6" s="292"/>
      <c r="AH6" s="292"/>
      <c r="AI6" s="292"/>
      <c r="AJ6" s="292"/>
      <c r="AK6" s="292"/>
      <c r="AL6" s="292"/>
      <c r="AM6" s="292"/>
      <c r="AN6" s="292"/>
      <c r="AO6" s="292"/>
      <c r="AP6" s="292"/>
      <c r="AQ6" s="292"/>
      <c r="AR6" s="292"/>
      <c r="AS6" s="292"/>
      <c r="AT6" s="292"/>
      <c r="AU6" s="151" t="s">
        <v>122</v>
      </c>
      <c r="AW6" s="151" t="s">
        <v>160</v>
      </c>
    </row>
    <row r="7" spans="1:49" ht="18.75" customHeight="1" x14ac:dyDescent="0.25">
      <c r="A7" s="75">
        <f>(G7+D7)*2.38</f>
        <v>1300.4199009912145</v>
      </c>
      <c r="B7" s="291">
        <f>$Y$5</f>
        <v>2029</v>
      </c>
      <c r="C7" s="256">
        <f>IF(OR($B7&lt;$Y$6,$B7&gt;'Project Data and Assumptions'!$C$8),0,$AC$35*(1+$AA$15)^($B7-2020))</f>
        <v>0</v>
      </c>
      <c r="D7" s="255">
        <f>IF(OR($B7&lt;$Y$6,$B7&gt;'Project Data and Assumptions'!$C$8),0,$AB$34*(1+$AA$15)^($B7-2020))</f>
        <v>0</v>
      </c>
      <c r="E7" s="257">
        <f>IF(OR($B7&lt;$Y$6,$B7&gt;'Project Data and Assumptions'!$C$8),0,$AC$34*(1+$AA$15)^($B7-2020))</f>
        <v>0</v>
      </c>
      <c r="F7" s="256">
        <f>IF($B7&gt;'Project Data and Assumptions'!$C$8,0,$AC$30*(1+$AA$15)^($B7-2020))</f>
        <v>5181.0777827920174</v>
      </c>
      <c r="G7" s="255">
        <f>IF($B7&gt;'Project Data and Assumptions'!$C$8,0,$AB$29*(1+$AA$15)^($B7-2020))</f>
        <v>546.39491638286324</v>
      </c>
      <c r="H7" s="257">
        <f>IF($B7&gt;'Project Data and Assumptions'!$C$8,0,$AC$29*(1+$AA$15)^($B7-2020))</f>
        <v>1850.820177147772</v>
      </c>
      <c r="I7" s="85">
        <f t="shared" ref="I7:I31" si="0">C7*$AA$47*$Z$60</f>
        <v>0</v>
      </c>
      <c r="J7" s="324">
        <f>(D7*$AA$40)*$AA$38*$AA$39</f>
        <v>0</v>
      </c>
      <c r="K7" s="89">
        <f>C7*$AA$43+SUM(D7:E7)*$AA$44</f>
        <v>0</v>
      </c>
      <c r="L7" s="89">
        <f t="shared" ref="L7:L31" si="1">E7*$AA$47*$Z$60</f>
        <v>0</v>
      </c>
      <c r="M7" s="89">
        <f>SUM(D7:E7)*$AA$52</f>
        <v>0</v>
      </c>
      <c r="N7" s="122">
        <f t="shared" ref="N7:N31" si="2">D7*$AC$19*$Z$56*$Z$60</f>
        <v>0</v>
      </c>
      <c r="O7" s="85">
        <f t="shared" ref="O7:O31" si="3">F7*$AA$47*$Z$60</f>
        <v>65281.580063179419</v>
      </c>
      <c r="P7" s="89">
        <f>(G7*$AA$40)*$AA$38*$AA$39</f>
        <v>1306.1024081215965</v>
      </c>
      <c r="Q7" s="89">
        <f>F7*$AA$43+SUM(G7:H7)*$AA$44</f>
        <v>51808.457942345791</v>
      </c>
      <c r="R7" s="89">
        <f t="shared" ref="R7:R31" si="4">H7*$AA$47*$Z$60</f>
        <v>23320.33423206193</v>
      </c>
      <c r="S7" s="89">
        <f>SUM(G7:H7)*$AA$52</f>
        <v>2382.8318029694515</v>
      </c>
      <c r="T7" s="122">
        <f t="shared" ref="T7:T31" si="5">G7*$AC$19*$Z$56*$Z$60</f>
        <v>50.60163320621696</v>
      </c>
      <c r="U7" s="85">
        <f>SUM(I7:T7)</f>
        <v>144149.90808188441</v>
      </c>
      <c r="V7" s="133">
        <f t="shared" ref="V7:V31" si="6">$U7*(1+0.07)^-($B7-$Y$4)</f>
        <v>78407.998996140319</v>
      </c>
      <c r="X7" s="150" t="s">
        <v>470</v>
      </c>
      <c r="Y7" s="243">
        <f>IFERROR((_xlfn.XLOOKUP($Z$3,'Trail Project Summary'!$B$3:$B$32,'Trail Project Summary'!$I$3:$I$32)),0)</f>
        <v>6.8</v>
      </c>
      <c r="AU7" s="151" t="s">
        <v>123</v>
      </c>
      <c r="AW7" s="151" t="s">
        <v>161</v>
      </c>
    </row>
    <row r="8" spans="1:49" x14ac:dyDescent="0.25">
      <c r="A8" s="75">
        <f t="shared" ref="A8:A31" si="7">(G8+D8)*2.38</f>
        <v>1326.4282990110389</v>
      </c>
      <c r="B8" s="2">
        <f>B7+1</f>
        <v>2030</v>
      </c>
      <c r="C8" s="260">
        <f>IF(OR($B8&lt;$Y$6,$B8&gt;'Project Data and Assumptions'!$C$8),0,$AC$35*(1+$AA$15)^($B8-2020))</f>
        <v>0</v>
      </c>
      <c r="D8" s="91">
        <f>IF(OR($B8&lt;$Y$6,$B8&gt;'Project Data and Assumptions'!$C$8),0,$AB$34*(1+$AA$15)^($B8-2020))</f>
        <v>0</v>
      </c>
      <c r="E8" s="258">
        <f>IF(OR($B8&lt;$Y$6,$B8&gt;'Project Data and Assumptions'!$C$8),0,$AC$34*(1+$AA$15)^($B8-2020))</f>
        <v>0</v>
      </c>
      <c r="F8" s="260">
        <f>IF($B8&gt;'Project Data and Assumptions'!$C$8,0,$AC$30*(1+$AA$15)^($B8-2020))</f>
        <v>5284.6993384478583</v>
      </c>
      <c r="G8" s="91">
        <f>IF($B8&gt;'Project Data and Assumptions'!$C$8,0,$AB$29*(1+$AA$15)^($B8-2020))</f>
        <v>557.32281471052056</v>
      </c>
      <c r="H8" s="258">
        <f>IF($B8&gt;'Project Data and Assumptions'!$C$8,0,$AC$29*(1+$AA$15)^($B8-2020))</f>
        <v>1887.8365806907275</v>
      </c>
      <c r="I8" s="17">
        <f t="shared" si="0"/>
        <v>0</v>
      </c>
      <c r="J8" s="325">
        <f t="shared" ref="J8:J26" si="8">(D8*$AA$40)*$AA$38*$AA$39</f>
        <v>0</v>
      </c>
      <c r="K8" s="90">
        <f t="shared" ref="K8:K26" si="9">C8*$AA$43+SUM(D8:E8)*$AA$44</f>
        <v>0</v>
      </c>
      <c r="L8" s="90">
        <f t="shared" si="1"/>
        <v>0</v>
      </c>
      <c r="M8" s="90">
        <f t="shared" ref="M8:M26" si="10">SUM(D8:E8)*$AA$52</f>
        <v>0</v>
      </c>
      <c r="N8" s="92">
        <f t="shared" si="2"/>
        <v>0</v>
      </c>
      <c r="O8" s="17">
        <f t="shared" si="3"/>
        <v>66587.211664443021</v>
      </c>
      <c r="P8" s="90">
        <f t="shared" ref="P8:P26" si="11">(G8*$AA$40)*$AA$38*$AA$39</f>
        <v>1332.2244562840285</v>
      </c>
      <c r="Q8" s="90">
        <f>F8*$AA$43+SUM(G8:H8)*$AA$44</f>
        <v>52844.627101192709</v>
      </c>
      <c r="R8" s="90">
        <f t="shared" si="4"/>
        <v>23786.740916703166</v>
      </c>
      <c r="S8" s="90">
        <f t="shared" ref="S8:S26" si="12">SUM(G8:H8)*$AA$52</f>
        <v>2430.4884390288403</v>
      </c>
      <c r="T8" s="92">
        <f t="shared" si="5"/>
        <v>51.6136658703413</v>
      </c>
      <c r="U8" s="17">
        <f t="shared" ref="U8:U26" si="13">SUM(I8:T8)</f>
        <v>147032.9062435221</v>
      </c>
      <c r="V8" s="6">
        <f t="shared" si="6"/>
        <v>74744.073809404785</v>
      </c>
      <c r="W8" s="184"/>
      <c r="X8" s="181" t="s">
        <v>471</v>
      </c>
      <c r="Y8" s="243">
        <f>IFERROR(_xlfn.XLOOKUP($Z$3,'Trail Project Summary'!$B$3:$B$32,'Trail Project Summary'!$C$3:$C$32),0)</f>
        <v>0.25</v>
      </c>
      <c r="Z8" s="184"/>
      <c r="AA8" s="184"/>
      <c r="AB8" s="184"/>
      <c r="AC8" s="184"/>
      <c r="AD8" s="184"/>
      <c r="AE8" s="184"/>
      <c r="AF8" s="184"/>
      <c r="AG8" s="184"/>
      <c r="AH8" s="184"/>
      <c r="AI8" s="184"/>
      <c r="AJ8" s="184"/>
      <c r="AK8" s="184"/>
      <c r="AL8" s="184"/>
      <c r="AM8" s="184"/>
      <c r="AN8" s="184"/>
      <c r="AO8" s="184"/>
      <c r="AP8" s="184"/>
      <c r="AQ8" s="184"/>
      <c r="AR8" s="184"/>
      <c r="AS8" s="184"/>
      <c r="AT8" s="184"/>
      <c r="AU8" s="151" t="s">
        <v>124</v>
      </c>
      <c r="AW8" s="151" t="s">
        <v>163</v>
      </c>
    </row>
    <row r="9" spans="1:49" x14ac:dyDescent="0.25">
      <c r="A9" s="75">
        <f t="shared" si="7"/>
        <v>1352.9568649912594</v>
      </c>
      <c r="B9" s="2">
        <f t="shared" ref="B9:B31" si="14">B8+1</f>
        <v>2031</v>
      </c>
      <c r="C9" s="260">
        <f>IF(OR($B9&lt;$Y$6,$B9&gt;'Project Data and Assumptions'!$C$8),0,$AC$35*(1+$AA$15)^($B9-2020))</f>
        <v>0</v>
      </c>
      <c r="D9" s="91">
        <f>IF(OR($B9&lt;$Y$6,$B9&gt;'Project Data and Assumptions'!$C$8),0,$AB$34*(1+$AA$15)^($B9-2020))</f>
        <v>0</v>
      </c>
      <c r="E9" s="258">
        <f>IF(OR($B9&lt;$Y$6,$B9&gt;'Project Data and Assumptions'!$C$8),0,$AC$34*(1+$AA$15)^($B9-2020))</f>
        <v>0</v>
      </c>
      <c r="F9" s="260">
        <f>IF($B9&gt;'Project Data and Assumptions'!$C$8,0,$AC$30*(1+$AA$15)^($B9-2020))</f>
        <v>5390.3933252168144</v>
      </c>
      <c r="G9" s="91">
        <f>IF($B9&gt;'Project Data and Assumptions'!$C$8,0,$AB$29*(1+$AA$15)^($B9-2020))</f>
        <v>568.4692710047309</v>
      </c>
      <c r="H9" s="258">
        <f>IF($B9&gt;'Project Data and Assumptions'!$C$8,0,$AC$29*(1+$AA$15)^($B9-2020))</f>
        <v>1925.5933123045418</v>
      </c>
      <c r="I9" s="17">
        <f t="shared" si="0"/>
        <v>0</v>
      </c>
      <c r="J9" s="325">
        <f t="shared" si="8"/>
        <v>0</v>
      </c>
      <c r="K9" s="90">
        <f t="shared" si="9"/>
        <v>0</v>
      </c>
      <c r="L9" s="90">
        <f t="shared" si="1"/>
        <v>0</v>
      </c>
      <c r="M9" s="90">
        <f t="shared" si="10"/>
        <v>0</v>
      </c>
      <c r="N9" s="92">
        <f t="shared" si="2"/>
        <v>0</v>
      </c>
      <c r="O9" s="17">
        <f t="shared" si="3"/>
        <v>67918.955897731867</v>
      </c>
      <c r="P9" s="90">
        <f t="shared" si="11"/>
        <v>1358.8689454097089</v>
      </c>
      <c r="Q9" s="90">
        <f t="shared" ref="Q9:Q26" si="15">F9*$AA$43+SUM(G9:H9)*$AA$44</f>
        <v>53901.519643216554</v>
      </c>
      <c r="R9" s="90">
        <f t="shared" si="4"/>
        <v>24262.475735037227</v>
      </c>
      <c r="S9" s="90">
        <f t="shared" si="12"/>
        <v>2479.0982078094166</v>
      </c>
      <c r="T9" s="92">
        <f t="shared" si="5"/>
        <v>52.64593918774812</v>
      </c>
      <c r="U9" s="17">
        <f t="shared" si="13"/>
        <v>149973.56436839252</v>
      </c>
      <c r="V9" s="6">
        <f t="shared" si="6"/>
        <v>71251.360079993334</v>
      </c>
      <c r="W9" s="184"/>
      <c r="X9" s="118" t="s">
        <v>473</v>
      </c>
      <c r="Y9" s="243">
        <f>IFERROR(_xlfn.XLOOKUP($Z$3,'Trail Project Summary'!$B$3:$B$32,'Trail Project Summary'!$D$3:$D$32),0)</f>
        <v>0.7</v>
      </c>
      <c r="Z9" s="184"/>
      <c r="AA9" s="184"/>
      <c r="AB9" s="184"/>
      <c r="AC9" s="184"/>
      <c r="AD9" s="184"/>
      <c r="AE9" s="184"/>
      <c r="AF9" s="184"/>
      <c r="AG9" s="184"/>
      <c r="AH9" s="184"/>
      <c r="AI9" s="184"/>
      <c r="AJ9" s="184"/>
      <c r="AK9" s="184"/>
      <c r="AL9" s="184"/>
      <c r="AM9" s="184"/>
      <c r="AN9" s="184"/>
      <c r="AO9" s="184"/>
      <c r="AP9" s="184"/>
      <c r="AQ9" s="184"/>
      <c r="AR9" s="184"/>
      <c r="AS9" s="184"/>
      <c r="AT9" s="184"/>
      <c r="AU9" s="151" t="s">
        <v>150</v>
      </c>
      <c r="AW9" s="151" t="s">
        <v>162</v>
      </c>
    </row>
    <row r="10" spans="1:49" x14ac:dyDescent="0.25">
      <c r="A10" s="75">
        <f t="shared" si="7"/>
        <v>1380.0160022910848</v>
      </c>
      <c r="B10" s="2">
        <f t="shared" si="14"/>
        <v>2032</v>
      </c>
      <c r="C10" s="260">
        <f>IF(OR($B10&lt;$Y$6,$B10&gt;'Project Data and Assumptions'!$C$8),0,$AC$35*(1+$AA$15)^($B10-2020))</f>
        <v>0</v>
      </c>
      <c r="D10" s="91">
        <f>IF(OR($B10&lt;$Y$6,$B10&gt;'Project Data and Assumptions'!$C$8),0,$AB$34*(1+$AA$15)^($B10-2020))</f>
        <v>0</v>
      </c>
      <c r="E10" s="258">
        <f>IF(OR($B10&lt;$Y$6,$B10&gt;'Project Data and Assumptions'!$C$8),0,$AC$34*(1+$AA$15)^($B10-2020))</f>
        <v>0</v>
      </c>
      <c r="F10" s="260">
        <f>IF($B10&gt;'Project Data and Assumptions'!$C$8,0,$AC$30*(1+$AA$15)^($B10-2020))</f>
        <v>5498.2011917211521</v>
      </c>
      <c r="G10" s="91">
        <f>IF($B10&gt;'Project Data and Assumptions'!$C$8,0,$AB$29*(1+$AA$15)^($B10-2020))</f>
        <v>579.83865642482556</v>
      </c>
      <c r="H10" s="258">
        <f>IF($B10&gt;'Project Data and Assumptions'!$C$8,0,$AC$29*(1+$AA$15)^($B10-2020))</f>
        <v>1964.1051785506329</v>
      </c>
      <c r="I10" s="17">
        <f t="shared" si="0"/>
        <v>0</v>
      </c>
      <c r="J10" s="325">
        <f t="shared" si="8"/>
        <v>0</v>
      </c>
      <c r="K10" s="90">
        <f t="shared" si="9"/>
        <v>0</v>
      </c>
      <c r="L10" s="90">
        <f t="shared" si="1"/>
        <v>0</v>
      </c>
      <c r="M10" s="90">
        <f t="shared" si="10"/>
        <v>0</v>
      </c>
      <c r="N10" s="92">
        <f t="shared" si="2"/>
        <v>0</v>
      </c>
      <c r="O10" s="17">
        <f t="shared" si="3"/>
        <v>69277.33501568652</v>
      </c>
      <c r="P10" s="90">
        <f t="shared" si="11"/>
        <v>1386.0463243179031</v>
      </c>
      <c r="Q10" s="90">
        <f t="shared" si="15"/>
        <v>54979.550036080895</v>
      </c>
      <c r="R10" s="90">
        <f t="shared" si="4"/>
        <v>24747.725249737974</v>
      </c>
      <c r="S10" s="90">
        <f t="shared" si="12"/>
        <v>2528.680171965605</v>
      </c>
      <c r="T10" s="92">
        <f t="shared" si="5"/>
        <v>53.698857971503095</v>
      </c>
      <c r="U10" s="17">
        <f t="shared" si="13"/>
        <v>152973.03565576038</v>
      </c>
      <c r="V10" s="6">
        <f t="shared" si="6"/>
        <v>67921.857272517023</v>
      </c>
      <c r="W10" s="184"/>
      <c r="X10" s="118" t="s">
        <v>472</v>
      </c>
      <c r="Y10" s="243">
        <f>IFERROR(_xlfn.XLOOKUP($Z$3,'Trail Project Summary'!$B$3:$B$32,'Trail Project Summary'!$E$3:$E$32),0)</f>
        <v>0</v>
      </c>
      <c r="Z10" s="184"/>
      <c r="AA10" s="184"/>
      <c r="AB10" s="184"/>
      <c r="AC10" s="184"/>
      <c r="AD10" s="184"/>
      <c r="AE10" s="184"/>
      <c r="AF10" s="184"/>
      <c r="AG10" s="184"/>
      <c r="AH10" s="184"/>
      <c r="AI10" s="184"/>
      <c r="AJ10" s="184"/>
      <c r="AK10" s="184"/>
      <c r="AL10" s="184"/>
      <c r="AM10" s="184"/>
      <c r="AN10" s="184"/>
      <c r="AO10" s="184"/>
      <c r="AP10" s="184"/>
      <c r="AQ10" s="184"/>
      <c r="AR10" s="184"/>
      <c r="AS10" s="184"/>
      <c r="AT10" s="184"/>
    </row>
    <row r="11" spans="1:49" x14ac:dyDescent="0.25">
      <c r="A11" s="75">
        <f t="shared" si="7"/>
        <v>1407.6163223369067</v>
      </c>
      <c r="B11" s="2">
        <f t="shared" si="14"/>
        <v>2033</v>
      </c>
      <c r="C11" s="260">
        <f>IF(OR($B11&lt;$Y$6,$B11&gt;'Project Data and Assumptions'!$C$8),0,$AC$35*(1+$AA$15)^($B11-2020))</f>
        <v>0</v>
      </c>
      <c r="D11" s="91">
        <f>IF(OR($B11&lt;$Y$6,$B11&gt;'Project Data and Assumptions'!$C$8),0,$AB$34*(1+$AA$15)^($B11-2020))</f>
        <v>0</v>
      </c>
      <c r="E11" s="258">
        <f>IF(OR($B11&lt;$Y$6,$B11&gt;'Project Data and Assumptions'!$C$8),0,$AC$34*(1+$AA$15)^($B11-2020))</f>
        <v>0</v>
      </c>
      <c r="F11" s="260">
        <f>IF($B11&gt;'Project Data and Assumptions'!$C$8,0,$AC$30*(1+$AA$15)^($B11-2020))</f>
        <v>5608.1652155555748</v>
      </c>
      <c r="G11" s="91">
        <f>IF($B11&gt;'Project Data and Assumptions'!$C$8,0,$AB$29*(1+$AA$15)^($B11-2020))</f>
        <v>591.43542955332214</v>
      </c>
      <c r="H11" s="258">
        <f>IF($B11&gt;'Project Data and Assumptions'!$C$8,0,$AC$29*(1+$AA$15)^($B11-2020))</f>
        <v>2003.3872821216455</v>
      </c>
      <c r="I11" s="17">
        <f t="shared" si="0"/>
        <v>0</v>
      </c>
      <c r="J11" s="325">
        <f t="shared" si="8"/>
        <v>0</v>
      </c>
      <c r="K11" s="90">
        <f t="shared" si="9"/>
        <v>0</v>
      </c>
      <c r="L11" s="90">
        <f t="shared" si="1"/>
        <v>0</v>
      </c>
      <c r="M11" s="90">
        <f t="shared" si="10"/>
        <v>0</v>
      </c>
      <c r="N11" s="92">
        <f t="shared" si="2"/>
        <v>0</v>
      </c>
      <c r="O11" s="17">
        <f t="shared" si="3"/>
        <v>70662.881716000236</v>
      </c>
      <c r="P11" s="90">
        <f t="shared" si="11"/>
        <v>1413.7672508042615</v>
      </c>
      <c r="Q11" s="90">
        <f t="shared" si="15"/>
        <v>56079.141036802517</v>
      </c>
      <c r="R11" s="90">
        <f t="shared" si="4"/>
        <v>25242.679754732737</v>
      </c>
      <c r="S11" s="90">
        <f t="shared" si="12"/>
        <v>2579.2537754049176</v>
      </c>
      <c r="T11" s="92">
        <f t="shared" si="5"/>
        <v>54.772835130933167</v>
      </c>
      <c r="U11" s="17">
        <f t="shared" si="13"/>
        <v>156032.49636887558</v>
      </c>
      <c r="V11" s="6">
        <f t="shared" si="6"/>
        <v>64747.938708380701</v>
      </c>
      <c r="W11" s="184"/>
      <c r="X11" s="28"/>
      <c r="Y11" s="60"/>
      <c r="Z11" s="28"/>
      <c r="AA11" s="28"/>
      <c r="AB11" s="28"/>
      <c r="AC11" s="28"/>
      <c r="AD11" s="28"/>
      <c r="AE11" s="28"/>
      <c r="AF11" s="28"/>
      <c r="AG11" s="184"/>
      <c r="AH11" s="184"/>
      <c r="AI11" s="184"/>
      <c r="AJ11" s="184"/>
      <c r="AK11" s="184"/>
      <c r="AL11" s="184"/>
      <c r="AM11" s="184"/>
      <c r="AN11" s="184"/>
      <c r="AO11" s="184"/>
      <c r="AP11" s="184"/>
      <c r="AQ11" s="184"/>
      <c r="AR11" s="184"/>
      <c r="AS11" s="184"/>
      <c r="AT11" s="184"/>
    </row>
    <row r="12" spans="1:49" x14ac:dyDescent="0.25">
      <c r="A12" s="75">
        <f t="shared" si="7"/>
        <v>5455.9208653778496</v>
      </c>
      <c r="B12" s="2">
        <f t="shared" si="14"/>
        <v>2034</v>
      </c>
      <c r="C12" s="260">
        <f>IF(OR($B12&lt;$Y$6,$B12&gt;'Project Data and Assumptions'!$C$8),0,$AC$35*(1+$AA$15)^($B12-2020))</f>
        <v>16016.919855626722</v>
      </c>
      <c r="D12" s="91">
        <f>IF(OR($B12&lt;$Y$6,$B12&gt;'Project Data and Assumptions'!$C$8),0,$AB$34*(1+$AA$15)^($B12-2020))</f>
        <v>1689.1395868042878</v>
      </c>
      <c r="E12" s="258">
        <f>IF(OR($B12&lt;$Y$6,$B12&gt;'Project Data and Assumptions'!$C$8),0,$AC$34*(1+$AA$15)^($B12-2020))</f>
        <v>5721.6740777394189</v>
      </c>
      <c r="F12" s="260">
        <f>IF($B12&gt;'Project Data and Assumptions'!$C$8,0,$AC$30*(1+$AA$15)^($B12-2020))</f>
        <v>5720.3285198666863</v>
      </c>
      <c r="G12" s="91">
        <f>IF($B12&gt;'Project Data and Assumptions'!$C$8,0,$AB$29*(1+$AA$15)^($B12-2020))</f>
        <v>603.26413814438854</v>
      </c>
      <c r="H12" s="258">
        <f>IF($B12&gt;'Project Data and Assumptions'!$C$8,0,$AC$29*(1+$AA$15)^($B12-2020))</f>
        <v>2043.4550277640785</v>
      </c>
      <c r="I12" s="17">
        <f t="shared" si="0"/>
        <v>201813.19018089669</v>
      </c>
      <c r="J12" s="325">
        <f t="shared" si="8"/>
        <v>4037.7192682969699</v>
      </c>
      <c r="K12" s="90">
        <f t="shared" si="9"/>
        <v>160162.02680110798</v>
      </c>
      <c r="L12" s="90">
        <f t="shared" si="1"/>
        <v>72093.093379516678</v>
      </c>
      <c r="M12" s="90">
        <f t="shared" si="10"/>
        <v>7366.3487825564434</v>
      </c>
      <c r="N12" s="92">
        <f t="shared" si="2"/>
        <v>156.4312171339451</v>
      </c>
      <c r="O12" s="17">
        <f t="shared" si="3"/>
        <v>72076.139350320242</v>
      </c>
      <c r="P12" s="90">
        <f t="shared" si="11"/>
        <v>1442.0425958203466</v>
      </c>
      <c r="Q12" s="90">
        <f t="shared" si="15"/>
        <v>57200.723857538571</v>
      </c>
      <c r="R12" s="90">
        <f t="shared" si="4"/>
        <v>25747.53334982739</v>
      </c>
      <c r="S12" s="90">
        <f t="shared" si="12"/>
        <v>2630.8388509130159</v>
      </c>
      <c r="T12" s="92">
        <f t="shared" si="5"/>
        <v>55.868291833551815</v>
      </c>
      <c r="U12" s="17">
        <f t="shared" si="13"/>
        <v>604781.95592576184</v>
      </c>
      <c r="V12" s="6">
        <f t="shared" si="6"/>
        <v>234544.86956419033</v>
      </c>
      <c r="X12" s="30"/>
      <c r="Y12" s="30"/>
    </row>
    <row r="13" spans="1:49" x14ac:dyDescent="0.25">
      <c r="A13" s="75">
        <f t="shared" si="7"/>
        <v>5565.0392826854049</v>
      </c>
      <c r="B13" s="2">
        <f t="shared" si="14"/>
        <v>2035</v>
      </c>
      <c r="C13" s="260">
        <f>IF(OR($B13&lt;$Y$6,$B13&gt;'Project Data and Assumptions'!$C$8),0,$AC$35*(1+$AA$15)^($B13-2020))</f>
        <v>16337.258252739251</v>
      </c>
      <c r="D13" s="91">
        <f>IF(OR($B13&lt;$Y$6,$B13&gt;'Project Data and Assumptions'!$C$8),0,$AB$34*(1+$AA$15)^($B13-2020))</f>
        <v>1722.9223785403731</v>
      </c>
      <c r="E13" s="258">
        <f>IF(OR($B13&lt;$Y$6,$B13&gt;'Project Data and Assumptions'!$C$8),0,$AC$34*(1+$AA$15)^($B13-2020))</f>
        <v>5836.1075592942061</v>
      </c>
      <c r="F13" s="260">
        <f>IF($B13&gt;'Project Data and Assumptions'!$C$8,0,$AC$30*(1+$AA$15)^($B13-2020))</f>
        <v>5834.7350902640183</v>
      </c>
      <c r="G13" s="91">
        <f>IF($B13&gt;'Project Data and Assumptions'!$C$8,0,$AB$29*(1+$AA$15)^($B13-2020))</f>
        <v>615.32942090727624</v>
      </c>
      <c r="H13" s="258">
        <f>IF($B13&gt;'Project Data and Assumptions'!$C$8,0,$AC$29*(1+$AA$15)^($B13-2020))</f>
        <v>2084.3241283193597</v>
      </c>
      <c r="I13" s="17">
        <f t="shared" si="0"/>
        <v>205849.45398451458</v>
      </c>
      <c r="J13" s="325">
        <f t="shared" si="8"/>
        <v>4118.4736536629089</v>
      </c>
      <c r="K13" s="90">
        <f t="shared" si="9"/>
        <v>163365.26733713009</v>
      </c>
      <c r="L13" s="90">
        <f t="shared" si="1"/>
        <v>73534.955247107006</v>
      </c>
      <c r="M13" s="90">
        <f t="shared" si="10"/>
        <v>7513.6757582075707</v>
      </c>
      <c r="N13" s="92">
        <f t="shared" si="2"/>
        <v>159.55984147662394</v>
      </c>
      <c r="O13" s="17">
        <f t="shared" si="3"/>
        <v>73517.662137326624</v>
      </c>
      <c r="P13" s="90">
        <f t="shared" si="11"/>
        <v>1470.8834477367532</v>
      </c>
      <c r="Q13" s="90">
        <f t="shared" si="15"/>
        <v>58344.738334689318</v>
      </c>
      <c r="R13" s="90">
        <f t="shared" si="4"/>
        <v>26262.484016823935</v>
      </c>
      <c r="S13" s="90">
        <f t="shared" si="12"/>
        <v>2683.4556279312756</v>
      </c>
      <c r="T13" s="92">
        <f t="shared" si="5"/>
        <v>56.985657670222849</v>
      </c>
      <c r="U13" s="17">
        <f t="shared" si="13"/>
        <v>616877.59504427679</v>
      </c>
      <c r="V13" s="6">
        <f t="shared" si="6"/>
        <v>223584.82893034955</v>
      </c>
      <c r="AU13" s="151" t="s">
        <v>489</v>
      </c>
      <c r="AV13" s="151" t="s">
        <v>503</v>
      </c>
    </row>
    <row r="14" spans="1:49" x14ac:dyDescent="0.25">
      <c r="A14" s="75">
        <f t="shared" si="7"/>
        <v>5676.3400683391137</v>
      </c>
      <c r="B14" s="2">
        <f t="shared" si="14"/>
        <v>2036</v>
      </c>
      <c r="C14" s="260">
        <f>IF(OR($B14&lt;$Y$6,$B14&gt;'Project Data and Assumptions'!$C$8),0,$AC$35*(1+$AA$15)^($B14-2020))</f>
        <v>16664.00341779404</v>
      </c>
      <c r="D14" s="91">
        <f>IF(OR($B14&lt;$Y$6,$B14&gt;'Project Data and Assumptions'!$C$8),0,$AB$34*(1+$AA$15)^($B14-2020))</f>
        <v>1757.3808261111808</v>
      </c>
      <c r="E14" s="258">
        <f>IF(OR($B14&lt;$Y$6,$B14&gt;'Project Data and Assumptions'!$C$8),0,$AC$34*(1+$AA$15)^($B14-2020))</f>
        <v>5952.8297104800913</v>
      </c>
      <c r="F14" s="260">
        <f>IF($B14&gt;'Project Data and Assumptions'!$C$8,0,$AC$30*(1+$AA$15)^($B14-2020))</f>
        <v>5951.4297920692998</v>
      </c>
      <c r="G14" s="91">
        <f>IF($B14&gt;'Project Data and Assumptions'!$C$8,0,$AB$29*(1+$AA$15)^($B14-2020))</f>
        <v>627.63600932542181</v>
      </c>
      <c r="H14" s="258">
        <f>IF($B14&gt;'Project Data and Assumptions'!$C$8,0,$AC$29*(1+$AA$15)^($B14-2020))</f>
        <v>2126.0106108857472</v>
      </c>
      <c r="I14" s="17">
        <f t="shared" si="0"/>
        <v>209966.44306420491</v>
      </c>
      <c r="J14" s="325">
        <f t="shared" si="8"/>
        <v>4200.8431267361675</v>
      </c>
      <c r="K14" s="90">
        <f t="shared" si="9"/>
        <v>166632.57268387271</v>
      </c>
      <c r="L14" s="90">
        <f t="shared" si="1"/>
        <v>75005.654352049154</v>
      </c>
      <c r="M14" s="90">
        <f t="shared" si="10"/>
        <v>7663.9492733717234</v>
      </c>
      <c r="N14" s="92">
        <f t="shared" si="2"/>
        <v>162.7510383061564</v>
      </c>
      <c r="O14" s="17">
        <f t="shared" si="3"/>
        <v>74988.015380073179</v>
      </c>
      <c r="P14" s="90">
        <f t="shared" si="11"/>
        <v>1500.3011166914885</v>
      </c>
      <c r="Q14" s="90">
        <f t="shared" si="15"/>
        <v>59511.633101383122</v>
      </c>
      <c r="R14" s="90">
        <f t="shared" si="4"/>
        <v>26787.733697160413</v>
      </c>
      <c r="S14" s="90">
        <f t="shared" si="12"/>
        <v>2737.1247404899013</v>
      </c>
      <c r="T14" s="92">
        <f t="shared" si="5"/>
        <v>58.125370823627314</v>
      </c>
      <c r="U14" s="17">
        <f t="shared" si="13"/>
        <v>629215.14694516244</v>
      </c>
      <c r="V14" s="6">
        <f t="shared" si="6"/>
        <v>213136.93972799683</v>
      </c>
      <c r="X14" s="8" t="s">
        <v>83</v>
      </c>
      <c r="AU14" s="151" t="s">
        <v>490</v>
      </c>
      <c r="AV14" s="151" t="s">
        <v>504</v>
      </c>
    </row>
    <row r="15" spans="1:49" ht="17.25" x14ac:dyDescent="0.25">
      <c r="A15" s="75">
        <f t="shared" si="7"/>
        <v>5789.8668697058974</v>
      </c>
      <c r="B15" s="2">
        <f t="shared" si="14"/>
        <v>2037</v>
      </c>
      <c r="C15" s="260">
        <f>IF(OR($B15&lt;$Y$6,$B15&gt;'Project Data and Assumptions'!$C$8),0,$AC$35*(1+$AA$15)^($B15-2020))</f>
        <v>16997.283486149921</v>
      </c>
      <c r="D15" s="91">
        <f>IF(OR($B15&lt;$Y$6,$B15&gt;'Project Data and Assumptions'!$C$8),0,$AB$34*(1+$AA$15)^($B15-2020))</f>
        <v>1792.5284426334047</v>
      </c>
      <c r="E15" s="258">
        <f>IF(OR($B15&lt;$Y$6,$B15&gt;'Project Data and Assumptions'!$C$8),0,$AC$34*(1+$AA$15)^($B15-2020))</f>
        <v>6071.8863046896931</v>
      </c>
      <c r="F15" s="260">
        <f>IF($B15&gt;'Project Data and Assumptions'!$C$8,0,$AC$30*(1+$AA$15)^($B15-2020))</f>
        <v>6070.4583879106867</v>
      </c>
      <c r="G15" s="91">
        <f>IF($B15&gt;'Project Data and Assumptions'!$C$8,0,$AB$29*(1+$AA$15)^($B15-2020))</f>
        <v>640.18872951193032</v>
      </c>
      <c r="H15" s="258">
        <f>IF($B15&gt;'Project Data and Assumptions'!$C$8,0,$AC$29*(1+$AA$15)^($B15-2020))</f>
        <v>2168.5308231034624</v>
      </c>
      <c r="I15" s="17">
        <f t="shared" si="0"/>
        <v>214165.77192548898</v>
      </c>
      <c r="J15" s="325">
        <f t="shared" si="8"/>
        <v>4284.8599892708917</v>
      </c>
      <c r="K15" s="90">
        <f t="shared" si="9"/>
        <v>169965.22413755019</v>
      </c>
      <c r="L15" s="90">
        <f t="shared" si="1"/>
        <v>76505.767439090137</v>
      </c>
      <c r="M15" s="90">
        <f t="shared" si="10"/>
        <v>7817.2282588391581</v>
      </c>
      <c r="N15" s="92">
        <f t="shared" si="2"/>
        <v>166.00605907227958</v>
      </c>
      <c r="O15" s="17">
        <f t="shared" si="3"/>
        <v>76487.775687674657</v>
      </c>
      <c r="P15" s="90">
        <f t="shared" si="11"/>
        <v>1530.3071390253183</v>
      </c>
      <c r="Q15" s="90">
        <f t="shared" si="15"/>
        <v>60701.865763410795</v>
      </c>
      <c r="R15" s="90">
        <f t="shared" si="4"/>
        <v>27323.488371103624</v>
      </c>
      <c r="S15" s="90">
        <f t="shared" si="12"/>
        <v>2791.8672352997</v>
      </c>
      <c r="T15" s="92">
        <f t="shared" si="5"/>
        <v>59.287878240099857</v>
      </c>
      <c r="U15" s="17">
        <f t="shared" si="13"/>
        <v>641799.44988406589</v>
      </c>
      <c r="V15" s="6">
        <f t="shared" si="6"/>
        <v>203177.2696472494</v>
      </c>
      <c r="X15" s="700" t="s">
        <v>677</v>
      </c>
      <c r="Y15" s="700"/>
      <c r="Z15" s="700"/>
      <c r="AA15" s="569">
        <v>0.02</v>
      </c>
      <c r="AB15" s="569">
        <v>0.05</v>
      </c>
      <c r="AU15" s="151" t="s">
        <v>491</v>
      </c>
    </row>
    <row r="16" spans="1:49" x14ac:dyDescent="0.25">
      <c r="A16" s="75">
        <f t="shared" si="7"/>
        <v>5905.6642071000142</v>
      </c>
      <c r="B16" s="2">
        <f t="shared" si="14"/>
        <v>2038</v>
      </c>
      <c r="C16" s="260">
        <f>IF(OR($B16&lt;$Y$6,$B16&gt;'Project Data and Assumptions'!$C$8),0,$AC$35*(1+$AA$15)^($B16-2020))</f>
        <v>17337.229155872919</v>
      </c>
      <c r="D16" s="91">
        <f>IF(OR($B16&lt;$Y$6,$B16&gt;'Project Data and Assumptions'!$C$8),0,$AB$34*(1+$AA$15)^($B16-2020))</f>
        <v>1828.3790114860726</v>
      </c>
      <c r="E16" s="258">
        <f>IF(OR($B16&lt;$Y$6,$B16&gt;'Project Data and Assumptions'!$C$8),0,$AC$34*(1+$AA$15)^($B16-2020))</f>
        <v>6193.3240307834867</v>
      </c>
      <c r="F16" s="260">
        <f>IF($B16&gt;'Project Data and Assumptions'!$C$8,0,$AC$30*(1+$AA$15)^($B16-2020))</f>
        <v>6191.8675556688995</v>
      </c>
      <c r="G16" s="91">
        <f>IF($B16&gt;'Project Data and Assumptions'!$C$8,0,$AB$29*(1+$AA$15)^($B16-2020))</f>
        <v>652.99250410216882</v>
      </c>
      <c r="H16" s="258">
        <f>IF($B16&gt;'Project Data and Assumptions'!$C$8,0,$AC$29*(1+$AA$15)^($B16-2020))</f>
        <v>2211.9014395655313</v>
      </c>
      <c r="I16" s="17">
        <f t="shared" si="0"/>
        <v>218449.08736399878</v>
      </c>
      <c r="J16" s="325">
        <f t="shared" si="8"/>
        <v>4370.5571890563087</v>
      </c>
      <c r="K16" s="90">
        <f t="shared" si="9"/>
        <v>173364.52862030119</v>
      </c>
      <c r="L16" s="90">
        <f t="shared" si="1"/>
        <v>78035.882787871931</v>
      </c>
      <c r="M16" s="90">
        <f t="shared" si="10"/>
        <v>7973.5728240159406</v>
      </c>
      <c r="N16" s="92">
        <f t="shared" si="2"/>
        <v>169.32618025372514</v>
      </c>
      <c r="O16" s="17">
        <f t="shared" si="3"/>
        <v>78017.531201428123</v>
      </c>
      <c r="P16" s="90">
        <f t="shared" si="11"/>
        <v>1560.9132818058245</v>
      </c>
      <c r="Q16" s="90">
        <f t="shared" si="15"/>
        <v>61915.903078678995</v>
      </c>
      <c r="R16" s="90">
        <f t="shared" si="4"/>
        <v>27869.958138525697</v>
      </c>
      <c r="S16" s="90">
        <f t="shared" si="12"/>
        <v>2847.7045800056935</v>
      </c>
      <c r="T16" s="92">
        <f t="shared" si="5"/>
        <v>60.473635804901846</v>
      </c>
      <c r="U16" s="17">
        <f t="shared" si="13"/>
        <v>654635.43888174719</v>
      </c>
      <c r="V16" s="6">
        <f t="shared" si="6"/>
        <v>193683.004710462</v>
      </c>
      <c r="X16" s="695" t="s">
        <v>498</v>
      </c>
      <c r="Y16" s="695"/>
      <c r="Z16" s="695"/>
      <c r="AA16" s="177">
        <v>0.86</v>
      </c>
      <c r="AB16" s="113"/>
      <c r="AC16" s="184"/>
      <c r="AD16" s="184"/>
      <c r="AE16" s="184"/>
      <c r="AF16" s="184"/>
      <c r="AU16" s="151" t="s">
        <v>502</v>
      </c>
      <c r="AV16" s="151" t="s">
        <v>505</v>
      </c>
      <c r="AW16" s="151" t="s">
        <v>506</v>
      </c>
    </row>
    <row r="17" spans="1:33" x14ac:dyDescent="0.25">
      <c r="A17" s="75">
        <f t="shared" si="7"/>
        <v>6023.7774912420145</v>
      </c>
      <c r="B17" s="2">
        <f t="shared" si="14"/>
        <v>2039</v>
      </c>
      <c r="C17" s="260">
        <f>IF(OR($B17&lt;$Y$6,$B17&gt;'Project Data and Assumptions'!$C$8),0,$AC$35*(1+$AA$15)^($B17-2020))</f>
        <v>17683.973738990375</v>
      </c>
      <c r="D17" s="91">
        <f>IF(OR($B17&lt;$Y$6,$B17&gt;'Project Data and Assumptions'!$C$8),0,$AB$34*(1+$AA$15)^($B17-2020))</f>
        <v>1864.9465917157938</v>
      </c>
      <c r="E17" s="258">
        <f>IF(OR($B17&lt;$Y$6,$B17&gt;'Project Data and Assumptions'!$C$8),0,$AC$34*(1+$AA$15)^($B17-2020))</f>
        <v>6317.1905113991561</v>
      </c>
      <c r="F17" s="260">
        <f>IF($B17&gt;'Project Data and Assumptions'!$C$8,0,$AC$30*(1+$AA$15)^($B17-2020))</f>
        <v>6315.7049067822772</v>
      </c>
      <c r="G17" s="91">
        <f>IF($B17&gt;'Project Data and Assumptions'!$C$8,0,$AB$29*(1+$AA$15)^($B17-2020))</f>
        <v>666.05235418421216</v>
      </c>
      <c r="H17" s="258">
        <f>IF($B17&gt;'Project Data and Assumptions'!$C$8,0,$AC$29*(1+$AA$15)^($B17-2020))</f>
        <v>2256.1394683568419</v>
      </c>
      <c r="I17" s="17">
        <f t="shared" si="0"/>
        <v>222818.06911127872</v>
      </c>
      <c r="J17" s="325">
        <f t="shared" si="8"/>
        <v>4457.968332837434</v>
      </c>
      <c r="K17" s="90">
        <f t="shared" si="9"/>
        <v>176831.81919270719</v>
      </c>
      <c r="L17" s="90">
        <f t="shared" si="1"/>
        <v>79596.600443629373</v>
      </c>
      <c r="M17" s="90">
        <f t="shared" si="10"/>
        <v>8133.0442804962595</v>
      </c>
      <c r="N17" s="92">
        <f t="shared" si="2"/>
        <v>172.71270385879964</v>
      </c>
      <c r="O17" s="17">
        <f t="shared" si="3"/>
        <v>79577.881825456687</v>
      </c>
      <c r="P17" s="90">
        <f t="shared" si="11"/>
        <v>1592.1315474419409</v>
      </c>
      <c r="Q17" s="90">
        <f t="shared" si="15"/>
        <v>63154.221140252572</v>
      </c>
      <c r="R17" s="90">
        <f t="shared" si="4"/>
        <v>28427.357301296208</v>
      </c>
      <c r="S17" s="90">
        <f t="shared" si="12"/>
        <v>2904.6586716058073</v>
      </c>
      <c r="T17" s="92">
        <f t="shared" si="5"/>
        <v>61.68310852099988</v>
      </c>
      <c r="U17" s="17">
        <f t="shared" si="13"/>
        <v>667728.14765938197</v>
      </c>
      <c r="V17" s="6">
        <f t="shared" si="6"/>
        <v>184632.39701371139</v>
      </c>
      <c r="X17" s="695" t="s">
        <v>499</v>
      </c>
      <c r="Y17" s="695"/>
      <c r="Z17" s="695"/>
      <c r="AA17" s="265">
        <f>MIN(Y7,2.38)</f>
        <v>2.38</v>
      </c>
      <c r="AB17" s="266" t="s">
        <v>500</v>
      </c>
      <c r="AC17" s="182" t="s">
        <v>501</v>
      </c>
    </row>
    <row r="18" spans="1:33" x14ac:dyDescent="0.25">
      <c r="A18" s="75">
        <f t="shared" si="7"/>
        <v>6144.2530410668542</v>
      </c>
      <c r="B18" s="2">
        <f t="shared" si="14"/>
        <v>2040</v>
      </c>
      <c r="C18" s="260">
        <f>IF(OR($B18&lt;$Y$6,$B18&gt;'Project Data and Assumptions'!$C$8),0,$AC$35*(1+$AA$15)^($B18-2020))</f>
        <v>18037.653213770187</v>
      </c>
      <c r="D18" s="91">
        <f>IF(OR($B18&lt;$Y$6,$B18&gt;'Project Data and Assumptions'!$C$8),0,$AB$34*(1+$AA$15)^($B18-2020))</f>
        <v>1902.24552355011</v>
      </c>
      <c r="E18" s="258">
        <f>IF(OR($B18&lt;$Y$6,$B18&gt;'Project Data and Assumptions'!$C$8),0,$AC$34*(1+$AA$15)^($B18-2020))</f>
        <v>6443.5343216271394</v>
      </c>
      <c r="F18" s="260">
        <f>IF($B18&gt;'Project Data and Assumptions'!$C$8,0,$AC$30*(1+$AA$15)^($B18-2020))</f>
        <v>6442.0190049179237</v>
      </c>
      <c r="G18" s="91">
        <f>IF($B18&gt;'Project Data and Assumptions'!$C$8,0,$AB$29*(1+$AA$15)^($B18-2020))</f>
        <v>679.3734012678965</v>
      </c>
      <c r="H18" s="258">
        <f>IF($B18&gt;'Project Data and Assumptions'!$C$8,0,$AC$29*(1+$AA$15)^($B18-2020))</f>
        <v>2301.262257723979</v>
      </c>
      <c r="I18" s="17">
        <f t="shared" si="0"/>
        <v>227274.43049350436</v>
      </c>
      <c r="J18" s="325">
        <f t="shared" si="8"/>
        <v>4547.1276994941836</v>
      </c>
      <c r="K18" s="90">
        <f t="shared" si="9"/>
        <v>180368.45557656136</v>
      </c>
      <c r="L18" s="90">
        <f t="shared" si="1"/>
        <v>81188.532452501953</v>
      </c>
      <c r="M18" s="90">
        <f t="shared" si="10"/>
        <v>8295.7051661061851</v>
      </c>
      <c r="N18" s="92">
        <f t="shared" si="2"/>
        <v>176.16695793597566</v>
      </c>
      <c r="O18" s="17">
        <f t="shared" si="3"/>
        <v>81169.439461965827</v>
      </c>
      <c r="P18" s="90">
        <f t="shared" si="11"/>
        <v>1623.9741783907798</v>
      </c>
      <c r="Q18" s="90">
        <f t="shared" si="15"/>
        <v>64417.305563057627</v>
      </c>
      <c r="R18" s="90">
        <f t="shared" si="4"/>
        <v>28995.904447322133</v>
      </c>
      <c r="S18" s="90">
        <f t="shared" si="12"/>
        <v>2962.7518450379239</v>
      </c>
      <c r="T18" s="92">
        <f t="shared" si="5"/>
        <v>62.916770691419892</v>
      </c>
      <c r="U18" s="17">
        <f t="shared" si="13"/>
        <v>681082.7106125697</v>
      </c>
      <c r="V18" s="6">
        <f t="shared" si="6"/>
        <v>176004.71491026698</v>
      </c>
      <c r="X18" s="695" t="s">
        <v>495</v>
      </c>
      <c r="Y18" s="695"/>
      <c r="Z18" s="695"/>
      <c r="AA18" s="695"/>
      <c r="AB18" s="177">
        <f>MIN($AA$16,$Y8)</f>
        <v>0.25</v>
      </c>
      <c r="AC18" s="177">
        <f>MIN($AA$17,$Y8)</f>
        <v>0.25</v>
      </c>
      <c r="AD18" s="184"/>
      <c r="AE18" s="184"/>
      <c r="AF18" s="184"/>
    </row>
    <row r="19" spans="1:33" x14ac:dyDescent="0.25">
      <c r="A19" s="75">
        <f t="shared" si="7"/>
        <v>6267.1381018881921</v>
      </c>
      <c r="B19" s="2">
        <f t="shared" si="14"/>
        <v>2041</v>
      </c>
      <c r="C19" s="260">
        <f>IF(OR($B19&lt;$Y$6,$B19&gt;'Project Data and Assumptions'!$C$8),0,$AC$35*(1+$AA$15)^($B19-2020))</f>
        <v>18398.40627804559</v>
      </c>
      <c r="D19" s="91">
        <f>IF(OR($B19&lt;$Y$6,$B19&gt;'Project Data and Assumptions'!$C$8),0,$AB$34*(1+$AA$15)^($B19-2020))</f>
        <v>1940.2904340211121</v>
      </c>
      <c r="E19" s="258">
        <f>IF(OR($B19&lt;$Y$6,$B19&gt;'Project Data and Assumptions'!$C$8),0,$AC$34*(1+$AA$15)^($B19-2020))</f>
        <v>6572.4050080596817</v>
      </c>
      <c r="F19" s="260">
        <f>IF($B19&gt;'Project Data and Assumptions'!$C$8,0,$AC$30*(1+$AA$15)^($B19-2020))</f>
        <v>6570.8593850162815</v>
      </c>
      <c r="G19" s="91">
        <f>IF($B19&gt;'Project Data and Assumptions'!$C$8,0,$AB$29*(1+$AA$15)^($B19-2020))</f>
        <v>692.9608692932544</v>
      </c>
      <c r="H19" s="258">
        <f>IF($B19&gt;'Project Data and Assumptions'!$C$8,0,$AC$29*(1+$AA$15)^($B19-2020))</f>
        <v>2347.2875028784583</v>
      </c>
      <c r="I19" s="17">
        <f t="shared" si="0"/>
        <v>231819.91910337441</v>
      </c>
      <c r="J19" s="325">
        <f t="shared" si="8"/>
        <v>4638.0702534840666</v>
      </c>
      <c r="K19" s="90">
        <f t="shared" si="9"/>
        <v>183975.82468809257</v>
      </c>
      <c r="L19" s="90">
        <f t="shared" si="1"/>
        <v>82812.303101551995</v>
      </c>
      <c r="M19" s="90">
        <f t="shared" si="10"/>
        <v>8461.6192694283091</v>
      </c>
      <c r="N19" s="92">
        <f t="shared" si="2"/>
        <v>179.69029709469518</v>
      </c>
      <c r="O19" s="17">
        <f t="shared" si="3"/>
        <v>82792.828251205137</v>
      </c>
      <c r="P19" s="90">
        <f t="shared" si="11"/>
        <v>1656.4536619585954</v>
      </c>
      <c r="Q19" s="90">
        <f t="shared" si="15"/>
        <v>65705.651674318768</v>
      </c>
      <c r="R19" s="90">
        <f t="shared" si="4"/>
        <v>29575.822536268573</v>
      </c>
      <c r="S19" s="90">
        <f t="shared" si="12"/>
        <v>3022.006881938682</v>
      </c>
      <c r="T19" s="92">
        <f t="shared" si="5"/>
        <v>64.175106105248275</v>
      </c>
      <c r="U19" s="17">
        <f t="shared" si="13"/>
        <v>694704.36482482112</v>
      </c>
      <c r="V19" s="6">
        <f t="shared" si="6"/>
        <v>167780.19552193675</v>
      </c>
      <c r="X19" s="695" t="s">
        <v>496</v>
      </c>
      <c r="Y19" s="695"/>
      <c r="Z19" s="695"/>
      <c r="AA19" s="695"/>
      <c r="AB19" s="177">
        <f>MIN($AA$16,SUM($Y9:$Y10))</f>
        <v>0.7</v>
      </c>
      <c r="AC19" s="177">
        <f>MIN($AA$16,SUM($Y9:$Y10))</f>
        <v>0.7</v>
      </c>
      <c r="AD19" s="184"/>
      <c r="AE19" s="184"/>
      <c r="AF19" s="184"/>
    </row>
    <row r="20" spans="1:33" x14ac:dyDescent="0.25">
      <c r="A20" s="75">
        <f t="shared" si="7"/>
        <v>6392.4808639259563</v>
      </c>
      <c r="B20" s="2">
        <f t="shared" si="14"/>
        <v>2042</v>
      </c>
      <c r="C20" s="260">
        <f>IF(OR($B20&lt;$Y$6,$B20&gt;'Project Data and Assumptions'!$C$8),0,$AC$35*(1+$AA$15)^($B20-2020))</f>
        <v>18766.3744036065</v>
      </c>
      <c r="D20" s="91">
        <f>IF(OR($B20&lt;$Y$6,$B20&gt;'Project Data and Assumptions'!$C$8),0,$AB$34*(1+$AA$15)^($B20-2020))</f>
        <v>1979.0962427015345</v>
      </c>
      <c r="E20" s="258">
        <f>IF(OR($B20&lt;$Y$6,$B20&gt;'Project Data and Assumptions'!$C$8),0,$AC$34*(1+$AA$15)^($B20-2020))</f>
        <v>6703.8531082208765</v>
      </c>
      <c r="F20" s="260">
        <f>IF($B20&gt;'Project Data and Assumptions'!$C$8,0,$AC$30*(1+$AA$15)^($B20-2020))</f>
        <v>6702.2765727166079</v>
      </c>
      <c r="G20" s="91">
        <f>IF($B20&gt;'Project Data and Assumptions'!$C$8,0,$AB$29*(1+$AA$15)^($B20-2020))</f>
        <v>706.82008667911953</v>
      </c>
      <c r="H20" s="258">
        <f>IF($B20&gt;'Project Data and Assumptions'!$C$8,0,$AC$29*(1+$AA$15)^($B20-2020))</f>
        <v>2394.2332529360274</v>
      </c>
      <c r="I20" s="17">
        <f t="shared" si="0"/>
        <v>236456.31748544192</v>
      </c>
      <c r="J20" s="325">
        <f t="shared" si="8"/>
        <v>4730.8316585537486</v>
      </c>
      <c r="K20" s="90">
        <f t="shared" si="9"/>
        <v>187655.34118185443</v>
      </c>
      <c r="L20" s="90">
        <f t="shared" si="1"/>
        <v>84468.54916358304</v>
      </c>
      <c r="M20" s="90">
        <f t="shared" si="10"/>
        <v>8630.8516548168755</v>
      </c>
      <c r="N20" s="92">
        <f t="shared" si="2"/>
        <v>183.2841030365891</v>
      </c>
      <c r="O20" s="17">
        <f t="shared" si="3"/>
        <v>84448.684816229274</v>
      </c>
      <c r="P20" s="90">
        <f t="shared" si="11"/>
        <v>1689.5827351977678</v>
      </c>
      <c r="Q20" s="90">
        <f t="shared" si="15"/>
        <v>67019.764707805152</v>
      </c>
      <c r="R20" s="90">
        <f t="shared" si="4"/>
        <v>30167.338986993949</v>
      </c>
      <c r="S20" s="90">
        <f t="shared" si="12"/>
        <v>3082.4470195774556</v>
      </c>
      <c r="T20" s="92">
        <f t="shared" si="5"/>
        <v>65.458608227353253</v>
      </c>
      <c r="U20" s="17">
        <f t="shared" si="13"/>
        <v>708598.4521213175</v>
      </c>
      <c r="V20" s="6">
        <f t="shared" si="6"/>
        <v>159939.99946950978</v>
      </c>
      <c r="X20" s="568"/>
      <c r="Y20" s="568"/>
      <c r="Z20" s="152"/>
      <c r="AA20" s="93"/>
    </row>
    <row r="21" spans="1:33" x14ac:dyDescent="0.25">
      <c r="A21" s="75">
        <f t="shared" si="7"/>
        <v>6520.3304812044744</v>
      </c>
      <c r="B21" s="2">
        <f t="shared" si="14"/>
        <v>2043</v>
      </c>
      <c r="C21" s="260">
        <f>IF(OR($B21&lt;$Y$6,$B21&gt;'Project Data and Assumptions'!$C$8),0,$AC$35*(1+$AA$15)^($B21-2020))</f>
        <v>19141.701891678629</v>
      </c>
      <c r="D21" s="91">
        <f>IF(OR($B21&lt;$Y$6,$B21&gt;'Project Data and Assumptions'!$C$8),0,$AB$34*(1+$AA$15)^($B21-2020))</f>
        <v>2018.6781675555646</v>
      </c>
      <c r="E21" s="258">
        <f>IF(OR($B21&lt;$Y$6,$B21&gt;'Project Data and Assumptions'!$C$8),0,$AC$34*(1+$AA$15)^($B21-2020))</f>
        <v>6837.9301703852925</v>
      </c>
      <c r="F21" s="260">
        <f>IF($B21&gt;'Project Data and Assumptions'!$C$8,0,$AC$30*(1+$AA$15)^($B21-2020))</f>
        <v>6836.3221041709385</v>
      </c>
      <c r="G21" s="91">
        <f>IF($B21&gt;'Project Data and Assumptions'!$C$8,0,$AB$29*(1+$AA$15)^($B21-2020))</f>
        <v>720.95648841270179</v>
      </c>
      <c r="H21" s="258">
        <f>IF($B21&gt;'Project Data and Assumptions'!$C$8,0,$AC$29*(1+$AA$15)^($B21-2020))</f>
        <v>2442.1179179947476</v>
      </c>
      <c r="I21" s="17">
        <f t="shared" si="0"/>
        <v>241185.44383515074</v>
      </c>
      <c r="J21" s="325">
        <f t="shared" si="8"/>
        <v>4825.4482917248224</v>
      </c>
      <c r="K21" s="90">
        <f t="shared" si="9"/>
        <v>191408.44800549152</v>
      </c>
      <c r="L21" s="90">
        <f t="shared" si="1"/>
        <v>86157.920146854682</v>
      </c>
      <c r="M21" s="90">
        <f t="shared" si="10"/>
        <v>8803.4686879132114</v>
      </c>
      <c r="N21" s="92">
        <f t="shared" si="2"/>
        <v>186.94978509732084</v>
      </c>
      <c r="O21" s="17">
        <f t="shared" si="3"/>
        <v>86137.658512553826</v>
      </c>
      <c r="P21" s="90">
        <f t="shared" si="11"/>
        <v>1723.3743899017225</v>
      </c>
      <c r="Q21" s="90">
        <f t="shared" si="15"/>
        <v>68360.160001961252</v>
      </c>
      <c r="R21" s="90">
        <f t="shared" si="4"/>
        <v>30770.685766733819</v>
      </c>
      <c r="S21" s="90">
        <f t="shared" si="12"/>
        <v>3144.0959599690041</v>
      </c>
      <c r="T21" s="92">
        <f t="shared" si="5"/>
        <v>66.767780391900303</v>
      </c>
      <c r="U21" s="17">
        <f t="shared" si="13"/>
        <v>722770.42116374383</v>
      </c>
      <c r="V21" s="6">
        <f t="shared" si="6"/>
        <v>152466.1677185981</v>
      </c>
      <c r="X21" s="28"/>
      <c r="Y21" s="28"/>
      <c r="Z21" s="570"/>
      <c r="AA21" s="570"/>
      <c r="AB21" s="570"/>
      <c r="AC21" s="570"/>
      <c r="AD21" s="547"/>
    </row>
    <row r="22" spans="1:33" x14ac:dyDescent="0.25">
      <c r="A22" s="75">
        <f t="shared" si="7"/>
        <v>6650.7370908285639</v>
      </c>
      <c r="B22" s="2">
        <f t="shared" si="14"/>
        <v>2044</v>
      </c>
      <c r="C22" s="260">
        <f>IF(OR($B22&lt;$Y$6,$B22&gt;'Project Data and Assumptions'!$C$8),0,$AC$35*(1+$AA$15)^($B22-2020))</f>
        <v>19524.5359295122</v>
      </c>
      <c r="D22" s="91">
        <f>IF(OR($B22&lt;$Y$6,$B22&gt;'Project Data and Assumptions'!$C$8),0,$AB$34*(1+$AA$15)^($B22-2020))</f>
        <v>2059.0517309066763</v>
      </c>
      <c r="E22" s="258">
        <f>IF(OR($B22&lt;$Y$6,$B22&gt;'Project Data and Assumptions'!$C$8),0,$AC$34*(1+$AA$15)^($B22-2020))</f>
        <v>6974.6887737929983</v>
      </c>
      <c r="F22" s="260">
        <f>IF($B22&gt;'Project Data and Assumptions'!$C$8,0,$AC$30*(1+$AA$15)^($B22-2020))</f>
        <v>6973.0485462543575</v>
      </c>
      <c r="G22" s="91">
        <f>IF($B22&gt;'Project Data and Assumptions'!$C$8,0,$AB$29*(1+$AA$15)^($B22-2020))</f>
        <v>735.37561818095583</v>
      </c>
      <c r="H22" s="258">
        <f>IF($B22&gt;'Project Data and Assumptions'!$C$8,0,$AC$29*(1+$AA$15)^($B22-2020))</f>
        <v>2490.9602763546427</v>
      </c>
      <c r="I22" s="17">
        <f t="shared" si="0"/>
        <v>246009.15271185373</v>
      </c>
      <c r="J22" s="325">
        <f t="shared" si="8"/>
        <v>4921.9572575593202</v>
      </c>
      <c r="K22" s="90">
        <f t="shared" si="9"/>
        <v>195236.61696560134</v>
      </c>
      <c r="L22" s="90">
        <f t="shared" si="1"/>
        <v>87881.078549791782</v>
      </c>
      <c r="M22" s="90">
        <f t="shared" si="10"/>
        <v>8979.5380616714756</v>
      </c>
      <c r="N22" s="92">
        <f t="shared" si="2"/>
        <v>190.68878079926731</v>
      </c>
      <c r="O22" s="17">
        <f t="shared" si="3"/>
        <v>87860.411682804901</v>
      </c>
      <c r="P22" s="90">
        <f t="shared" si="11"/>
        <v>1757.8418776997569</v>
      </c>
      <c r="Q22" s="90">
        <f t="shared" si="15"/>
        <v>69727.363202000473</v>
      </c>
      <c r="R22" s="90">
        <f t="shared" si="4"/>
        <v>31386.099482068497</v>
      </c>
      <c r="S22" s="90">
        <f t="shared" si="12"/>
        <v>3206.9778791683843</v>
      </c>
      <c r="T22" s="92">
        <f t="shared" si="5"/>
        <v>68.103135999738313</v>
      </c>
      <c r="U22" s="17">
        <f t="shared" si="13"/>
        <v>737225.82958701858</v>
      </c>
      <c r="V22" s="6">
        <f t="shared" si="6"/>
        <v>145341.58044202806</v>
      </c>
      <c r="X22" s="571" t="s">
        <v>640</v>
      </c>
      <c r="Y22" s="28"/>
      <c r="Z22" s="570"/>
      <c r="AA22" s="570"/>
      <c r="AB22" s="570"/>
      <c r="AC22" s="570"/>
      <c r="AD22" s="547"/>
      <c r="AE22" s="179"/>
      <c r="AF22" s="179"/>
    </row>
    <row r="23" spans="1:33" x14ac:dyDescent="0.25">
      <c r="A23" s="75">
        <f t="shared" si="7"/>
        <v>6783.7518326451345</v>
      </c>
      <c r="B23" s="2">
        <f t="shared" si="14"/>
        <v>2045</v>
      </c>
      <c r="C23" s="260">
        <f>IF(OR($B23&lt;$Y$6,$B23&gt;'Project Data and Assumptions'!$C$8),0,$AC$35*(1+$AA$15)^($B23-2020))</f>
        <v>19915.026648102445</v>
      </c>
      <c r="D23" s="91">
        <f>IF(OR($B23&lt;$Y$6,$B23&gt;'Project Data and Assumptions'!$C$8),0,$AB$34*(1+$AA$15)^($B23-2020))</f>
        <v>2100.2327655248096</v>
      </c>
      <c r="E23" s="258">
        <f>IF(OR($B23&lt;$Y$6,$B23&gt;'Project Data and Assumptions'!$C$8),0,$AC$34*(1+$AA$15)^($B23-2020))</f>
        <v>7114.1825492688586</v>
      </c>
      <c r="F23" s="260">
        <f>IF($B23&gt;'Project Data and Assumptions'!$C$8,0,$AC$30*(1+$AA$15)^($B23-2020))</f>
        <v>7112.5095171794446</v>
      </c>
      <c r="G23" s="91">
        <f>IF($B23&gt;'Project Data and Assumptions'!$C$8,0,$AB$29*(1+$AA$15)^($B23-2020))</f>
        <v>750.08313054457494</v>
      </c>
      <c r="H23" s="258">
        <f>IF($B23&gt;'Project Data and Assumptions'!$C$8,0,$AC$29*(1+$AA$15)^($B23-2020))</f>
        <v>2540.7794818817356</v>
      </c>
      <c r="I23" s="17">
        <f t="shared" si="0"/>
        <v>250929.33576609081</v>
      </c>
      <c r="J23" s="325">
        <f t="shared" si="8"/>
        <v>5020.3964027105058</v>
      </c>
      <c r="K23" s="90">
        <f t="shared" si="9"/>
        <v>199141.34930491337</v>
      </c>
      <c r="L23" s="90">
        <f t="shared" si="1"/>
        <v>89638.700120787616</v>
      </c>
      <c r="M23" s="90">
        <f t="shared" si="10"/>
        <v>9159.128822904906</v>
      </c>
      <c r="N23" s="92">
        <f t="shared" si="2"/>
        <v>194.50255641525257</v>
      </c>
      <c r="O23" s="17">
        <f t="shared" si="3"/>
        <v>89617.619916461001</v>
      </c>
      <c r="P23" s="90">
        <f t="shared" si="11"/>
        <v>1792.9987152537524</v>
      </c>
      <c r="Q23" s="90">
        <f t="shared" si="15"/>
        <v>71121.910466040485</v>
      </c>
      <c r="R23" s="90">
        <f t="shared" si="4"/>
        <v>32013.821471709867</v>
      </c>
      <c r="S23" s="90">
        <f t="shared" si="12"/>
        <v>3271.1174367517524</v>
      </c>
      <c r="T23" s="92">
        <f t="shared" si="5"/>
        <v>69.465198719733081</v>
      </c>
      <c r="U23" s="17">
        <f t="shared" si="13"/>
        <v>751970.34617875912</v>
      </c>
      <c r="V23" s="6">
        <f t="shared" si="6"/>
        <v>138549.91780455015</v>
      </c>
      <c r="X23" s="547"/>
      <c r="Y23" s="547"/>
      <c r="Z23" s="288" t="s">
        <v>23</v>
      </c>
      <c r="AA23" s="288" t="s">
        <v>468</v>
      </c>
      <c r="AB23" s="288" t="s">
        <v>53</v>
      </c>
      <c r="AC23" s="288" t="s">
        <v>261</v>
      </c>
      <c r="AD23" s="288" t="s">
        <v>486</v>
      </c>
      <c r="AE23" s="179"/>
      <c r="AF23" s="179"/>
    </row>
    <row r="24" spans="1:33" x14ac:dyDescent="0.25">
      <c r="A24" s="75">
        <f t="shared" si="7"/>
        <v>6919.4268692980395</v>
      </c>
      <c r="B24" s="2">
        <f t="shared" si="14"/>
        <v>2046</v>
      </c>
      <c r="C24" s="260">
        <f>IF(OR($B24&lt;$Y$6,$B24&gt;'Project Data and Assumptions'!$C$8),0,$AC$35*(1+$AA$15)^($B24-2020))</f>
        <v>20313.327181064495</v>
      </c>
      <c r="D24" s="91">
        <f>IF(OR($B24&lt;$Y$6,$B24&gt;'Project Data and Assumptions'!$C$8),0,$AB$34*(1+$AA$15)^($B24-2020))</f>
        <v>2142.2374208353062</v>
      </c>
      <c r="E24" s="258">
        <f>IF(OR($B24&lt;$Y$6,$B24&gt;'Project Data and Assumptions'!$C$8),0,$AC$34*(1+$AA$15)^($B24-2020))</f>
        <v>7256.4662002542364</v>
      </c>
      <c r="F24" s="260">
        <f>IF($B24&gt;'Project Data and Assumptions'!$C$8,0,$AC$30*(1+$AA$15)^($B24-2020))</f>
        <v>7254.7597075230342</v>
      </c>
      <c r="G24" s="91">
        <f>IF($B24&gt;'Project Data and Assumptions'!$C$8,0,$AB$29*(1+$AA$15)^($B24-2020))</f>
        <v>765.08479315546651</v>
      </c>
      <c r="H24" s="258">
        <f>IF($B24&gt;'Project Data and Assumptions'!$C$8,0,$AC$29*(1+$AA$15)^($B24-2020))</f>
        <v>2591.5950715193708</v>
      </c>
      <c r="I24" s="17">
        <f t="shared" si="0"/>
        <v>255947.92248141262</v>
      </c>
      <c r="J24" s="325">
        <f t="shared" si="8"/>
        <v>5120.8043307647158</v>
      </c>
      <c r="K24" s="90">
        <f t="shared" si="9"/>
        <v>203124.17629101162</v>
      </c>
      <c r="L24" s="90">
        <f t="shared" si="1"/>
        <v>91431.47412320337</v>
      </c>
      <c r="M24" s="90">
        <f t="shared" si="10"/>
        <v>9342.3113993630031</v>
      </c>
      <c r="N24" s="92">
        <f t="shared" si="2"/>
        <v>198.39260754355772</v>
      </c>
      <c r="O24" s="17">
        <f t="shared" si="3"/>
        <v>91409.972314790226</v>
      </c>
      <c r="P24" s="90">
        <f t="shared" si="11"/>
        <v>1828.8586895588271</v>
      </c>
      <c r="Q24" s="90">
        <f t="shared" si="15"/>
        <v>72544.348675361311</v>
      </c>
      <c r="R24" s="90">
        <f t="shared" si="4"/>
        <v>32654.097901144072</v>
      </c>
      <c r="S24" s="90">
        <f t="shared" si="12"/>
        <v>3336.5397854867879</v>
      </c>
      <c r="T24" s="92">
        <f t="shared" si="5"/>
        <v>70.85450269412776</v>
      </c>
      <c r="U24" s="17">
        <f t="shared" si="13"/>
        <v>767009.75310233398</v>
      </c>
      <c r="V24" s="6">
        <f t="shared" si="6"/>
        <v>132075.62258003841</v>
      </c>
      <c r="X24" s="709" t="s">
        <v>191</v>
      </c>
      <c r="Y24" s="709"/>
      <c r="Z24" s="327">
        <f>'Bassett Creek'!$B$6*'Bassett Creek'!$B$3</f>
        <v>54560</v>
      </c>
      <c r="AA24" s="327">
        <f>Z24*(SUM('Bassett Creek'!$B$19:$B$22)+'Bassett Creek'!$B$18*5/7)</f>
        <v>41347.360685714288</v>
      </c>
      <c r="AB24" s="327">
        <f>SUM($Z24:$Z25)*'Bassett Creek'!$C$46</f>
        <v>12435.807999999999</v>
      </c>
      <c r="AC24" s="327">
        <f>Z24-AB24</f>
        <v>42124.192000000003</v>
      </c>
      <c r="AD24" s="328">
        <f>AA24/Z24</f>
        <v>0.7578328571428572</v>
      </c>
      <c r="AE24" s="179"/>
      <c r="AF24" s="179"/>
    </row>
    <row r="25" spans="1:33" x14ac:dyDescent="0.25">
      <c r="A25" s="75">
        <f t="shared" si="7"/>
        <v>7057.815406683997</v>
      </c>
      <c r="B25" s="2">
        <f t="shared" si="14"/>
        <v>2047</v>
      </c>
      <c r="C25" s="260">
        <f>IF(OR($B25&lt;$Y$6,$B25&gt;'Project Data and Assumptions'!$C$8),0,$AC$35*(1+$AA$15)^($B25-2020))</f>
        <v>20719.593724685783</v>
      </c>
      <c r="D25" s="91">
        <f>IF(OR($B25&lt;$Y$6,$B25&gt;'Project Data and Assumptions'!$C$8),0,$AB$34*(1+$AA$15)^($B25-2020))</f>
        <v>2185.0821692520117</v>
      </c>
      <c r="E25" s="258">
        <f>IF(OR($B25&lt;$Y$6,$B25&gt;'Project Data and Assumptions'!$C$8),0,$AC$34*(1+$AA$15)^($B25-2020))</f>
        <v>7401.59552425932</v>
      </c>
      <c r="F25" s="260">
        <f>IF($B25&gt;'Project Data and Assumptions'!$C$8,0,$AC$30*(1+$AA$15)^($B25-2020))</f>
        <v>7399.8549016734933</v>
      </c>
      <c r="G25" s="91">
        <f>IF($B25&gt;'Project Data and Assumptions'!$C$8,0,$AB$29*(1+$AA$15)^($B25-2020))</f>
        <v>780.38648901857573</v>
      </c>
      <c r="H25" s="258">
        <f>IF($B25&gt;'Project Data and Assumptions'!$C$8,0,$AC$29*(1+$AA$15)^($B25-2020))</f>
        <v>2643.4269729497573</v>
      </c>
      <c r="I25" s="17">
        <f t="shared" si="0"/>
        <v>261066.88093104085</v>
      </c>
      <c r="J25" s="325">
        <f t="shared" si="8"/>
        <v>5223.2204173800092</v>
      </c>
      <c r="K25" s="90">
        <f t="shared" si="9"/>
        <v>207186.65981683187</v>
      </c>
      <c r="L25" s="90">
        <f t="shared" si="1"/>
        <v>93260.103605667435</v>
      </c>
      <c r="M25" s="90">
        <f t="shared" si="10"/>
        <v>9529.1576273502633</v>
      </c>
      <c r="N25" s="92">
        <f t="shared" si="2"/>
        <v>202.36045969442878</v>
      </c>
      <c r="O25" s="17">
        <f t="shared" si="3"/>
        <v>93238.171761086021</v>
      </c>
      <c r="P25" s="90">
        <f t="shared" si="11"/>
        <v>1865.4358633500037</v>
      </c>
      <c r="Q25" s="90">
        <f t="shared" si="15"/>
        <v>73995.235648868518</v>
      </c>
      <c r="R25" s="90">
        <f t="shared" si="4"/>
        <v>33307.179859166943</v>
      </c>
      <c r="S25" s="90">
        <f t="shared" si="12"/>
        <v>3403.2705811965229</v>
      </c>
      <c r="T25" s="92">
        <f t="shared" si="5"/>
        <v>72.271592748010292</v>
      </c>
      <c r="U25" s="17">
        <f t="shared" si="13"/>
        <v>782349.94816438085</v>
      </c>
      <c r="V25" s="6">
        <f t="shared" si="6"/>
        <v>125903.86451555064</v>
      </c>
      <c r="X25" s="709" t="s">
        <v>190</v>
      </c>
      <c r="Y25" s="709"/>
      <c r="Z25" s="327">
        <f>'Bassett Creek'!$B$6*SUM('Bassett Creek'!C3:D3)</f>
        <v>117920</v>
      </c>
      <c r="AA25" s="327">
        <f>Z25*(SUM('Bassett Creek'!$B$19:$B$22)+'Bassett Creek'!$B$18*5/7)</f>
        <v>89363.65051428572</v>
      </c>
      <c r="AB25" s="327">
        <v>0</v>
      </c>
      <c r="AC25" s="327">
        <f>Z25-AB25</f>
        <v>117920</v>
      </c>
      <c r="AD25" s="328">
        <f>AA25/Z25</f>
        <v>0.7578328571428572</v>
      </c>
      <c r="AE25" s="179"/>
      <c r="AF25" s="179"/>
      <c r="AG25" s="112" t="s">
        <v>64</v>
      </c>
    </row>
    <row r="26" spans="1:33" x14ac:dyDescent="0.25">
      <c r="A26" s="75">
        <f t="shared" si="7"/>
        <v>7198.9717148176787</v>
      </c>
      <c r="B26" s="361">
        <f t="shared" si="14"/>
        <v>2048</v>
      </c>
      <c r="C26" s="362">
        <f>IF(OR($B26&lt;$Y$6,$B26&gt;'Project Data and Assumptions'!$C$8),0,$AC$35*(1+$AA$15)^($B26-2020))</f>
        <v>21133.985599179501</v>
      </c>
      <c r="D26" s="363">
        <f>IF(OR($B26&lt;$Y$6,$B26&gt;'Project Data and Assumptions'!$C$8),0,$AB$34*(1+$AA$15)^($B26-2020))</f>
        <v>2228.7838126370525</v>
      </c>
      <c r="E26" s="364">
        <f>IF(OR($B26&lt;$Y$6,$B26&gt;'Project Data and Assumptions'!$C$8),0,$AC$34*(1+$AA$15)^($B26-2020))</f>
        <v>7549.6274347445078</v>
      </c>
      <c r="F26" s="362">
        <f>IF($B26&gt;'Project Data and Assumptions'!$C$8,0,$AC$30*(1+$AA$15)^($B26-2020))</f>
        <v>7547.8519997069652</v>
      </c>
      <c r="G26" s="363">
        <f>IF($B26&gt;'Project Data and Assumptions'!$C$8,0,$AB$29*(1+$AA$15)^($B26-2020))</f>
        <v>795.99421879894737</v>
      </c>
      <c r="H26" s="364">
        <f>IF($B26&gt;'Project Data and Assumptions'!$C$8,0,$AC$29*(1+$AA$15)^($B26-2020))</f>
        <v>2696.295512408753</v>
      </c>
      <c r="I26" s="120">
        <f t="shared" si="0"/>
        <v>266288.21854966175</v>
      </c>
      <c r="J26" s="326">
        <f t="shared" si="8"/>
        <v>5327.6848257276106</v>
      </c>
      <c r="K26" s="121">
        <f t="shared" si="9"/>
        <v>211330.39301316853</v>
      </c>
      <c r="L26" s="121">
        <f t="shared" si="1"/>
        <v>95125.305677780809</v>
      </c>
      <c r="M26" s="121">
        <f t="shared" si="10"/>
        <v>9719.740779897269</v>
      </c>
      <c r="N26" s="123">
        <f t="shared" si="2"/>
        <v>206.4076688883174</v>
      </c>
      <c r="O26" s="120">
        <f t="shared" si="3"/>
        <v>95102.935196307764</v>
      </c>
      <c r="P26" s="121">
        <f t="shared" si="11"/>
        <v>1902.7445806170042</v>
      </c>
      <c r="Q26" s="121">
        <f t="shared" si="15"/>
        <v>75475.140361845901</v>
      </c>
      <c r="R26" s="121">
        <f t="shared" si="4"/>
        <v>33973.323456350285</v>
      </c>
      <c r="S26" s="121">
        <f t="shared" si="12"/>
        <v>3471.3359928204536</v>
      </c>
      <c r="T26" s="123">
        <f t="shared" si="5"/>
        <v>73.717024602970511</v>
      </c>
      <c r="U26" s="120">
        <f t="shared" si="13"/>
        <v>797996.94712766854</v>
      </c>
      <c r="V26" s="369">
        <f t="shared" si="6"/>
        <v>120020.5063606184</v>
      </c>
      <c r="W26" s="184"/>
      <c r="X26" s="28"/>
      <c r="Y26" s="28"/>
      <c r="Z26" s="573"/>
      <c r="AA26" s="573"/>
      <c r="AB26" s="573"/>
      <c r="AC26" s="570"/>
      <c r="AD26" s="547"/>
      <c r="AE26" s="184"/>
      <c r="AF26" s="184"/>
      <c r="AG26" s="112" t="s">
        <v>65</v>
      </c>
    </row>
    <row r="27" spans="1:33" x14ac:dyDescent="0.25">
      <c r="A27" s="75">
        <f t="shared" si="7"/>
        <v>7342.9511491140329</v>
      </c>
      <c r="B27" s="2">
        <f t="shared" si="14"/>
        <v>2049</v>
      </c>
      <c r="C27" s="260">
        <f>IF(OR($B27&lt;$Y$6,$B27&gt;'Project Data and Assumptions'!$C$8),0,$AC$35*(1+$AA$15)^($B27-2020))</f>
        <v>21556.665311163088</v>
      </c>
      <c r="D27" s="91">
        <f>IF(OR($B27&lt;$Y$6,$B27&gt;'Project Data and Assumptions'!$C$8),0,$AB$34*(1+$AA$15)^($B27-2020))</f>
        <v>2273.3594888897933</v>
      </c>
      <c r="E27" s="258">
        <f>IF(OR($B27&lt;$Y$6,$B27&gt;'Project Data and Assumptions'!$C$8),0,$AC$34*(1+$AA$15)^($B27-2020))</f>
        <v>7700.6199834393965</v>
      </c>
      <c r="F27" s="260">
        <f>IF($B27&gt;'Project Data and Assumptions'!$C$8,0,$AC$30*(1+$AA$15)^($B27-2020))</f>
        <v>7698.8090397011038</v>
      </c>
      <c r="G27" s="91">
        <f>IF($B27&gt;'Project Data and Assumptions'!$C$8,0,$AB$29*(1+$AA$15)^($B27-2020))</f>
        <v>811.91410317492625</v>
      </c>
      <c r="H27" s="258">
        <f>IF($B27&gt;'Project Data and Assumptions'!$C$8,0,$AC$29*(1+$AA$15)^($B27-2020))</f>
        <v>2750.2214226569276</v>
      </c>
      <c r="I27" s="17">
        <f t="shared" si="0"/>
        <v>271613.98292065493</v>
      </c>
      <c r="J27" s="325">
        <f t="shared" ref="J27:J30" si="16">(D27*$AA$40)*$AA$38*$AA$39</f>
        <v>5434.2385222421626</v>
      </c>
      <c r="K27" s="90">
        <f t="shared" ref="K27:K30" si="17">C27*$AA$43+SUM(D27:E27)*$AA$44</f>
        <v>215557.00087343183</v>
      </c>
      <c r="L27" s="90">
        <f t="shared" si="1"/>
        <v>97027.811791336397</v>
      </c>
      <c r="M27" s="90">
        <f t="shared" ref="M27:M30" si="18">SUM(D27:E27)*$AA$52</f>
        <v>9914.1355954952123</v>
      </c>
      <c r="N27" s="92">
        <f t="shared" si="2"/>
        <v>210.53582226608373</v>
      </c>
      <c r="O27" s="17">
        <f t="shared" si="3"/>
        <v>97004.993900233909</v>
      </c>
      <c r="P27" s="90">
        <f t="shared" ref="P27:P30" si="19">(G27*$AA$40)*$AA$38*$AA$39</f>
        <v>1940.7994722293438</v>
      </c>
      <c r="Q27" s="90">
        <f t="shared" ref="Q27:Q30" si="20">F27*$AA$43+SUM(G27:H27)*$AA$44</f>
        <v>76984.643169082818</v>
      </c>
      <c r="R27" s="90">
        <f t="shared" si="4"/>
        <v>34652.789925477286</v>
      </c>
      <c r="S27" s="90">
        <f t="shared" ref="S27:S30" si="21">SUM(G27:H27)*$AA$52</f>
        <v>3540.7627126768625</v>
      </c>
      <c r="T27" s="92">
        <f t="shared" si="5"/>
        <v>75.191365095029909</v>
      </c>
      <c r="U27" s="17">
        <f t="shared" ref="U27:U30" si="22">SUM(I27:T27)</f>
        <v>813956.88607022178</v>
      </c>
      <c r="V27" s="6">
        <f t="shared" si="6"/>
        <v>114412.07148395397</v>
      </c>
      <c r="X27" s="32" t="s">
        <v>641</v>
      </c>
      <c r="Y27" s="30"/>
      <c r="Z27" s="100"/>
      <c r="AA27" s="100"/>
      <c r="AB27" s="100"/>
      <c r="AC27" s="100"/>
      <c r="AD27" s="184"/>
      <c r="AE27" s="184"/>
      <c r="AF27" s="184"/>
    </row>
    <row r="28" spans="1:33" x14ac:dyDescent="0.25">
      <c r="A28" s="75">
        <f t="shared" si="7"/>
        <v>7489.8101720963123</v>
      </c>
      <c r="B28" s="2">
        <f t="shared" si="14"/>
        <v>2050</v>
      </c>
      <c r="C28" s="260">
        <f>IF(OR($B28&lt;$Y$6,$B28&gt;'Project Data and Assumptions'!$C$8),0,$AC$35*(1+$AA$15)^($B28-2020))</f>
        <v>21987.798617386354</v>
      </c>
      <c r="D28" s="91">
        <f>IF(OR($B28&lt;$Y$6,$B28&gt;'Project Data and Assumptions'!$C$8),0,$AB$34*(1+$AA$15)^($B28-2020))</f>
        <v>2318.826678667589</v>
      </c>
      <c r="E28" s="258">
        <f>IF(OR($B28&lt;$Y$6,$B28&gt;'Project Data and Assumptions'!$C$8),0,$AC$34*(1+$AA$15)^($B28-2020))</f>
        <v>7854.6323831081854</v>
      </c>
      <c r="F28" s="260">
        <f>IF($B28&gt;'Project Data and Assumptions'!$C$8,0,$AC$30*(1+$AA$15)^($B28-2020))</f>
        <v>7852.7852204951259</v>
      </c>
      <c r="G28" s="91">
        <f>IF($B28&gt;'Project Data and Assumptions'!$C$8,0,$AB$29*(1+$AA$15)^($B28-2020))</f>
        <v>828.15238523842481</v>
      </c>
      <c r="H28" s="258">
        <f>IF($B28&gt;'Project Data and Assumptions'!$C$8,0,$AC$29*(1+$AA$15)^($B28-2020))</f>
        <v>2805.2258511100667</v>
      </c>
      <c r="I28" s="17">
        <f t="shared" si="0"/>
        <v>277046.26257906802</v>
      </c>
      <c r="J28" s="325">
        <f t="shared" si="16"/>
        <v>5542.9232926870054</v>
      </c>
      <c r="K28" s="90">
        <f t="shared" si="17"/>
        <v>219868.14089090051</v>
      </c>
      <c r="L28" s="90">
        <f t="shared" si="1"/>
        <v>98968.368027163146</v>
      </c>
      <c r="M28" s="90">
        <f t="shared" si="18"/>
        <v>10112.41830740512</v>
      </c>
      <c r="N28" s="92">
        <f t="shared" si="2"/>
        <v>214.74653871140541</v>
      </c>
      <c r="O28" s="17">
        <f t="shared" si="3"/>
        <v>98945.093778238574</v>
      </c>
      <c r="P28" s="90">
        <f t="shared" si="19"/>
        <v>1979.6154616739309</v>
      </c>
      <c r="Q28" s="90">
        <f t="shared" si="20"/>
        <v>78524.336032464475</v>
      </c>
      <c r="R28" s="90">
        <f t="shared" si="4"/>
        <v>35345.845723986837</v>
      </c>
      <c r="S28" s="90">
        <f t="shared" si="21"/>
        <v>3611.5779669304002</v>
      </c>
      <c r="T28" s="92">
        <f t="shared" si="5"/>
        <v>76.695192396930523</v>
      </c>
      <c r="U28" s="17">
        <f t="shared" si="22"/>
        <v>830236.02379162633</v>
      </c>
      <c r="V28" s="6">
        <f t="shared" si="6"/>
        <v>109065.7130033954</v>
      </c>
      <c r="W28" s="184"/>
      <c r="X28" s="184"/>
      <c r="Y28" s="184"/>
      <c r="Z28" s="94" t="s">
        <v>23</v>
      </c>
      <c r="AA28" s="94" t="s">
        <v>468</v>
      </c>
      <c r="AB28" s="94" t="s">
        <v>53</v>
      </c>
      <c r="AC28" s="94" t="s">
        <v>261</v>
      </c>
      <c r="AD28" s="180" t="s">
        <v>486</v>
      </c>
      <c r="AE28" s="184"/>
      <c r="AF28" s="184"/>
    </row>
    <row r="29" spans="1:33" x14ac:dyDescent="0.25">
      <c r="A29" s="75">
        <f t="shared" si="7"/>
        <v>0</v>
      </c>
      <c r="B29" s="2">
        <f t="shared" si="14"/>
        <v>2051</v>
      </c>
      <c r="C29" s="260">
        <f>IF(OR($B29&lt;$Y$6,$B29&gt;'Project Data and Assumptions'!$C$8),0,$AC$35*(1+$AA$15)^($B29-2020))</f>
        <v>0</v>
      </c>
      <c r="D29" s="91">
        <f>IF(OR($B29&lt;$Y$6,$B29&gt;'Project Data and Assumptions'!$C$8),0,$AB$34*(1+$AA$15)^($B29-2020))</f>
        <v>0</v>
      </c>
      <c r="E29" s="258">
        <f>IF(OR($B29&lt;$Y$6,$B29&gt;'Project Data and Assumptions'!$C$8),0,$AC$34*(1+$AA$15)^($B29-2020))</f>
        <v>0</v>
      </c>
      <c r="F29" s="260">
        <f>IF($B29&gt;'Project Data and Assumptions'!$C$8,0,$AC$30*(1+$AA$15)^($B29-2020))</f>
        <v>0</v>
      </c>
      <c r="G29" s="91">
        <f>IF($B29&gt;'Project Data and Assumptions'!$C$8,0,$AB$29*(1+$AA$15)^($B29-2020))</f>
        <v>0</v>
      </c>
      <c r="H29" s="258">
        <f>IF($B29&gt;'Project Data and Assumptions'!$C$8,0,$AC$29*(1+$AA$15)^($B29-2020))</f>
        <v>0</v>
      </c>
      <c r="I29" s="17">
        <f t="shared" si="0"/>
        <v>0</v>
      </c>
      <c r="J29" s="325">
        <f t="shared" si="16"/>
        <v>0</v>
      </c>
      <c r="K29" s="90">
        <f t="shared" si="17"/>
        <v>0</v>
      </c>
      <c r="L29" s="90">
        <f t="shared" si="1"/>
        <v>0</v>
      </c>
      <c r="M29" s="90">
        <f t="shared" si="18"/>
        <v>0</v>
      </c>
      <c r="N29" s="92">
        <f t="shared" si="2"/>
        <v>0</v>
      </c>
      <c r="O29" s="17">
        <f t="shared" si="3"/>
        <v>0</v>
      </c>
      <c r="P29" s="90">
        <f t="shared" si="19"/>
        <v>0</v>
      </c>
      <c r="Q29" s="90">
        <f t="shared" si="20"/>
        <v>0</v>
      </c>
      <c r="R29" s="90">
        <f t="shared" si="4"/>
        <v>0</v>
      </c>
      <c r="S29" s="90">
        <f t="shared" si="21"/>
        <v>0</v>
      </c>
      <c r="T29" s="92">
        <f t="shared" si="5"/>
        <v>0</v>
      </c>
      <c r="U29" s="17">
        <f t="shared" si="22"/>
        <v>0</v>
      </c>
      <c r="V29" s="6">
        <f t="shared" si="6"/>
        <v>0</v>
      </c>
      <c r="W29" s="184"/>
      <c r="X29" s="698" t="s">
        <v>191</v>
      </c>
      <c r="Y29" s="698"/>
      <c r="Z29" s="95">
        <f>$Y$8/$Y$7*Z24</f>
        <v>2005.8823529411766</v>
      </c>
      <c r="AA29" s="95">
        <f>Z29*(SUM('Bassett Creek'!$B$19:$B$22)+'Bassett Creek'!$B$18*5/7)</f>
        <v>1520.1235546218488</v>
      </c>
      <c r="AB29" s="95">
        <f>SUM($Z29:$Z30)*'Bassett Creek'!$C$46</f>
        <v>457.19882352941175</v>
      </c>
      <c r="AC29" s="95">
        <f>Z29-AB29</f>
        <v>1548.6835294117648</v>
      </c>
      <c r="AD29" s="254">
        <f>AA29/Z29</f>
        <v>0.7578328571428572</v>
      </c>
      <c r="AE29" s="184"/>
      <c r="AF29" s="184"/>
    </row>
    <row r="30" spans="1:33" x14ac:dyDescent="0.25">
      <c r="A30" s="75">
        <f t="shared" si="7"/>
        <v>0</v>
      </c>
      <c r="B30" s="2">
        <f t="shared" si="14"/>
        <v>2052</v>
      </c>
      <c r="C30" s="260">
        <f>IF(OR($B30&lt;$Y$6,$B30&gt;'Project Data and Assumptions'!$C$8),0,$AC$35*(1+$AA$15)^($B30-2020))</f>
        <v>0</v>
      </c>
      <c r="D30" s="91">
        <f>IF(OR($B30&lt;$Y$6,$B30&gt;'Project Data and Assumptions'!$C$8),0,$AB$34*(1+$AA$15)^($B30-2020))</f>
        <v>0</v>
      </c>
      <c r="E30" s="258">
        <f>IF(OR($B30&lt;$Y$6,$B30&gt;'Project Data and Assumptions'!$C$8),0,$AC$34*(1+$AA$15)^($B30-2020))</f>
        <v>0</v>
      </c>
      <c r="F30" s="260">
        <f>IF($B30&gt;'Project Data and Assumptions'!$C$8,0,$AC$30*(1+$AA$15)^($B30-2020))</f>
        <v>0</v>
      </c>
      <c r="G30" s="91">
        <f>IF($B30&gt;'Project Data and Assumptions'!$C$8,0,$AB$29*(1+$AA$15)^($B30-2020))</f>
        <v>0</v>
      </c>
      <c r="H30" s="258">
        <f>IF($B30&gt;'Project Data and Assumptions'!$C$8,0,$AC$29*(1+$AA$15)^($B30-2020))</f>
        <v>0</v>
      </c>
      <c r="I30" s="17">
        <f t="shared" si="0"/>
        <v>0</v>
      </c>
      <c r="J30" s="325">
        <f t="shared" si="16"/>
        <v>0</v>
      </c>
      <c r="K30" s="90">
        <f t="shared" si="17"/>
        <v>0</v>
      </c>
      <c r="L30" s="90">
        <f t="shared" si="1"/>
        <v>0</v>
      </c>
      <c r="M30" s="90">
        <f t="shared" si="18"/>
        <v>0</v>
      </c>
      <c r="N30" s="92">
        <f t="shared" si="2"/>
        <v>0</v>
      </c>
      <c r="O30" s="17">
        <f t="shared" si="3"/>
        <v>0</v>
      </c>
      <c r="P30" s="90">
        <f t="shared" si="19"/>
        <v>0</v>
      </c>
      <c r="Q30" s="90">
        <f t="shared" si="20"/>
        <v>0</v>
      </c>
      <c r="R30" s="90">
        <f t="shared" si="4"/>
        <v>0</v>
      </c>
      <c r="S30" s="90">
        <f t="shared" si="21"/>
        <v>0</v>
      </c>
      <c r="T30" s="92">
        <f t="shared" si="5"/>
        <v>0</v>
      </c>
      <c r="U30" s="17">
        <f t="shared" si="22"/>
        <v>0</v>
      </c>
      <c r="V30" s="6">
        <f t="shared" si="6"/>
        <v>0</v>
      </c>
      <c r="X30" s="698" t="s">
        <v>190</v>
      </c>
      <c r="Y30" s="698"/>
      <c r="Z30" s="95">
        <f>$Y$8/$Y$7*Z25</f>
        <v>4335.2941176470586</v>
      </c>
      <c r="AA30" s="95">
        <f>Z30*(SUM('Bassett Creek'!$B$19:$B$22)+'Bassett Creek'!$B$18*5/7)</f>
        <v>3285.4283277310924</v>
      </c>
      <c r="AB30" s="95">
        <v>0</v>
      </c>
      <c r="AC30" s="95">
        <f>Z30-AB30</f>
        <v>4335.2941176470586</v>
      </c>
      <c r="AD30" s="254">
        <f>AA30/Z30</f>
        <v>0.7578328571428572</v>
      </c>
      <c r="AE30" s="184"/>
      <c r="AF30" s="184"/>
    </row>
    <row r="31" spans="1:33" ht="15" customHeight="1" thickBot="1" x14ac:dyDescent="0.3">
      <c r="A31" s="75">
        <f t="shared" si="7"/>
        <v>0</v>
      </c>
      <c r="B31" s="365">
        <f t="shared" si="14"/>
        <v>2053</v>
      </c>
      <c r="C31" s="366">
        <f>IF(OR($B31&lt;$Y$6,$B31&gt;'Project Data and Assumptions'!$C$8),0,$AC$35*(1+$AA$15)^($B31-2020))</f>
        <v>0</v>
      </c>
      <c r="D31" s="367">
        <f>IF(OR($B31&lt;$Y$6,$B31&gt;'Project Data and Assumptions'!$C$8),0,$AB$34*(1+$AA$15)^($B31-2020))</f>
        <v>0</v>
      </c>
      <c r="E31" s="368">
        <f>IF(OR($B31&lt;$Y$6,$B31&gt;'Project Data and Assumptions'!$C$8),0,$AC$34*(1+$AA$15)^($B31-2020))</f>
        <v>0</v>
      </c>
      <c r="F31" s="366">
        <f>IF($B31&gt;'Project Data and Assumptions'!$C$8,0,$AC$30*(1+$AA$15)^($B31-2020))</f>
        <v>0</v>
      </c>
      <c r="G31" s="367">
        <f>IF($B31&gt;'Project Data and Assumptions'!$C$8,0,$AB$29*(1+$AA$15)^($B31-2020))</f>
        <v>0</v>
      </c>
      <c r="H31" s="368">
        <f>IF($B31&gt;'Project Data and Assumptions'!$C$8,0,$AC$29*(1+$AA$15)^($B31-2020))</f>
        <v>0</v>
      </c>
      <c r="I31" s="357">
        <f t="shared" si="0"/>
        <v>0</v>
      </c>
      <c r="J31" s="358">
        <f t="shared" ref="J31" si="23">(D31*$AA$40)*$AA$38*$AA$39</f>
        <v>0</v>
      </c>
      <c r="K31" s="359">
        <f t="shared" ref="K31" si="24">C31*$AA$43+SUM(D31:E31)*$AA$44</f>
        <v>0</v>
      </c>
      <c r="L31" s="359">
        <f t="shared" si="1"/>
        <v>0</v>
      </c>
      <c r="M31" s="359">
        <f t="shared" ref="M31" si="25">SUM(D31:E31)*$AA$52</f>
        <v>0</v>
      </c>
      <c r="N31" s="360">
        <f t="shared" si="2"/>
        <v>0</v>
      </c>
      <c r="O31" s="357">
        <f t="shared" si="3"/>
        <v>0</v>
      </c>
      <c r="P31" s="359">
        <f t="shared" ref="P31" si="26">(G31*$AA$40)*$AA$38*$AA$39</f>
        <v>0</v>
      </c>
      <c r="Q31" s="359">
        <f t="shared" ref="Q31" si="27">F31*$AA$43+SUM(G31:H31)*$AA$44</f>
        <v>0</v>
      </c>
      <c r="R31" s="359">
        <f t="shared" si="4"/>
        <v>0</v>
      </c>
      <c r="S31" s="359">
        <f t="shared" ref="S31" si="28">SUM(G31:H31)*$AA$52</f>
        <v>0</v>
      </c>
      <c r="T31" s="360">
        <f t="shared" si="5"/>
        <v>0</v>
      </c>
      <c r="U31" s="143">
        <f t="shared" ref="U31" si="29">SUM(I31:T31)</f>
        <v>0</v>
      </c>
      <c r="V31" s="144">
        <f t="shared" si="6"/>
        <v>0</v>
      </c>
      <c r="X31" s="30"/>
      <c r="Y31" s="30"/>
      <c r="Z31" s="114"/>
      <c r="AA31" s="114"/>
      <c r="AB31" s="114"/>
      <c r="AC31" s="100"/>
      <c r="AD31" s="184"/>
      <c r="AE31" s="184"/>
      <c r="AF31" s="184"/>
    </row>
    <row r="32" spans="1:33" ht="15" customHeight="1" thickBot="1" x14ac:dyDescent="0.3">
      <c r="B32" s="4"/>
      <c r="D32" s="4"/>
      <c r="G32" s="4"/>
      <c r="H32" s="97" t="s">
        <v>2</v>
      </c>
      <c r="I32" s="140">
        <f t="shared" ref="I32:V32" si="30">SUM(I7:I31)</f>
        <v>4038699.882487637</v>
      </c>
      <c r="J32" s="141">
        <f t="shared" si="30"/>
        <v>80803.124512188821</v>
      </c>
      <c r="K32" s="141">
        <f t="shared" si="30"/>
        <v>3205173.8453805288</v>
      </c>
      <c r="L32" s="141">
        <f t="shared" si="30"/>
        <v>1442732.1004094866</v>
      </c>
      <c r="M32" s="141">
        <f t="shared" si="30"/>
        <v>147415.89454983888</v>
      </c>
      <c r="N32" s="142">
        <f t="shared" si="30"/>
        <v>3130.5126175844239</v>
      </c>
      <c r="O32" s="140">
        <f t="shared" si="30"/>
        <v>1782120.7795311967</v>
      </c>
      <c r="P32" s="141">
        <f t="shared" si="30"/>
        <v>35655.268139290652</v>
      </c>
      <c r="Q32" s="141">
        <f t="shared" si="30"/>
        <v>1414318.2405383985</v>
      </c>
      <c r="R32" s="141">
        <f t="shared" si="30"/>
        <v>636621.42032023252</v>
      </c>
      <c r="S32" s="141">
        <f t="shared" si="30"/>
        <v>65048.886164977856</v>
      </c>
      <c r="T32" s="142">
        <f t="shared" si="30"/>
        <v>1381.3731519326082</v>
      </c>
      <c r="U32" s="143">
        <f t="shared" si="30"/>
        <v>12853101.327803291</v>
      </c>
      <c r="V32" s="144">
        <f t="shared" si="30"/>
        <v>3151392.8922708421</v>
      </c>
      <c r="X32" s="32" t="s">
        <v>642</v>
      </c>
      <c r="Y32" s="30"/>
      <c r="Z32" s="100"/>
      <c r="AA32" s="100"/>
      <c r="AB32" s="100"/>
      <c r="AC32" s="100"/>
      <c r="AD32" s="184"/>
      <c r="AE32" s="184"/>
      <c r="AF32" s="184"/>
    </row>
    <row r="33" spans="1:33" ht="15" customHeight="1" x14ac:dyDescent="0.25">
      <c r="B33" s="4"/>
      <c r="D33" s="4"/>
      <c r="F33" s="97"/>
      <c r="G33" s="4"/>
      <c r="H33" s="4"/>
      <c r="I33" s="98"/>
      <c r="J33" s="98"/>
      <c r="K33" s="98"/>
      <c r="L33" s="98"/>
      <c r="M33" s="98"/>
      <c r="N33" s="98"/>
      <c r="O33" s="98"/>
      <c r="P33" s="98"/>
      <c r="Q33" s="98"/>
      <c r="R33" s="98"/>
      <c r="S33" s="98"/>
      <c r="T33" s="98"/>
      <c r="U33" s="98"/>
      <c r="V33" s="98"/>
      <c r="X33" s="184"/>
      <c r="Y33" s="184"/>
      <c r="Z33" s="94" t="s">
        <v>23</v>
      </c>
      <c r="AA33" s="94" t="s">
        <v>468</v>
      </c>
      <c r="AB33" s="94" t="s">
        <v>53</v>
      </c>
      <c r="AC33" s="94" t="s">
        <v>261</v>
      </c>
      <c r="AD33" s="180" t="s">
        <v>486</v>
      </c>
      <c r="AE33" s="184"/>
      <c r="AF33" s="184"/>
    </row>
    <row r="34" spans="1:33" ht="17.25" customHeight="1" x14ac:dyDescent="0.25">
      <c r="D34" s="99"/>
      <c r="K34" s="563"/>
      <c r="T34" s="147"/>
      <c r="U34" s="30"/>
      <c r="X34" s="698" t="s">
        <v>191</v>
      </c>
      <c r="Y34" s="698"/>
      <c r="Z34" s="95">
        <f>$Y$9/$Y$7*Z24</f>
        <v>5616.4705882352937</v>
      </c>
      <c r="AA34" s="95">
        <f>Z34*(SUM('Bassett Creek'!$B$19:$B$22)+'Bassett Creek'!$B$18*5/7)</f>
        <v>4256.3459529411766</v>
      </c>
      <c r="AB34" s="95">
        <f>SUM($Z34:$Z35)*'Bassett Creek'!$C$46</f>
        <v>1280.1567058823528</v>
      </c>
      <c r="AC34" s="95">
        <f>Z34-AB34</f>
        <v>4336.3138823529407</v>
      </c>
      <c r="AD34" s="254">
        <f>AA34/Z34</f>
        <v>0.7578328571428572</v>
      </c>
      <c r="AE34" s="184"/>
      <c r="AF34" s="184"/>
    </row>
    <row r="35" spans="1:33" ht="17.25" customHeight="1" x14ac:dyDescent="0.25">
      <c r="D35" s="99"/>
      <c r="U35" s="30"/>
      <c r="X35" s="698" t="s">
        <v>190</v>
      </c>
      <c r="Y35" s="698"/>
      <c r="Z35" s="95">
        <f>$Y$9/$Y$7*Z25</f>
        <v>12138.823529411764</v>
      </c>
      <c r="AA35" s="95">
        <f>Z35*(SUM('Bassett Creek'!$B$19:$B$22)+'Bassett Creek'!$B$18*5/7)</f>
        <v>9199.1993176470587</v>
      </c>
      <c r="AB35" s="95">
        <v>0</v>
      </c>
      <c r="AC35" s="95">
        <f>Z35-AB35</f>
        <v>12138.823529411764</v>
      </c>
      <c r="AD35" s="254">
        <f>AA35/Z35</f>
        <v>0.7578328571428572</v>
      </c>
      <c r="AE35" s="184"/>
      <c r="AF35" s="184"/>
    </row>
    <row r="36" spans="1:33" ht="17.25" customHeight="1" x14ac:dyDescent="0.25">
      <c r="B36" s="8" t="s">
        <v>3</v>
      </c>
      <c r="H36" s="8"/>
      <c r="U36" s="30"/>
      <c r="X36" s="30"/>
      <c r="Y36" s="30"/>
      <c r="Z36" s="100"/>
      <c r="AA36" s="100"/>
      <c r="AB36" s="100"/>
      <c r="AC36" s="100"/>
      <c r="AD36" s="179"/>
      <c r="AE36" s="179"/>
      <c r="AF36" s="179"/>
    </row>
    <row r="37" spans="1:33" ht="15" customHeight="1" x14ac:dyDescent="0.25">
      <c r="A37" s="9" t="s">
        <v>18</v>
      </c>
      <c r="B37" s="565" t="s">
        <v>682</v>
      </c>
      <c r="C37" s="548"/>
      <c r="D37" s="548"/>
      <c r="E37" s="31"/>
      <c r="F37" s="31"/>
      <c r="G37" s="31"/>
      <c r="H37" s="31"/>
      <c r="I37" s="31"/>
      <c r="J37" s="31"/>
      <c r="K37" s="31"/>
      <c r="L37" s="31"/>
      <c r="M37" s="31"/>
      <c r="N37" s="31"/>
      <c r="O37" s="31"/>
      <c r="P37" s="31"/>
      <c r="Q37" s="31"/>
      <c r="R37" s="31"/>
      <c r="S37" s="31"/>
      <c r="T37" s="31"/>
      <c r="U37" s="31"/>
      <c r="V37" s="31"/>
      <c r="X37" s="8" t="s">
        <v>643</v>
      </c>
      <c r="Z37" s="100"/>
      <c r="AA37" s="100"/>
      <c r="AB37" s="100"/>
      <c r="AC37" s="100"/>
      <c r="AD37" s="179"/>
      <c r="AE37" s="179"/>
      <c r="AF37" s="179"/>
    </row>
    <row r="38" spans="1:33" ht="17.25" customHeight="1" x14ac:dyDescent="0.25">
      <c r="B38" s="565"/>
      <c r="C38" s="548"/>
      <c r="D38" s="548"/>
      <c r="E38" s="31"/>
      <c r="F38" s="31"/>
      <c r="G38" s="31"/>
      <c r="H38" s="31"/>
      <c r="I38" s="31"/>
      <c r="J38" s="59"/>
      <c r="K38" s="59"/>
      <c r="L38" s="31"/>
      <c r="M38" s="31"/>
      <c r="N38" s="31"/>
      <c r="O38" s="31"/>
      <c r="P38" s="59"/>
      <c r="Q38" s="59"/>
      <c r="R38" s="31"/>
      <c r="S38" s="31"/>
      <c r="T38" s="31"/>
      <c r="U38" s="31"/>
      <c r="V38" s="31"/>
      <c r="X38" s="698" t="s">
        <v>669</v>
      </c>
      <c r="Y38" s="698"/>
      <c r="Z38" s="698"/>
      <c r="AA38" s="101">
        <v>21.6</v>
      </c>
    </row>
    <row r="39" spans="1:33" ht="15" customHeight="1" x14ac:dyDescent="0.25">
      <c r="A39" s="9" t="s">
        <v>17</v>
      </c>
      <c r="B39" s="565" t="s">
        <v>645</v>
      </c>
      <c r="C39" s="548"/>
      <c r="D39" s="548"/>
      <c r="E39" s="31"/>
      <c r="F39" s="31"/>
      <c r="G39" s="31"/>
      <c r="H39" s="31"/>
      <c r="I39" s="31"/>
      <c r="J39" s="31"/>
      <c r="K39" s="31"/>
      <c r="L39" s="31"/>
      <c r="M39" s="31"/>
      <c r="N39" s="31"/>
      <c r="O39" s="31"/>
      <c r="P39" s="31"/>
      <c r="Q39" s="31"/>
      <c r="R39" s="31"/>
      <c r="S39" s="31"/>
      <c r="T39" s="31"/>
      <c r="U39" s="31"/>
      <c r="V39" s="31"/>
      <c r="X39" s="700" t="s">
        <v>670</v>
      </c>
      <c r="Y39" s="700"/>
      <c r="Z39" s="700"/>
      <c r="AA39" s="134">
        <f>16.6/60</f>
        <v>0.27666666666666667</v>
      </c>
      <c r="AB39" s="155"/>
    </row>
    <row r="40" spans="1:33" ht="15" customHeight="1" x14ac:dyDescent="0.25">
      <c r="A40" s="627"/>
      <c r="B40" s="565"/>
      <c r="C40" s="626"/>
      <c r="D40" s="626"/>
      <c r="E40" s="31"/>
      <c r="F40" s="31"/>
      <c r="G40" s="31"/>
      <c r="H40" s="31"/>
      <c r="I40" s="31"/>
      <c r="J40" s="31"/>
      <c r="K40" s="31"/>
      <c r="L40" s="31"/>
      <c r="M40" s="31"/>
      <c r="N40" s="31"/>
      <c r="O40" s="31"/>
      <c r="P40" s="31"/>
      <c r="Q40" s="31"/>
      <c r="R40" s="31"/>
      <c r="S40" s="31"/>
      <c r="T40" s="31"/>
      <c r="U40" s="31"/>
      <c r="V40" s="31"/>
      <c r="X40" s="695" t="s">
        <v>671</v>
      </c>
      <c r="Y40" s="695"/>
      <c r="Z40" s="695"/>
      <c r="AA40" s="116">
        <v>0.4</v>
      </c>
    </row>
    <row r="41" spans="1:33" ht="17.25" customHeight="1" x14ac:dyDescent="0.25">
      <c r="A41" s="627" t="s">
        <v>19</v>
      </c>
      <c r="B41" s="787" t="s">
        <v>688</v>
      </c>
      <c r="C41" s="787"/>
      <c r="D41" s="787"/>
      <c r="E41" s="787"/>
      <c r="F41" s="787"/>
      <c r="G41" s="787"/>
      <c r="H41" s="787"/>
      <c r="I41" s="787"/>
      <c r="J41" s="787"/>
      <c r="K41" s="787"/>
      <c r="L41" s="787"/>
      <c r="M41" s="787"/>
      <c r="N41" s="787"/>
      <c r="O41" s="787"/>
      <c r="P41" s="787"/>
      <c r="Q41" s="787"/>
      <c r="R41" s="787"/>
      <c r="S41" s="787"/>
      <c r="T41" s="253"/>
      <c r="U41" s="253"/>
      <c r="V41" s="253"/>
      <c r="AG41" s="117" t="s">
        <v>66</v>
      </c>
    </row>
    <row r="42" spans="1:33" x14ac:dyDescent="0.25">
      <c r="A42" s="627"/>
      <c r="B42" s="787"/>
      <c r="C42" s="787"/>
      <c r="D42" s="787"/>
      <c r="E42" s="787"/>
      <c r="F42" s="787"/>
      <c r="G42" s="787"/>
      <c r="H42" s="787"/>
      <c r="I42" s="787"/>
      <c r="J42" s="787"/>
      <c r="K42" s="787"/>
      <c r="L42" s="787"/>
      <c r="M42" s="787"/>
      <c r="N42" s="787"/>
      <c r="O42" s="787"/>
      <c r="P42" s="787"/>
      <c r="Q42" s="787"/>
      <c r="R42" s="787"/>
      <c r="S42" s="787"/>
      <c r="U42" s="184"/>
      <c r="V42" s="184"/>
      <c r="W42" s="31"/>
      <c r="X42" s="8" t="s">
        <v>672</v>
      </c>
      <c r="AG42" s="117" t="s">
        <v>66</v>
      </c>
    </row>
    <row r="43" spans="1:33" ht="15" customHeight="1" x14ac:dyDescent="0.25">
      <c r="A43" s="627"/>
      <c r="B43" s="625"/>
      <c r="C43" s="625"/>
      <c r="D43" s="625"/>
      <c r="E43" s="625"/>
      <c r="F43" s="625"/>
      <c r="G43" s="625"/>
      <c r="H43" s="625"/>
      <c r="I43" s="625"/>
      <c r="J43" s="625"/>
      <c r="K43" s="625"/>
      <c r="L43" s="625"/>
      <c r="M43" s="625"/>
      <c r="N43" s="625"/>
      <c r="O43" s="625"/>
      <c r="P43" s="625"/>
      <c r="Q43" s="625"/>
      <c r="R43" s="625"/>
      <c r="S43" s="625"/>
      <c r="T43" s="549"/>
      <c r="U43" s="549"/>
      <c r="V43" s="549"/>
      <c r="W43" s="31"/>
      <c r="X43" s="262" t="s">
        <v>164</v>
      </c>
      <c r="Y43" s="263"/>
      <c r="Z43" s="263"/>
      <c r="AA43" s="185">
        <v>7.08</v>
      </c>
      <c r="AG43" s="127" t="s">
        <v>55</v>
      </c>
    </row>
    <row r="44" spans="1:33" ht="15" customHeight="1" x14ac:dyDescent="0.25">
      <c r="A44" s="627" t="s">
        <v>20</v>
      </c>
      <c r="B44" s="747" t="s">
        <v>660</v>
      </c>
      <c r="C44" s="747"/>
      <c r="D44" s="747"/>
      <c r="E44" s="747"/>
      <c r="F44" s="747"/>
      <c r="G44" s="747"/>
      <c r="H44" s="747"/>
      <c r="I44" s="747"/>
      <c r="J44" s="747"/>
      <c r="K44" s="747"/>
      <c r="L44" s="747"/>
      <c r="M44" s="747"/>
      <c r="N44" s="747"/>
      <c r="O44" s="747"/>
      <c r="P44" s="747"/>
      <c r="Q44" s="747"/>
      <c r="R44" s="747"/>
      <c r="S44" s="747"/>
      <c r="T44" s="623"/>
      <c r="U44" s="253"/>
      <c r="V44" s="253"/>
      <c r="W44" s="31"/>
      <c r="X44" s="262" t="s">
        <v>165</v>
      </c>
      <c r="Y44" s="263"/>
      <c r="Z44" s="578"/>
      <c r="AA44" s="577">
        <v>6.31</v>
      </c>
      <c r="AC44" s="115"/>
      <c r="AG44" s="117" t="s">
        <v>67</v>
      </c>
    </row>
    <row r="45" spans="1:33" ht="17.25" customHeight="1" x14ac:dyDescent="0.25">
      <c r="A45" s="627"/>
      <c r="B45" s="747"/>
      <c r="C45" s="747"/>
      <c r="D45" s="747"/>
      <c r="E45" s="747"/>
      <c r="F45" s="747"/>
      <c r="G45" s="747"/>
      <c r="H45" s="747"/>
      <c r="I45" s="747"/>
      <c r="J45" s="747"/>
      <c r="K45" s="747"/>
      <c r="L45" s="747"/>
      <c r="M45" s="747"/>
      <c r="N45" s="747"/>
      <c r="O45" s="747"/>
      <c r="P45" s="747"/>
      <c r="Q45" s="747"/>
      <c r="R45" s="747"/>
      <c r="S45" s="747"/>
      <c r="T45" s="623"/>
      <c r="U45" s="184"/>
      <c r="V45" s="184"/>
      <c r="W45" s="31"/>
      <c r="X45" s="179"/>
      <c r="Y45" s="179"/>
      <c r="Z45" s="179"/>
      <c r="AA45" s="179"/>
      <c r="AB45" s="179"/>
      <c r="AG45" s="117" t="s">
        <v>68</v>
      </c>
    </row>
    <row r="46" spans="1:33" ht="15" customHeight="1" x14ac:dyDescent="0.25">
      <c r="A46" s="627"/>
      <c r="B46" s="747"/>
      <c r="C46" s="747"/>
      <c r="D46" s="747"/>
      <c r="E46" s="747"/>
      <c r="F46" s="747"/>
      <c r="G46" s="747"/>
      <c r="H46" s="747"/>
      <c r="I46" s="747"/>
      <c r="J46" s="747"/>
      <c r="K46" s="747"/>
      <c r="L46" s="747"/>
      <c r="M46" s="747"/>
      <c r="N46" s="747"/>
      <c r="O46" s="747"/>
      <c r="P46" s="747"/>
      <c r="Q46" s="747"/>
      <c r="R46" s="747"/>
      <c r="S46" s="747"/>
      <c r="T46" s="549"/>
      <c r="U46" s="549"/>
      <c r="V46" s="549"/>
      <c r="W46" s="31"/>
      <c r="X46" s="175" t="s">
        <v>673</v>
      </c>
      <c r="Y46" s="184"/>
      <c r="Z46" s="184"/>
      <c r="AA46" s="184"/>
      <c r="AC46" s="179"/>
      <c r="AD46" s="179"/>
      <c r="AE46" s="179"/>
      <c r="AF46" s="179"/>
      <c r="AG46" s="152"/>
    </row>
    <row r="47" spans="1:33" ht="15" customHeight="1" x14ac:dyDescent="0.25">
      <c r="A47" s="627"/>
      <c r="B47" s="623"/>
      <c r="C47" s="623"/>
      <c r="D47" s="623"/>
      <c r="E47" s="623"/>
      <c r="F47" s="623"/>
      <c r="G47" s="623"/>
      <c r="H47" s="623"/>
      <c r="I47" s="623"/>
      <c r="J47" s="623"/>
      <c r="K47" s="623"/>
      <c r="L47" s="623"/>
      <c r="M47" s="623"/>
      <c r="N47" s="623"/>
      <c r="O47" s="623"/>
      <c r="P47" s="623"/>
      <c r="Q47" s="623"/>
      <c r="R47" s="623"/>
      <c r="S47" s="623"/>
      <c r="T47" s="31"/>
      <c r="U47" s="31"/>
      <c r="V47" s="31"/>
      <c r="W47" s="31"/>
      <c r="X47" s="695" t="s">
        <v>492</v>
      </c>
      <c r="Y47" s="695"/>
      <c r="Z47" s="695"/>
      <c r="AA47" s="102">
        <v>10</v>
      </c>
      <c r="AG47" s="152"/>
    </row>
    <row r="48" spans="1:33" ht="16.5" customHeight="1" x14ac:dyDescent="0.25">
      <c r="A48" s="627" t="s">
        <v>57</v>
      </c>
      <c r="B48" s="699" t="s">
        <v>689</v>
      </c>
      <c r="C48" s="699"/>
      <c r="D48" s="699"/>
      <c r="E48" s="699"/>
      <c r="F48" s="699"/>
      <c r="G48" s="699"/>
      <c r="H48" s="699"/>
      <c r="I48" s="699"/>
      <c r="J48" s="699"/>
      <c r="K48" s="699"/>
      <c r="L48" s="699"/>
      <c r="M48" s="699"/>
      <c r="N48" s="699"/>
      <c r="O48" s="699"/>
      <c r="P48" s="699"/>
      <c r="Q48" s="699"/>
      <c r="R48" s="699"/>
      <c r="S48" s="699"/>
      <c r="T48" s="31"/>
      <c r="U48" s="31"/>
      <c r="V48" s="31"/>
      <c r="W48" s="31"/>
      <c r="X48" s="695" t="s">
        <v>58</v>
      </c>
      <c r="Y48" s="695"/>
      <c r="Z48" s="695"/>
      <c r="AA48" s="104">
        <f>365-90</f>
        <v>275</v>
      </c>
      <c r="AB48" s="162"/>
      <c r="AG48" s="117" t="s">
        <v>69</v>
      </c>
    </row>
    <row r="49" spans="1:39" x14ac:dyDescent="0.25">
      <c r="A49" s="627"/>
      <c r="B49" s="699"/>
      <c r="C49" s="699"/>
      <c r="D49" s="699"/>
      <c r="E49" s="699"/>
      <c r="F49" s="699"/>
      <c r="G49" s="699"/>
      <c r="H49" s="699"/>
      <c r="I49" s="699"/>
      <c r="J49" s="699"/>
      <c r="K49" s="699"/>
      <c r="L49" s="699"/>
      <c r="M49" s="699"/>
      <c r="N49" s="699"/>
      <c r="O49" s="699"/>
      <c r="P49" s="699"/>
      <c r="Q49" s="699"/>
      <c r="R49" s="699"/>
      <c r="S49" s="699"/>
      <c r="T49" s="31"/>
      <c r="U49" s="31"/>
      <c r="V49" s="31"/>
      <c r="W49" s="31"/>
      <c r="X49" s="240"/>
      <c r="Y49" s="240"/>
      <c r="Z49" s="240"/>
      <c r="AA49" s="241"/>
      <c r="AB49" s="184"/>
      <c r="AC49" s="162"/>
      <c r="AD49" s="162"/>
    </row>
    <row r="50" spans="1:39" x14ac:dyDescent="0.25">
      <c r="A50" s="628"/>
      <c r="B50" s="565"/>
      <c r="C50" s="624"/>
      <c r="D50" s="624"/>
      <c r="E50" s="629"/>
      <c r="F50" s="629"/>
      <c r="G50" s="629"/>
      <c r="H50" s="629"/>
      <c r="I50" s="629"/>
      <c r="J50" s="629"/>
      <c r="K50" s="629"/>
      <c r="L50" s="629"/>
      <c r="M50" s="629"/>
      <c r="N50" s="629"/>
      <c r="O50" s="31"/>
      <c r="P50" s="31"/>
      <c r="Q50" s="31"/>
      <c r="R50" s="31"/>
      <c r="S50" s="31"/>
      <c r="T50" s="31"/>
      <c r="U50" s="31"/>
      <c r="V50" s="31"/>
      <c r="W50" s="31"/>
      <c r="X50" s="27" t="s">
        <v>674</v>
      </c>
      <c r="Y50" s="547"/>
      <c r="Z50" s="547"/>
    </row>
    <row r="51" spans="1:39" ht="18" customHeight="1" x14ac:dyDescent="0.25">
      <c r="A51" s="627" t="s">
        <v>681</v>
      </c>
      <c r="B51" s="699" t="s">
        <v>679</v>
      </c>
      <c r="C51" s="699"/>
      <c r="D51" s="699"/>
      <c r="E51" s="699"/>
      <c r="F51" s="699"/>
      <c r="G51" s="699"/>
      <c r="H51" s="699"/>
      <c r="I51" s="699"/>
      <c r="J51" s="699"/>
      <c r="K51" s="699"/>
      <c r="L51" s="699"/>
      <c r="M51" s="699"/>
      <c r="N51" s="699"/>
      <c r="O51" s="699"/>
      <c r="P51" s="699"/>
      <c r="Q51" s="699"/>
      <c r="R51" s="699"/>
      <c r="S51" s="699"/>
      <c r="T51" s="31"/>
      <c r="U51" s="31"/>
      <c r="V51" s="31"/>
      <c r="W51" s="31"/>
      <c r="X51" s="700" t="s">
        <v>158</v>
      </c>
      <c r="Y51" s="700"/>
      <c r="Z51" s="700"/>
      <c r="AA51" s="176">
        <v>1.42</v>
      </c>
      <c r="AG51" s="117" t="s">
        <v>70</v>
      </c>
    </row>
    <row r="52" spans="1:39" ht="15" customHeight="1" x14ac:dyDescent="0.25">
      <c r="A52" s="627"/>
      <c r="B52" s="699"/>
      <c r="C52" s="699"/>
      <c r="D52" s="699"/>
      <c r="E52" s="699"/>
      <c r="F52" s="699"/>
      <c r="G52" s="699"/>
      <c r="H52" s="699"/>
      <c r="I52" s="699"/>
      <c r="J52" s="699"/>
      <c r="K52" s="699"/>
      <c r="L52" s="699"/>
      <c r="M52" s="699"/>
      <c r="N52" s="699"/>
      <c r="O52" s="699"/>
      <c r="P52" s="699"/>
      <c r="Q52" s="699"/>
      <c r="R52" s="699"/>
      <c r="S52" s="699"/>
      <c r="T52" s="26"/>
      <c r="U52" s="26"/>
      <c r="V52" s="26"/>
      <c r="W52" s="31"/>
      <c r="X52" s="706" t="s">
        <v>494</v>
      </c>
      <c r="Y52" s="707"/>
      <c r="Z52" s="708"/>
      <c r="AA52" s="176">
        <f>$AA$51*$AC$19</f>
        <v>0.99399999999999988</v>
      </c>
      <c r="AG52" s="112" t="s">
        <v>71</v>
      </c>
    </row>
    <row r="53" spans="1:39" x14ac:dyDescent="0.25">
      <c r="A53" s="627"/>
      <c r="B53" s="699"/>
      <c r="C53" s="699"/>
      <c r="D53" s="699"/>
      <c r="E53" s="699"/>
      <c r="F53" s="699"/>
      <c r="G53" s="699"/>
      <c r="H53" s="699"/>
      <c r="I53" s="699"/>
      <c r="J53" s="699"/>
      <c r="K53" s="699"/>
      <c r="L53" s="699"/>
      <c r="M53" s="699"/>
      <c r="N53" s="699"/>
      <c r="O53" s="699"/>
      <c r="P53" s="699"/>
      <c r="Q53" s="699"/>
      <c r="R53" s="699"/>
      <c r="S53" s="699"/>
      <c r="W53" s="31"/>
      <c r="X53" s="706" t="s">
        <v>493</v>
      </c>
      <c r="Y53" s="707"/>
      <c r="Z53" s="708"/>
      <c r="AA53" s="176">
        <f>$AA$51*$AC$18</f>
        <v>0.35499999999999998</v>
      </c>
      <c r="AB53" s="184"/>
      <c r="AC53" s="184"/>
      <c r="AD53" s="184"/>
    </row>
    <row r="54" spans="1:39" x14ac:dyDescent="0.25">
      <c r="A54" s="628"/>
      <c r="B54" s="699"/>
      <c r="C54" s="699"/>
      <c r="D54" s="699"/>
      <c r="E54" s="699"/>
      <c r="F54" s="699"/>
      <c r="G54" s="699"/>
      <c r="H54" s="699"/>
      <c r="I54" s="699"/>
      <c r="J54" s="699"/>
      <c r="K54" s="699"/>
      <c r="L54" s="699"/>
      <c r="M54" s="699"/>
      <c r="N54" s="699"/>
      <c r="O54" s="699"/>
      <c r="P54" s="699"/>
      <c r="Q54" s="699"/>
      <c r="R54" s="699"/>
      <c r="S54" s="699"/>
      <c r="W54" s="31"/>
      <c r="AH54" s="119"/>
      <c r="AI54" s="119"/>
      <c r="AJ54" s="119"/>
      <c r="AK54" s="119"/>
    </row>
    <row r="55" spans="1:39" x14ac:dyDescent="0.25">
      <c r="A55" s="628"/>
      <c r="B55" s="565"/>
      <c r="C55" s="624"/>
      <c r="D55" s="624"/>
      <c r="E55" s="629"/>
      <c r="F55" s="629"/>
      <c r="G55" s="629"/>
      <c r="H55" s="31"/>
      <c r="I55" s="31"/>
      <c r="J55" s="31"/>
      <c r="K55" s="31"/>
      <c r="L55" s="31"/>
      <c r="M55" s="31"/>
      <c r="N55" s="31"/>
      <c r="O55" s="31"/>
      <c r="P55" s="31"/>
      <c r="Q55" s="31"/>
      <c r="R55" s="31"/>
      <c r="S55" s="31"/>
      <c r="W55" s="31"/>
      <c r="X55" s="8" t="s">
        <v>675</v>
      </c>
      <c r="AG55" s="704" t="s">
        <v>72</v>
      </c>
      <c r="AH55" s="704"/>
      <c r="AI55" s="704"/>
      <c r="AJ55" s="704"/>
      <c r="AK55" s="704"/>
      <c r="AL55" s="704"/>
      <c r="AM55" s="704"/>
    </row>
    <row r="56" spans="1:39" x14ac:dyDescent="0.25">
      <c r="A56" s="628" t="s">
        <v>690</v>
      </c>
      <c r="B56" s="699" t="s">
        <v>680</v>
      </c>
      <c r="C56" s="699"/>
      <c r="D56" s="699"/>
      <c r="E56" s="699"/>
      <c r="F56" s="699"/>
      <c r="G56" s="699"/>
      <c r="H56" s="699"/>
      <c r="I56" s="699"/>
      <c r="J56" s="699"/>
      <c r="K56" s="699"/>
      <c r="L56" s="699"/>
      <c r="M56" s="699"/>
      <c r="N56" s="699"/>
      <c r="O56" s="699"/>
      <c r="P56" s="699"/>
      <c r="Q56" s="699"/>
      <c r="R56" s="699"/>
      <c r="S56" s="699"/>
      <c r="W56" s="31"/>
      <c r="X56" s="698" t="s">
        <v>59</v>
      </c>
      <c r="Y56" s="698"/>
      <c r="Z56" s="105">
        <v>0.105</v>
      </c>
      <c r="AG56" s="704"/>
      <c r="AH56" s="704"/>
      <c r="AI56" s="704"/>
      <c r="AJ56" s="704"/>
      <c r="AK56" s="704"/>
      <c r="AL56" s="704"/>
      <c r="AM56" s="704"/>
    </row>
    <row r="57" spans="1:39" ht="15" customHeight="1" x14ac:dyDescent="0.25">
      <c r="A57" s="627"/>
      <c r="B57" s="699"/>
      <c r="C57" s="699"/>
      <c r="D57" s="699"/>
      <c r="E57" s="699"/>
      <c r="F57" s="699"/>
      <c r="G57" s="699"/>
      <c r="H57" s="699"/>
      <c r="I57" s="699"/>
      <c r="J57" s="699"/>
      <c r="K57" s="699"/>
      <c r="L57" s="699"/>
      <c r="M57" s="699"/>
      <c r="N57" s="699"/>
      <c r="O57" s="699"/>
      <c r="P57" s="699"/>
      <c r="Q57" s="699"/>
      <c r="R57" s="699"/>
      <c r="S57" s="699"/>
      <c r="W57" s="31"/>
      <c r="X57" s="705"/>
      <c r="Y57" s="705"/>
    </row>
    <row r="58" spans="1:39" x14ac:dyDescent="0.25">
      <c r="A58" s="627"/>
      <c r="B58" s="699"/>
      <c r="C58" s="699"/>
      <c r="D58" s="699"/>
      <c r="E58" s="699"/>
      <c r="F58" s="699"/>
      <c r="G58" s="699"/>
      <c r="H58" s="699"/>
      <c r="I58" s="699"/>
      <c r="J58" s="699"/>
      <c r="K58" s="699"/>
      <c r="L58" s="699"/>
      <c r="M58" s="699"/>
      <c r="N58" s="699"/>
      <c r="O58" s="699"/>
      <c r="P58" s="699"/>
      <c r="Q58" s="699"/>
      <c r="R58" s="699"/>
      <c r="S58" s="699"/>
      <c r="W58" s="31"/>
      <c r="X58" s="130" t="s">
        <v>676</v>
      </c>
      <c r="Y58" s="547"/>
      <c r="Z58" s="547"/>
    </row>
    <row r="59" spans="1:39" x14ac:dyDescent="0.25">
      <c r="W59" s="31"/>
      <c r="X59" s="696" t="s">
        <v>636</v>
      </c>
      <c r="Y59" s="697"/>
      <c r="Z59" s="575">
        <f>113.468/78.025</f>
        <v>1.4542518423582185</v>
      </c>
    </row>
    <row r="60" spans="1:39" x14ac:dyDescent="0.25">
      <c r="W60" s="31"/>
      <c r="X60" s="696" t="s">
        <v>635</v>
      </c>
      <c r="Y60" s="697"/>
      <c r="Z60" s="575">
        <v>1.26</v>
      </c>
    </row>
    <row r="61" spans="1:39" x14ac:dyDescent="0.25">
      <c r="W61" s="31"/>
      <c r="Z61" s="107"/>
    </row>
    <row r="62" spans="1:39" x14ac:dyDescent="0.25">
      <c r="W62" s="31"/>
      <c r="X62" s="106" t="s">
        <v>644</v>
      </c>
    </row>
    <row r="63" spans="1:39" x14ac:dyDescent="0.25">
      <c r="X63" s="695" t="s">
        <v>60</v>
      </c>
      <c r="Y63" s="695"/>
      <c r="Z63" s="118">
        <v>0</v>
      </c>
    </row>
    <row r="64" spans="1:39" x14ac:dyDescent="0.25">
      <c r="X64" s="695" t="s">
        <v>61</v>
      </c>
      <c r="Y64" s="695"/>
      <c r="Z64" s="150">
        <v>0.75</v>
      </c>
      <c r="AG64" s="112" t="s">
        <v>62</v>
      </c>
    </row>
    <row r="69" spans="23:23" x14ac:dyDescent="0.25">
      <c r="W69" s="179"/>
    </row>
    <row r="72" spans="23:23" x14ac:dyDescent="0.25">
      <c r="W72" s="162"/>
    </row>
    <row r="76" spans="23:23" x14ac:dyDescent="0.25">
      <c r="W76" s="184"/>
    </row>
  </sheetData>
  <mergeCells count="57">
    <mergeCell ref="F4:H4"/>
    <mergeCell ref="X16:Z16"/>
    <mergeCell ref="X18:AA18"/>
    <mergeCell ref="O4:T4"/>
    <mergeCell ref="O5:O6"/>
    <mergeCell ref="P5:P6"/>
    <mergeCell ref="Q5:Q6"/>
    <mergeCell ref="R5:R6"/>
    <mergeCell ref="S5:S6"/>
    <mergeCell ref="T5:T6"/>
    <mergeCell ref="L5:L6"/>
    <mergeCell ref="V5:V6"/>
    <mergeCell ref="I4:N4"/>
    <mergeCell ref="U4:V4"/>
    <mergeCell ref="I5:I6"/>
    <mergeCell ref="J5:J6"/>
    <mergeCell ref="B5:B6"/>
    <mergeCell ref="H5:H6"/>
    <mergeCell ref="D5:D6"/>
    <mergeCell ref="G5:G6"/>
    <mergeCell ref="E5:E6"/>
    <mergeCell ref="F5:F6"/>
    <mergeCell ref="K5:K6"/>
    <mergeCell ref="M5:M6"/>
    <mergeCell ref="N5:N6"/>
    <mergeCell ref="U5:U6"/>
    <mergeCell ref="C5:C6"/>
    <mergeCell ref="C4:E4"/>
    <mergeCell ref="AG55:AM56"/>
    <mergeCell ref="X57:Y57"/>
    <mergeCell ref="X40:Z40"/>
    <mergeCell ref="X51:Z51"/>
    <mergeCell ref="X47:Z47"/>
    <mergeCell ref="X48:Z48"/>
    <mergeCell ref="X52:Z52"/>
    <mergeCell ref="X53:Z53"/>
    <mergeCell ref="X15:Z15"/>
    <mergeCell ref="X17:Z17"/>
    <mergeCell ref="X24:Y24"/>
    <mergeCell ref="X25:Y25"/>
    <mergeCell ref="X29:Y29"/>
    <mergeCell ref="X30:Y30"/>
    <mergeCell ref="X34:Y34"/>
    <mergeCell ref="B41:S42"/>
    <mergeCell ref="X60:Y60"/>
    <mergeCell ref="X63:Y63"/>
    <mergeCell ref="B44:S46"/>
    <mergeCell ref="B48:S49"/>
    <mergeCell ref="B51:S54"/>
    <mergeCell ref="B56:S58"/>
    <mergeCell ref="X59:Y59"/>
    <mergeCell ref="X56:Y56"/>
    <mergeCell ref="X35:Y35"/>
    <mergeCell ref="X19:AA19"/>
    <mergeCell ref="X64:Y64"/>
    <mergeCell ref="X38:Z38"/>
    <mergeCell ref="X39:Z39"/>
  </mergeCells>
  <pageMargins left="0.7" right="0.7" top="0.75" bottom="0.75" header="0.3" footer="0.3"/>
  <pageSetup scale="27" orientation="portrait" horizontalDpi="300" verticalDpi="1200" r:id="rId1"/>
  <colBreaks count="2" manualBreakCount="2">
    <brk id="22" max="65" man="1"/>
    <brk id="32" max="6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05E5-E3B9-4AFF-AED3-2E263083339C}">
  <sheetPr>
    <tabColor rgb="FF00B050"/>
  </sheetPr>
  <dimension ref="A1:AW65"/>
  <sheetViews>
    <sheetView view="pageBreakPreview" topLeftCell="A20" zoomScale="85" zoomScaleNormal="100" zoomScaleSheetLayoutView="85" workbookViewId="0">
      <selection activeCell="C39" sqref="C39"/>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2.57031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96</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2031</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 Bryant RT'!$Z$3,'Original Build Years'!$A$1:$A$20,'Original Build Years'!$D$1:$D$20,0)+30</f>
        <v>2049</v>
      </c>
      <c r="AU6" s="292" t="s">
        <v>122</v>
      </c>
      <c r="AW6" s="292" t="s">
        <v>160</v>
      </c>
    </row>
    <row r="7" spans="1:49" ht="18.75" customHeight="1" x14ac:dyDescent="0.25">
      <c r="A7" s="75">
        <f>(G7+D7)*2.38</f>
        <v>32166.746832531036</v>
      </c>
      <c r="B7" s="291">
        <f>$Y$5</f>
        <v>2031</v>
      </c>
      <c r="C7" s="256">
        <f>IF(OR($B7&lt;$Y$6,$B7&gt;'Project Data and Assumptions'!$C$8),0,$AC$35*(1+$AA$15)^($B7-2020))</f>
        <v>0</v>
      </c>
      <c r="D7" s="255">
        <f>IF(OR($B7&lt;$Y$6,$B7&gt;'Project Data and Assumptions'!$C$8),0,$AB$34*(1+$AA$15)^($B7-2020))</f>
        <v>0</v>
      </c>
      <c r="E7" s="257">
        <f>IF(OR($B7&lt;$Y$6,$B7&gt;'Project Data and Assumptions'!$C$8),0,$AC$34*(1+$AA$15)^($B7-2020))</f>
        <v>0</v>
      </c>
      <c r="F7" s="256">
        <f>IF($B7&gt;'Project Data and Assumptions'!$C$8,0,$AC$30*(1+$AA$15)^($B7-2020))</f>
        <v>48656.092658621295</v>
      </c>
      <c r="G7" s="255">
        <f>IF($B7&gt;'Project Data and Assumptions'!$C$8,0,$AB$29*(1+$AA$15)^($B7-2020))</f>
        <v>13515.439845601277</v>
      </c>
      <c r="H7" s="257">
        <f>IF($B7&gt;'Project Data and Assumptions'!$C$8,0,$AC$29*(1+$AA$15)^($B7-2020))</f>
        <v>70268.101576755813</v>
      </c>
      <c r="I7" s="85">
        <f t="shared" ref="I7:I27" si="0">C7*$AA$47*$Z$60</f>
        <v>0</v>
      </c>
      <c r="J7" s="324">
        <f>(D7*$AA$40)*$AA$38*$AA$39</f>
        <v>0</v>
      </c>
      <c r="K7" s="89">
        <f>C7*$AA$43+SUM(D7:E7)*$AA$44</f>
        <v>0</v>
      </c>
      <c r="L7" s="89">
        <f t="shared" ref="L7:L27" si="1">E7*$AA$47*$Z$60</f>
        <v>0</v>
      </c>
      <c r="M7" s="89">
        <f>SUM(D7:E7)*$AA$52</f>
        <v>0</v>
      </c>
      <c r="N7" s="122">
        <f t="shared" ref="N7:N27" si="2">D7*$AC$19*$Z$56*$Z$60</f>
        <v>0</v>
      </c>
      <c r="O7" s="85">
        <f t="shared" ref="O7:O27" si="3">F7*$AA$47*$Z$60</f>
        <v>613066.76749862835</v>
      </c>
      <c r="P7" s="89">
        <f>(G7*$AA$40)*$AA$38*$AA$39</f>
        <v>32307.307406925294</v>
      </c>
      <c r="Q7" s="89">
        <f>F7*$AA$43+SUM(G7:H7)*$AA$44</f>
        <v>873159.28239811189</v>
      </c>
      <c r="R7" s="89">
        <f t="shared" ref="R7:R27" si="4">H7*$AA$47*$Z$60</f>
        <v>885378.07986712328</v>
      </c>
      <c r="S7" s="89">
        <f>SUM(G7:H7)*$AA$52</f>
        <v>102316.46078498245</v>
      </c>
      <c r="T7" s="122">
        <f t="shared" ref="T7:T27" si="5">G7*$AC$19*$Z$56*$Z$60</f>
        <v>1537.759714752822</v>
      </c>
      <c r="U7" s="85">
        <f>SUM(I7:T7)</f>
        <v>2507765.657670524</v>
      </c>
      <c r="V7" s="133">
        <f t="shared" ref="V7:V27" si="6">$U7*(1+0.07)^-($B7-$Y$4)</f>
        <v>1191421.3989874446</v>
      </c>
      <c r="X7" s="282" t="s">
        <v>470</v>
      </c>
      <c r="Y7" s="243">
        <f>IFERROR((_xlfn.XLOOKUP($Z$3,'Trail Project Summary'!$B$3:$B$32,'Trail Project Summary'!$I$3:$I$32)),0)</f>
        <v>1.6</v>
      </c>
      <c r="AU7" s="292" t="s">
        <v>123</v>
      </c>
      <c r="AW7" s="292" t="s">
        <v>161</v>
      </c>
    </row>
    <row r="8" spans="1:49" x14ac:dyDescent="0.25">
      <c r="A8" s="75">
        <f t="shared" ref="A8:A27" si="7">(G8+D8)*2.38</f>
        <v>32810.081769181663</v>
      </c>
      <c r="B8" s="2">
        <f>B7+1</f>
        <v>2032</v>
      </c>
      <c r="C8" s="260">
        <f>IF(OR($B8&lt;$Y$6,$B8&gt;'Project Data and Assumptions'!$C$8),0,$AC$35*(1+$AA$15)^($B8-2020))</f>
        <v>0</v>
      </c>
      <c r="D8" s="91">
        <f>IF(OR($B8&lt;$Y$6,$B8&gt;'Project Data and Assumptions'!$C$8),0,$AB$34*(1+$AA$15)^($B8-2020))</f>
        <v>0</v>
      </c>
      <c r="E8" s="258">
        <f>IF(OR($B8&lt;$Y$6,$B8&gt;'Project Data and Assumptions'!$C$8),0,$AC$34*(1+$AA$15)^($B8-2020))</f>
        <v>0</v>
      </c>
      <c r="F8" s="260">
        <f>IF($B8&gt;'Project Data and Assumptions'!$C$8,0,$AC$30*(1+$AA$15)^($B8-2020))</f>
        <v>49629.214511793733</v>
      </c>
      <c r="G8" s="91">
        <f>IF($B8&gt;'Project Data and Assumptions'!$C$8,0,$AB$29*(1+$AA$15)^($B8-2020))</f>
        <v>13785.748642513305</v>
      </c>
      <c r="H8" s="258">
        <f>IF($B8&gt;'Project Data and Assumptions'!$C$8,0,$AC$29*(1+$AA$15)^($B8-2020))</f>
        <v>71673.463608290942</v>
      </c>
      <c r="I8" s="17">
        <f t="shared" si="0"/>
        <v>0</v>
      </c>
      <c r="J8" s="325">
        <f t="shared" ref="J8:J26" si="8">(D8*$AA$40)*$AA$38*$AA$39</f>
        <v>0</v>
      </c>
      <c r="K8" s="90">
        <f t="shared" ref="K8:K26" si="9">C8*$AA$43+SUM(D8:E8)*$AA$44</f>
        <v>0</v>
      </c>
      <c r="L8" s="90">
        <f t="shared" si="1"/>
        <v>0</v>
      </c>
      <c r="M8" s="90">
        <f t="shared" ref="M8:M26" si="10">SUM(D8:E8)*$AA$52</f>
        <v>0</v>
      </c>
      <c r="N8" s="92">
        <f t="shared" si="2"/>
        <v>0</v>
      </c>
      <c r="O8" s="17">
        <f t="shared" si="3"/>
        <v>625328.10284860106</v>
      </c>
      <c r="P8" s="90">
        <f t="shared" ref="P8:P26" si="11">(G8*$AA$40)*$AA$38*$AA$39</f>
        <v>32953.45355506381</v>
      </c>
      <c r="Q8" s="90">
        <f t="shared" ref="Q8:Q26" si="12">F8*$AA$43+SUM(G8:H8)*$AA$44</f>
        <v>890622.4680460745</v>
      </c>
      <c r="R8" s="90">
        <f t="shared" si="4"/>
        <v>903085.64146446588</v>
      </c>
      <c r="S8" s="90">
        <f t="shared" ref="S8:S26" si="13">SUM(G8:H8)*$AA$52</f>
        <v>104362.79000068214</v>
      </c>
      <c r="T8" s="92">
        <f t="shared" si="5"/>
        <v>1568.5149090478785</v>
      </c>
      <c r="U8" s="17">
        <f t="shared" ref="U8:U26" si="14">SUM(I8:T8)</f>
        <v>2557920.9708239357</v>
      </c>
      <c r="V8" s="6">
        <f t="shared" si="6"/>
        <v>1135747.5018384994</v>
      </c>
      <c r="X8" s="282" t="s">
        <v>471</v>
      </c>
      <c r="Y8" s="243">
        <f>IFERROR(_xlfn.XLOOKUP($Z$3,'Trail Project Summary'!$B$3:$B$32,'Trail Project Summary'!$C$3:$C$32),0)</f>
        <v>3.7</v>
      </c>
      <c r="AU8" s="292" t="s">
        <v>124</v>
      </c>
      <c r="AW8" s="292" t="s">
        <v>163</v>
      </c>
    </row>
    <row r="9" spans="1:49" x14ac:dyDescent="0.25">
      <c r="A9" s="75">
        <f t="shared" si="7"/>
        <v>33466.283404565293</v>
      </c>
      <c r="B9" s="2">
        <f t="shared" ref="B9:B27" si="15">B8+1</f>
        <v>2033</v>
      </c>
      <c r="C9" s="260">
        <f>IF(OR($B9&lt;$Y$6,$B9&gt;'Project Data and Assumptions'!$C$8),0,$AC$35*(1+$AA$15)^($B9-2020))</f>
        <v>0</v>
      </c>
      <c r="D9" s="91">
        <f>IF(OR($B9&lt;$Y$6,$B9&gt;'Project Data and Assumptions'!$C$8),0,$AB$34*(1+$AA$15)^($B9-2020))</f>
        <v>0</v>
      </c>
      <c r="E9" s="258">
        <f>IF(OR($B9&lt;$Y$6,$B9&gt;'Project Data and Assumptions'!$C$8),0,$AC$34*(1+$AA$15)^($B9-2020))</f>
        <v>0</v>
      </c>
      <c r="F9" s="260">
        <f>IF($B9&gt;'Project Data and Assumptions'!$C$8,0,$AC$30*(1+$AA$15)^($B9-2020))</f>
        <v>50621.798802029603</v>
      </c>
      <c r="G9" s="91">
        <f>IF($B9&gt;'Project Data and Assumptions'!$C$8,0,$AB$29*(1+$AA$15)^($B9-2020))</f>
        <v>14061.463615363569</v>
      </c>
      <c r="H9" s="258">
        <f>IF($B9&gt;'Project Data and Assumptions'!$C$8,0,$AC$29*(1+$AA$15)^($B9-2020))</f>
        <v>73106.932880456749</v>
      </c>
      <c r="I9" s="17">
        <f t="shared" si="0"/>
        <v>0</v>
      </c>
      <c r="J9" s="325">
        <f t="shared" si="8"/>
        <v>0</v>
      </c>
      <c r="K9" s="90">
        <f t="shared" si="9"/>
        <v>0</v>
      </c>
      <c r="L9" s="90">
        <f t="shared" si="1"/>
        <v>0</v>
      </c>
      <c r="M9" s="90">
        <f t="shared" si="10"/>
        <v>0</v>
      </c>
      <c r="N9" s="92">
        <f t="shared" si="2"/>
        <v>0</v>
      </c>
      <c r="O9" s="17">
        <f t="shared" si="3"/>
        <v>637834.66490557301</v>
      </c>
      <c r="P9" s="90">
        <f t="shared" si="11"/>
        <v>33612.522626165082</v>
      </c>
      <c r="Q9" s="90">
        <f t="shared" si="12"/>
        <v>908434.91740699566</v>
      </c>
      <c r="R9" s="90">
        <f t="shared" si="4"/>
        <v>921147.35429375502</v>
      </c>
      <c r="S9" s="90">
        <f t="shared" si="13"/>
        <v>106450.04580069575</v>
      </c>
      <c r="T9" s="92">
        <f t="shared" si="5"/>
        <v>1599.8852072288362</v>
      </c>
      <c r="U9" s="17">
        <f t="shared" si="14"/>
        <v>2609079.3902404131</v>
      </c>
      <c r="V9" s="6">
        <f t="shared" si="6"/>
        <v>1082675.1886684753</v>
      </c>
      <c r="X9" s="118" t="s">
        <v>473</v>
      </c>
      <c r="Y9" s="243">
        <f>IFERROR(_xlfn.XLOOKUP($Z$3,'Trail Project Summary'!$B$3:$B$32,'Trail Project Summary'!$D$3:$D$32),0)</f>
        <v>0</v>
      </c>
      <c r="AU9" s="292" t="s">
        <v>150</v>
      </c>
      <c r="AW9" s="292" t="s">
        <v>162</v>
      </c>
    </row>
    <row r="10" spans="1:49" x14ac:dyDescent="0.25">
      <c r="A10" s="75">
        <f t="shared" si="7"/>
        <v>34135.609072656604</v>
      </c>
      <c r="B10" s="2">
        <f t="shared" si="15"/>
        <v>2034</v>
      </c>
      <c r="C10" s="260">
        <f>IF(OR($B10&lt;$Y$6,$B10&gt;'Project Data and Assumptions'!$C$8),0,$AC$35*(1+$AA$15)^($B10-2020))</f>
        <v>0</v>
      </c>
      <c r="D10" s="91">
        <f>IF(OR($B10&lt;$Y$6,$B10&gt;'Project Data and Assumptions'!$C$8),0,$AB$34*(1+$AA$15)^($B10-2020))</f>
        <v>0</v>
      </c>
      <c r="E10" s="258">
        <f>IF(OR($B10&lt;$Y$6,$B10&gt;'Project Data and Assumptions'!$C$8),0,$AC$34*(1+$AA$15)^($B10-2020))</f>
        <v>0</v>
      </c>
      <c r="F10" s="260">
        <f>IF($B10&gt;'Project Data and Assumptions'!$C$8,0,$AC$30*(1+$AA$15)^($B10-2020))</f>
        <v>51634.234778070197</v>
      </c>
      <c r="G10" s="91">
        <f>IF($B10&gt;'Project Data and Assumptions'!$C$8,0,$AB$29*(1+$AA$15)^($B10-2020))</f>
        <v>14342.692887670843</v>
      </c>
      <c r="H10" s="258">
        <f>IF($B10&gt;'Project Data and Assumptions'!$C$8,0,$AC$29*(1+$AA$15)^($B10-2020))</f>
        <v>74569.071538065895</v>
      </c>
      <c r="I10" s="17">
        <f t="shared" si="0"/>
        <v>0</v>
      </c>
      <c r="J10" s="325">
        <f t="shared" si="8"/>
        <v>0</v>
      </c>
      <c r="K10" s="90">
        <f t="shared" si="9"/>
        <v>0</v>
      </c>
      <c r="L10" s="90">
        <f t="shared" si="1"/>
        <v>0</v>
      </c>
      <c r="M10" s="90">
        <f t="shared" si="10"/>
        <v>0</v>
      </c>
      <c r="N10" s="92">
        <f t="shared" si="2"/>
        <v>0</v>
      </c>
      <c r="O10" s="17">
        <f t="shared" si="3"/>
        <v>650591.35820368445</v>
      </c>
      <c r="P10" s="90">
        <f t="shared" si="11"/>
        <v>34284.773078688384</v>
      </c>
      <c r="Q10" s="90">
        <f t="shared" si="12"/>
        <v>926603.61575513578</v>
      </c>
      <c r="R10" s="90">
        <f t="shared" si="4"/>
        <v>939570.30137963034</v>
      </c>
      <c r="S10" s="90">
        <f t="shared" si="13"/>
        <v>108579.04671670969</v>
      </c>
      <c r="T10" s="92">
        <f t="shared" si="5"/>
        <v>1631.882911373413</v>
      </c>
      <c r="U10" s="17">
        <f t="shared" si="14"/>
        <v>2661260.9780452219</v>
      </c>
      <c r="V10" s="6">
        <f t="shared" si="6"/>
        <v>1032082.8901325656</v>
      </c>
      <c r="X10" s="118" t="s">
        <v>472</v>
      </c>
      <c r="Y10" s="243">
        <f>IFERROR(_xlfn.XLOOKUP($Z$3,'Trail Project Summary'!$B$3:$B$32,'Trail Project Summary'!$E$3:$E$32),0)</f>
        <v>1</v>
      </c>
    </row>
    <row r="11" spans="1:49" x14ac:dyDescent="0.25">
      <c r="A11" s="75">
        <f t="shared" si="7"/>
        <v>34818.321254109724</v>
      </c>
      <c r="B11" s="2">
        <f t="shared" si="15"/>
        <v>2035</v>
      </c>
      <c r="C11" s="260">
        <f>IF(OR($B11&lt;$Y$6,$B11&gt;'Project Data and Assumptions'!$C$8),0,$AC$35*(1+$AA$15)^($B11-2020))</f>
        <v>0</v>
      </c>
      <c r="D11" s="91">
        <f>IF(OR($B11&lt;$Y$6,$B11&gt;'Project Data and Assumptions'!$C$8),0,$AB$34*(1+$AA$15)^($B11-2020))</f>
        <v>0</v>
      </c>
      <c r="E11" s="258">
        <f>IF(OR($B11&lt;$Y$6,$B11&gt;'Project Data and Assumptions'!$C$8),0,$AC$34*(1+$AA$15)^($B11-2020))</f>
        <v>0</v>
      </c>
      <c r="F11" s="260">
        <f>IF($B11&gt;'Project Data and Assumptions'!$C$8,0,$AC$30*(1+$AA$15)^($B11-2020))</f>
        <v>52666.919473631591</v>
      </c>
      <c r="G11" s="91">
        <f>IF($B11&gt;'Project Data and Assumptions'!$C$8,0,$AB$29*(1+$AA$15)^($B11-2020))</f>
        <v>14629.546745424255</v>
      </c>
      <c r="H11" s="258">
        <f>IF($B11&gt;'Project Data and Assumptions'!$C$8,0,$AC$29*(1+$AA$15)^($B11-2020))</f>
        <v>76060.452968827187</v>
      </c>
      <c r="I11" s="17">
        <f t="shared" si="0"/>
        <v>0</v>
      </c>
      <c r="J11" s="325">
        <f t="shared" si="8"/>
        <v>0</v>
      </c>
      <c r="K11" s="90">
        <f t="shared" si="9"/>
        <v>0</v>
      </c>
      <c r="L11" s="90">
        <f t="shared" si="1"/>
        <v>0</v>
      </c>
      <c r="M11" s="90">
        <f t="shared" si="10"/>
        <v>0</v>
      </c>
      <c r="N11" s="92">
        <f t="shared" si="2"/>
        <v>0</v>
      </c>
      <c r="O11" s="17">
        <f t="shared" si="3"/>
        <v>663603.18536775804</v>
      </c>
      <c r="P11" s="90">
        <f t="shared" si="11"/>
        <v>34970.468540262147</v>
      </c>
      <c r="Q11" s="90">
        <f t="shared" si="12"/>
        <v>945135.68807023822</v>
      </c>
      <c r="R11" s="90">
        <f t="shared" si="4"/>
        <v>958361.7074072226</v>
      </c>
      <c r="S11" s="90">
        <f t="shared" si="13"/>
        <v>110750.62765104385</v>
      </c>
      <c r="T11" s="92">
        <f t="shared" si="5"/>
        <v>1664.5205696008807</v>
      </c>
      <c r="U11" s="17">
        <f t="shared" si="14"/>
        <v>2714486.1976061258</v>
      </c>
      <c r="V11" s="6">
        <f t="shared" si="6"/>
        <v>983854.71769646415</v>
      </c>
      <c r="X11" s="28"/>
      <c r="Y11" s="60"/>
      <c r="Z11" s="28"/>
      <c r="AA11" s="28"/>
      <c r="AB11" s="28"/>
      <c r="AC11" s="28"/>
      <c r="AD11" s="28"/>
      <c r="AE11" s="28"/>
      <c r="AF11" s="28"/>
    </row>
    <row r="12" spans="1:49" x14ac:dyDescent="0.25">
      <c r="A12" s="75">
        <f t="shared" si="7"/>
        <v>35514.687679191928</v>
      </c>
      <c r="B12" s="2">
        <f t="shared" si="15"/>
        <v>2036</v>
      </c>
      <c r="C12" s="260">
        <f>IF(OR($B12&lt;$Y$6,$B12&gt;'Project Data and Assumptions'!$C$8),0,$AC$35*(1+$AA$15)^($B12-2020))</f>
        <v>0</v>
      </c>
      <c r="D12" s="91">
        <f>IF(OR($B12&lt;$Y$6,$B12&gt;'Project Data and Assumptions'!$C$8),0,$AB$34*(1+$AA$15)^($B12-2020))</f>
        <v>0</v>
      </c>
      <c r="E12" s="258">
        <f>IF(OR($B12&lt;$Y$6,$B12&gt;'Project Data and Assumptions'!$C$8),0,$AC$34*(1+$AA$15)^($B12-2020))</f>
        <v>0</v>
      </c>
      <c r="F12" s="260">
        <f>IF($B12&gt;'Project Data and Assumptions'!$C$8,0,$AC$30*(1+$AA$15)^($B12-2020))</f>
        <v>53720.257863104227</v>
      </c>
      <c r="G12" s="91">
        <f>IF($B12&gt;'Project Data and Assumptions'!$C$8,0,$AB$29*(1+$AA$15)^($B12-2020))</f>
        <v>14922.137680332744</v>
      </c>
      <c r="H12" s="258">
        <f>IF($B12&gt;'Project Data and Assumptions'!$C$8,0,$AC$29*(1+$AA$15)^($B12-2020))</f>
        <v>77581.662028203747</v>
      </c>
      <c r="I12" s="17">
        <f t="shared" si="0"/>
        <v>0</v>
      </c>
      <c r="J12" s="325">
        <f t="shared" si="8"/>
        <v>0</v>
      </c>
      <c r="K12" s="90">
        <f t="shared" si="9"/>
        <v>0</v>
      </c>
      <c r="L12" s="90">
        <f t="shared" si="1"/>
        <v>0</v>
      </c>
      <c r="M12" s="90">
        <f t="shared" si="10"/>
        <v>0</v>
      </c>
      <c r="N12" s="92">
        <f t="shared" si="2"/>
        <v>0</v>
      </c>
      <c r="O12" s="17">
        <f t="shared" si="3"/>
        <v>676875.24907511321</v>
      </c>
      <c r="P12" s="90">
        <f t="shared" si="11"/>
        <v>35669.877911067393</v>
      </c>
      <c r="Q12" s="90">
        <f t="shared" si="12"/>
        <v>964038.40183164319</v>
      </c>
      <c r="R12" s="90">
        <f t="shared" si="4"/>
        <v>977528.9415553672</v>
      </c>
      <c r="S12" s="90">
        <f t="shared" si="13"/>
        <v>112965.64020406475</v>
      </c>
      <c r="T12" s="92">
        <f t="shared" si="5"/>
        <v>1697.8109809928987</v>
      </c>
      <c r="U12" s="17">
        <f t="shared" si="14"/>
        <v>2768775.9215582483</v>
      </c>
      <c r="V12" s="6">
        <f t="shared" si="6"/>
        <v>937880.19817793788</v>
      </c>
      <c r="X12" s="30"/>
      <c r="Y12" s="30"/>
    </row>
    <row r="13" spans="1:49" x14ac:dyDescent="0.25">
      <c r="A13" s="75">
        <f t="shared" si="7"/>
        <v>36224.98143277577</v>
      </c>
      <c r="B13" s="2">
        <f t="shared" si="15"/>
        <v>2037</v>
      </c>
      <c r="C13" s="260">
        <f>IF(OR($B13&lt;$Y$6,$B13&gt;'Project Data and Assumptions'!$C$8),0,$AC$35*(1+$AA$15)^($B13-2020))</f>
        <v>0</v>
      </c>
      <c r="D13" s="91">
        <f>IF(OR($B13&lt;$Y$6,$B13&gt;'Project Data and Assumptions'!$C$8),0,$AB$34*(1+$AA$15)^($B13-2020))</f>
        <v>0</v>
      </c>
      <c r="E13" s="258">
        <f>IF(OR($B13&lt;$Y$6,$B13&gt;'Project Data and Assumptions'!$C$8),0,$AC$34*(1+$AA$15)^($B13-2020))</f>
        <v>0</v>
      </c>
      <c r="F13" s="260">
        <f>IF($B13&gt;'Project Data and Assumptions'!$C$8,0,$AC$30*(1+$AA$15)^($B13-2020))</f>
        <v>54794.663020366323</v>
      </c>
      <c r="G13" s="91">
        <f>IF($B13&gt;'Project Data and Assumptions'!$C$8,0,$AB$29*(1+$AA$15)^($B13-2020))</f>
        <v>15220.5804339394</v>
      </c>
      <c r="H13" s="258">
        <f>IF($B13&gt;'Project Data and Assumptions'!$C$8,0,$AC$29*(1+$AA$15)^($B13-2020))</f>
        <v>79133.295268767833</v>
      </c>
      <c r="I13" s="17">
        <f t="shared" si="0"/>
        <v>0</v>
      </c>
      <c r="J13" s="325">
        <f t="shared" si="8"/>
        <v>0</v>
      </c>
      <c r="K13" s="90">
        <f t="shared" si="9"/>
        <v>0</v>
      </c>
      <c r="L13" s="90">
        <f t="shared" si="1"/>
        <v>0</v>
      </c>
      <c r="M13" s="90">
        <f t="shared" si="10"/>
        <v>0</v>
      </c>
      <c r="N13" s="92">
        <f t="shared" si="2"/>
        <v>0</v>
      </c>
      <c r="O13" s="17">
        <f t="shared" si="3"/>
        <v>690412.75405661575</v>
      </c>
      <c r="P13" s="90">
        <f t="shared" si="11"/>
        <v>36383.275469288747</v>
      </c>
      <c r="Q13" s="90">
        <f t="shared" si="12"/>
        <v>983319.16986827622</v>
      </c>
      <c r="R13" s="90">
        <f t="shared" si="4"/>
        <v>997079.52038647479</v>
      </c>
      <c r="S13" s="90">
        <f t="shared" si="13"/>
        <v>115224.95300814605</v>
      </c>
      <c r="T13" s="92">
        <f t="shared" si="5"/>
        <v>1731.7672006127571</v>
      </c>
      <c r="U13" s="17">
        <f t="shared" si="14"/>
        <v>2824151.4399894145</v>
      </c>
      <c r="V13" s="6">
        <f t="shared" si="6"/>
        <v>894054.02069298795</v>
      </c>
      <c r="AU13" s="292" t="s">
        <v>489</v>
      </c>
      <c r="AV13" s="292" t="s">
        <v>503</v>
      </c>
    </row>
    <row r="14" spans="1:49" x14ac:dyDescent="0.25">
      <c r="A14" s="75">
        <f t="shared" si="7"/>
        <v>36949.481061431281</v>
      </c>
      <c r="B14" s="2">
        <f t="shared" si="15"/>
        <v>2038</v>
      </c>
      <c r="C14" s="260">
        <f>IF(OR($B14&lt;$Y$6,$B14&gt;'Project Data and Assumptions'!$C$8),0,$AC$35*(1+$AA$15)^($B14-2020))</f>
        <v>0</v>
      </c>
      <c r="D14" s="91">
        <f>IF(OR($B14&lt;$Y$6,$B14&gt;'Project Data and Assumptions'!$C$8),0,$AB$34*(1+$AA$15)^($B14-2020))</f>
        <v>0</v>
      </c>
      <c r="E14" s="258">
        <f>IF(OR($B14&lt;$Y$6,$B14&gt;'Project Data and Assumptions'!$C$8),0,$AC$34*(1+$AA$15)^($B14-2020))</f>
        <v>0</v>
      </c>
      <c r="F14" s="260">
        <f>IF($B14&gt;'Project Data and Assumptions'!$C$8,0,$AC$30*(1+$AA$15)^($B14-2020))</f>
        <v>55890.556280773642</v>
      </c>
      <c r="G14" s="91">
        <f>IF($B14&gt;'Project Data and Assumptions'!$C$8,0,$AB$29*(1+$AA$15)^($B14-2020))</f>
        <v>15524.992042618185</v>
      </c>
      <c r="H14" s="258">
        <f>IF($B14&gt;'Project Data and Assumptions'!$C$8,0,$AC$29*(1+$AA$15)^($B14-2020))</f>
        <v>80715.961174143173</v>
      </c>
      <c r="I14" s="17">
        <f t="shared" si="0"/>
        <v>0</v>
      </c>
      <c r="J14" s="325">
        <f t="shared" si="8"/>
        <v>0</v>
      </c>
      <c r="K14" s="90">
        <f t="shared" si="9"/>
        <v>0</v>
      </c>
      <c r="L14" s="90">
        <f t="shared" si="1"/>
        <v>0</v>
      </c>
      <c r="M14" s="90">
        <f t="shared" si="10"/>
        <v>0</v>
      </c>
      <c r="N14" s="92">
        <f t="shared" si="2"/>
        <v>0</v>
      </c>
      <c r="O14" s="17">
        <f t="shared" si="3"/>
        <v>704221.00913774793</v>
      </c>
      <c r="P14" s="90">
        <f t="shared" si="11"/>
        <v>37110.940978674516</v>
      </c>
      <c r="Q14" s="90">
        <f t="shared" si="12"/>
        <v>1002985.5532656414</v>
      </c>
      <c r="R14" s="90">
        <f t="shared" si="4"/>
        <v>1017021.1107942041</v>
      </c>
      <c r="S14" s="90">
        <f t="shared" si="13"/>
        <v>117529.45206830895</v>
      </c>
      <c r="T14" s="92">
        <f t="shared" si="5"/>
        <v>1766.4025446250116</v>
      </c>
      <c r="U14" s="17">
        <f t="shared" si="14"/>
        <v>2880634.4687892017</v>
      </c>
      <c r="V14" s="6">
        <f t="shared" si="6"/>
        <v>852275.79542695999</v>
      </c>
      <c r="X14" s="175" t="s">
        <v>83</v>
      </c>
      <c r="AU14" s="292" t="s">
        <v>490</v>
      </c>
      <c r="AV14" s="292" t="s">
        <v>504</v>
      </c>
    </row>
    <row r="15" spans="1:49" ht="17.25" x14ac:dyDescent="0.25">
      <c r="A15" s="75">
        <f t="shared" si="7"/>
        <v>37688.470682659899</v>
      </c>
      <c r="B15" s="2">
        <f t="shared" si="15"/>
        <v>2039</v>
      </c>
      <c r="C15" s="260">
        <f>IF(OR($B15&lt;$Y$6,$B15&gt;'Project Data and Assumptions'!$C$8),0,$AC$35*(1+$AA$15)^($B15-2020))</f>
        <v>0</v>
      </c>
      <c r="D15" s="91">
        <f>IF(OR($B15&lt;$Y$6,$B15&gt;'Project Data and Assumptions'!$C$8),0,$AB$34*(1+$AA$15)^($B15-2020))</f>
        <v>0</v>
      </c>
      <c r="E15" s="258">
        <f>IF(OR($B15&lt;$Y$6,$B15&gt;'Project Data and Assumptions'!$C$8),0,$AC$34*(1+$AA$15)^($B15-2020))</f>
        <v>0</v>
      </c>
      <c r="F15" s="260">
        <f>IF($B15&gt;'Project Data and Assumptions'!$C$8,0,$AC$30*(1+$AA$15)^($B15-2020))</f>
        <v>57008.367406389109</v>
      </c>
      <c r="G15" s="91">
        <f>IF($B15&gt;'Project Data and Assumptions'!$C$8,0,$AB$29*(1+$AA$15)^($B15-2020))</f>
        <v>15835.491883470548</v>
      </c>
      <c r="H15" s="258">
        <f>IF($B15&gt;'Project Data and Assumptions'!$C$8,0,$AC$29*(1+$AA$15)^($B15-2020))</f>
        <v>82330.280397626033</v>
      </c>
      <c r="I15" s="17">
        <f t="shared" si="0"/>
        <v>0</v>
      </c>
      <c r="J15" s="325">
        <f t="shared" si="8"/>
        <v>0</v>
      </c>
      <c r="K15" s="90">
        <f t="shared" si="9"/>
        <v>0</v>
      </c>
      <c r="L15" s="90">
        <f t="shared" si="1"/>
        <v>0</v>
      </c>
      <c r="M15" s="90">
        <f t="shared" si="10"/>
        <v>0</v>
      </c>
      <c r="N15" s="92">
        <f t="shared" si="2"/>
        <v>0</v>
      </c>
      <c r="O15" s="17">
        <f t="shared" si="3"/>
        <v>718305.42932050279</v>
      </c>
      <c r="P15" s="90">
        <f t="shared" si="11"/>
        <v>37853.159798248002</v>
      </c>
      <c r="Q15" s="90">
        <f t="shared" si="12"/>
        <v>1023045.2643309543</v>
      </c>
      <c r="R15" s="90">
        <f t="shared" si="4"/>
        <v>1037361.533010088</v>
      </c>
      <c r="S15" s="90">
        <f t="shared" si="13"/>
        <v>119880.04110967512</v>
      </c>
      <c r="T15" s="92">
        <f t="shared" si="5"/>
        <v>1801.7305955175118</v>
      </c>
      <c r="U15" s="17">
        <f t="shared" si="14"/>
        <v>2938247.1581649855</v>
      </c>
      <c r="V15" s="6">
        <f t="shared" si="6"/>
        <v>812449.82367803657</v>
      </c>
      <c r="X15" s="700" t="s">
        <v>677</v>
      </c>
      <c r="Y15" s="700"/>
      <c r="Z15" s="700"/>
      <c r="AA15" s="569">
        <v>0.02</v>
      </c>
      <c r="AB15" s="569">
        <v>0.05</v>
      </c>
      <c r="AU15" s="292" t="s">
        <v>491</v>
      </c>
    </row>
    <row r="16" spans="1:49" x14ac:dyDescent="0.25">
      <c r="A16" s="75">
        <f t="shared" si="7"/>
        <v>38442.240096313108</v>
      </c>
      <c r="B16" s="2">
        <f t="shared" si="15"/>
        <v>2040</v>
      </c>
      <c r="C16" s="260">
        <f>IF(OR($B16&lt;$Y$6,$B16&gt;'Project Data and Assumptions'!$C$8),0,$AC$35*(1+$AA$15)^($B16-2020))</f>
        <v>0</v>
      </c>
      <c r="D16" s="91">
        <f>IF(OR($B16&lt;$Y$6,$B16&gt;'Project Data and Assumptions'!$C$8),0,$AB$34*(1+$AA$15)^($B16-2020))</f>
        <v>0</v>
      </c>
      <c r="E16" s="258">
        <f>IF(OR($B16&lt;$Y$6,$B16&gt;'Project Data and Assumptions'!$C$8),0,$AC$34*(1+$AA$15)^($B16-2020))</f>
        <v>0</v>
      </c>
      <c r="F16" s="260">
        <f>IF($B16&gt;'Project Data and Assumptions'!$C$8,0,$AC$30*(1+$AA$15)^($B16-2020))</f>
        <v>58148.534754516899</v>
      </c>
      <c r="G16" s="91">
        <f>IF($B16&gt;'Project Data and Assumptions'!$C$8,0,$AB$29*(1+$AA$15)^($B16-2020))</f>
        <v>16152.201721139962</v>
      </c>
      <c r="H16" s="258">
        <f>IF($B16&gt;'Project Data and Assumptions'!$C$8,0,$AC$29*(1+$AA$15)^($B16-2020))</f>
        <v>83976.886005578563</v>
      </c>
      <c r="I16" s="17">
        <f t="shared" si="0"/>
        <v>0</v>
      </c>
      <c r="J16" s="325">
        <f t="shared" si="8"/>
        <v>0</v>
      </c>
      <c r="K16" s="90">
        <f t="shared" si="9"/>
        <v>0</v>
      </c>
      <c r="L16" s="90">
        <f t="shared" si="1"/>
        <v>0</v>
      </c>
      <c r="M16" s="90">
        <f t="shared" si="10"/>
        <v>0</v>
      </c>
      <c r="N16" s="92">
        <f t="shared" si="2"/>
        <v>0</v>
      </c>
      <c r="O16" s="17">
        <f t="shared" si="3"/>
        <v>732671.53790691285</v>
      </c>
      <c r="P16" s="90">
        <f t="shared" si="11"/>
        <v>38610.222994212971</v>
      </c>
      <c r="Q16" s="90">
        <f t="shared" si="12"/>
        <v>1043506.1696175735</v>
      </c>
      <c r="R16" s="90">
        <f t="shared" si="4"/>
        <v>1058108.7636702899</v>
      </c>
      <c r="S16" s="90">
        <f t="shared" si="13"/>
        <v>122277.64193186865</v>
      </c>
      <c r="T16" s="92">
        <f t="shared" si="5"/>
        <v>1837.7652074278626</v>
      </c>
      <c r="U16" s="17">
        <f t="shared" si="14"/>
        <v>2997012.1013282859</v>
      </c>
      <c r="V16" s="6">
        <f t="shared" si="6"/>
        <v>774484.87864635291</v>
      </c>
      <c r="X16" s="695" t="s">
        <v>498</v>
      </c>
      <c r="Y16" s="695"/>
      <c r="Z16" s="695"/>
      <c r="AA16" s="177">
        <v>0.86</v>
      </c>
      <c r="AB16" s="113"/>
      <c r="AU16" s="292" t="s">
        <v>502</v>
      </c>
      <c r="AV16" s="292" t="s">
        <v>505</v>
      </c>
      <c r="AW16" s="292" t="s">
        <v>506</v>
      </c>
    </row>
    <row r="17" spans="1:33" x14ac:dyDescent="0.25">
      <c r="A17" s="75">
        <f t="shared" si="7"/>
        <v>39211.084898239365</v>
      </c>
      <c r="B17" s="2">
        <f t="shared" si="15"/>
        <v>2041</v>
      </c>
      <c r="C17" s="260">
        <f>IF(OR($B17&lt;$Y$6,$B17&gt;'Project Data and Assumptions'!$C$8),0,$AC$35*(1+$AA$15)^($B17-2020))</f>
        <v>0</v>
      </c>
      <c r="D17" s="91">
        <f>IF(OR($B17&lt;$Y$6,$B17&gt;'Project Data and Assumptions'!$C$8),0,$AB$34*(1+$AA$15)^($B17-2020))</f>
        <v>0</v>
      </c>
      <c r="E17" s="258">
        <f>IF(OR($B17&lt;$Y$6,$B17&gt;'Project Data and Assumptions'!$C$8),0,$AC$34*(1+$AA$15)^($B17-2020))</f>
        <v>0</v>
      </c>
      <c r="F17" s="260">
        <f>IF($B17&gt;'Project Data and Assumptions'!$C$8,0,$AC$30*(1+$AA$15)^($B17-2020))</f>
        <v>59311.505449607233</v>
      </c>
      <c r="G17" s="91">
        <f>IF($B17&gt;'Project Data and Assumptions'!$C$8,0,$AB$29*(1+$AA$15)^($B17-2020))</f>
        <v>16475.245755562759</v>
      </c>
      <c r="H17" s="258">
        <f>IF($B17&gt;'Project Data and Assumptions'!$C$8,0,$AC$29*(1+$AA$15)^($B17-2020))</f>
        <v>85656.423725690125</v>
      </c>
      <c r="I17" s="17">
        <f t="shared" si="0"/>
        <v>0</v>
      </c>
      <c r="J17" s="325">
        <f t="shared" si="8"/>
        <v>0</v>
      </c>
      <c r="K17" s="90">
        <f t="shared" si="9"/>
        <v>0</v>
      </c>
      <c r="L17" s="90">
        <f t="shared" si="1"/>
        <v>0</v>
      </c>
      <c r="M17" s="90">
        <f t="shared" si="10"/>
        <v>0</v>
      </c>
      <c r="N17" s="92">
        <f t="shared" si="2"/>
        <v>0</v>
      </c>
      <c r="O17" s="17">
        <f t="shared" si="3"/>
        <v>747324.96866505116</v>
      </c>
      <c r="P17" s="90">
        <f t="shared" si="11"/>
        <v>39382.427454097218</v>
      </c>
      <c r="Q17" s="90">
        <f t="shared" si="12"/>
        <v>1064376.2930099249</v>
      </c>
      <c r="R17" s="90">
        <f t="shared" si="4"/>
        <v>1079270.9389436955</v>
      </c>
      <c r="S17" s="90">
        <f t="shared" si="13"/>
        <v>124723.19477050602</v>
      </c>
      <c r="T17" s="92">
        <f t="shared" si="5"/>
        <v>1874.5205115764195</v>
      </c>
      <c r="U17" s="17">
        <f t="shared" si="14"/>
        <v>3056952.343354851</v>
      </c>
      <c r="V17" s="6">
        <f t="shared" si="6"/>
        <v>738293.99646661663</v>
      </c>
      <c r="X17" s="695" t="s">
        <v>499</v>
      </c>
      <c r="Y17" s="695"/>
      <c r="Z17" s="695"/>
      <c r="AA17" s="265">
        <f>MIN(Y7,2.38)</f>
        <v>1.6</v>
      </c>
      <c r="AB17" s="266" t="s">
        <v>500</v>
      </c>
      <c r="AC17" s="284" t="s">
        <v>501</v>
      </c>
    </row>
    <row r="18" spans="1:33" x14ac:dyDescent="0.25">
      <c r="A18" s="75">
        <f t="shared" si="7"/>
        <v>39995.306596204158</v>
      </c>
      <c r="B18" s="2">
        <f t="shared" si="15"/>
        <v>2042</v>
      </c>
      <c r="C18" s="260">
        <f>IF(OR($B18&lt;$Y$6,$B18&gt;'Project Data and Assumptions'!$C$8),0,$AC$35*(1+$AA$15)^($B18-2020))</f>
        <v>0</v>
      </c>
      <c r="D18" s="91">
        <f>IF(OR($B18&lt;$Y$6,$B18&gt;'Project Data and Assumptions'!$C$8),0,$AB$34*(1+$AA$15)^($B18-2020))</f>
        <v>0</v>
      </c>
      <c r="E18" s="258">
        <f>IF(OR($B18&lt;$Y$6,$B18&gt;'Project Data and Assumptions'!$C$8),0,$AC$34*(1+$AA$15)^($B18-2020))</f>
        <v>0</v>
      </c>
      <c r="F18" s="260">
        <f>IF($B18&gt;'Project Data and Assumptions'!$C$8,0,$AC$30*(1+$AA$15)^($B18-2020))</f>
        <v>60497.735558599379</v>
      </c>
      <c r="G18" s="91">
        <f>IF($B18&gt;'Project Data and Assumptions'!$C$8,0,$AB$29*(1+$AA$15)^($B18-2020))</f>
        <v>16804.750670674017</v>
      </c>
      <c r="H18" s="258">
        <f>IF($B18&gt;'Project Data and Assumptions'!$C$8,0,$AC$29*(1+$AA$15)^($B18-2020))</f>
        <v>87369.552200203936</v>
      </c>
      <c r="I18" s="17">
        <f t="shared" si="0"/>
        <v>0</v>
      </c>
      <c r="J18" s="325">
        <f t="shared" si="8"/>
        <v>0</v>
      </c>
      <c r="K18" s="90">
        <f t="shared" si="9"/>
        <v>0</v>
      </c>
      <c r="L18" s="90">
        <f t="shared" si="1"/>
        <v>0</v>
      </c>
      <c r="M18" s="90">
        <f t="shared" si="10"/>
        <v>0</v>
      </c>
      <c r="N18" s="92">
        <f t="shared" si="2"/>
        <v>0</v>
      </c>
      <c r="O18" s="17">
        <f t="shared" si="3"/>
        <v>762271.46803835209</v>
      </c>
      <c r="P18" s="90">
        <f t="shared" si="11"/>
        <v>40170.07600317918</v>
      </c>
      <c r="Q18" s="90">
        <f t="shared" si="12"/>
        <v>1085663.8188701235</v>
      </c>
      <c r="R18" s="90">
        <f t="shared" si="4"/>
        <v>1100856.3577225695</v>
      </c>
      <c r="S18" s="90">
        <f t="shared" si="13"/>
        <v>127217.65866591615</v>
      </c>
      <c r="T18" s="92">
        <f t="shared" si="5"/>
        <v>1912.0109218079483</v>
      </c>
      <c r="U18" s="17">
        <f t="shared" si="14"/>
        <v>3118091.3902219478</v>
      </c>
      <c r="V18" s="6">
        <f t="shared" si="6"/>
        <v>703794.27700555965</v>
      </c>
      <c r="X18" s="695" t="s">
        <v>495</v>
      </c>
      <c r="Y18" s="695"/>
      <c r="Z18" s="695"/>
      <c r="AA18" s="695"/>
      <c r="AB18" s="177">
        <f>MIN($AA$16,$Y8)</f>
        <v>0.86</v>
      </c>
      <c r="AC18" s="177">
        <f>MIN($AA$17,$Y8)</f>
        <v>1.6</v>
      </c>
    </row>
    <row r="19" spans="1:33" x14ac:dyDescent="0.25">
      <c r="A19" s="75">
        <f t="shared" si="7"/>
        <v>40795.21272812823</v>
      </c>
      <c r="B19" s="2">
        <f t="shared" si="15"/>
        <v>2043</v>
      </c>
      <c r="C19" s="260">
        <f>IF(OR($B19&lt;$Y$6,$B19&gt;'Project Data and Assumptions'!$C$8),0,$AC$35*(1+$AA$15)^($B19-2020))</f>
        <v>0</v>
      </c>
      <c r="D19" s="91">
        <f>IF(OR($B19&lt;$Y$6,$B19&gt;'Project Data and Assumptions'!$C$8),0,$AB$34*(1+$AA$15)^($B19-2020))</f>
        <v>0</v>
      </c>
      <c r="E19" s="258">
        <f>IF(OR($B19&lt;$Y$6,$B19&gt;'Project Data and Assumptions'!$C$8),0,$AC$34*(1+$AA$15)^($B19-2020))</f>
        <v>0</v>
      </c>
      <c r="F19" s="260">
        <f>IF($B19&gt;'Project Data and Assumptions'!$C$8,0,$AC$30*(1+$AA$15)^($B19-2020))</f>
        <v>61707.690269771359</v>
      </c>
      <c r="G19" s="91">
        <f>IF($B19&gt;'Project Data and Assumptions'!$C$8,0,$AB$29*(1+$AA$15)^($B19-2020))</f>
        <v>17140.845684087493</v>
      </c>
      <c r="H19" s="258">
        <f>IF($B19&gt;'Project Data and Assumptions'!$C$8,0,$AC$29*(1+$AA$15)^($B19-2020))</f>
        <v>89116.943244208</v>
      </c>
      <c r="I19" s="17">
        <f t="shared" si="0"/>
        <v>0</v>
      </c>
      <c r="J19" s="325">
        <f t="shared" si="8"/>
        <v>0</v>
      </c>
      <c r="K19" s="90">
        <f t="shared" si="9"/>
        <v>0</v>
      </c>
      <c r="L19" s="90">
        <f t="shared" si="1"/>
        <v>0</v>
      </c>
      <c r="M19" s="90">
        <f t="shared" si="10"/>
        <v>0</v>
      </c>
      <c r="N19" s="92">
        <f t="shared" si="2"/>
        <v>0</v>
      </c>
      <c r="O19" s="17">
        <f t="shared" si="3"/>
        <v>777516.8973991191</v>
      </c>
      <c r="P19" s="90">
        <f t="shared" si="11"/>
        <v>40973.477523242749</v>
      </c>
      <c r="Q19" s="90">
        <f t="shared" si="12"/>
        <v>1107377.0952475257</v>
      </c>
      <c r="R19" s="90">
        <f t="shared" si="4"/>
        <v>1122873.4848770208</v>
      </c>
      <c r="S19" s="90">
        <f t="shared" si="13"/>
        <v>129762.01183923443</v>
      </c>
      <c r="T19" s="92">
        <f t="shared" si="5"/>
        <v>1950.2511402441066</v>
      </c>
      <c r="U19" s="17">
        <f t="shared" si="14"/>
        <v>3180453.2180263866</v>
      </c>
      <c r="V19" s="6">
        <f t="shared" si="6"/>
        <v>670906.69396791665</v>
      </c>
      <c r="X19" s="695" t="s">
        <v>496</v>
      </c>
      <c r="Y19" s="695"/>
      <c r="Z19" s="695"/>
      <c r="AA19" s="695"/>
      <c r="AB19" s="177">
        <f>MIN($AA$16,SUM($Y9:$Y10))</f>
        <v>0.86</v>
      </c>
      <c r="AC19" s="177">
        <f>MIN($AA$16,SUM($Y9:$Y10))</f>
        <v>0.86</v>
      </c>
    </row>
    <row r="20" spans="1:33" x14ac:dyDescent="0.25">
      <c r="A20" s="75">
        <f t="shared" si="7"/>
        <v>41611.116982690794</v>
      </c>
      <c r="B20" s="2">
        <f t="shared" si="15"/>
        <v>2044</v>
      </c>
      <c r="C20" s="260">
        <f>IF(OR($B20&lt;$Y$6,$B20&gt;'Project Data and Assumptions'!$C$8),0,$AC$35*(1+$AA$15)^($B20-2020))</f>
        <v>0</v>
      </c>
      <c r="D20" s="91">
        <f>IF(OR($B20&lt;$Y$6,$B20&gt;'Project Data and Assumptions'!$C$8),0,$AB$34*(1+$AA$15)^($B20-2020))</f>
        <v>0</v>
      </c>
      <c r="E20" s="258">
        <f>IF(OR($B20&lt;$Y$6,$B20&gt;'Project Data and Assumptions'!$C$8),0,$AC$34*(1+$AA$15)^($B20-2020))</f>
        <v>0</v>
      </c>
      <c r="F20" s="260">
        <f>IF($B20&gt;'Project Data and Assumptions'!$C$8,0,$AC$30*(1+$AA$15)^($B20-2020))</f>
        <v>62941.844075166788</v>
      </c>
      <c r="G20" s="91">
        <f>IF($B20&gt;'Project Data and Assumptions'!$C$8,0,$AB$29*(1+$AA$15)^($B20-2020))</f>
        <v>17483.662597769242</v>
      </c>
      <c r="H20" s="258">
        <f>IF($B20&gt;'Project Data and Assumptions'!$C$8,0,$AC$29*(1+$AA$15)^($B20-2020))</f>
        <v>90899.282109092164</v>
      </c>
      <c r="I20" s="17">
        <f t="shared" si="0"/>
        <v>0</v>
      </c>
      <c r="J20" s="325">
        <f t="shared" si="8"/>
        <v>0</v>
      </c>
      <c r="K20" s="90">
        <f t="shared" si="9"/>
        <v>0</v>
      </c>
      <c r="L20" s="90">
        <f t="shared" si="1"/>
        <v>0</v>
      </c>
      <c r="M20" s="90">
        <f t="shared" si="10"/>
        <v>0</v>
      </c>
      <c r="N20" s="92">
        <f t="shared" si="2"/>
        <v>0</v>
      </c>
      <c r="O20" s="17">
        <f t="shared" si="3"/>
        <v>793067.23534710146</v>
      </c>
      <c r="P20" s="90">
        <f t="shared" si="11"/>
        <v>41792.947073707597</v>
      </c>
      <c r="Q20" s="90">
        <f t="shared" si="12"/>
        <v>1129524.6371524762</v>
      </c>
      <c r="R20" s="90">
        <f t="shared" si="4"/>
        <v>1145330.9545745612</v>
      </c>
      <c r="S20" s="90">
        <f t="shared" si="13"/>
        <v>132357.25207601913</v>
      </c>
      <c r="T20" s="92">
        <f t="shared" si="5"/>
        <v>1989.2561630489886</v>
      </c>
      <c r="U20" s="17">
        <f t="shared" si="14"/>
        <v>3244062.2823869148</v>
      </c>
      <c r="V20" s="6">
        <f t="shared" si="6"/>
        <v>639555.91387595807</v>
      </c>
      <c r="X20" s="568"/>
      <c r="Y20" s="568"/>
      <c r="Z20" s="286"/>
      <c r="AA20" s="93"/>
    </row>
    <row r="21" spans="1:33" x14ac:dyDescent="0.25">
      <c r="A21" s="75">
        <f t="shared" si="7"/>
        <v>42443.339322344611</v>
      </c>
      <c r="B21" s="2">
        <f t="shared" si="15"/>
        <v>2045</v>
      </c>
      <c r="C21" s="260">
        <f>IF(OR($B21&lt;$Y$6,$B21&gt;'Project Data and Assumptions'!$C$8),0,$AC$35*(1+$AA$15)^($B21-2020))</f>
        <v>0</v>
      </c>
      <c r="D21" s="91">
        <f>IF(OR($B21&lt;$Y$6,$B21&gt;'Project Data and Assumptions'!$C$8),0,$AB$34*(1+$AA$15)^($B21-2020))</f>
        <v>0</v>
      </c>
      <c r="E21" s="258">
        <f>IF(OR($B21&lt;$Y$6,$B21&gt;'Project Data and Assumptions'!$C$8),0,$AC$34*(1+$AA$15)^($B21-2020))</f>
        <v>0</v>
      </c>
      <c r="F21" s="260">
        <f>IF($B21&gt;'Project Data and Assumptions'!$C$8,0,$AC$30*(1+$AA$15)^($B21-2020))</f>
        <v>64200.680956670119</v>
      </c>
      <c r="G21" s="91">
        <f>IF($B21&gt;'Project Data and Assumptions'!$C$8,0,$AB$29*(1+$AA$15)^($B21-2020))</f>
        <v>17833.335849724626</v>
      </c>
      <c r="H21" s="258">
        <f>IF($B21&gt;'Project Data and Assumptions'!$C$8,0,$AC$29*(1+$AA$15)^($B21-2020))</f>
        <v>92717.267751274005</v>
      </c>
      <c r="I21" s="17">
        <f t="shared" si="0"/>
        <v>0</v>
      </c>
      <c r="J21" s="325">
        <f t="shared" si="8"/>
        <v>0</v>
      </c>
      <c r="K21" s="90">
        <f t="shared" si="9"/>
        <v>0</v>
      </c>
      <c r="L21" s="90">
        <f t="shared" si="1"/>
        <v>0</v>
      </c>
      <c r="M21" s="90">
        <f t="shared" si="10"/>
        <v>0</v>
      </c>
      <c r="N21" s="92">
        <f t="shared" si="2"/>
        <v>0</v>
      </c>
      <c r="O21" s="17">
        <f t="shared" si="3"/>
        <v>808928.58005404344</v>
      </c>
      <c r="P21" s="90">
        <f t="shared" si="11"/>
        <v>42628.806015181755</v>
      </c>
      <c r="Q21" s="90">
        <f t="shared" si="12"/>
        <v>1152115.1298955258</v>
      </c>
      <c r="R21" s="90">
        <f t="shared" si="4"/>
        <v>1168237.5736660524</v>
      </c>
      <c r="S21" s="90">
        <f t="shared" si="13"/>
        <v>135004.39711753951</v>
      </c>
      <c r="T21" s="92">
        <f t="shared" si="5"/>
        <v>2029.0412863099684</v>
      </c>
      <c r="U21" s="17">
        <f t="shared" si="14"/>
        <v>3308943.5280346526</v>
      </c>
      <c r="V21" s="6">
        <f t="shared" si="6"/>
        <v>609670.1235079224</v>
      </c>
      <c r="X21" s="28"/>
      <c r="Y21" s="28"/>
      <c r="Z21" s="570"/>
      <c r="AA21" s="570"/>
      <c r="AB21" s="570"/>
      <c r="AC21" s="570"/>
      <c r="AD21" s="547"/>
    </row>
    <row r="22" spans="1:33" x14ac:dyDescent="0.25">
      <c r="A22" s="75">
        <f t="shared" si="7"/>
        <v>43292.206108791506</v>
      </c>
      <c r="B22" s="2">
        <f t="shared" si="15"/>
        <v>2046</v>
      </c>
      <c r="C22" s="260">
        <f>IF(OR($B22&lt;$Y$6,$B22&gt;'Project Data and Assumptions'!$C$8),0,$AC$35*(1+$AA$15)^($B22-2020))</f>
        <v>0</v>
      </c>
      <c r="D22" s="91">
        <f>IF(OR($B22&lt;$Y$6,$B22&gt;'Project Data and Assumptions'!$C$8),0,$AB$34*(1+$AA$15)^($B22-2020))</f>
        <v>0</v>
      </c>
      <c r="E22" s="258">
        <f>IF(OR($B22&lt;$Y$6,$B22&gt;'Project Data and Assumptions'!$C$8),0,$AC$34*(1+$AA$15)^($B22-2020))</f>
        <v>0</v>
      </c>
      <c r="F22" s="260">
        <f>IF($B22&gt;'Project Data and Assumptions'!$C$8,0,$AC$30*(1+$AA$15)^($B22-2020))</f>
        <v>65484.694575803529</v>
      </c>
      <c r="G22" s="91">
        <f>IF($B22&gt;'Project Data and Assumptions'!$C$8,0,$AB$29*(1+$AA$15)^($B22-2020))</f>
        <v>18190.002566719122</v>
      </c>
      <c r="H22" s="258">
        <f>IF($B22&gt;'Project Data and Assumptions'!$C$8,0,$AC$29*(1+$AA$15)^($B22-2020))</f>
        <v>94571.613106299497</v>
      </c>
      <c r="I22" s="17">
        <f t="shared" si="0"/>
        <v>0</v>
      </c>
      <c r="J22" s="325">
        <f t="shared" si="8"/>
        <v>0</v>
      </c>
      <c r="K22" s="90">
        <f t="shared" si="9"/>
        <v>0</v>
      </c>
      <c r="L22" s="90">
        <f t="shared" si="1"/>
        <v>0</v>
      </c>
      <c r="M22" s="90">
        <f t="shared" si="10"/>
        <v>0</v>
      </c>
      <c r="N22" s="92">
        <f t="shared" si="2"/>
        <v>0</v>
      </c>
      <c r="O22" s="17">
        <f t="shared" si="3"/>
        <v>825107.1516551245</v>
      </c>
      <c r="P22" s="90">
        <f t="shared" si="11"/>
        <v>43481.382135485394</v>
      </c>
      <c r="Q22" s="90">
        <f t="shared" si="12"/>
        <v>1175157.4324934364</v>
      </c>
      <c r="R22" s="90">
        <f t="shared" si="4"/>
        <v>1191602.3251393735</v>
      </c>
      <c r="S22" s="90">
        <f t="shared" si="13"/>
        <v>137704.48505989031</v>
      </c>
      <c r="T22" s="92">
        <f t="shared" si="5"/>
        <v>2069.6221120361683</v>
      </c>
      <c r="U22" s="17">
        <f t="shared" si="14"/>
        <v>3375122.3985953466</v>
      </c>
      <c r="V22" s="6">
        <f t="shared" si="6"/>
        <v>581180.8654000758</v>
      </c>
      <c r="X22" s="571" t="s">
        <v>640</v>
      </c>
      <c r="Y22" s="28"/>
      <c r="Z22" s="570"/>
      <c r="AA22" s="570"/>
      <c r="AB22" s="570"/>
      <c r="AC22" s="570"/>
      <c r="AD22" s="547"/>
    </row>
    <row r="23" spans="1:33" x14ac:dyDescent="0.25">
      <c r="A23" s="75">
        <f t="shared" si="7"/>
        <v>44158.050230967332</v>
      </c>
      <c r="B23" s="2">
        <f t="shared" si="15"/>
        <v>2047</v>
      </c>
      <c r="C23" s="260">
        <f>IF(OR($B23&lt;$Y$6,$B23&gt;'Project Data and Assumptions'!$C$8),0,$AC$35*(1+$AA$15)^($B23-2020))</f>
        <v>0</v>
      </c>
      <c r="D23" s="91">
        <f>IF(OR($B23&lt;$Y$6,$B23&gt;'Project Data and Assumptions'!$C$8),0,$AB$34*(1+$AA$15)^($B23-2020))</f>
        <v>0</v>
      </c>
      <c r="E23" s="258">
        <f>IF(OR($B23&lt;$Y$6,$B23&gt;'Project Data and Assumptions'!$C$8),0,$AC$34*(1+$AA$15)^($B23-2020))</f>
        <v>0</v>
      </c>
      <c r="F23" s="260">
        <f>IF($B23&gt;'Project Data and Assumptions'!$C$8,0,$AC$30*(1+$AA$15)^($B23-2020))</f>
        <v>66794.388467319586</v>
      </c>
      <c r="G23" s="91">
        <f>IF($B23&gt;'Project Data and Assumptions'!$C$8,0,$AB$29*(1+$AA$15)^($B23-2020))</f>
        <v>18553.802618053502</v>
      </c>
      <c r="H23" s="258">
        <f>IF($B23&gt;'Project Data and Assumptions'!$C$8,0,$AC$29*(1+$AA$15)^($B23-2020))</f>
        <v>96463.045368425475</v>
      </c>
      <c r="I23" s="17">
        <f t="shared" si="0"/>
        <v>0</v>
      </c>
      <c r="J23" s="325">
        <f t="shared" si="8"/>
        <v>0</v>
      </c>
      <c r="K23" s="90">
        <f t="shared" si="9"/>
        <v>0</v>
      </c>
      <c r="L23" s="90">
        <f t="shared" si="1"/>
        <v>0</v>
      </c>
      <c r="M23" s="90">
        <f t="shared" si="10"/>
        <v>0</v>
      </c>
      <c r="N23" s="92">
        <f t="shared" si="2"/>
        <v>0</v>
      </c>
      <c r="O23" s="17">
        <f t="shared" si="3"/>
        <v>841609.29468822677</v>
      </c>
      <c r="P23" s="90">
        <f t="shared" si="11"/>
        <v>44351.009778195097</v>
      </c>
      <c r="Q23" s="90">
        <f t="shared" si="12"/>
        <v>1198660.5811433049</v>
      </c>
      <c r="R23" s="90">
        <f t="shared" si="4"/>
        <v>1215434.3716421609</v>
      </c>
      <c r="S23" s="90">
        <f t="shared" si="13"/>
        <v>140458.57476108809</v>
      </c>
      <c r="T23" s="92">
        <f t="shared" si="5"/>
        <v>2111.014554276891</v>
      </c>
      <c r="U23" s="17">
        <f t="shared" si="14"/>
        <v>3442624.8465672527</v>
      </c>
      <c r="V23" s="6">
        <f t="shared" si="6"/>
        <v>554022.881035586</v>
      </c>
      <c r="X23" s="547"/>
      <c r="Y23" s="547"/>
      <c r="Z23" s="288" t="s">
        <v>23</v>
      </c>
      <c r="AA23" s="288" t="s">
        <v>468</v>
      </c>
      <c r="AB23" s="288" t="s">
        <v>53</v>
      </c>
      <c r="AC23" s="288" t="s">
        <v>261</v>
      </c>
      <c r="AD23" s="288" t="s">
        <v>486</v>
      </c>
    </row>
    <row r="24" spans="1:33" x14ac:dyDescent="0.25">
      <c r="A24" s="75">
        <f t="shared" si="7"/>
        <v>45041.211235586685</v>
      </c>
      <c r="B24" s="2">
        <f t="shared" si="15"/>
        <v>2048</v>
      </c>
      <c r="C24" s="260">
        <f>IF(OR($B24&lt;$Y$6,$B24&gt;'Project Data and Assumptions'!$C$8),0,$AC$35*(1+$AA$15)^($B24-2020))</f>
        <v>0</v>
      </c>
      <c r="D24" s="91">
        <f>IF(OR($B24&lt;$Y$6,$B24&gt;'Project Data and Assumptions'!$C$8),0,$AB$34*(1+$AA$15)^($B24-2020))</f>
        <v>0</v>
      </c>
      <c r="E24" s="258">
        <f>IF(OR($B24&lt;$Y$6,$B24&gt;'Project Data and Assumptions'!$C$8),0,$AC$34*(1+$AA$15)^($B24-2020))</f>
        <v>0</v>
      </c>
      <c r="F24" s="260">
        <f>IF($B24&gt;'Project Data and Assumptions'!$C$8,0,$AC$30*(1+$AA$15)^($B24-2020))</f>
        <v>68130.276236666003</v>
      </c>
      <c r="G24" s="91">
        <f>IF($B24&gt;'Project Data and Assumptions'!$C$8,0,$AB$29*(1+$AA$15)^($B24-2020))</f>
        <v>18924.878670414575</v>
      </c>
      <c r="H24" s="258">
        <f>IF($B24&gt;'Project Data and Assumptions'!$C$8,0,$AC$29*(1+$AA$15)^($B24-2020))</f>
        <v>98392.306275794006</v>
      </c>
      <c r="I24" s="17">
        <f t="shared" si="0"/>
        <v>0</v>
      </c>
      <c r="J24" s="325">
        <f t="shared" si="8"/>
        <v>0</v>
      </c>
      <c r="K24" s="90">
        <f t="shared" si="9"/>
        <v>0</v>
      </c>
      <c r="L24" s="90">
        <f t="shared" si="1"/>
        <v>0</v>
      </c>
      <c r="M24" s="90">
        <f t="shared" si="10"/>
        <v>0</v>
      </c>
      <c r="N24" s="92">
        <f t="shared" si="2"/>
        <v>0</v>
      </c>
      <c r="O24" s="17">
        <f t="shared" si="3"/>
        <v>858441.48058199172</v>
      </c>
      <c r="P24" s="90">
        <f t="shared" si="11"/>
        <v>45238.029973759003</v>
      </c>
      <c r="Q24" s="90">
        <f t="shared" si="12"/>
        <v>1222633.7927661715</v>
      </c>
      <c r="R24" s="90">
        <f t="shared" si="4"/>
        <v>1239743.0590750044</v>
      </c>
      <c r="S24" s="90">
        <f t="shared" si="13"/>
        <v>143267.74625630991</v>
      </c>
      <c r="T24" s="92">
        <f t="shared" si="5"/>
        <v>2153.2348453624295</v>
      </c>
      <c r="U24" s="17">
        <f t="shared" si="14"/>
        <v>3511477.3434985992</v>
      </c>
      <c r="V24" s="6">
        <f t="shared" si="6"/>
        <v>528133.96136102627</v>
      </c>
      <c r="X24" s="709" t="s">
        <v>191</v>
      </c>
      <c r="Y24" s="709"/>
      <c r="Z24" s="327">
        <f>District!$B$6*District!$B$3*('Trail Lengths'!F4/'Trail Lengths'!F24)</f>
        <v>29139.02947041878</v>
      </c>
      <c r="AA24" s="327">
        <f>Z24*(SUM(District!$B$27:$B$30)+District!$B$26*5/7)</f>
        <v>24807.246622887698</v>
      </c>
      <c r="AB24" s="327">
        <f>SUM($Z24:$Z25)*District!$C$11</f>
        <v>4700.5270161754916</v>
      </c>
      <c r="AC24" s="327">
        <f>Z24-AB24</f>
        <v>24438.502454243288</v>
      </c>
      <c r="AD24" s="328">
        <f>AA24/Z24</f>
        <v>0.85134086734327918</v>
      </c>
    </row>
    <row r="25" spans="1:33" x14ac:dyDescent="0.25">
      <c r="A25" s="75">
        <f t="shared" si="7"/>
        <v>45942.035460298415</v>
      </c>
      <c r="B25" s="2">
        <f t="shared" si="15"/>
        <v>2049</v>
      </c>
      <c r="C25" s="260">
        <f>IF(OR($B25&lt;$Y$6,$B25&gt;'Project Data and Assumptions'!$C$8),0,$AC$35*(1+$AA$15)^($B25-2020))</f>
        <v>0</v>
      </c>
      <c r="D25" s="91">
        <f>IF(OR($B25&lt;$Y$6,$B25&gt;'Project Data and Assumptions'!$C$8),0,$AB$34*(1+$AA$15)^($B25-2020))</f>
        <v>0</v>
      </c>
      <c r="E25" s="258">
        <f>IF(OR($B25&lt;$Y$6,$B25&gt;'Project Data and Assumptions'!$C$8),0,$AC$34*(1+$AA$15)^($B25-2020))</f>
        <v>0</v>
      </c>
      <c r="F25" s="260">
        <f>IF($B25&gt;'Project Data and Assumptions'!$C$8,0,$AC$30*(1+$AA$15)^($B25-2020))</f>
        <v>69492.881761399301</v>
      </c>
      <c r="G25" s="91">
        <f>IF($B25&gt;'Project Data and Assumptions'!$C$8,0,$AB$29*(1+$AA$15)^($B25-2020))</f>
        <v>19303.376243822866</v>
      </c>
      <c r="H25" s="258">
        <f>IF($B25&gt;'Project Data and Assumptions'!$C$8,0,$AC$29*(1+$AA$15)^($B25-2020))</f>
        <v>100360.15240130987</v>
      </c>
      <c r="I25" s="17">
        <f t="shared" si="0"/>
        <v>0</v>
      </c>
      <c r="J25" s="325">
        <f t="shared" si="8"/>
        <v>0</v>
      </c>
      <c r="K25" s="90">
        <f t="shared" si="9"/>
        <v>0</v>
      </c>
      <c r="L25" s="90">
        <f t="shared" si="1"/>
        <v>0</v>
      </c>
      <c r="M25" s="90">
        <f t="shared" si="10"/>
        <v>0</v>
      </c>
      <c r="N25" s="92">
        <f t="shared" si="2"/>
        <v>0</v>
      </c>
      <c r="O25" s="17">
        <f t="shared" si="3"/>
        <v>875610.31019363133</v>
      </c>
      <c r="P25" s="90">
        <f t="shared" si="11"/>
        <v>46142.79057323419</v>
      </c>
      <c r="Q25" s="90">
        <f t="shared" si="12"/>
        <v>1247086.4686214945</v>
      </c>
      <c r="R25" s="90">
        <f t="shared" si="4"/>
        <v>1264537.9202565043</v>
      </c>
      <c r="S25" s="90">
        <f t="shared" si="13"/>
        <v>146133.10118143607</v>
      </c>
      <c r="T25" s="92">
        <f t="shared" si="5"/>
        <v>2196.2995422696777</v>
      </c>
      <c r="U25" s="17">
        <f t="shared" si="14"/>
        <v>3581706.8903685696</v>
      </c>
      <c r="V25" s="6">
        <f t="shared" si="6"/>
        <v>503454.80428808089</v>
      </c>
      <c r="X25" s="709" t="s">
        <v>190</v>
      </c>
      <c r="Y25" s="709"/>
      <c r="Z25" s="327">
        <f>District!$B$6*SUM(District!C3:D3)*('Trail Lengths'!F4/'Trail Lengths'!F24)</f>
        <v>21622.60137380899</v>
      </c>
      <c r="AA25" s="327">
        <f>Z25*(SUM(District!$B$27:$B$30)+District!$B$26*5/7)</f>
        <v>18408.204207796527</v>
      </c>
      <c r="AB25" s="327">
        <v>0</v>
      </c>
      <c r="AC25" s="327">
        <f>Z25-AB25</f>
        <v>21622.60137380899</v>
      </c>
      <c r="AD25" s="328">
        <f>AA25/Z25</f>
        <v>0.8513408673432793</v>
      </c>
      <c r="AG25" s="112" t="s">
        <v>64</v>
      </c>
    </row>
    <row r="26" spans="1:33" x14ac:dyDescent="0.25">
      <c r="A26" s="75">
        <f t="shared" si="7"/>
        <v>46860.876169504387</v>
      </c>
      <c r="B26" s="2">
        <f t="shared" si="15"/>
        <v>2050</v>
      </c>
      <c r="C26" s="260">
        <f>IF(OR($B26&lt;$Y$6,$B26&gt;'Project Data and Assumptions'!$C$8),0,$AC$35*(1+$AA$15)^($B26-2020))</f>
        <v>0</v>
      </c>
      <c r="D26" s="91">
        <f>IF(OR($B26&lt;$Y$6,$B26&gt;'Project Data and Assumptions'!$C$8),0,$AB$34*(1+$AA$15)^($B26-2020))</f>
        <v>0</v>
      </c>
      <c r="E26" s="258">
        <f>IF(OR($B26&lt;$Y$6,$B26&gt;'Project Data and Assumptions'!$C$8),0,$AC$34*(1+$AA$15)^($B26-2020))</f>
        <v>0</v>
      </c>
      <c r="F26" s="260">
        <f>IF($B26&gt;'Project Data and Assumptions'!$C$8,0,$AC$30*(1+$AA$15)^($B26-2020))</f>
        <v>70882.739396627294</v>
      </c>
      <c r="G26" s="91">
        <f>IF($B26&gt;'Project Data and Assumptions'!$C$8,0,$AB$29*(1+$AA$15)^($B26-2020))</f>
        <v>19689.443768699322</v>
      </c>
      <c r="H26" s="258">
        <f>IF($B26&gt;'Project Data and Assumptions'!$C$8,0,$AC$29*(1+$AA$15)^($B26-2020))</f>
        <v>102367.35544933607</v>
      </c>
      <c r="I26" s="17">
        <f t="shared" si="0"/>
        <v>0</v>
      </c>
      <c r="J26" s="325">
        <f t="shared" si="8"/>
        <v>0</v>
      </c>
      <c r="K26" s="90">
        <f t="shared" si="9"/>
        <v>0</v>
      </c>
      <c r="L26" s="90">
        <f t="shared" si="1"/>
        <v>0</v>
      </c>
      <c r="M26" s="90">
        <f t="shared" si="10"/>
        <v>0</v>
      </c>
      <c r="N26" s="92">
        <f t="shared" si="2"/>
        <v>0</v>
      </c>
      <c r="O26" s="17">
        <f t="shared" si="3"/>
        <v>893122.5163975039</v>
      </c>
      <c r="P26" s="90">
        <f t="shared" si="11"/>
        <v>47065.64638469887</v>
      </c>
      <c r="Q26" s="90">
        <f t="shared" si="12"/>
        <v>1272028.1979939244</v>
      </c>
      <c r="R26" s="90">
        <f t="shared" si="4"/>
        <v>1289828.6786616344</v>
      </c>
      <c r="S26" s="90">
        <f t="shared" si="13"/>
        <v>149055.76320506481</v>
      </c>
      <c r="T26" s="92">
        <f t="shared" si="5"/>
        <v>2240.2255331150718</v>
      </c>
      <c r="U26" s="17">
        <f t="shared" si="14"/>
        <v>3653341.0281759417</v>
      </c>
      <c r="V26" s="6">
        <f t="shared" si="6"/>
        <v>479928.87885405857</v>
      </c>
      <c r="X26" s="28"/>
      <c r="Y26" s="28"/>
      <c r="Z26" s="573"/>
      <c r="AA26" s="573"/>
      <c r="AB26" s="573"/>
      <c r="AC26" s="570"/>
      <c r="AD26" s="547"/>
      <c r="AG26" s="112" t="s">
        <v>65</v>
      </c>
    </row>
    <row r="27" spans="1:33" ht="15.75" thickBot="1" x14ac:dyDescent="0.3">
      <c r="A27" s="75">
        <f t="shared" si="7"/>
        <v>0</v>
      </c>
      <c r="B27" s="3">
        <f t="shared" si="15"/>
        <v>2051</v>
      </c>
      <c r="C27" s="261">
        <f>IF(OR($B27&lt;$Y$6,$B27&gt;'Project Data and Assumptions'!$C$8),0,$AC$35*(1+$AA$15)^($B27-2020))</f>
        <v>0</v>
      </c>
      <c r="D27" s="96">
        <f>IF(OR($B27&lt;$Y$6,$B27&gt;'Project Data and Assumptions'!$C$8),0,$AB$34*(1+$AA$15)^($B27-2020))</f>
        <v>0</v>
      </c>
      <c r="E27" s="259">
        <f>IF(OR($B27&lt;$Y$6,$B27&gt;'Project Data and Assumptions'!$C$8),0,$AC$34*(1+$AA$15)^($B27-2020))</f>
        <v>0</v>
      </c>
      <c r="F27" s="261">
        <f>IF($B27&gt;'Project Data and Assumptions'!$C$8,0,$AC$30*(1+$AA$15)^($B27-2020))</f>
        <v>0</v>
      </c>
      <c r="G27" s="96">
        <f>IF($B27&gt;'Project Data and Assumptions'!$C$8,0,$AB$29*(1+$AA$15)^($B27-2020))</f>
        <v>0</v>
      </c>
      <c r="H27" s="259">
        <f>IF($B27&gt;'Project Data and Assumptions'!$C$8,0,$AC$29*(1+$AA$15)^($B27-2020))</f>
        <v>0</v>
      </c>
      <c r="I27" s="120">
        <f t="shared" si="0"/>
        <v>0</v>
      </c>
      <c r="J27" s="326">
        <f t="shared" ref="J27" si="16">(D27*$AA$40)*$AA$38*$AA$39</f>
        <v>0</v>
      </c>
      <c r="K27" s="121">
        <f t="shared" ref="K27" si="17">C27*$AA$43+SUM(D27:E27)*$AA$44</f>
        <v>0</v>
      </c>
      <c r="L27" s="121">
        <f t="shared" si="1"/>
        <v>0</v>
      </c>
      <c r="M27" s="121">
        <f t="shared" ref="M27" si="18">SUM(D27:E27)*$AA$52</f>
        <v>0</v>
      </c>
      <c r="N27" s="123">
        <f t="shared" si="2"/>
        <v>0</v>
      </c>
      <c r="O27" s="120">
        <f t="shared" si="3"/>
        <v>0</v>
      </c>
      <c r="P27" s="121">
        <f t="shared" ref="P27" si="19">(G27*$AA$40)*$AA$38*$AA$39</f>
        <v>0</v>
      </c>
      <c r="Q27" s="121">
        <f t="shared" ref="Q27" si="20">F27*$AA$43+SUM(G27:H27)*$AA$44</f>
        <v>0</v>
      </c>
      <c r="R27" s="121">
        <f t="shared" si="4"/>
        <v>0</v>
      </c>
      <c r="S27" s="121">
        <f t="shared" ref="S27" si="21">SUM(G27:H27)*$AA$52</f>
        <v>0</v>
      </c>
      <c r="T27" s="123">
        <f t="shared" si="5"/>
        <v>0</v>
      </c>
      <c r="U27" s="18">
        <f t="shared" ref="U27" si="22">SUM(I27:T27)</f>
        <v>0</v>
      </c>
      <c r="V27" s="7">
        <f t="shared" si="6"/>
        <v>0</v>
      </c>
      <c r="X27" s="32" t="s">
        <v>641</v>
      </c>
      <c r="Y27" s="30"/>
      <c r="Z27" s="100"/>
      <c r="AA27" s="100"/>
      <c r="AB27" s="100"/>
      <c r="AC27" s="100"/>
    </row>
    <row r="28" spans="1:33" ht="15.75" thickBot="1" x14ac:dyDescent="0.3">
      <c r="A28" s="75"/>
      <c r="B28" s="4"/>
      <c r="D28" s="4"/>
      <c r="G28" s="4"/>
      <c r="H28" s="97" t="s">
        <v>2</v>
      </c>
      <c r="I28" s="140">
        <f t="shared" ref="I28:V28" si="23">SUM(I7:I27)</f>
        <v>0</v>
      </c>
      <c r="J28" s="141">
        <f t="shared" si="23"/>
        <v>0</v>
      </c>
      <c r="K28" s="141">
        <f t="shared" si="23"/>
        <v>0</v>
      </c>
      <c r="L28" s="141">
        <f t="shared" si="23"/>
        <v>0</v>
      </c>
      <c r="M28" s="141">
        <f t="shared" si="23"/>
        <v>0</v>
      </c>
      <c r="N28" s="142">
        <f t="shared" si="23"/>
        <v>0</v>
      </c>
      <c r="O28" s="140">
        <f t="shared" si="23"/>
        <v>14895909.961341282</v>
      </c>
      <c r="P28" s="141">
        <f t="shared" si="23"/>
        <v>784982.59527337749</v>
      </c>
      <c r="Q28" s="141">
        <f t="shared" si="23"/>
        <v>21215473.977784555</v>
      </c>
      <c r="R28" s="141">
        <f t="shared" si="23"/>
        <v>21512358.618387196</v>
      </c>
      <c r="S28" s="141">
        <f t="shared" si="23"/>
        <v>2486020.8842091821</v>
      </c>
      <c r="T28" s="142">
        <f t="shared" si="23"/>
        <v>37363.516451227544</v>
      </c>
      <c r="U28" s="143">
        <f t="shared" si="23"/>
        <v>60932109.553446822</v>
      </c>
      <c r="V28" s="144">
        <f t="shared" si="23"/>
        <v>15705868.809708524</v>
      </c>
      <c r="Z28" s="94" t="s">
        <v>23</v>
      </c>
      <c r="AA28" s="94" t="s">
        <v>468</v>
      </c>
      <c r="AB28" s="94" t="s">
        <v>53</v>
      </c>
      <c r="AC28" s="94" t="s">
        <v>261</v>
      </c>
      <c r="AD28" s="288" t="s">
        <v>486</v>
      </c>
    </row>
    <row r="29" spans="1:33" x14ac:dyDescent="0.25">
      <c r="A29" s="75"/>
      <c r="B29" s="4"/>
      <c r="D29" s="4"/>
      <c r="F29" s="97"/>
      <c r="G29" s="4"/>
      <c r="H29" s="4"/>
      <c r="I29" s="98"/>
      <c r="J29" s="98"/>
      <c r="K29" s="98"/>
      <c r="L29" s="98"/>
      <c r="M29" s="98"/>
      <c r="N29" s="98"/>
      <c r="O29" s="98"/>
      <c r="P29" s="98"/>
      <c r="Q29" s="98"/>
      <c r="R29" s="98"/>
      <c r="S29" s="98"/>
      <c r="T29" s="98"/>
      <c r="U29" s="98"/>
      <c r="V29" s="98"/>
      <c r="X29" s="698" t="s">
        <v>191</v>
      </c>
      <c r="Y29" s="698"/>
      <c r="Z29" s="327">
        <f>$Y$8/$Y$7*Z24</f>
        <v>67384.005650343432</v>
      </c>
      <c r="AA29" s="289">
        <f>Z29*(SUM(District!$B$27:$B$30)+District!$B$26*5/7)</f>
        <v>57366.757815427802</v>
      </c>
      <c r="AB29" s="289">
        <f>SUM($Z29:$Z30)*District!$C$11</f>
        <v>10869.968724905824</v>
      </c>
      <c r="AC29" s="327">
        <f>Z29-AB29</f>
        <v>56514.036925437606</v>
      </c>
      <c r="AD29" s="328">
        <f>IFERROR(AA29/Z29,0)</f>
        <v>0.85134086734327918</v>
      </c>
    </row>
    <row r="30" spans="1:33" x14ac:dyDescent="0.25">
      <c r="A30" s="75"/>
      <c r="D30" s="99"/>
      <c r="U30" s="30"/>
      <c r="X30" s="698" t="s">
        <v>190</v>
      </c>
      <c r="Y30" s="698"/>
      <c r="Z30" s="327">
        <f>$Y$8/$Y$7*Z25</f>
        <v>50002.26567693329</v>
      </c>
      <c r="AA30" s="289">
        <f>Z30*(SUM(District!$B$27:$B$30)+District!$B$26*5/7)</f>
        <v>42568.972230529464</v>
      </c>
      <c r="AB30" s="289">
        <f>SUM($Z29:$Z30)*District!$C$11</f>
        <v>10869.968724905824</v>
      </c>
      <c r="AC30" s="327">
        <f>Z30-AB30</f>
        <v>39132.296952027464</v>
      </c>
      <c r="AD30" s="328">
        <f>IFERROR(AA30/Z30,0)</f>
        <v>0.85134086734327918</v>
      </c>
    </row>
    <row r="31" spans="1:33" ht="15" customHeight="1" x14ac:dyDescent="0.25">
      <c r="A31" s="75"/>
      <c r="D31" s="99"/>
      <c r="U31" s="30"/>
      <c r="X31" s="30"/>
      <c r="Y31" s="30"/>
      <c r="Z31" s="114"/>
      <c r="AA31" s="114"/>
      <c r="AB31" s="114"/>
      <c r="AC31" s="100"/>
    </row>
    <row r="32" spans="1:33" ht="15" customHeight="1" x14ac:dyDescent="0.25">
      <c r="B32" s="175" t="s">
        <v>3</v>
      </c>
      <c r="H32" s="175"/>
      <c r="U32" s="30"/>
      <c r="X32" s="32" t="s">
        <v>642</v>
      </c>
      <c r="Y32" s="30"/>
      <c r="Z32" s="100"/>
      <c r="AA32" s="100"/>
      <c r="AB32" s="100"/>
      <c r="AC32" s="100"/>
    </row>
    <row r="33" spans="1:33" ht="15" customHeight="1" x14ac:dyDescent="0.25">
      <c r="A33" s="582" t="s">
        <v>18</v>
      </c>
      <c r="B33" s="565" t="s">
        <v>683</v>
      </c>
      <c r="C33" s="581"/>
      <c r="D33" s="581"/>
      <c r="E33" s="31"/>
      <c r="F33" s="31"/>
      <c r="G33" s="31"/>
      <c r="H33" s="31"/>
      <c r="I33" s="31"/>
      <c r="J33" s="31"/>
      <c r="K33" s="31"/>
      <c r="L33" s="31"/>
      <c r="M33" s="31"/>
      <c r="N33" s="31"/>
      <c r="O33" s="31"/>
      <c r="P33" s="31"/>
      <c r="Q33" s="31"/>
      <c r="R33" s="31"/>
      <c r="S33" s="31"/>
      <c r="T33" s="62"/>
      <c r="U33" s="62"/>
      <c r="V33" s="31"/>
      <c r="Z33" s="94" t="s">
        <v>23</v>
      </c>
      <c r="AA33" s="94" t="s">
        <v>468</v>
      </c>
      <c r="AB33" s="94" t="s">
        <v>53</v>
      </c>
      <c r="AC33" s="94" t="s">
        <v>261</v>
      </c>
      <c r="AD33" s="288" t="s">
        <v>486</v>
      </c>
    </row>
    <row r="34" spans="1:33" ht="17.25" customHeight="1" x14ac:dyDescent="0.25">
      <c r="A34" s="582"/>
      <c r="B34" s="565"/>
      <c r="C34" s="581"/>
      <c r="D34" s="581"/>
      <c r="E34" s="31"/>
      <c r="F34" s="31"/>
      <c r="G34" s="31"/>
      <c r="H34" s="31"/>
      <c r="I34" s="31"/>
      <c r="J34" s="59"/>
      <c r="K34" s="59"/>
      <c r="L34" s="31"/>
      <c r="M34" s="31"/>
      <c r="N34" s="31"/>
      <c r="O34" s="31"/>
      <c r="P34" s="59"/>
      <c r="Q34" s="59"/>
      <c r="R34" s="31"/>
      <c r="S34" s="31"/>
      <c r="T34" s="62"/>
      <c r="U34" s="62"/>
      <c r="V34" s="31"/>
      <c r="X34" s="698" t="s">
        <v>191</v>
      </c>
      <c r="Y34" s="698"/>
      <c r="Z34" s="95">
        <f>$Y$9/$Y$7*Z24</f>
        <v>0</v>
      </c>
      <c r="AA34" s="289">
        <f>Z34*(SUM(District!$B$27:$B$30)+District!$B$26*5/7)</f>
        <v>0</v>
      </c>
      <c r="AB34" s="289">
        <f>SUM($Z34:$Z35)*District!$C$11</f>
        <v>0</v>
      </c>
      <c r="AC34" s="95">
        <f>Z34-AB34</f>
        <v>0</v>
      </c>
      <c r="AD34" s="254" t="e">
        <f>AA34/Z34</f>
        <v>#DIV/0!</v>
      </c>
    </row>
    <row r="35" spans="1:33" ht="17.25" customHeight="1" x14ac:dyDescent="0.25">
      <c r="A35" s="582" t="s">
        <v>17</v>
      </c>
      <c r="B35" s="565" t="s">
        <v>645</v>
      </c>
      <c r="C35" s="581"/>
      <c r="D35" s="581"/>
      <c r="E35" s="31"/>
      <c r="F35" s="31"/>
      <c r="G35" s="31"/>
      <c r="H35" s="31"/>
      <c r="I35" s="31"/>
      <c r="J35" s="31"/>
      <c r="K35" s="31"/>
      <c r="L35" s="31"/>
      <c r="M35" s="31"/>
      <c r="N35" s="31"/>
      <c r="O35" s="31"/>
      <c r="P35" s="31"/>
      <c r="Q35" s="31"/>
      <c r="R35" s="31"/>
      <c r="S35" s="31"/>
      <c r="T35" s="62"/>
      <c r="U35" s="62"/>
      <c r="V35" s="31"/>
      <c r="X35" s="698" t="s">
        <v>190</v>
      </c>
      <c r="Y35" s="698"/>
      <c r="Z35" s="95">
        <f>$Y$9/$Y$7*Z25</f>
        <v>0</v>
      </c>
      <c r="AA35" s="289">
        <f>Z35*(SUM(District!$B$27:$B$30)+District!$B$26*5/7)</f>
        <v>0</v>
      </c>
      <c r="AB35" s="329">
        <v>0</v>
      </c>
      <c r="AC35" s="95">
        <f>Z35-AB35</f>
        <v>0</v>
      </c>
      <c r="AD35" s="254" t="e">
        <f>AA35/Z35</f>
        <v>#DIV/0!</v>
      </c>
    </row>
    <row r="36" spans="1:33" ht="17.25" customHeight="1" x14ac:dyDescent="0.25">
      <c r="A36" s="582"/>
      <c r="B36" s="565"/>
      <c r="C36" s="581"/>
      <c r="D36" s="581"/>
      <c r="E36" s="31"/>
      <c r="F36" s="31"/>
      <c r="G36" s="31"/>
      <c r="H36" s="31"/>
      <c r="I36" s="31"/>
      <c r="J36" s="31"/>
      <c r="K36" s="31"/>
      <c r="L36" s="31"/>
      <c r="M36" s="31"/>
      <c r="N36" s="31"/>
      <c r="O36" s="31"/>
      <c r="P36" s="31"/>
      <c r="Q36" s="31"/>
      <c r="R36" s="31"/>
      <c r="S36" s="31"/>
      <c r="T36" s="62"/>
      <c r="U36" s="62"/>
      <c r="V36" s="31"/>
      <c r="X36" s="30"/>
      <c r="Y36" s="30"/>
      <c r="Z36" s="100"/>
      <c r="AA36" s="100"/>
      <c r="AB36" s="100"/>
      <c r="AC36" s="100"/>
    </row>
    <row r="37" spans="1:33" ht="15" customHeight="1" x14ac:dyDescent="0.25">
      <c r="A37" s="627" t="s">
        <v>19</v>
      </c>
      <c r="B37" s="787" t="s">
        <v>688</v>
      </c>
      <c r="C37" s="787"/>
      <c r="D37" s="787"/>
      <c r="E37" s="787"/>
      <c r="F37" s="787"/>
      <c r="G37" s="787"/>
      <c r="H37" s="787"/>
      <c r="I37" s="787"/>
      <c r="J37" s="787"/>
      <c r="K37" s="787"/>
      <c r="L37" s="787"/>
      <c r="M37" s="787"/>
      <c r="N37" s="787"/>
      <c r="O37" s="787"/>
      <c r="P37" s="787"/>
      <c r="Q37" s="787"/>
      <c r="R37" s="787"/>
      <c r="S37" s="787"/>
      <c r="T37" s="579"/>
      <c r="U37" s="579"/>
      <c r="V37" s="253"/>
      <c r="X37" s="175" t="s">
        <v>643</v>
      </c>
      <c r="Z37" s="100"/>
      <c r="AA37" s="100"/>
      <c r="AB37" s="100"/>
      <c r="AC37" s="100"/>
    </row>
    <row r="38" spans="1:33" ht="17.25" customHeight="1" x14ac:dyDescent="0.25">
      <c r="A38" s="627"/>
      <c r="B38" s="787"/>
      <c r="C38" s="787"/>
      <c r="D38" s="787"/>
      <c r="E38" s="787"/>
      <c r="F38" s="787"/>
      <c r="G38" s="787"/>
      <c r="H38" s="787"/>
      <c r="I38" s="787"/>
      <c r="J38" s="787"/>
      <c r="K38" s="787"/>
      <c r="L38" s="787"/>
      <c r="M38" s="787"/>
      <c r="N38" s="787"/>
      <c r="O38" s="787"/>
      <c r="P38" s="787"/>
      <c r="Q38" s="787"/>
      <c r="R38" s="787"/>
      <c r="S38" s="787"/>
      <c r="T38" s="14"/>
      <c r="U38" s="14"/>
      <c r="X38" s="698" t="s">
        <v>669</v>
      </c>
      <c r="Y38" s="698"/>
      <c r="Z38" s="698"/>
      <c r="AA38" s="101">
        <v>21.6</v>
      </c>
    </row>
    <row r="39" spans="1:33" ht="15" customHeight="1" x14ac:dyDescent="0.25">
      <c r="A39" s="627"/>
      <c r="B39" s="625"/>
      <c r="C39" s="625"/>
      <c r="D39" s="625"/>
      <c r="E39" s="625"/>
      <c r="F39" s="625"/>
      <c r="G39" s="625"/>
      <c r="H39" s="625"/>
      <c r="I39" s="625"/>
      <c r="J39" s="625"/>
      <c r="K39" s="625"/>
      <c r="L39" s="625"/>
      <c r="M39" s="625"/>
      <c r="N39" s="625"/>
      <c r="O39" s="625"/>
      <c r="P39" s="625"/>
      <c r="Q39" s="625"/>
      <c r="R39" s="625"/>
      <c r="S39" s="625"/>
      <c r="T39" s="579"/>
      <c r="U39" s="579"/>
      <c r="V39" s="253"/>
      <c r="X39" s="700" t="s">
        <v>670</v>
      </c>
      <c r="Y39" s="700"/>
      <c r="Z39" s="700"/>
      <c r="AA39" s="134">
        <f>16.6/60</f>
        <v>0.27666666666666667</v>
      </c>
      <c r="AB39" s="155"/>
    </row>
    <row r="40" spans="1:33" ht="15" customHeight="1" x14ac:dyDescent="0.25">
      <c r="A40" s="627" t="s">
        <v>20</v>
      </c>
      <c r="B40" s="788" t="s">
        <v>660</v>
      </c>
      <c r="C40" s="788"/>
      <c r="D40" s="788"/>
      <c r="E40" s="788"/>
      <c r="F40" s="788"/>
      <c r="G40" s="788"/>
      <c r="H40" s="788"/>
      <c r="I40" s="788"/>
      <c r="J40" s="788"/>
      <c r="K40" s="788"/>
      <c r="L40" s="788"/>
      <c r="M40" s="788"/>
      <c r="N40" s="788"/>
      <c r="O40" s="788"/>
      <c r="P40" s="788"/>
      <c r="Q40" s="788"/>
      <c r="R40" s="788"/>
      <c r="S40" s="788"/>
      <c r="T40" s="14"/>
      <c r="U40" s="14"/>
      <c r="X40" s="695" t="s">
        <v>671</v>
      </c>
      <c r="Y40" s="695"/>
      <c r="Z40" s="695"/>
      <c r="AA40" s="116">
        <v>0.4</v>
      </c>
    </row>
    <row r="41" spans="1:33" ht="17.25" customHeight="1" x14ac:dyDescent="0.25">
      <c r="A41" s="627"/>
      <c r="B41" s="788"/>
      <c r="C41" s="788"/>
      <c r="D41" s="788"/>
      <c r="E41" s="788"/>
      <c r="F41" s="788"/>
      <c r="G41" s="788"/>
      <c r="H41" s="788"/>
      <c r="I41" s="788"/>
      <c r="J41" s="788"/>
      <c r="K41" s="788"/>
      <c r="L41" s="788"/>
      <c r="M41" s="788"/>
      <c r="N41" s="788"/>
      <c r="O41" s="788"/>
      <c r="P41" s="788"/>
      <c r="Q41" s="788"/>
      <c r="R41" s="788"/>
      <c r="S41" s="788"/>
      <c r="T41" s="62"/>
      <c r="U41" s="62"/>
      <c r="V41" s="31"/>
      <c r="AG41" s="117" t="s">
        <v>66</v>
      </c>
    </row>
    <row r="42" spans="1:33" x14ac:dyDescent="0.25">
      <c r="A42" s="627"/>
      <c r="B42" s="788"/>
      <c r="C42" s="788"/>
      <c r="D42" s="788"/>
      <c r="E42" s="788"/>
      <c r="F42" s="788"/>
      <c r="G42" s="788"/>
      <c r="H42" s="788"/>
      <c r="I42" s="788"/>
      <c r="J42" s="788"/>
      <c r="K42" s="788"/>
      <c r="L42" s="788"/>
      <c r="M42" s="788"/>
      <c r="N42" s="788"/>
      <c r="O42" s="788"/>
      <c r="P42" s="788"/>
      <c r="Q42" s="788"/>
      <c r="R42" s="788"/>
      <c r="S42" s="788"/>
      <c r="T42" s="62"/>
      <c r="U42" s="62"/>
      <c r="V42" s="31"/>
      <c r="W42" s="31"/>
      <c r="X42" s="525" t="s">
        <v>672</v>
      </c>
      <c r="AG42" s="117" t="s">
        <v>66</v>
      </c>
    </row>
    <row r="43" spans="1:33" ht="15" customHeight="1" x14ac:dyDescent="0.25">
      <c r="A43" s="627"/>
      <c r="B43" s="623"/>
      <c r="C43" s="623"/>
      <c r="D43" s="623"/>
      <c r="E43" s="623"/>
      <c r="F43" s="623"/>
      <c r="G43" s="623"/>
      <c r="H43" s="623"/>
      <c r="I43" s="623"/>
      <c r="J43" s="623"/>
      <c r="K43" s="623"/>
      <c r="L43" s="623"/>
      <c r="M43" s="623"/>
      <c r="N43" s="623"/>
      <c r="O43" s="623"/>
      <c r="P43" s="623"/>
      <c r="Q43" s="623"/>
      <c r="R43" s="623"/>
      <c r="S43" s="623"/>
      <c r="T43" s="62"/>
      <c r="U43" s="62"/>
      <c r="V43" s="31"/>
      <c r="W43" s="31"/>
      <c r="X43" s="262" t="s">
        <v>164</v>
      </c>
      <c r="Y43" s="263"/>
      <c r="Z43" s="263"/>
      <c r="AA43" s="185">
        <v>7.08</v>
      </c>
      <c r="AG43" s="127" t="s">
        <v>55</v>
      </c>
    </row>
    <row r="44" spans="1:33" ht="15" customHeight="1" x14ac:dyDescent="0.25">
      <c r="A44" s="627" t="s">
        <v>57</v>
      </c>
      <c r="B44" s="699" t="s">
        <v>689</v>
      </c>
      <c r="C44" s="699"/>
      <c r="D44" s="699"/>
      <c r="E44" s="699"/>
      <c r="F44" s="699"/>
      <c r="G44" s="699"/>
      <c r="H44" s="699"/>
      <c r="I44" s="699"/>
      <c r="J44" s="699"/>
      <c r="K44" s="699"/>
      <c r="L44" s="699"/>
      <c r="M44" s="699"/>
      <c r="N44" s="699"/>
      <c r="O44" s="699"/>
      <c r="P44" s="699"/>
      <c r="Q44" s="699"/>
      <c r="R44" s="699"/>
      <c r="S44" s="699"/>
      <c r="T44" s="62"/>
      <c r="U44" s="62"/>
      <c r="V44" s="31"/>
      <c r="W44" s="31"/>
      <c r="X44" s="262" t="s">
        <v>165</v>
      </c>
      <c r="Y44" s="263"/>
      <c r="Z44" s="263"/>
      <c r="AA44" s="643">
        <v>6.31</v>
      </c>
      <c r="AC44" s="115"/>
      <c r="AG44" s="117" t="s">
        <v>67</v>
      </c>
    </row>
    <row r="45" spans="1:33" ht="17.25" customHeight="1" x14ac:dyDescent="0.25">
      <c r="A45" s="627"/>
      <c r="B45" s="699"/>
      <c r="C45" s="699"/>
      <c r="D45" s="699"/>
      <c r="E45" s="699"/>
      <c r="F45" s="699"/>
      <c r="G45" s="699"/>
      <c r="H45" s="699"/>
      <c r="I45" s="699"/>
      <c r="J45" s="699"/>
      <c r="K45" s="699"/>
      <c r="L45" s="699"/>
      <c r="M45" s="699"/>
      <c r="N45" s="699"/>
      <c r="O45" s="699"/>
      <c r="P45" s="699"/>
      <c r="Q45" s="699"/>
      <c r="R45" s="699"/>
      <c r="S45" s="699"/>
      <c r="T45" s="62"/>
      <c r="U45" s="62"/>
      <c r="V45" s="31"/>
      <c r="W45" s="31"/>
      <c r="AG45" s="117" t="s">
        <v>68</v>
      </c>
    </row>
    <row r="46" spans="1:33" ht="15" customHeight="1" x14ac:dyDescent="0.25">
      <c r="A46" s="628"/>
      <c r="B46" s="565"/>
      <c r="C46" s="624"/>
      <c r="D46" s="624"/>
      <c r="E46" s="629"/>
      <c r="F46" s="629"/>
      <c r="G46" s="629"/>
      <c r="H46" s="629"/>
      <c r="I46" s="629"/>
      <c r="J46" s="629"/>
      <c r="K46" s="629"/>
      <c r="L46" s="629"/>
      <c r="M46" s="629"/>
      <c r="N46" s="629"/>
      <c r="O46" s="31"/>
      <c r="P46" s="31"/>
      <c r="Q46" s="31"/>
      <c r="R46" s="31"/>
      <c r="S46" s="31"/>
      <c r="T46" s="62"/>
      <c r="U46" s="62"/>
      <c r="V46" s="31"/>
      <c r="W46" s="31"/>
      <c r="X46" s="525" t="s">
        <v>673</v>
      </c>
      <c r="AG46" s="286"/>
    </row>
    <row r="47" spans="1:33" ht="15" customHeight="1" x14ac:dyDescent="0.25">
      <c r="A47" s="627" t="s">
        <v>681</v>
      </c>
      <c r="B47" s="699" t="s">
        <v>679</v>
      </c>
      <c r="C47" s="699"/>
      <c r="D47" s="699"/>
      <c r="E47" s="699"/>
      <c r="F47" s="699"/>
      <c r="G47" s="699"/>
      <c r="H47" s="699"/>
      <c r="I47" s="699"/>
      <c r="J47" s="699"/>
      <c r="K47" s="699"/>
      <c r="L47" s="699"/>
      <c r="M47" s="699"/>
      <c r="N47" s="699"/>
      <c r="O47" s="699"/>
      <c r="P47" s="699"/>
      <c r="Q47" s="699"/>
      <c r="R47" s="699"/>
      <c r="S47" s="699"/>
      <c r="T47" s="14"/>
      <c r="U47" s="14"/>
      <c r="W47" s="31"/>
      <c r="X47" s="695" t="s">
        <v>492</v>
      </c>
      <c r="Y47" s="695"/>
      <c r="Z47" s="695"/>
      <c r="AA47" s="102">
        <v>10</v>
      </c>
      <c r="AG47" s="286"/>
    </row>
    <row r="48" spans="1:33" ht="16.5" customHeight="1" x14ac:dyDescent="0.25">
      <c r="A48" s="627"/>
      <c r="B48" s="699"/>
      <c r="C48" s="699"/>
      <c r="D48" s="699"/>
      <c r="E48" s="699"/>
      <c r="F48" s="699"/>
      <c r="G48" s="699"/>
      <c r="H48" s="699"/>
      <c r="I48" s="699"/>
      <c r="J48" s="699"/>
      <c r="K48" s="699"/>
      <c r="L48" s="699"/>
      <c r="M48" s="699"/>
      <c r="N48" s="699"/>
      <c r="O48" s="699"/>
      <c r="P48" s="699"/>
      <c r="Q48" s="699"/>
      <c r="R48" s="699"/>
      <c r="S48" s="699"/>
      <c r="T48" s="14"/>
      <c r="U48" s="14"/>
      <c r="V48" s="14"/>
      <c r="W48" s="31"/>
      <c r="X48" s="695" t="s">
        <v>58</v>
      </c>
      <c r="Y48" s="695"/>
      <c r="Z48" s="695"/>
      <c r="AA48" s="104">
        <f>365-90</f>
        <v>275</v>
      </c>
      <c r="AG48" s="117" t="s">
        <v>69</v>
      </c>
    </row>
    <row r="49" spans="1:39" ht="34.5" customHeight="1" x14ac:dyDescent="0.25">
      <c r="A49" s="627"/>
      <c r="B49" s="699"/>
      <c r="C49" s="699"/>
      <c r="D49" s="699"/>
      <c r="E49" s="699"/>
      <c r="F49" s="699"/>
      <c r="G49" s="699"/>
      <c r="H49" s="699"/>
      <c r="I49" s="699"/>
      <c r="J49" s="699"/>
      <c r="K49" s="699"/>
      <c r="L49" s="699"/>
      <c r="M49" s="699"/>
      <c r="N49" s="699"/>
      <c r="O49" s="699"/>
      <c r="P49" s="699"/>
      <c r="Q49" s="699"/>
      <c r="R49" s="699"/>
      <c r="S49" s="699"/>
      <c r="T49" s="14"/>
      <c r="U49" s="14"/>
      <c r="W49" s="31"/>
      <c r="X49" s="240"/>
      <c r="Y49" s="240"/>
      <c r="Z49" s="240"/>
      <c r="AA49" s="241"/>
    </row>
    <row r="50" spans="1:39" x14ac:dyDescent="0.25">
      <c r="A50" s="628"/>
      <c r="B50" s="699"/>
      <c r="C50" s="699"/>
      <c r="D50" s="699"/>
      <c r="E50" s="699"/>
      <c r="F50" s="699"/>
      <c r="G50" s="699"/>
      <c r="H50" s="699"/>
      <c r="I50" s="699"/>
      <c r="J50" s="699"/>
      <c r="K50" s="699"/>
      <c r="L50" s="699"/>
      <c r="M50" s="699"/>
      <c r="N50" s="699"/>
      <c r="O50" s="699"/>
      <c r="P50" s="699"/>
      <c r="Q50" s="699"/>
      <c r="R50" s="699"/>
      <c r="S50" s="699"/>
      <c r="T50" s="62"/>
      <c r="U50" s="62"/>
      <c r="V50" s="31"/>
      <c r="W50" s="31"/>
      <c r="X50" s="27" t="s">
        <v>674</v>
      </c>
      <c r="Y50" s="547"/>
      <c r="Z50" s="547"/>
    </row>
    <row r="51" spans="1:39" ht="18" customHeight="1" x14ac:dyDescent="0.25">
      <c r="A51" s="628"/>
      <c r="B51" s="565"/>
      <c r="C51" s="624"/>
      <c r="D51" s="624"/>
      <c r="E51" s="629"/>
      <c r="F51" s="629"/>
      <c r="G51" s="629"/>
      <c r="H51" s="31"/>
      <c r="I51" s="31"/>
      <c r="J51" s="31"/>
      <c r="K51" s="31"/>
      <c r="L51" s="31"/>
      <c r="M51" s="31"/>
      <c r="N51" s="31"/>
      <c r="O51" s="31"/>
      <c r="P51" s="31"/>
      <c r="Q51" s="31"/>
      <c r="R51" s="31"/>
      <c r="S51" s="31"/>
      <c r="T51" s="31"/>
      <c r="U51" s="31"/>
      <c r="V51" s="31"/>
      <c r="W51" s="31"/>
      <c r="X51" s="700" t="s">
        <v>158</v>
      </c>
      <c r="Y51" s="700"/>
      <c r="Z51" s="700"/>
      <c r="AA51" s="176">
        <v>1.42</v>
      </c>
      <c r="AG51" s="117" t="s">
        <v>70</v>
      </c>
    </row>
    <row r="52" spans="1:39" x14ac:dyDescent="0.25">
      <c r="A52" s="628" t="s">
        <v>690</v>
      </c>
      <c r="B52" s="699" t="s">
        <v>680</v>
      </c>
      <c r="C52" s="699"/>
      <c r="D52" s="699"/>
      <c r="E52" s="699"/>
      <c r="F52" s="699"/>
      <c r="G52" s="699"/>
      <c r="H52" s="699"/>
      <c r="I52" s="699"/>
      <c r="J52" s="699"/>
      <c r="K52" s="699"/>
      <c r="L52" s="699"/>
      <c r="M52" s="699"/>
      <c r="N52" s="699"/>
      <c r="O52" s="699"/>
      <c r="P52" s="699"/>
      <c r="Q52" s="699"/>
      <c r="R52" s="699"/>
      <c r="S52" s="699"/>
      <c r="W52" s="31"/>
      <c r="X52" s="283" t="s">
        <v>494</v>
      </c>
      <c r="Y52" s="283"/>
      <c r="Z52" s="283"/>
      <c r="AA52" s="176">
        <f>$AA$51*$AC$19</f>
        <v>1.2211999999999998</v>
      </c>
      <c r="AG52" s="112" t="s">
        <v>71</v>
      </c>
    </row>
    <row r="53" spans="1:39" x14ac:dyDescent="0.25">
      <c r="A53" s="627"/>
      <c r="B53" s="699"/>
      <c r="C53" s="699"/>
      <c r="D53" s="699"/>
      <c r="E53" s="699"/>
      <c r="F53" s="699"/>
      <c r="G53" s="699"/>
      <c r="H53" s="699"/>
      <c r="I53" s="699"/>
      <c r="J53" s="699"/>
      <c r="K53" s="699"/>
      <c r="L53" s="699"/>
      <c r="M53" s="699"/>
      <c r="N53" s="699"/>
      <c r="O53" s="699"/>
      <c r="P53" s="699"/>
      <c r="Q53" s="699"/>
      <c r="R53" s="699"/>
      <c r="S53" s="699"/>
      <c r="T53" s="26"/>
      <c r="U53" s="26"/>
      <c r="V53" s="26"/>
      <c r="W53" s="31"/>
      <c r="X53" s="283" t="s">
        <v>493</v>
      </c>
      <c r="Y53" s="283"/>
      <c r="Z53" s="283"/>
      <c r="AA53" s="176">
        <f>$AA$51*$AC$18</f>
        <v>2.2719999999999998</v>
      </c>
    </row>
    <row r="54" spans="1:39" x14ac:dyDescent="0.25">
      <c r="A54" s="627"/>
      <c r="B54" s="699"/>
      <c r="C54" s="699"/>
      <c r="D54" s="699"/>
      <c r="E54" s="699"/>
      <c r="F54" s="699"/>
      <c r="G54" s="699"/>
      <c r="H54" s="699"/>
      <c r="I54" s="699"/>
      <c r="J54" s="699"/>
      <c r="K54" s="699"/>
      <c r="L54" s="699"/>
      <c r="M54" s="699"/>
      <c r="N54" s="699"/>
      <c r="O54" s="699"/>
      <c r="P54" s="699"/>
      <c r="Q54" s="699"/>
      <c r="R54" s="699"/>
      <c r="S54" s="699"/>
      <c r="W54" s="31"/>
      <c r="AH54" s="119"/>
      <c r="AI54" s="119"/>
      <c r="AJ54" s="119"/>
      <c r="AK54" s="119"/>
    </row>
    <row r="55" spans="1:39" x14ac:dyDescent="0.25">
      <c r="A55" s="628"/>
      <c r="B55" s="547"/>
      <c r="C55" s="547"/>
      <c r="D55" s="628"/>
      <c r="E55" s="565"/>
      <c r="F55" s="580"/>
      <c r="G55" s="580"/>
      <c r="W55" s="31"/>
      <c r="X55" s="525" t="s">
        <v>675</v>
      </c>
      <c r="AG55" s="704" t="s">
        <v>72</v>
      </c>
      <c r="AH55" s="704"/>
      <c r="AI55" s="704"/>
      <c r="AJ55" s="704"/>
      <c r="AK55" s="704"/>
      <c r="AL55" s="704"/>
      <c r="AM55" s="704"/>
    </row>
    <row r="56" spans="1:39" x14ac:dyDescent="0.25">
      <c r="A56" s="628"/>
      <c r="B56" s="547"/>
      <c r="C56" s="547"/>
      <c r="D56" s="628"/>
      <c r="E56" s="565"/>
      <c r="F56" s="580"/>
      <c r="G56" s="580"/>
      <c r="W56" s="31"/>
      <c r="X56" s="698" t="s">
        <v>59</v>
      </c>
      <c r="Y56" s="698"/>
      <c r="Z56" s="105">
        <v>0.105</v>
      </c>
      <c r="AG56" s="704"/>
      <c r="AH56" s="704"/>
      <c r="AI56" s="704"/>
      <c r="AJ56" s="704"/>
      <c r="AK56" s="704"/>
      <c r="AL56" s="704"/>
      <c r="AM56" s="704"/>
    </row>
    <row r="57" spans="1:39" ht="15" customHeight="1" x14ac:dyDescent="0.25">
      <c r="D57" s="628"/>
      <c r="E57" s="564"/>
      <c r="F57" s="564"/>
      <c r="G57" s="564"/>
      <c r="W57" s="31"/>
      <c r="X57" s="705"/>
      <c r="Y57" s="705"/>
    </row>
    <row r="58" spans="1:39" x14ac:dyDescent="0.25">
      <c r="W58" s="31"/>
      <c r="X58" s="130" t="s">
        <v>676</v>
      </c>
      <c r="Y58" s="547"/>
      <c r="Z58" s="547"/>
    </row>
    <row r="59" spans="1:39" x14ac:dyDescent="0.25">
      <c r="W59" s="31"/>
      <c r="X59" s="696" t="s">
        <v>76</v>
      </c>
      <c r="Y59" s="697"/>
      <c r="Z59" s="575">
        <f>113.468/78.025</f>
        <v>1.4542518423582185</v>
      </c>
    </row>
    <row r="60" spans="1:39" x14ac:dyDescent="0.25">
      <c r="W60" s="31"/>
      <c r="X60" s="696" t="s">
        <v>75</v>
      </c>
      <c r="Y60" s="697"/>
      <c r="Z60" s="575">
        <v>1.26</v>
      </c>
    </row>
    <row r="61" spans="1:39" x14ac:dyDescent="0.25">
      <c r="W61" s="31"/>
      <c r="Z61" s="107"/>
    </row>
    <row r="62" spans="1:39" x14ac:dyDescent="0.25">
      <c r="W62" s="31"/>
      <c r="X62" s="309" t="s">
        <v>644</v>
      </c>
    </row>
    <row r="63" spans="1:39" x14ac:dyDescent="0.25">
      <c r="X63" s="695" t="s">
        <v>60</v>
      </c>
      <c r="Y63" s="695"/>
      <c r="Z63" s="118">
        <v>0</v>
      </c>
    </row>
    <row r="64" spans="1:39" x14ac:dyDescent="0.25">
      <c r="X64" s="695" t="s">
        <v>61</v>
      </c>
      <c r="Y64" s="695"/>
      <c r="Z64" s="282">
        <v>0.75</v>
      </c>
      <c r="AG64" s="112" t="s">
        <v>62</v>
      </c>
    </row>
    <row r="65" spans="24:26" x14ac:dyDescent="0.25">
      <c r="X65" s="623"/>
      <c r="Y65" s="623"/>
      <c r="Z65" s="623"/>
    </row>
  </sheetData>
  <mergeCells count="55">
    <mergeCell ref="B52:S54"/>
    <mergeCell ref="B40:S42"/>
    <mergeCell ref="B44:S45"/>
    <mergeCell ref="B47:S50"/>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37:S38"/>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D9A0-4AA9-4DC8-852C-DBF9352DEE64}">
  <sheetPr>
    <tabColor rgb="FF00B050"/>
  </sheetPr>
  <dimension ref="A1:AW65"/>
  <sheetViews>
    <sheetView view="pageBreakPreview" topLeftCell="A23" zoomScale="85" zoomScaleNormal="100" zoomScaleSheetLayoutView="85" workbookViewId="0">
      <selection activeCell="A40" sqref="A40:S40"/>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2.57031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99</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2030</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 CP RT'!$Z$3,'Original Build Years'!$A$1:$A$20,'Original Build Years'!$D$1:$D$20,0)+30</f>
        <v>2031</v>
      </c>
      <c r="AU6" s="292" t="s">
        <v>122</v>
      </c>
      <c r="AW6" s="292" t="s">
        <v>160</v>
      </c>
    </row>
    <row r="7" spans="1:49" ht="18.75" customHeight="1" x14ac:dyDescent="0.25">
      <c r="A7" s="75">
        <f>(G7+D7)*2.38</f>
        <v>14915.688117893307</v>
      </c>
      <c r="B7" s="291">
        <f>$Y$5</f>
        <v>2030</v>
      </c>
      <c r="C7" s="256">
        <f>IF(OR($B7&lt;$Y$6,$B7&gt;'Project Data and Assumptions'!$C$8),0,$AC$35*(1+$AA$15)^($B7-2020))</f>
        <v>0</v>
      </c>
      <c r="D7" s="255">
        <f>IF(OR($B7&lt;$Y$6,$B7&gt;'Project Data and Assumptions'!$C$8),0,$AB$34*(1+$AA$15)^($B7-2020))</f>
        <v>0</v>
      </c>
      <c r="E7" s="257">
        <f>IF(OR($B7&lt;$Y$6,$B7&gt;'Project Data and Assumptions'!$C$8),0,$AC$34*(1+$AA$15)^($B7-2020))</f>
        <v>0</v>
      </c>
      <c r="F7" s="256">
        <f>IF($B7&gt;'Project Data and Assumptions'!$C$8,0,$AC$30*(1+$AA$15)^($B7-2020))</f>
        <v>22561.781174506439</v>
      </c>
      <c r="G7" s="255">
        <f>IF($B7&gt;'Project Data and Assumptions'!$C$8,0,$AB$29*(1+$AA$15)^($B7-2020))</f>
        <v>6267.0958478543307</v>
      </c>
      <c r="H7" s="257">
        <f>IF($B7&gt;'Project Data and Assumptions'!$C$8,0,$AC$29*(1+$AA$15)^($B7-2020))</f>
        <v>32583.247948946133</v>
      </c>
      <c r="I7" s="85">
        <f t="shared" ref="I7:I28" si="0">C7*$AA$47*$Z$60</f>
        <v>0</v>
      </c>
      <c r="J7" s="324">
        <f>(D7*$AA$40)*$AA$38*$AA$39</f>
        <v>0</v>
      </c>
      <c r="K7" s="89">
        <f>C7*$AA$43+SUM(D7:E7)*$AA$44</f>
        <v>0</v>
      </c>
      <c r="L7" s="89">
        <f t="shared" ref="L7:L28" si="1">E7*$AA$47*$Z$60</f>
        <v>0</v>
      </c>
      <c r="M7" s="89">
        <f>SUM(D7:E7)*$AA$52</f>
        <v>0</v>
      </c>
      <c r="N7" s="122">
        <f t="shared" ref="N7:N28" si="2">D7*$AC$19*$Z$56*$Z$60</f>
        <v>0</v>
      </c>
      <c r="O7" s="85">
        <f t="shared" ref="O7:O28" si="3">F7*$AA$47*$Z$60</f>
        <v>284278.44279878115</v>
      </c>
      <c r="P7" s="89">
        <f>(G7*$AA$40)*$AA$38*$AA$39</f>
        <v>14980.865914710994</v>
      </c>
      <c r="Q7" s="89">
        <f>F7*$AA$43+SUM(G7:H7)*$AA$44</f>
        <v>404883.08007331652</v>
      </c>
      <c r="R7" s="89">
        <f t="shared" ref="R7:R28" si="4">H7*$AA$47*$Z$60</f>
        <v>410548.92415672127</v>
      </c>
      <c r="S7" s="89">
        <f>SUM(G7:H7)*$AA$52</f>
        <v>47444.039844652725</v>
      </c>
      <c r="T7" s="122">
        <f t="shared" ref="T7:T28" si="5">G7*$AC$19*$Z$56*$Z$60</f>
        <v>713.05763137716997</v>
      </c>
      <c r="U7" s="85">
        <f>SUM(I7:T7)</f>
        <v>1162848.4104195596</v>
      </c>
      <c r="V7" s="133">
        <f t="shared" ref="V7:V28" si="6">$U7*(1+0.07)^-($B7-$Y$4)</f>
        <v>591133.16629676486</v>
      </c>
      <c r="X7" s="282" t="s">
        <v>470</v>
      </c>
      <c r="Y7" s="356">
        <f>'Trail Lengths'!F24</f>
        <v>180.52000000000004</v>
      </c>
      <c r="AU7" s="292" t="s">
        <v>123</v>
      </c>
      <c r="AW7" s="292" t="s">
        <v>161</v>
      </c>
    </row>
    <row r="8" spans="1:49" x14ac:dyDescent="0.25">
      <c r="A8" s="75">
        <f t="shared" ref="A8:A28" si="7">(G8+D8)*2.38</f>
        <v>15214.001880251169</v>
      </c>
      <c r="B8" s="2">
        <f>B7+1</f>
        <v>2031</v>
      </c>
      <c r="C8" s="260">
        <f>IF(OR($B8&lt;$Y$6,$B8&gt;'Project Data and Assumptions'!$C$8),0,$AC$35*(1+$AA$15)^($B8-2020))</f>
        <v>0</v>
      </c>
      <c r="D8" s="91">
        <f>IF(OR($B8&lt;$Y$6,$B8&gt;'Project Data and Assumptions'!$C$8),0,$AB$34*(1+$AA$15)^($B8-2020))</f>
        <v>0</v>
      </c>
      <c r="E8" s="258">
        <f>IF(OR($B8&lt;$Y$6,$B8&gt;'Project Data and Assumptions'!$C$8),0,$AC$34*(1+$AA$15)^($B8-2020))</f>
        <v>0</v>
      </c>
      <c r="F8" s="260">
        <f>IF($B8&gt;'Project Data and Assumptions'!$C$8,0,$AC$30*(1+$AA$15)^($B8-2020))</f>
        <v>23013.016797996566</v>
      </c>
      <c r="G8" s="91">
        <f>IF($B8&gt;'Project Data and Assumptions'!$C$8,0,$AB$29*(1+$AA$15)^($B8-2020))</f>
        <v>6392.4377648114159</v>
      </c>
      <c r="H8" s="258">
        <f>IF($B8&gt;'Project Data and Assumptions'!$C$8,0,$AC$29*(1+$AA$15)^($B8-2020))</f>
        <v>33234.912907925049</v>
      </c>
      <c r="I8" s="17">
        <f t="shared" si="0"/>
        <v>0</v>
      </c>
      <c r="J8" s="325">
        <f t="shared" ref="J8:J26" si="8">(D8*$AA$40)*$AA$38*$AA$39</f>
        <v>0</v>
      </c>
      <c r="K8" s="90">
        <f t="shared" ref="K8:K26" si="9">C8*$AA$43+SUM(D8:E8)*$AA$44</f>
        <v>0</v>
      </c>
      <c r="L8" s="90">
        <f t="shared" si="1"/>
        <v>0</v>
      </c>
      <c r="M8" s="90">
        <f t="shared" ref="M8:M26" si="10">SUM(D8:E8)*$AA$52</f>
        <v>0</v>
      </c>
      <c r="N8" s="92">
        <f t="shared" si="2"/>
        <v>0</v>
      </c>
      <c r="O8" s="17">
        <f t="shared" si="3"/>
        <v>289964.01165475673</v>
      </c>
      <c r="P8" s="90">
        <f t="shared" ref="P8:P26" si="11">(G8*$AA$40)*$AA$38*$AA$39</f>
        <v>15280.483233005209</v>
      </c>
      <c r="Q8" s="90">
        <f t="shared" ref="Q8:Q26" si="12">F8*$AA$43+SUM(G8:H8)*$AA$44</f>
        <v>412980.74167478277</v>
      </c>
      <c r="R8" s="90">
        <f t="shared" si="4"/>
        <v>418759.90263985563</v>
      </c>
      <c r="S8" s="90">
        <f t="shared" ref="S8:S26" si="13">SUM(G8:H8)*$AA$52</f>
        <v>48392.920641545767</v>
      </c>
      <c r="T8" s="92">
        <f t="shared" si="5"/>
        <v>727.31878400471317</v>
      </c>
      <c r="U8" s="17">
        <f t="shared" ref="U8:U26" si="14">SUM(I8:T8)</f>
        <v>1186105.3786279508</v>
      </c>
      <c r="V8" s="6">
        <f t="shared" si="6"/>
        <v>563510.12114271044</v>
      </c>
      <c r="X8" s="282" t="s">
        <v>471</v>
      </c>
      <c r="Y8" s="243">
        <f>IFERROR(_xlfn.XLOOKUP($Z$3,'Trail Project Summary'!$B$3:$B$32,'Trail Project Summary'!$C$3:$C$32),0)</f>
        <v>1.75</v>
      </c>
      <c r="AU8" s="292" t="s">
        <v>124</v>
      </c>
      <c r="AW8" s="292" t="s">
        <v>163</v>
      </c>
    </row>
    <row r="9" spans="1:49" x14ac:dyDescent="0.25">
      <c r="A9" s="75">
        <f t="shared" si="7"/>
        <v>15518.281917856197</v>
      </c>
      <c r="B9" s="2">
        <f t="shared" ref="B9:B28" si="15">B8+1</f>
        <v>2032</v>
      </c>
      <c r="C9" s="260">
        <f>IF(OR($B9&lt;$Y$6,$B9&gt;'Project Data and Assumptions'!$C$8),0,$AC$35*(1+$AA$15)^($B9-2020))</f>
        <v>0</v>
      </c>
      <c r="D9" s="91">
        <f>IF(OR($B9&lt;$Y$6,$B9&gt;'Project Data and Assumptions'!$C$8),0,$AB$34*(1+$AA$15)^($B9-2020))</f>
        <v>0</v>
      </c>
      <c r="E9" s="258">
        <f>IF(OR($B9&lt;$Y$6,$B9&gt;'Project Data and Assumptions'!$C$8),0,$AC$34*(1+$AA$15)^($B9-2020))</f>
        <v>0</v>
      </c>
      <c r="F9" s="260">
        <f>IF($B9&gt;'Project Data and Assumptions'!$C$8,0,$AC$30*(1+$AA$15)^($B9-2020))</f>
        <v>23473.277133956501</v>
      </c>
      <c r="G9" s="91">
        <f>IF($B9&gt;'Project Data and Assumptions'!$C$8,0,$AB$29*(1+$AA$15)^($B9-2020))</f>
        <v>6520.2865201076456</v>
      </c>
      <c r="H9" s="258">
        <f>IF($B9&gt;'Project Data and Assumptions'!$C$8,0,$AC$29*(1+$AA$15)^($B9-2020))</f>
        <v>33899.611166083552</v>
      </c>
      <c r="I9" s="17">
        <f t="shared" si="0"/>
        <v>0</v>
      </c>
      <c r="J9" s="325">
        <f t="shared" si="8"/>
        <v>0</v>
      </c>
      <c r="K9" s="90">
        <f t="shared" si="9"/>
        <v>0</v>
      </c>
      <c r="L9" s="90">
        <f t="shared" si="1"/>
        <v>0</v>
      </c>
      <c r="M9" s="90">
        <f t="shared" si="10"/>
        <v>0</v>
      </c>
      <c r="N9" s="92">
        <f t="shared" si="2"/>
        <v>0</v>
      </c>
      <c r="O9" s="17">
        <f t="shared" si="3"/>
        <v>295763.2918878519</v>
      </c>
      <c r="P9" s="90">
        <f t="shared" si="11"/>
        <v>15586.092897665319</v>
      </c>
      <c r="Q9" s="90">
        <f t="shared" si="12"/>
        <v>421240.3565082784</v>
      </c>
      <c r="R9" s="90">
        <f t="shared" si="4"/>
        <v>427135.10069265275</v>
      </c>
      <c r="S9" s="90">
        <f t="shared" si="13"/>
        <v>49360.779054376682</v>
      </c>
      <c r="T9" s="92">
        <f t="shared" si="5"/>
        <v>741.86515968480762</v>
      </c>
      <c r="U9" s="17">
        <f t="shared" si="14"/>
        <v>1209827.4862005101</v>
      </c>
      <c r="V9" s="6">
        <f t="shared" si="6"/>
        <v>537177.87249118206</v>
      </c>
      <c r="X9" s="118" t="s">
        <v>473</v>
      </c>
      <c r="Y9" s="243">
        <f>IFERROR(_xlfn.XLOOKUP($Z$3,'Trail Project Summary'!$B$3:$B$32,'Trail Project Summary'!$D$3:$D$32),0)</f>
        <v>0</v>
      </c>
      <c r="AU9" s="292" t="s">
        <v>150</v>
      </c>
      <c r="AW9" s="292" t="s">
        <v>162</v>
      </c>
    </row>
    <row r="10" spans="1:49" x14ac:dyDescent="0.25">
      <c r="A10" s="75">
        <f t="shared" si="7"/>
        <v>15828.647556213318</v>
      </c>
      <c r="B10" s="2">
        <f t="shared" si="15"/>
        <v>2033</v>
      </c>
      <c r="C10" s="260">
        <f>IF(OR($B10&lt;$Y$6,$B10&gt;'Project Data and Assumptions'!$C$8),0,$AC$35*(1+$AA$15)^($B10-2020))</f>
        <v>0</v>
      </c>
      <c r="D10" s="91">
        <f>IF(OR($B10&lt;$Y$6,$B10&gt;'Project Data and Assumptions'!$C$8),0,$AB$34*(1+$AA$15)^($B10-2020))</f>
        <v>0</v>
      </c>
      <c r="E10" s="258">
        <f>IF(OR($B10&lt;$Y$6,$B10&gt;'Project Data and Assumptions'!$C$8),0,$AC$34*(1+$AA$15)^($B10-2020))</f>
        <v>0</v>
      </c>
      <c r="F10" s="260">
        <f>IF($B10&gt;'Project Data and Assumptions'!$C$8,0,$AC$30*(1+$AA$15)^($B10-2020))</f>
        <v>23942.742676635629</v>
      </c>
      <c r="G10" s="91">
        <f>IF($B10&gt;'Project Data and Assumptions'!$C$8,0,$AB$29*(1+$AA$15)^($B10-2020))</f>
        <v>6650.6922505097982</v>
      </c>
      <c r="H10" s="258">
        <f>IF($B10&gt;'Project Data and Assumptions'!$C$8,0,$AC$29*(1+$AA$15)^($B10-2020))</f>
        <v>34577.603389405223</v>
      </c>
      <c r="I10" s="17">
        <f t="shared" si="0"/>
        <v>0</v>
      </c>
      <c r="J10" s="325">
        <f t="shared" si="8"/>
        <v>0</v>
      </c>
      <c r="K10" s="90">
        <f t="shared" si="9"/>
        <v>0</v>
      </c>
      <c r="L10" s="90">
        <f t="shared" si="1"/>
        <v>0</v>
      </c>
      <c r="M10" s="90">
        <f t="shared" si="10"/>
        <v>0</v>
      </c>
      <c r="N10" s="92">
        <f t="shared" si="2"/>
        <v>0</v>
      </c>
      <c r="O10" s="17">
        <f t="shared" si="3"/>
        <v>301678.55772560893</v>
      </c>
      <c r="P10" s="90">
        <f t="shared" si="11"/>
        <v>15897.814755618625</v>
      </c>
      <c r="Q10" s="90">
        <f t="shared" si="12"/>
        <v>429665.16363844404</v>
      </c>
      <c r="R10" s="90">
        <f t="shared" si="4"/>
        <v>435677.80270650587</v>
      </c>
      <c r="S10" s="90">
        <f t="shared" si="13"/>
        <v>50347.994635464216</v>
      </c>
      <c r="T10" s="92">
        <f t="shared" si="5"/>
        <v>756.70246287850375</v>
      </c>
      <c r="U10" s="17">
        <f t="shared" si="14"/>
        <v>1234024.0359245201</v>
      </c>
      <c r="V10" s="6">
        <f t="shared" si="6"/>
        <v>512076.10274860339</v>
      </c>
      <c r="X10" s="118" t="s">
        <v>472</v>
      </c>
      <c r="Y10" s="243">
        <f>IFERROR(_xlfn.XLOOKUP($Z$3,'Trail Project Summary'!$B$3:$B$32,'Trail Project Summary'!$E$3:$E$32),0)</f>
        <v>5.25</v>
      </c>
    </row>
    <row r="11" spans="1:49" x14ac:dyDescent="0.25">
      <c r="A11" s="75">
        <f t="shared" si="7"/>
        <v>16145.220507337588</v>
      </c>
      <c r="B11" s="2">
        <f t="shared" si="15"/>
        <v>2034</v>
      </c>
      <c r="C11" s="260">
        <f>IF(OR($B11&lt;$Y$6,$B11&gt;'Project Data and Assumptions'!$C$8),0,$AC$35*(1+$AA$15)^($B11-2020))</f>
        <v>0</v>
      </c>
      <c r="D11" s="91">
        <f>IF(OR($B11&lt;$Y$6,$B11&gt;'Project Data and Assumptions'!$C$8),0,$AB$34*(1+$AA$15)^($B11-2020))</f>
        <v>0</v>
      </c>
      <c r="E11" s="258">
        <f>IF(OR($B11&lt;$Y$6,$B11&gt;'Project Data and Assumptions'!$C$8),0,$AC$34*(1+$AA$15)^($B11-2020))</f>
        <v>0</v>
      </c>
      <c r="F11" s="260">
        <f>IF($B11&gt;'Project Data and Assumptions'!$C$8,0,$AC$30*(1+$AA$15)^($B11-2020))</f>
        <v>24421.597530168343</v>
      </c>
      <c r="G11" s="91">
        <f>IF($B11&gt;'Project Data and Assumptions'!$C$8,0,$AB$29*(1+$AA$15)^($B11-2020))</f>
        <v>6783.706095519995</v>
      </c>
      <c r="H11" s="258">
        <f>IF($B11&gt;'Project Data and Assumptions'!$C$8,0,$AC$29*(1+$AA$15)^($B11-2020))</f>
        <v>35269.15545719333</v>
      </c>
      <c r="I11" s="17">
        <f t="shared" si="0"/>
        <v>0</v>
      </c>
      <c r="J11" s="325">
        <f t="shared" si="8"/>
        <v>0</v>
      </c>
      <c r="K11" s="90">
        <f t="shared" si="9"/>
        <v>0</v>
      </c>
      <c r="L11" s="90">
        <f t="shared" si="1"/>
        <v>0</v>
      </c>
      <c r="M11" s="90">
        <f t="shared" si="10"/>
        <v>0</v>
      </c>
      <c r="N11" s="92">
        <f t="shared" si="2"/>
        <v>0</v>
      </c>
      <c r="O11" s="17">
        <f t="shared" si="3"/>
        <v>307712.1288801211</v>
      </c>
      <c r="P11" s="90">
        <f t="shared" si="11"/>
        <v>16215.771050730998</v>
      </c>
      <c r="Q11" s="90">
        <f t="shared" si="12"/>
        <v>438258.46691121289</v>
      </c>
      <c r="R11" s="90">
        <f t="shared" si="4"/>
        <v>444391.35876063595</v>
      </c>
      <c r="S11" s="90">
        <f t="shared" si="13"/>
        <v>51354.954528173505</v>
      </c>
      <c r="T11" s="92">
        <f t="shared" si="5"/>
        <v>771.83651213607391</v>
      </c>
      <c r="U11" s="17">
        <f t="shared" si="14"/>
        <v>1258704.5166430103</v>
      </c>
      <c r="V11" s="6">
        <f t="shared" si="6"/>
        <v>488147.31290053774</v>
      </c>
      <c r="X11" s="28"/>
      <c r="Y11" s="60"/>
      <c r="Z11" s="28"/>
      <c r="AA11" s="28"/>
      <c r="AB11" s="28"/>
      <c r="AC11" s="28"/>
      <c r="AD11" s="28"/>
      <c r="AE11" s="28"/>
      <c r="AF11" s="28"/>
    </row>
    <row r="12" spans="1:49" x14ac:dyDescent="0.25">
      <c r="A12" s="75">
        <f t="shared" si="7"/>
        <v>16468.124917484332</v>
      </c>
      <c r="B12" s="2">
        <f t="shared" si="15"/>
        <v>2035</v>
      </c>
      <c r="C12" s="260">
        <f>IF(OR($B12&lt;$Y$6,$B12&gt;'Project Data and Assumptions'!$C$8),0,$AC$35*(1+$AA$15)^($B12-2020))</f>
        <v>0</v>
      </c>
      <c r="D12" s="91">
        <f>IF(OR($B12&lt;$Y$6,$B12&gt;'Project Data and Assumptions'!$C$8),0,$AB$34*(1+$AA$15)^($B12-2020))</f>
        <v>0</v>
      </c>
      <c r="E12" s="258">
        <f>IF(OR($B12&lt;$Y$6,$B12&gt;'Project Data and Assumptions'!$C$8),0,$AC$34*(1+$AA$15)^($B12-2020))</f>
        <v>0</v>
      </c>
      <c r="F12" s="260">
        <f>IF($B12&gt;'Project Data and Assumptions'!$C$8,0,$AC$30*(1+$AA$15)^($B12-2020))</f>
        <v>24910.029480771704</v>
      </c>
      <c r="G12" s="91">
        <f>IF($B12&gt;'Project Data and Assumptions'!$C$8,0,$AB$29*(1+$AA$15)^($B12-2020))</f>
        <v>6919.3802174303928</v>
      </c>
      <c r="H12" s="258">
        <f>IF($B12&gt;'Project Data and Assumptions'!$C$8,0,$AC$29*(1+$AA$15)^($B12-2020))</f>
        <v>35974.538566337185</v>
      </c>
      <c r="I12" s="17">
        <f t="shared" si="0"/>
        <v>0</v>
      </c>
      <c r="J12" s="325">
        <f t="shared" si="8"/>
        <v>0</v>
      </c>
      <c r="K12" s="90">
        <f t="shared" si="9"/>
        <v>0</v>
      </c>
      <c r="L12" s="90">
        <f t="shared" si="1"/>
        <v>0</v>
      </c>
      <c r="M12" s="90">
        <f t="shared" si="10"/>
        <v>0</v>
      </c>
      <c r="N12" s="92">
        <f t="shared" si="2"/>
        <v>0</v>
      </c>
      <c r="O12" s="17">
        <f t="shared" si="3"/>
        <v>313866.37145772344</v>
      </c>
      <c r="P12" s="90">
        <f t="shared" si="11"/>
        <v>16540.086471745613</v>
      </c>
      <c r="Q12" s="90">
        <f t="shared" si="12"/>
        <v>447023.63624943711</v>
      </c>
      <c r="R12" s="90">
        <f t="shared" si="4"/>
        <v>453279.18593584857</v>
      </c>
      <c r="S12" s="90">
        <f t="shared" si="13"/>
        <v>52382.053618736958</v>
      </c>
      <c r="T12" s="92">
        <f t="shared" si="5"/>
        <v>787.27324237879532</v>
      </c>
      <c r="U12" s="17">
        <f t="shared" si="14"/>
        <v>1283878.6069758707</v>
      </c>
      <c r="V12" s="6">
        <f t="shared" si="6"/>
        <v>465336.69080238178</v>
      </c>
      <c r="X12" s="30"/>
      <c r="Y12" s="30"/>
    </row>
    <row r="13" spans="1:49" x14ac:dyDescent="0.25">
      <c r="A13" s="75">
        <f t="shared" si="7"/>
        <v>16797.487415834024</v>
      </c>
      <c r="B13" s="2">
        <f t="shared" si="15"/>
        <v>2036</v>
      </c>
      <c r="C13" s="260">
        <f>IF(OR($B13&lt;$Y$6,$B13&gt;'Project Data and Assumptions'!$C$8),0,$AC$35*(1+$AA$15)^($B13-2020))</f>
        <v>0</v>
      </c>
      <c r="D13" s="91">
        <f>IF(OR($B13&lt;$Y$6,$B13&gt;'Project Data and Assumptions'!$C$8),0,$AB$34*(1+$AA$15)^($B13-2020))</f>
        <v>0</v>
      </c>
      <c r="E13" s="258">
        <f>IF(OR($B13&lt;$Y$6,$B13&gt;'Project Data and Assumptions'!$C$8),0,$AC$34*(1+$AA$15)^($B13-2020))</f>
        <v>0</v>
      </c>
      <c r="F13" s="260">
        <f>IF($B13&gt;'Project Data and Assumptions'!$C$8,0,$AC$30*(1+$AA$15)^($B13-2020))</f>
        <v>25408.230070387144</v>
      </c>
      <c r="G13" s="91">
        <f>IF($B13&gt;'Project Data and Assumptions'!$C$8,0,$AB$29*(1+$AA$15)^($B13-2020))</f>
        <v>7057.7678217790017</v>
      </c>
      <c r="H13" s="258">
        <f>IF($B13&gt;'Project Data and Assumptions'!$C$8,0,$AC$29*(1+$AA$15)^($B13-2020))</f>
        <v>36694.029337663938</v>
      </c>
      <c r="I13" s="17">
        <f t="shared" si="0"/>
        <v>0</v>
      </c>
      <c r="J13" s="325">
        <f t="shared" si="8"/>
        <v>0</v>
      </c>
      <c r="K13" s="90">
        <f t="shared" si="9"/>
        <v>0</v>
      </c>
      <c r="L13" s="90">
        <f t="shared" si="1"/>
        <v>0</v>
      </c>
      <c r="M13" s="90">
        <f t="shared" si="10"/>
        <v>0</v>
      </c>
      <c r="N13" s="92">
        <f t="shared" si="2"/>
        <v>0</v>
      </c>
      <c r="O13" s="17">
        <f t="shared" si="3"/>
        <v>320143.69888687803</v>
      </c>
      <c r="P13" s="90">
        <f t="shared" si="11"/>
        <v>16870.888201180529</v>
      </c>
      <c r="Q13" s="90">
        <f t="shared" si="12"/>
        <v>455964.10897442594</v>
      </c>
      <c r="R13" s="90">
        <f t="shared" si="4"/>
        <v>462344.76965456561</v>
      </c>
      <c r="S13" s="90">
        <f t="shared" si="13"/>
        <v>53429.694691111712</v>
      </c>
      <c r="T13" s="92">
        <f t="shared" si="5"/>
        <v>803.01870722637125</v>
      </c>
      <c r="U13" s="17">
        <f t="shared" si="14"/>
        <v>1309556.1791153883</v>
      </c>
      <c r="V13" s="6">
        <f t="shared" si="6"/>
        <v>443591.98562470055</v>
      </c>
      <c r="AU13" s="292" t="s">
        <v>489</v>
      </c>
      <c r="AV13" s="292" t="s">
        <v>503</v>
      </c>
    </row>
    <row r="14" spans="1:49" x14ac:dyDescent="0.25">
      <c r="A14" s="75">
        <f t="shared" si="7"/>
        <v>17133.437164150706</v>
      </c>
      <c r="B14" s="2">
        <f t="shared" si="15"/>
        <v>2037</v>
      </c>
      <c r="C14" s="260">
        <f>IF(OR($B14&lt;$Y$6,$B14&gt;'Project Data and Assumptions'!$C$8),0,$AC$35*(1+$AA$15)^($B14-2020))</f>
        <v>0</v>
      </c>
      <c r="D14" s="91">
        <f>IF(OR($B14&lt;$Y$6,$B14&gt;'Project Data and Assumptions'!$C$8),0,$AB$34*(1+$AA$15)^($B14-2020))</f>
        <v>0</v>
      </c>
      <c r="E14" s="258">
        <f>IF(OR($B14&lt;$Y$6,$B14&gt;'Project Data and Assumptions'!$C$8),0,$AC$34*(1+$AA$15)^($B14-2020))</f>
        <v>0</v>
      </c>
      <c r="F14" s="260">
        <f>IF($B14&gt;'Project Data and Assumptions'!$C$8,0,$AC$30*(1+$AA$15)^($B14-2020))</f>
        <v>25916.394671794889</v>
      </c>
      <c r="G14" s="91">
        <f>IF($B14&gt;'Project Data and Assumptions'!$C$8,0,$AB$29*(1+$AA$15)^($B14-2020))</f>
        <v>7198.9231782145825</v>
      </c>
      <c r="H14" s="258">
        <f>IF($B14&gt;'Project Data and Assumptions'!$C$8,0,$AC$29*(1+$AA$15)^($B14-2020))</f>
        <v>37427.909924417218</v>
      </c>
      <c r="I14" s="17">
        <f t="shared" si="0"/>
        <v>0</v>
      </c>
      <c r="J14" s="325">
        <f t="shared" si="8"/>
        <v>0</v>
      </c>
      <c r="K14" s="90">
        <f t="shared" si="9"/>
        <v>0</v>
      </c>
      <c r="L14" s="90">
        <f t="shared" si="1"/>
        <v>0</v>
      </c>
      <c r="M14" s="90">
        <f t="shared" si="10"/>
        <v>0</v>
      </c>
      <c r="N14" s="92">
        <f t="shared" si="2"/>
        <v>0</v>
      </c>
      <c r="O14" s="17">
        <f t="shared" si="3"/>
        <v>326546.57286461559</v>
      </c>
      <c r="P14" s="90">
        <f t="shared" si="11"/>
        <v>17208.305965204141</v>
      </c>
      <c r="Q14" s="90">
        <f t="shared" si="12"/>
        <v>465083.39115391445</v>
      </c>
      <c r="R14" s="90">
        <f t="shared" si="4"/>
        <v>471591.66504765692</v>
      </c>
      <c r="S14" s="90">
        <f t="shared" si="13"/>
        <v>54498.288584933944</v>
      </c>
      <c r="T14" s="92">
        <f t="shared" si="5"/>
        <v>819.07908137089873</v>
      </c>
      <c r="U14" s="17">
        <f t="shared" si="14"/>
        <v>1335747.302697696</v>
      </c>
      <c r="V14" s="6">
        <f t="shared" si="6"/>
        <v>422863.3881656024</v>
      </c>
      <c r="X14" s="175" t="s">
        <v>83</v>
      </c>
      <c r="AU14" s="292" t="s">
        <v>490</v>
      </c>
      <c r="AV14" s="292" t="s">
        <v>504</v>
      </c>
    </row>
    <row r="15" spans="1:49" ht="17.25" x14ac:dyDescent="0.25">
      <c r="A15" s="75">
        <f t="shared" si="7"/>
        <v>17476.105907433717</v>
      </c>
      <c r="B15" s="2">
        <f t="shared" si="15"/>
        <v>2038</v>
      </c>
      <c r="C15" s="260">
        <f>IF(OR($B15&lt;$Y$6,$B15&gt;'Project Data and Assumptions'!$C$8),0,$AC$35*(1+$AA$15)^($B15-2020))</f>
        <v>0</v>
      </c>
      <c r="D15" s="91">
        <f>IF(OR($B15&lt;$Y$6,$B15&gt;'Project Data and Assumptions'!$C$8),0,$AB$34*(1+$AA$15)^($B15-2020))</f>
        <v>0</v>
      </c>
      <c r="E15" s="258">
        <f>IF(OR($B15&lt;$Y$6,$B15&gt;'Project Data and Assumptions'!$C$8),0,$AC$34*(1+$AA$15)^($B15-2020))</f>
        <v>0</v>
      </c>
      <c r="F15" s="260">
        <f>IF($B15&gt;'Project Data and Assumptions'!$C$8,0,$AC$30*(1+$AA$15)^($B15-2020))</f>
        <v>26434.722565230782</v>
      </c>
      <c r="G15" s="91">
        <f>IF($B15&gt;'Project Data and Assumptions'!$C$8,0,$AB$29*(1+$AA$15)^($B15-2020))</f>
        <v>7342.9016417788735</v>
      </c>
      <c r="H15" s="258">
        <f>IF($B15&gt;'Project Data and Assumptions'!$C$8,0,$AC$29*(1+$AA$15)^($B15-2020))</f>
        <v>38176.468122905557</v>
      </c>
      <c r="I15" s="17">
        <f t="shared" si="0"/>
        <v>0</v>
      </c>
      <c r="J15" s="325">
        <f t="shared" si="8"/>
        <v>0</v>
      </c>
      <c r="K15" s="90">
        <f t="shared" si="9"/>
        <v>0</v>
      </c>
      <c r="L15" s="90">
        <f t="shared" si="1"/>
        <v>0</v>
      </c>
      <c r="M15" s="90">
        <f t="shared" si="10"/>
        <v>0</v>
      </c>
      <c r="N15" s="92">
        <f t="shared" si="2"/>
        <v>0</v>
      </c>
      <c r="O15" s="17">
        <f t="shared" si="3"/>
        <v>333077.50432190788</v>
      </c>
      <c r="P15" s="90">
        <f t="shared" si="11"/>
        <v>17552.472084508223</v>
      </c>
      <c r="Q15" s="90">
        <f t="shared" si="12"/>
        <v>474385.05897699267</v>
      </c>
      <c r="R15" s="90">
        <f t="shared" si="4"/>
        <v>481023.49834861001</v>
      </c>
      <c r="S15" s="90">
        <f t="shared" si="13"/>
        <v>55588.25435663262</v>
      </c>
      <c r="T15" s="92">
        <f t="shared" si="5"/>
        <v>835.46066299831671</v>
      </c>
      <c r="U15" s="17">
        <f t="shared" si="14"/>
        <v>1362462.2487516499</v>
      </c>
      <c r="V15" s="6">
        <f t="shared" si="6"/>
        <v>403103.41675599472</v>
      </c>
      <c r="X15" s="700" t="s">
        <v>677</v>
      </c>
      <c r="Y15" s="700"/>
      <c r="Z15" s="700"/>
      <c r="AA15" s="569">
        <v>0.02</v>
      </c>
      <c r="AB15" s="569">
        <v>0.05</v>
      </c>
      <c r="AU15" s="292" t="s">
        <v>491</v>
      </c>
    </row>
    <row r="16" spans="1:49" x14ac:dyDescent="0.25">
      <c r="A16" s="75">
        <f t="shared" si="7"/>
        <v>17825.628025582391</v>
      </c>
      <c r="B16" s="2">
        <f t="shared" si="15"/>
        <v>2039</v>
      </c>
      <c r="C16" s="260">
        <f>IF(OR($B16&lt;$Y$6,$B16&gt;'Project Data and Assumptions'!$C$8),0,$AC$35*(1+$AA$15)^($B16-2020))</f>
        <v>0</v>
      </c>
      <c r="D16" s="91">
        <f>IF(OR($B16&lt;$Y$6,$B16&gt;'Project Data and Assumptions'!$C$8),0,$AB$34*(1+$AA$15)^($B16-2020))</f>
        <v>0</v>
      </c>
      <c r="E16" s="258">
        <f>IF(OR($B16&lt;$Y$6,$B16&gt;'Project Data and Assumptions'!$C$8),0,$AC$34*(1+$AA$15)^($B16-2020))</f>
        <v>0</v>
      </c>
      <c r="F16" s="260">
        <f>IF($B16&gt;'Project Data and Assumptions'!$C$8,0,$AC$30*(1+$AA$15)^($B16-2020))</f>
        <v>26963.417016535397</v>
      </c>
      <c r="G16" s="91">
        <f>IF($B16&gt;'Project Data and Assumptions'!$C$8,0,$AB$29*(1+$AA$15)^($B16-2020))</f>
        <v>7489.75967461445</v>
      </c>
      <c r="H16" s="258">
        <f>IF($B16&gt;'Project Data and Assumptions'!$C$8,0,$AC$29*(1+$AA$15)^($B16-2020))</f>
        <v>38939.997485363667</v>
      </c>
      <c r="I16" s="17">
        <f t="shared" si="0"/>
        <v>0</v>
      </c>
      <c r="J16" s="325">
        <f t="shared" si="8"/>
        <v>0</v>
      </c>
      <c r="K16" s="90">
        <f t="shared" si="9"/>
        <v>0</v>
      </c>
      <c r="L16" s="90">
        <f t="shared" si="1"/>
        <v>0</v>
      </c>
      <c r="M16" s="90">
        <f t="shared" si="10"/>
        <v>0</v>
      </c>
      <c r="N16" s="92">
        <f t="shared" si="2"/>
        <v>0</v>
      </c>
      <c r="O16" s="17">
        <f t="shared" si="3"/>
        <v>339739.05440834601</v>
      </c>
      <c r="P16" s="90">
        <f t="shared" si="11"/>
        <v>17903.521526198387</v>
      </c>
      <c r="Q16" s="90">
        <f t="shared" si="12"/>
        <v>483872.76015653252</v>
      </c>
      <c r="R16" s="90">
        <f t="shared" si="4"/>
        <v>490643.96831558226</v>
      </c>
      <c r="S16" s="90">
        <f t="shared" si="13"/>
        <v>56700.019443765268</v>
      </c>
      <c r="T16" s="92">
        <f t="shared" si="5"/>
        <v>852.16987625828278</v>
      </c>
      <c r="U16" s="17">
        <f t="shared" si="14"/>
        <v>1389711.4937266828</v>
      </c>
      <c r="V16" s="6">
        <f t="shared" si="6"/>
        <v>384266.80849636882</v>
      </c>
      <c r="X16" s="695" t="s">
        <v>498</v>
      </c>
      <c r="Y16" s="695"/>
      <c r="Z16" s="695"/>
      <c r="AA16" s="177">
        <v>0.86</v>
      </c>
      <c r="AB16" s="113"/>
      <c r="AU16" s="292" t="s">
        <v>502</v>
      </c>
      <c r="AV16" s="292" t="s">
        <v>505</v>
      </c>
      <c r="AW16" s="292" t="s">
        <v>506</v>
      </c>
    </row>
    <row r="17" spans="1:33" x14ac:dyDescent="0.25">
      <c r="A17" s="75">
        <f t="shared" si="7"/>
        <v>18182.140586094039</v>
      </c>
      <c r="B17" s="2">
        <f t="shared" si="15"/>
        <v>2040</v>
      </c>
      <c r="C17" s="260">
        <f>IF(OR($B17&lt;$Y$6,$B17&gt;'Project Data and Assumptions'!$C$8),0,$AC$35*(1+$AA$15)^($B17-2020))</f>
        <v>0</v>
      </c>
      <c r="D17" s="91">
        <f>IF(OR($B17&lt;$Y$6,$B17&gt;'Project Data and Assumptions'!$C$8),0,$AB$34*(1+$AA$15)^($B17-2020))</f>
        <v>0</v>
      </c>
      <c r="E17" s="258">
        <f>IF(OR($B17&lt;$Y$6,$B17&gt;'Project Data and Assumptions'!$C$8),0,$AC$34*(1+$AA$15)^($B17-2020))</f>
        <v>0</v>
      </c>
      <c r="F17" s="260">
        <f>IF($B17&gt;'Project Data and Assumptions'!$C$8,0,$AC$30*(1+$AA$15)^($B17-2020))</f>
        <v>27502.685356866106</v>
      </c>
      <c r="G17" s="91">
        <f>IF($B17&gt;'Project Data and Assumptions'!$C$8,0,$AB$29*(1+$AA$15)^($B17-2020))</f>
        <v>7639.5548681067403</v>
      </c>
      <c r="H17" s="258">
        <f>IF($B17&gt;'Project Data and Assumptions'!$C$8,0,$AC$29*(1+$AA$15)^($B17-2020))</f>
        <v>39718.797435070948</v>
      </c>
      <c r="I17" s="17">
        <f t="shared" si="0"/>
        <v>0</v>
      </c>
      <c r="J17" s="325">
        <f t="shared" si="8"/>
        <v>0</v>
      </c>
      <c r="K17" s="90">
        <f t="shared" si="9"/>
        <v>0</v>
      </c>
      <c r="L17" s="90">
        <f t="shared" si="1"/>
        <v>0</v>
      </c>
      <c r="M17" s="90">
        <f t="shared" si="10"/>
        <v>0</v>
      </c>
      <c r="N17" s="92">
        <f t="shared" si="2"/>
        <v>0</v>
      </c>
      <c r="O17" s="17">
        <f t="shared" si="3"/>
        <v>346533.835496513</v>
      </c>
      <c r="P17" s="90">
        <f t="shared" si="11"/>
        <v>18261.591956722354</v>
      </c>
      <c r="Q17" s="90">
        <f t="shared" si="12"/>
        <v>493550.21535966318</v>
      </c>
      <c r="R17" s="90">
        <f t="shared" si="4"/>
        <v>500456.84768189391</v>
      </c>
      <c r="S17" s="90">
        <f t="shared" si="13"/>
        <v>57834.019832640581</v>
      </c>
      <c r="T17" s="92">
        <f t="shared" si="5"/>
        <v>869.21327378344859</v>
      </c>
      <c r="U17" s="17">
        <f t="shared" si="14"/>
        <v>1417505.7236012167</v>
      </c>
      <c r="V17" s="6">
        <f t="shared" si="6"/>
        <v>366310.41557597782</v>
      </c>
      <c r="X17" s="695" t="s">
        <v>499</v>
      </c>
      <c r="Y17" s="695"/>
      <c r="Z17" s="695"/>
      <c r="AA17" s="265">
        <f>MIN(Y7,2.38)</f>
        <v>2.38</v>
      </c>
      <c r="AB17" s="266" t="s">
        <v>500</v>
      </c>
      <c r="AC17" s="284" t="s">
        <v>501</v>
      </c>
    </row>
    <row r="18" spans="1:33" x14ac:dyDescent="0.25">
      <c r="A18" s="75">
        <f t="shared" si="7"/>
        <v>18545.783397815918</v>
      </c>
      <c r="B18" s="2">
        <f t="shared" si="15"/>
        <v>2041</v>
      </c>
      <c r="C18" s="260">
        <f>IF(OR($B18&lt;$Y$6,$B18&gt;'Project Data and Assumptions'!$C$8),0,$AC$35*(1+$AA$15)^($B18-2020))</f>
        <v>0</v>
      </c>
      <c r="D18" s="91">
        <f>IF(OR($B18&lt;$Y$6,$B18&gt;'Project Data and Assumptions'!$C$8),0,$AB$34*(1+$AA$15)^($B18-2020))</f>
        <v>0</v>
      </c>
      <c r="E18" s="258">
        <f>IF(OR($B18&lt;$Y$6,$B18&gt;'Project Data and Assumptions'!$C$8),0,$AC$34*(1+$AA$15)^($B18-2020))</f>
        <v>0</v>
      </c>
      <c r="F18" s="260">
        <f>IF($B18&gt;'Project Data and Assumptions'!$C$8,0,$AC$30*(1+$AA$15)^($B18-2020))</f>
        <v>28052.739064003428</v>
      </c>
      <c r="G18" s="91">
        <f>IF($B18&gt;'Project Data and Assumptions'!$C$8,0,$AB$29*(1+$AA$15)^($B18-2020))</f>
        <v>7792.3459654688741</v>
      </c>
      <c r="H18" s="258">
        <f>IF($B18&gt;'Project Data and Assumptions'!$C$8,0,$AC$29*(1+$AA$15)^($B18-2020))</f>
        <v>40513.173383772366</v>
      </c>
      <c r="I18" s="17">
        <f t="shared" si="0"/>
        <v>0</v>
      </c>
      <c r="J18" s="325">
        <f t="shared" si="8"/>
        <v>0</v>
      </c>
      <c r="K18" s="90">
        <f t="shared" si="9"/>
        <v>0</v>
      </c>
      <c r="L18" s="90">
        <f t="shared" si="1"/>
        <v>0</v>
      </c>
      <c r="M18" s="90">
        <f t="shared" si="10"/>
        <v>0</v>
      </c>
      <c r="N18" s="92">
        <f t="shared" si="2"/>
        <v>0</v>
      </c>
      <c r="O18" s="17">
        <f t="shared" si="3"/>
        <v>353464.51220644318</v>
      </c>
      <c r="P18" s="90">
        <f t="shared" si="11"/>
        <v>18626.823795856799</v>
      </c>
      <c r="Q18" s="90">
        <f t="shared" si="12"/>
        <v>503421.21966685646</v>
      </c>
      <c r="R18" s="90">
        <f t="shared" si="4"/>
        <v>510465.98463553184</v>
      </c>
      <c r="S18" s="90">
        <f t="shared" si="13"/>
        <v>58990.70022929339</v>
      </c>
      <c r="T18" s="92">
        <f t="shared" si="5"/>
        <v>886.59753925911753</v>
      </c>
      <c r="U18" s="17">
        <f t="shared" si="14"/>
        <v>1445855.8380732408</v>
      </c>
      <c r="V18" s="6">
        <f t="shared" si="6"/>
        <v>349193.10643691337</v>
      </c>
      <c r="X18" s="695" t="s">
        <v>495</v>
      </c>
      <c r="Y18" s="695"/>
      <c r="Z18" s="695"/>
      <c r="AA18" s="695"/>
      <c r="AB18" s="177">
        <f>MIN($AA$16,$Y8)</f>
        <v>0.86</v>
      </c>
      <c r="AC18" s="177">
        <f>MIN($AA$17,$Y8)</f>
        <v>1.75</v>
      </c>
    </row>
    <row r="19" spans="1:33" x14ac:dyDescent="0.25">
      <c r="A19" s="75">
        <f t="shared" si="7"/>
        <v>18916.699065772238</v>
      </c>
      <c r="B19" s="2">
        <f t="shared" si="15"/>
        <v>2042</v>
      </c>
      <c r="C19" s="260">
        <f>IF(OR($B19&lt;$Y$6,$B19&gt;'Project Data and Assumptions'!$C$8),0,$AC$35*(1+$AA$15)^($B19-2020))</f>
        <v>0</v>
      </c>
      <c r="D19" s="91">
        <f>IF(OR($B19&lt;$Y$6,$B19&gt;'Project Data and Assumptions'!$C$8),0,$AB$34*(1+$AA$15)^($B19-2020))</f>
        <v>0</v>
      </c>
      <c r="E19" s="258">
        <f>IF(OR($B19&lt;$Y$6,$B19&gt;'Project Data and Assumptions'!$C$8),0,$AC$34*(1+$AA$15)^($B19-2020))</f>
        <v>0</v>
      </c>
      <c r="F19" s="260">
        <f>IF($B19&gt;'Project Data and Assumptions'!$C$8,0,$AC$30*(1+$AA$15)^($B19-2020))</f>
        <v>28613.793845283497</v>
      </c>
      <c r="G19" s="91">
        <f>IF($B19&gt;'Project Data and Assumptions'!$C$8,0,$AB$29*(1+$AA$15)^($B19-2020))</f>
        <v>7948.1928847782519</v>
      </c>
      <c r="H19" s="258">
        <f>IF($B19&gt;'Project Data and Assumptions'!$C$8,0,$AC$29*(1+$AA$15)^($B19-2020))</f>
        <v>41323.436851447812</v>
      </c>
      <c r="I19" s="17">
        <f t="shared" si="0"/>
        <v>0</v>
      </c>
      <c r="J19" s="325">
        <f t="shared" si="8"/>
        <v>0</v>
      </c>
      <c r="K19" s="90">
        <f t="shared" si="9"/>
        <v>0</v>
      </c>
      <c r="L19" s="90">
        <f t="shared" si="1"/>
        <v>0</v>
      </c>
      <c r="M19" s="90">
        <f t="shared" si="10"/>
        <v>0</v>
      </c>
      <c r="N19" s="92">
        <f t="shared" si="2"/>
        <v>0</v>
      </c>
      <c r="O19" s="17">
        <f t="shared" si="3"/>
        <v>360533.80245057208</v>
      </c>
      <c r="P19" s="90">
        <f t="shared" si="11"/>
        <v>18999.360271773934</v>
      </c>
      <c r="Q19" s="90">
        <f t="shared" si="12"/>
        <v>513489.64406019362</v>
      </c>
      <c r="R19" s="90">
        <f t="shared" si="4"/>
        <v>520675.30432824238</v>
      </c>
      <c r="S19" s="90">
        <f t="shared" si="13"/>
        <v>60170.514233879265</v>
      </c>
      <c r="T19" s="92">
        <f t="shared" si="5"/>
        <v>904.32949004429986</v>
      </c>
      <c r="U19" s="17">
        <f t="shared" si="14"/>
        <v>1474772.9548347057</v>
      </c>
      <c r="V19" s="6">
        <f t="shared" si="6"/>
        <v>332875.67155668378</v>
      </c>
      <c r="X19" s="695" t="s">
        <v>496</v>
      </c>
      <c r="Y19" s="695"/>
      <c r="Z19" s="695"/>
      <c r="AA19" s="695"/>
      <c r="AB19" s="177">
        <f>MIN($AA$16,SUM($Y9:$Y10))</f>
        <v>0.86</v>
      </c>
      <c r="AC19" s="177">
        <f>MIN($AA$16,SUM($Y9:$Y10))</f>
        <v>0.86</v>
      </c>
    </row>
    <row r="20" spans="1:33" x14ac:dyDescent="0.25">
      <c r="A20" s="75">
        <f t="shared" si="7"/>
        <v>19295.03304708768</v>
      </c>
      <c r="B20" s="2">
        <f t="shared" si="15"/>
        <v>2043</v>
      </c>
      <c r="C20" s="260">
        <f>IF(OR($B20&lt;$Y$6,$B20&gt;'Project Data and Assumptions'!$C$8),0,$AC$35*(1+$AA$15)^($B20-2020))</f>
        <v>0</v>
      </c>
      <c r="D20" s="91">
        <f>IF(OR($B20&lt;$Y$6,$B20&gt;'Project Data and Assumptions'!$C$8),0,$AB$34*(1+$AA$15)^($B20-2020))</f>
        <v>0</v>
      </c>
      <c r="E20" s="258">
        <f>IF(OR($B20&lt;$Y$6,$B20&gt;'Project Data and Assumptions'!$C$8),0,$AC$34*(1+$AA$15)^($B20-2020))</f>
        <v>0</v>
      </c>
      <c r="F20" s="260">
        <f>IF($B20&gt;'Project Data and Assumptions'!$C$8,0,$AC$30*(1+$AA$15)^($B20-2020))</f>
        <v>29186.069722189164</v>
      </c>
      <c r="G20" s="91">
        <f>IF($B20&gt;'Project Data and Assumptions'!$C$8,0,$AB$29*(1+$AA$15)^($B20-2020))</f>
        <v>8107.1567424738159</v>
      </c>
      <c r="H20" s="258">
        <f>IF($B20&gt;'Project Data and Assumptions'!$C$8,0,$AC$29*(1+$AA$15)^($B20-2020))</f>
        <v>42149.905588476759</v>
      </c>
      <c r="I20" s="17">
        <f t="shared" si="0"/>
        <v>0</v>
      </c>
      <c r="J20" s="325">
        <f t="shared" si="8"/>
        <v>0</v>
      </c>
      <c r="K20" s="90">
        <f t="shared" si="9"/>
        <v>0</v>
      </c>
      <c r="L20" s="90">
        <f t="shared" si="1"/>
        <v>0</v>
      </c>
      <c r="M20" s="90">
        <f t="shared" si="10"/>
        <v>0</v>
      </c>
      <c r="N20" s="92">
        <f t="shared" si="2"/>
        <v>0</v>
      </c>
      <c r="O20" s="17">
        <f t="shared" si="3"/>
        <v>367744.47849958349</v>
      </c>
      <c r="P20" s="90">
        <f t="shared" si="11"/>
        <v>19379.347477209416</v>
      </c>
      <c r="Q20" s="90">
        <f t="shared" si="12"/>
        <v>523759.43694139738</v>
      </c>
      <c r="R20" s="90">
        <f t="shared" si="4"/>
        <v>531088.81041480717</v>
      </c>
      <c r="S20" s="90">
        <f t="shared" si="13"/>
        <v>61373.924518556836</v>
      </c>
      <c r="T20" s="92">
        <f t="shared" si="5"/>
        <v>922.41607984518589</v>
      </c>
      <c r="U20" s="17">
        <f t="shared" si="14"/>
        <v>1504268.4139313996</v>
      </c>
      <c r="V20" s="6">
        <f t="shared" si="6"/>
        <v>317320.73363347421</v>
      </c>
      <c r="X20" s="568"/>
      <c r="Y20" s="568"/>
      <c r="Z20" s="286"/>
      <c r="AA20" s="93"/>
    </row>
    <row r="21" spans="1:33" x14ac:dyDescent="0.25">
      <c r="A21" s="75">
        <f t="shared" si="7"/>
        <v>19680.933708029435</v>
      </c>
      <c r="B21" s="2">
        <f t="shared" si="15"/>
        <v>2044</v>
      </c>
      <c r="C21" s="260">
        <f>IF(OR($B21&lt;$Y$6,$B21&gt;'Project Data and Assumptions'!$C$8),0,$AC$35*(1+$AA$15)^($B21-2020))</f>
        <v>0</v>
      </c>
      <c r="D21" s="91">
        <f>IF(OR($B21&lt;$Y$6,$B21&gt;'Project Data and Assumptions'!$C$8),0,$AB$34*(1+$AA$15)^($B21-2020))</f>
        <v>0</v>
      </c>
      <c r="E21" s="258">
        <f>IF(OR($B21&lt;$Y$6,$B21&gt;'Project Data and Assumptions'!$C$8),0,$AC$34*(1+$AA$15)^($B21-2020))</f>
        <v>0</v>
      </c>
      <c r="F21" s="260">
        <f>IF($B21&gt;'Project Data and Assumptions'!$C$8,0,$AC$30*(1+$AA$15)^($B21-2020))</f>
        <v>29769.791116632947</v>
      </c>
      <c r="G21" s="91">
        <f>IF($B21&gt;'Project Data and Assumptions'!$C$8,0,$AB$29*(1+$AA$15)^($B21-2020))</f>
        <v>8269.2998773232921</v>
      </c>
      <c r="H21" s="258">
        <f>IF($B21&gt;'Project Data and Assumptions'!$C$8,0,$AC$29*(1+$AA$15)^($B21-2020))</f>
        <v>42992.903700246301</v>
      </c>
      <c r="I21" s="17">
        <f t="shared" si="0"/>
        <v>0</v>
      </c>
      <c r="J21" s="325">
        <f t="shared" si="8"/>
        <v>0</v>
      </c>
      <c r="K21" s="90">
        <f t="shared" si="9"/>
        <v>0</v>
      </c>
      <c r="L21" s="90">
        <f t="shared" si="1"/>
        <v>0</v>
      </c>
      <c r="M21" s="90">
        <f t="shared" si="10"/>
        <v>0</v>
      </c>
      <c r="N21" s="92">
        <f t="shared" si="2"/>
        <v>0</v>
      </c>
      <c r="O21" s="17">
        <f t="shared" si="3"/>
        <v>375099.36806957511</v>
      </c>
      <c r="P21" s="90">
        <f t="shared" si="11"/>
        <v>19766.9344267536</v>
      </c>
      <c r="Q21" s="90">
        <f t="shared" si="12"/>
        <v>534234.62568022544</v>
      </c>
      <c r="R21" s="90">
        <f t="shared" si="4"/>
        <v>541710.58662310336</v>
      </c>
      <c r="S21" s="90">
        <f t="shared" si="13"/>
        <v>62601.403008927977</v>
      </c>
      <c r="T21" s="92">
        <f t="shared" si="5"/>
        <v>940.86440144208939</v>
      </c>
      <c r="U21" s="17">
        <f t="shared" si="14"/>
        <v>1534353.7822100276</v>
      </c>
      <c r="V21" s="6">
        <f t="shared" si="6"/>
        <v>302492.66196835856</v>
      </c>
      <c r="X21" s="28"/>
      <c r="Y21" s="28"/>
      <c r="Z21" s="570"/>
      <c r="AA21" s="570"/>
      <c r="AB21" s="570"/>
      <c r="AC21" s="570"/>
      <c r="AD21" s="547"/>
    </row>
    <row r="22" spans="1:33" x14ac:dyDescent="0.25">
      <c r="A22" s="75">
        <f t="shared" si="7"/>
        <v>20074.552382190024</v>
      </c>
      <c r="B22" s="2">
        <f t="shared" si="15"/>
        <v>2045</v>
      </c>
      <c r="C22" s="260">
        <f>IF(OR($B22&lt;$Y$6,$B22&gt;'Project Data and Assumptions'!$C$8),0,$AC$35*(1+$AA$15)^($B22-2020))</f>
        <v>0</v>
      </c>
      <c r="D22" s="91">
        <f>IF(OR($B22&lt;$Y$6,$B22&gt;'Project Data and Assumptions'!$C$8),0,$AB$34*(1+$AA$15)^($B22-2020))</f>
        <v>0</v>
      </c>
      <c r="E22" s="258">
        <f>IF(OR($B22&lt;$Y$6,$B22&gt;'Project Data and Assumptions'!$C$8),0,$AC$34*(1+$AA$15)^($B22-2020))</f>
        <v>0</v>
      </c>
      <c r="F22" s="260">
        <f>IF($B22&gt;'Project Data and Assumptions'!$C$8,0,$AC$30*(1+$AA$15)^($B22-2020))</f>
        <v>30365.186938965606</v>
      </c>
      <c r="G22" s="91">
        <f>IF($B22&gt;'Project Data and Assumptions'!$C$8,0,$AB$29*(1+$AA$15)^($B22-2020))</f>
        <v>8434.6858748697578</v>
      </c>
      <c r="H22" s="258">
        <f>IF($B22&gt;'Project Data and Assumptions'!$C$8,0,$AC$29*(1+$AA$15)^($B22-2020))</f>
        <v>43852.761774251223</v>
      </c>
      <c r="I22" s="17">
        <f t="shared" si="0"/>
        <v>0</v>
      </c>
      <c r="J22" s="325">
        <f t="shared" si="8"/>
        <v>0</v>
      </c>
      <c r="K22" s="90">
        <f t="shared" si="9"/>
        <v>0</v>
      </c>
      <c r="L22" s="90">
        <f t="shared" si="1"/>
        <v>0</v>
      </c>
      <c r="M22" s="90">
        <f t="shared" si="10"/>
        <v>0</v>
      </c>
      <c r="N22" s="92">
        <f t="shared" si="2"/>
        <v>0</v>
      </c>
      <c r="O22" s="17">
        <f t="shared" si="3"/>
        <v>382601.35543096665</v>
      </c>
      <c r="P22" s="90">
        <f t="shared" si="11"/>
        <v>20162.273115288674</v>
      </c>
      <c r="Q22" s="90">
        <f t="shared" si="12"/>
        <v>544919.31819382985</v>
      </c>
      <c r="R22" s="90">
        <f t="shared" si="4"/>
        <v>552544.79835556541</v>
      </c>
      <c r="S22" s="90">
        <f t="shared" si="13"/>
        <v>63853.431069106533</v>
      </c>
      <c r="T22" s="92">
        <f t="shared" si="5"/>
        <v>959.68168947093125</v>
      </c>
      <c r="U22" s="17">
        <f t="shared" si="14"/>
        <v>1565040.8578542282</v>
      </c>
      <c r="V22" s="6">
        <f t="shared" si="6"/>
        <v>288357.49084834178</v>
      </c>
      <c r="X22" s="571" t="s">
        <v>640</v>
      </c>
      <c r="Y22" s="28"/>
      <c r="Z22" s="570"/>
      <c r="AA22" s="570"/>
      <c r="AB22" s="570"/>
      <c r="AC22" s="570"/>
      <c r="AD22" s="547"/>
    </row>
    <row r="23" spans="1:33" x14ac:dyDescent="0.25">
      <c r="A23" s="75">
        <f t="shared" si="7"/>
        <v>20476.04342983383</v>
      </c>
      <c r="B23" s="2">
        <f t="shared" si="15"/>
        <v>2046</v>
      </c>
      <c r="C23" s="260">
        <f>IF(OR($B23&lt;$Y$6,$B23&gt;'Project Data and Assumptions'!$C$8),0,$AC$35*(1+$AA$15)^($B23-2020))</f>
        <v>0</v>
      </c>
      <c r="D23" s="91">
        <f>IF(OR($B23&lt;$Y$6,$B23&gt;'Project Data and Assumptions'!$C$8),0,$AB$34*(1+$AA$15)^($B23-2020))</f>
        <v>0</v>
      </c>
      <c r="E23" s="258">
        <f>IF(OR($B23&lt;$Y$6,$B23&gt;'Project Data and Assumptions'!$C$8),0,$AC$34*(1+$AA$15)^($B23-2020))</f>
        <v>0</v>
      </c>
      <c r="F23" s="260">
        <f>IF($B23&gt;'Project Data and Assumptions'!$C$8,0,$AC$30*(1+$AA$15)^($B23-2020))</f>
        <v>30972.490677744921</v>
      </c>
      <c r="G23" s="91">
        <f>IF($B23&gt;'Project Data and Assumptions'!$C$8,0,$AB$29*(1+$AA$15)^($B23-2020))</f>
        <v>8603.3795923671551</v>
      </c>
      <c r="H23" s="258">
        <f>IF($B23&gt;'Project Data and Assumptions'!$C$8,0,$AC$29*(1+$AA$15)^($B23-2020))</f>
        <v>44729.817009736253</v>
      </c>
      <c r="I23" s="17">
        <f t="shared" si="0"/>
        <v>0</v>
      </c>
      <c r="J23" s="325">
        <f t="shared" si="8"/>
        <v>0</v>
      </c>
      <c r="K23" s="90">
        <f t="shared" si="9"/>
        <v>0</v>
      </c>
      <c r="L23" s="90">
        <f t="shared" si="1"/>
        <v>0</v>
      </c>
      <c r="M23" s="90">
        <f t="shared" si="10"/>
        <v>0</v>
      </c>
      <c r="N23" s="92">
        <f t="shared" si="2"/>
        <v>0</v>
      </c>
      <c r="O23" s="17">
        <f t="shared" si="3"/>
        <v>390253.38253958599</v>
      </c>
      <c r="P23" s="90">
        <f t="shared" si="11"/>
        <v>20565.518577594452</v>
      </c>
      <c r="Q23" s="90">
        <f t="shared" si="12"/>
        <v>555817.7045577066</v>
      </c>
      <c r="R23" s="90">
        <f t="shared" si="4"/>
        <v>563595.69432267686</v>
      </c>
      <c r="S23" s="90">
        <f t="shared" si="13"/>
        <v>65130.499690488672</v>
      </c>
      <c r="T23" s="92">
        <f t="shared" si="5"/>
        <v>978.87532326035023</v>
      </c>
      <c r="U23" s="17">
        <f t="shared" si="14"/>
        <v>1596341.6750113131</v>
      </c>
      <c r="V23" s="6">
        <f t="shared" si="6"/>
        <v>274882.84174327919</v>
      </c>
      <c r="X23" s="547"/>
      <c r="Y23" s="547"/>
      <c r="Z23" s="288" t="s">
        <v>23</v>
      </c>
      <c r="AA23" s="288" t="s">
        <v>468</v>
      </c>
      <c r="AB23" s="288" t="s">
        <v>53</v>
      </c>
      <c r="AC23" s="288" t="s">
        <v>261</v>
      </c>
      <c r="AD23" s="288" t="s">
        <v>486</v>
      </c>
    </row>
    <row r="24" spans="1:33" x14ac:dyDescent="0.25">
      <c r="A24" s="75">
        <f t="shared" si="7"/>
        <v>20885.564298430498</v>
      </c>
      <c r="B24" s="2">
        <f t="shared" si="15"/>
        <v>2047</v>
      </c>
      <c r="C24" s="260">
        <f>IF(OR($B24&lt;$Y$6,$B24&gt;'Project Data and Assumptions'!$C$8),0,$AC$35*(1+$AA$15)^($B24-2020))</f>
        <v>0</v>
      </c>
      <c r="D24" s="91">
        <f>IF(OR($B24&lt;$Y$6,$B24&gt;'Project Data and Assumptions'!$C$8),0,$AB$34*(1+$AA$15)^($B24-2020))</f>
        <v>0</v>
      </c>
      <c r="E24" s="258">
        <f>IF(OR($B24&lt;$Y$6,$B24&gt;'Project Data and Assumptions'!$C$8),0,$AC$34*(1+$AA$15)^($B24-2020))</f>
        <v>0</v>
      </c>
      <c r="F24" s="260">
        <f>IF($B24&gt;'Project Data and Assumptions'!$C$8,0,$AC$30*(1+$AA$15)^($B24-2020))</f>
        <v>31591.940491299814</v>
      </c>
      <c r="G24" s="91">
        <f>IF($B24&gt;'Project Data and Assumptions'!$C$8,0,$AB$29*(1+$AA$15)^($B24-2020))</f>
        <v>8775.4471842144958</v>
      </c>
      <c r="H24" s="258">
        <f>IF($B24&gt;'Project Data and Assumptions'!$C$8,0,$AC$29*(1+$AA$15)^($B24-2020))</f>
        <v>45624.413349930968</v>
      </c>
      <c r="I24" s="17">
        <f t="shared" si="0"/>
        <v>0</v>
      </c>
      <c r="J24" s="325">
        <f t="shared" si="8"/>
        <v>0</v>
      </c>
      <c r="K24" s="90">
        <f t="shared" si="9"/>
        <v>0</v>
      </c>
      <c r="L24" s="90">
        <f t="shared" si="1"/>
        <v>0</v>
      </c>
      <c r="M24" s="90">
        <f t="shared" si="10"/>
        <v>0</v>
      </c>
      <c r="N24" s="92">
        <f t="shared" si="2"/>
        <v>0</v>
      </c>
      <c r="O24" s="17">
        <f t="shared" si="3"/>
        <v>398058.45019037765</v>
      </c>
      <c r="P24" s="90">
        <f t="shared" si="11"/>
        <v>20976.828949146333</v>
      </c>
      <c r="Q24" s="90">
        <f t="shared" si="12"/>
        <v>566934.05864886055</v>
      </c>
      <c r="R24" s="90">
        <f t="shared" si="4"/>
        <v>574867.60820913012</v>
      </c>
      <c r="S24" s="90">
        <f t="shared" si="13"/>
        <v>66433.109684298441</v>
      </c>
      <c r="T24" s="92">
        <f t="shared" si="5"/>
        <v>998.45282972555685</v>
      </c>
      <c r="U24" s="17">
        <f t="shared" si="14"/>
        <v>1628268.5085115389</v>
      </c>
      <c r="V24" s="6">
        <f t="shared" si="6"/>
        <v>262037.84913845293</v>
      </c>
      <c r="X24" s="709" t="s">
        <v>191</v>
      </c>
      <c r="Y24" s="709"/>
      <c r="Z24" s="327">
        <f>District!$B$6*District!$B$3</f>
        <v>3287610.9999999995</v>
      </c>
      <c r="AA24" s="327">
        <f>Z24*(SUM(District!$B$27:$B$30)+District!$B$26*5/7)</f>
        <v>2798877.6002273052</v>
      </c>
      <c r="AB24" s="327">
        <f>SUM($Z24:$Z25)*District!$C$11</f>
        <v>530336.96059999999</v>
      </c>
      <c r="AC24" s="327">
        <f>Z24-AB24</f>
        <v>2757274.0393999997</v>
      </c>
      <c r="AD24" s="328">
        <f>AA24/Z24</f>
        <v>0.85134086734327918</v>
      </c>
    </row>
    <row r="25" spans="1:33" x14ac:dyDescent="0.25">
      <c r="A25" s="75">
        <f t="shared" si="7"/>
        <v>21303.275584399114</v>
      </c>
      <c r="B25" s="2">
        <f t="shared" si="15"/>
        <v>2048</v>
      </c>
      <c r="C25" s="260">
        <f>IF(OR($B25&lt;$Y$6,$B25&gt;'Project Data and Assumptions'!$C$8),0,$AC$35*(1+$AA$15)^($B25-2020))</f>
        <v>0</v>
      </c>
      <c r="D25" s="91">
        <f>IF(OR($B25&lt;$Y$6,$B25&gt;'Project Data and Assumptions'!$C$8),0,$AB$34*(1+$AA$15)^($B25-2020))</f>
        <v>0</v>
      </c>
      <c r="E25" s="258">
        <f>IF(OR($B25&lt;$Y$6,$B25&gt;'Project Data and Assumptions'!$C$8),0,$AC$34*(1+$AA$15)^($B25-2020))</f>
        <v>0</v>
      </c>
      <c r="F25" s="260">
        <f>IF($B25&gt;'Project Data and Assumptions'!$C$8,0,$AC$30*(1+$AA$15)^($B25-2020))</f>
        <v>32223.779301125818</v>
      </c>
      <c r="G25" s="91">
        <f>IF($B25&gt;'Project Data and Assumptions'!$C$8,0,$AB$29*(1+$AA$15)^($B25-2020))</f>
        <v>8950.9561278987876</v>
      </c>
      <c r="H25" s="258">
        <f>IF($B25&gt;'Project Data and Assumptions'!$C$8,0,$AC$29*(1+$AA$15)^($B25-2020))</f>
        <v>46536.901616929601</v>
      </c>
      <c r="I25" s="17">
        <f t="shared" si="0"/>
        <v>0</v>
      </c>
      <c r="J25" s="325">
        <f t="shared" si="8"/>
        <v>0</v>
      </c>
      <c r="K25" s="90">
        <f t="shared" si="9"/>
        <v>0</v>
      </c>
      <c r="L25" s="90">
        <f t="shared" si="1"/>
        <v>0</v>
      </c>
      <c r="M25" s="90">
        <f t="shared" si="10"/>
        <v>0</v>
      </c>
      <c r="N25" s="92">
        <f t="shared" si="2"/>
        <v>0</v>
      </c>
      <c r="O25" s="17">
        <f t="shared" si="3"/>
        <v>406019.6191941853</v>
      </c>
      <c r="P25" s="90">
        <f t="shared" si="11"/>
        <v>21396.365528129267</v>
      </c>
      <c r="Q25" s="90">
        <f t="shared" si="12"/>
        <v>578272.73982183798</v>
      </c>
      <c r="R25" s="90">
        <f t="shared" si="4"/>
        <v>586364.96037331293</v>
      </c>
      <c r="S25" s="90">
        <f t="shared" si="13"/>
        <v>67761.771877984414</v>
      </c>
      <c r="T25" s="92">
        <f t="shared" si="5"/>
        <v>1018.4218863200683</v>
      </c>
      <c r="U25" s="17">
        <f t="shared" si="14"/>
        <v>1660833.8786817701</v>
      </c>
      <c r="V25" s="6">
        <f t="shared" si="6"/>
        <v>249793.08983291785</v>
      </c>
      <c r="X25" s="709" t="s">
        <v>190</v>
      </c>
      <c r="Y25" s="709"/>
      <c r="Z25" s="327">
        <f>District!$B$6*SUM(District!C3:D3)</f>
        <v>2439570</v>
      </c>
      <c r="AA25" s="327">
        <f>Z25*(SUM(District!$B$27:$B$30)+District!$B$26*5/7)</f>
        <v>2076905.6397446436</v>
      </c>
      <c r="AB25" s="327">
        <v>0</v>
      </c>
      <c r="AC25" s="327">
        <f>Z25-AB25</f>
        <v>2439570</v>
      </c>
      <c r="AD25" s="328">
        <f>AA25/Z25</f>
        <v>0.85134086734327918</v>
      </c>
      <c r="AG25" s="112" t="s">
        <v>64</v>
      </c>
    </row>
    <row r="26" spans="1:33" x14ac:dyDescent="0.25">
      <c r="A26" s="75">
        <f t="shared" si="7"/>
        <v>21729.341096087093</v>
      </c>
      <c r="B26" s="2">
        <f t="shared" si="15"/>
        <v>2049</v>
      </c>
      <c r="C26" s="260">
        <f>IF(OR($B26&lt;$Y$6,$B26&gt;'Project Data and Assumptions'!$C$8),0,$AC$35*(1+$AA$15)^($B26-2020))</f>
        <v>0</v>
      </c>
      <c r="D26" s="91">
        <f>IF(OR($B26&lt;$Y$6,$B26&gt;'Project Data and Assumptions'!$C$8),0,$AB$34*(1+$AA$15)^($B26-2020))</f>
        <v>0</v>
      </c>
      <c r="E26" s="258">
        <f>IF(OR($B26&lt;$Y$6,$B26&gt;'Project Data and Assumptions'!$C$8),0,$AC$34*(1+$AA$15)^($B26-2020))</f>
        <v>0</v>
      </c>
      <c r="F26" s="260">
        <f>IF($B26&gt;'Project Data and Assumptions'!$C$8,0,$AC$30*(1+$AA$15)^($B26-2020))</f>
        <v>32868.25488714833</v>
      </c>
      <c r="G26" s="91">
        <f>IF($B26&gt;'Project Data and Assumptions'!$C$8,0,$AB$29*(1+$AA$15)^($B26-2020))</f>
        <v>9129.9752504567623</v>
      </c>
      <c r="H26" s="258">
        <f>IF($B26&gt;'Project Data and Assumptions'!$C$8,0,$AC$29*(1+$AA$15)^($B26-2020))</f>
        <v>47467.639649268182</v>
      </c>
      <c r="I26" s="17">
        <f t="shared" si="0"/>
        <v>0</v>
      </c>
      <c r="J26" s="325">
        <f t="shared" si="8"/>
        <v>0</v>
      </c>
      <c r="K26" s="90">
        <f t="shared" si="9"/>
        <v>0</v>
      </c>
      <c r="L26" s="90">
        <f t="shared" si="1"/>
        <v>0</v>
      </c>
      <c r="M26" s="90">
        <f t="shared" si="10"/>
        <v>0</v>
      </c>
      <c r="N26" s="92">
        <f t="shared" si="2"/>
        <v>0</v>
      </c>
      <c r="O26" s="17">
        <f t="shared" si="3"/>
        <v>414140.01157806895</v>
      </c>
      <c r="P26" s="90">
        <f t="shared" si="11"/>
        <v>21824.292838691847</v>
      </c>
      <c r="Q26" s="90">
        <f t="shared" si="12"/>
        <v>589838.19461827446</v>
      </c>
      <c r="R26" s="90">
        <f t="shared" si="4"/>
        <v>598092.25958077912</v>
      </c>
      <c r="S26" s="90">
        <f t="shared" si="13"/>
        <v>69117.007315544091</v>
      </c>
      <c r="T26" s="92">
        <f t="shared" si="5"/>
        <v>1038.7903240464696</v>
      </c>
      <c r="U26" s="17">
        <f t="shared" si="14"/>
        <v>1694050.5562554051</v>
      </c>
      <c r="V26" s="6">
        <f t="shared" si="6"/>
        <v>238120.51554165996</v>
      </c>
      <c r="X26" s="28"/>
      <c r="Y26" s="28"/>
      <c r="Z26" s="573"/>
      <c r="AA26" s="573"/>
      <c r="AB26" s="573"/>
      <c r="AC26" s="570"/>
      <c r="AD26" s="547"/>
      <c r="AG26" s="112" t="s">
        <v>65</v>
      </c>
    </row>
    <row r="27" spans="1:33" x14ac:dyDescent="0.25">
      <c r="A27" s="75">
        <f t="shared" si="7"/>
        <v>22163.927918008834</v>
      </c>
      <c r="B27" s="2">
        <f t="shared" si="15"/>
        <v>2050</v>
      </c>
      <c r="C27" s="260">
        <f>IF(OR($B27&lt;$Y$6,$B27&gt;'Project Data and Assumptions'!$C$8),0,$AC$35*(1+$AA$15)^($B27-2020))</f>
        <v>0</v>
      </c>
      <c r="D27" s="91">
        <f>IF(OR($B27&lt;$Y$6,$B27&gt;'Project Data and Assumptions'!$C$8),0,$AB$34*(1+$AA$15)^($B27-2020))</f>
        <v>0</v>
      </c>
      <c r="E27" s="258">
        <f>IF(OR($B27&lt;$Y$6,$B27&gt;'Project Data and Assumptions'!$C$8),0,$AC$34*(1+$AA$15)^($B27-2020))</f>
        <v>0</v>
      </c>
      <c r="F27" s="260">
        <f>IF($B27&gt;'Project Data and Assumptions'!$C$8,0,$AC$30*(1+$AA$15)^($B27-2020))</f>
        <v>33525.619984891295</v>
      </c>
      <c r="G27" s="91">
        <f>IF($B27&gt;'Project Data and Assumptions'!$C$8,0,$AB$29*(1+$AA$15)^($B27-2020))</f>
        <v>9312.5747554658974</v>
      </c>
      <c r="H27" s="258">
        <f>IF($B27&gt;'Project Data and Assumptions'!$C$8,0,$AC$29*(1+$AA$15)^($B27-2020))</f>
        <v>48416.992442253555</v>
      </c>
      <c r="I27" s="17">
        <f t="shared" si="0"/>
        <v>0</v>
      </c>
      <c r="J27" s="325">
        <f t="shared" ref="J27:J28" si="16">(D27*$AA$40)*$AA$38*$AA$39</f>
        <v>0</v>
      </c>
      <c r="K27" s="90">
        <f t="shared" ref="K27:K28" si="17">C27*$AA$43+SUM(D27:E27)*$AA$44</f>
        <v>0</v>
      </c>
      <c r="L27" s="90">
        <f t="shared" si="1"/>
        <v>0</v>
      </c>
      <c r="M27" s="90">
        <f t="shared" ref="M27:M28" si="18">SUM(D27:E27)*$AA$52</f>
        <v>0</v>
      </c>
      <c r="N27" s="92">
        <f t="shared" si="2"/>
        <v>0</v>
      </c>
      <c r="O27" s="17">
        <f t="shared" si="3"/>
        <v>422422.81180963031</v>
      </c>
      <c r="P27" s="90">
        <f t="shared" ref="P27:P28" si="19">(G27*$AA$40)*$AA$38*$AA$39</f>
        <v>22260.778695465688</v>
      </c>
      <c r="Q27" s="90">
        <f t="shared" ref="Q27:Q28" si="20">F27*$AA$43+SUM(G27:H27)*$AA$44</f>
        <v>601634.95851064008</v>
      </c>
      <c r="R27" s="90">
        <f t="shared" si="4"/>
        <v>610054.10477239487</v>
      </c>
      <c r="S27" s="90">
        <f t="shared" ref="S27:S28" si="21">SUM(G27:H27)*$AA$52</f>
        <v>70499.347461854981</v>
      </c>
      <c r="T27" s="92">
        <f t="shared" si="5"/>
        <v>1059.5661305273989</v>
      </c>
      <c r="U27" s="17">
        <f t="shared" ref="U27:U28" si="22">SUM(I27:T27)</f>
        <v>1727931.5673805133</v>
      </c>
      <c r="V27" s="6">
        <f t="shared" si="6"/>
        <v>226993.38864718989</v>
      </c>
      <c r="X27" s="32" t="s">
        <v>641</v>
      </c>
      <c r="Y27" s="30"/>
      <c r="Z27" s="100"/>
      <c r="AA27" s="100"/>
      <c r="AB27" s="100"/>
      <c r="AC27" s="100"/>
    </row>
    <row r="28" spans="1:33" ht="15.75" thickBot="1" x14ac:dyDescent="0.3">
      <c r="A28" s="75">
        <f t="shared" si="7"/>
        <v>0</v>
      </c>
      <c r="B28" s="3">
        <f t="shared" si="15"/>
        <v>2051</v>
      </c>
      <c r="C28" s="261">
        <f>IF(OR($B28&lt;$Y$6,$B28&gt;'Project Data and Assumptions'!$C$8),0,$AC$35*(1+$AA$15)^($B28-2020))</f>
        <v>0</v>
      </c>
      <c r="D28" s="96">
        <f>IF(OR($B28&lt;$Y$6,$B28&gt;'Project Data and Assumptions'!$C$8),0,$AB$34*(1+$AA$15)^($B28-2020))</f>
        <v>0</v>
      </c>
      <c r="E28" s="259">
        <f>IF(OR($B28&lt;$Y$6,$B28&gt;'Project Data and Assumptions'!$C$8),0,$AC$34*(1+$AA$15)^($B28-2020))</f>
        <v>0</v>
      </c>
      <c r="F28" s="261">
        <f>IF($B28&gt;'Project Data and Assumptions'!$C$8,0,$AC$30*(1+$AA$15)^($B28-2020))</f>
        <v>0</v>
      </c>
      <c r="G28" s="96">
        <f>IF($B28&gt;'Project Data and Assumptions'!$C$8,0,$AB$29*(1+$AA$15)^($B28-2020))</f>
        <v>0</v>
      </c>
      <c r="H28" s="259">
        <f>IF($B28&gt;'Project Data and Assumptions'!$C$8,0,$AC$29*(1+$AA$15)^($B28-2020))</f>
        <v>0</v>
      </c>
      <c r="I28" s="120">
        <f t="shared" si="0"/>
        <v>0</v>
      </c>
      <c r="J28" s="326">
        <f t="shared" si="16"/>
        <v>0</v>
      </c>
      <c r="K28" s="121">
        <f t="shared" si="17"/>
        <v>0</v>
      </c>
      <c r="L28" s="121">
        <f t="shared" si="1"/>
        <v>0</v>
      </c>
      <c r="M28" s="121">
        <f t="shared" si="18"/>
        <v>0</v>
      </c>
      <c r="N28" s="123">
        <f t="shared" si="2"/>
        <v>0</v>
      </c>
      <c r="O28" s="120">
        <f t="shared" si="3"/>
        <v>0</v>
      </c>
      <c r="P28" s="121">
        <f t="shared" si="19"/>
        <v>0</v>
      </c>
      <c r="Q28" s="121">
        <f t="shared" si="20"/>
        <v>0</v>
      </c>
      <c r="R28" s="121">
        <f t="shared" si="4"/>
        <v>0</v>
      </c>
      <c r="S28" s="121">
        <f t="shared" si="21"/>
        <v>0</v>
      </c>
      <c r="T28" s="123">
        <f t="shared" si="5"/>
        <v>0</v>
      </c>
      <c r="U28" s="18">
        <f t="shared" si="22"/>
        <v>0</v>
      </c>
      <c r="V28" s="7">
        <f t="shared" si="6"/>
        <v>0</v>
      </c>
      <c r="Z28" s="94" t="s">
        <v>23</v>
      </c>
      <c r="AA28" s="94" t="s">
        <v>468</v>
      </c>
      <c r="AB28" s="94" t="s">
        <v>53</v>
      </c>
      <c r="AC28" s="94" t="s">
        <v>261</v>
      </c>
      <c r="AD28" s="288" t="s">
        <v>486</v>
      </c>
    </row>
    <row r="29" spans="1:33" ht="15.75" thickBot="1" x14ac:dyDescent="0.3">
      <c r="A29" s="75"/>
      <c r="B29" s="4"/>
      <c r="D29" s="4"/>
      <c r="G29" s="4"/>
      <c r="H29" s="97" t="s">
        <v>2</v>
      </c>
      <c r="I29" s="140">
        <f t="shared" ref="I29:V29" si="23">SUM(I7:I28)</f>
        <v>0</v>
      </c>
      <c r="J29" s="141">
        <f t="shared" si="23"/>
        <v>0</v>
      </c>
      <c r="K29" s="141">
        <f t="shared" si="23"/>
        <v>0</v>
      </c>
      <c r="L29" s="141">
        <f t="shared" si="23"/>
        <v>0</v>
      </c>
      <c r="M29" s="141">
        <f t="shared" si="23"/>
        <v>0</v>
      </c>
      <c r="N29" s="142">
        <f t="shared" si="23"/>
        <v>0</v>
      </c>
      <c r="O29" s="140">
        <f t="shared" si="23"/>
        <v>7329641.2623520922</v>
      </c>
      <c r="P29" s="141">
        <f t="shared" si="23"/>
        <v>386256.41773320042</v>
      </c>
      <c r="Q29" s="141">
        <f t="shared" si="23"/>
        <v>10439228.880376823</v>
      </c>
      <c r="R29" s="141">
        <f t="shared" si="23"/>
        <v>10585313.135556072</v>
      </c>
      <c r="S29" s="141">
        <f t="shared" si="23"/>
        <v>1223264.7283219688</v>
      </c>
      <c r="T29" s="142">
        <f t="shared" si="23"/>
        <v>18384.991088038849</v>
      </c>
      <c r="U29" s="143">
        <f t="shared" si="23"/>
        <v>29982089.415428199</v>
      </c>
      <c r="V29" s="144">
        <f t="shared" si="23"/>
        <v>8019584.6303480975</v>
      </c>
      <c r="X29" s="698" t="s">
        <v>191</v>
      </c>
      <c r="Y29" s="698"/>
      <c r="Z29" s="327">
        <f>$Y$8/$Y$7*Z24</f>
        <v>31870.813483270544</v>
      </c>
      <c r="AA29" s="289">
        <f>Z29*(SUM(District!$B$27:$B$30)+District!$B$26*5/7)</f>
        <v>27132.925993783421</v>
      </c>
      <c r="AB29" s="289">
        <f>SUM($Z29:$Z30)*District!$C$11</f>
        <v>5141.201423941945</v>
      </c>
      <c r="AC29" s="327">
        <f>Z29-AB29</f>
        <v>26729.6120593286</v>
      </c>
      <c r="AD29" s="328">
        <f>IFERROR(AA29/Z29,0)</f>
        <v>0.85134086734327918</v>
      </c>
    </row>
    <row r="30" spans="1:33" x14ac:dyDescent="0.25">
      <c r="A30" s="75"/>
      <c r="B30" s="4"/>
      <c r="D30" s="4"/>
      <c r="F30" s="97"/>
      <c r="G30" s="4"/>
      <c r="H30" s="4"/>
      <c r="I30" s="98"/>
      <c r="J30" s="98"/>
      <c r="K30" s="98"/>
      <c r="L30" s="98"/>
      <c r="M30" s="98"/>
      <c r="N30" s="98"/>
      <c r="O30" s="98"/>
      <c r="P30" s="98"/>
      <c r="Q30" s="98"/>
      <c r="R30" s="98"/>
      <c r="S30" s="98"/>
      <c r="T30" s="98"/>
      <c r="U30" s="98"/>
      <c r="V30" s="98"/>
      <c r="X30" s="698" t="s">
        <v>190</v>
      </c>
      <c r="Y30" s="698"/>
      <c r="Z30" s="327">
        <f>$Y$8/$Y$7*Z25</f>
        <v>23649.720252603587</v>
      </c>
      <c r="AA30" s="289">
        <f>Z30*(SUM(District!$B$27:$B$30)+District!$B$26*5/7)</f>
        <v>20133.973352277455</v>
      </c>
      <c r="AB30" s="289">
        <f>SUM($Z29:$Z30)*District!$C$11</f>
        <v>5141.201423941945</v>
      </c>
      <c r="AC30" s="327">
        <f>Z30-AB30</f>
        <v>18508.518828661643</v>
      </c>
      <c r="AD30" s="328">
        <f>IFERROR(AA30/Z30,0)</f>
        <v>0.8513408673432793</v>
      </c>
    </row>
    <row r="31" spans="1:33" ht="15" customHeight="1" x14ac:dyDescent="0.25">
      <c r="A31" s="75"/>
      <c r="D31" s="99"/>
      <c r="U31" s="30"/>
      <c r="X31" s="30"/>
      <c r="Y31" s="30"/>
      <c r="Z31" s="114"/>
      <c r="AA31" s="114"/>
      <c r="AB31" s="114"/>
      <c r="AC31" s="100"/>
    </row>
    <row r="32" spans="1:33" ht="15" customHeight="1" x14ac:dyDescent="0.25">
      <c r="D32" s="99"/>
      <c r="U32" s="30"/>
      <c r="X32" s="32" t="s">
        <v>642</v>
      </c>
      <c r="Y32" s="30"/>
      <c r="Z32" s="100"/>
      <c r="AA32" s="100"/>
      <c r="AB32" s="100"/>
      <c r="AC32" s="100"/>
    </row>
    <row r="33" spans="1:33" ht="15" customHeight="1" x14ac:dyDescent="0.25">
      <c r="B33" s="175" t="s">
        <v>3</v>
      </c>
      <c r="H33" s="175"/>
      <c r="U33" s="30"/>
      <c r="Z33" s="94" t="s">
        <v>23</v>
      </c>
      <c r="AA33" s="94" t="s">
        <v>468</v>
      </c>
      <c r="AB33" s="94" t="s">
        <v>53</v>
      </c>
      <c r="AC33" s="94" t="s">
        <v>261</v>
      </c>
      <c r="AD33" s="288" t="s">
        <v>486</v>
      </c>
    </row>
    <row r="34" spans="1:33" ht="17.25" customHeight="1" x14ac:dyDescent="0.25">
      <c r="A34" s="582" t="s">
        <v>18</v>
      </c>
      <c r="B34" s="565" t="s">
        <v>683</v>
      </c>
      <c r="C34" s="581"/>
      <c r="D34" s="581"/>
      <c r="E34" s="31"/>
      <c r="F34" s="31"/>
      <c r="G34" s="31"/>
      <c r="H34" s="31"/>
      <c r="I34" s="31"/>
      <c r="J34" s="31"/>
      <c r="K34" s="31"/>
      <c r="L34" s="31"/>
      <c r="M34" s="31"/>
      <c r="N34" s="31"/>
      <c r="O34" s="31"/>
      <c r="P34" s="31"/>
      <c r="Q34" s="31"/>
      <c r="R34" s="31"/>
      <c r="S34" s="31"/>
      <c r="T34" s="31"/>
      <c r="U34" s="31"/>
      <c r="V34" s="31"/>
      <c r="X34" s="698" t="s">
        <v>191</v>
      </c>
      <c r="Y34" s="698"/>
      <c r="Z34" s="95">
        <f>$Y$9/$Y$7*Z24</f>
        <v>0</v>
      </c>
      <c r="AA34" s="289">
        <f>Z34*(SUM(District!$B$27:$B$30)+District!$B$26*5/7)</f>
        <v>0</v>
      </c>
      <c r="AB34" s="289">
        <f>SUM($Z34:$Z35)*District!$C$11</f>
        <v>0</v>
      </c>
      <c r="AC34" s="95">
        <f>Z34-AB34</f>
        <v>0</v>
      </c>
      <c r="AD34" s="254">
        <f>IFERROR(AA34/Z34,0)</f>
        <v>0</v>
      </c>
    </row>
    <row r="35" spans="1:33" ht="17.25" customHeight="1" x14ac:dyDescent="0.25">
      <c r="A35" s="582"/>
      <c r="B35" s="565"/>
      <c r="C35" s="581"/>
      <c r="D35" s="581"/>
      <c r="E35" s="31"/>
      <c r="F35" s="31"/>
      <c r="G35" s="31"/>
      <c r="H35" s="31"/>
      <c r="I35" s="31"/>
      <c r="J35" s="59"/>
      <c r="K35" s="59"/>
      <c r="L35" s="31"/>
      <c r="M35" s="31"/>
      <c r="N35" s="31"/>
      <c r="O35" s="31"/>
      <c r="P35" s="59"/>
      <c r="Q35" s="59"/>
      <c r="R35" s="31"/>
      <c r="S35" s="31"/>
      <c r="T35" s="31"/>
      <c r="U35" s="31"/>
      <c r="V35" s="31"/>
      <c r="X35" s="698" t="s">
        <v>190</v>
      </c>
      <c r="Y35" s="698"/>
      <c r="Z35" s="95">
        <f>$Y$9/$Y$7*Z25</f>
        <v>0</v>
      </c>
      <c r="AA35" s="289">
        <f>Z35*(SUM(District!$B$27:$B$30)+District!$B$26*5/7)</f>
        <v>0</v>
      </c>
      <c r="AB35" s="329">
        <v>0</v>
      </c>
      <c r="AC35" s="95">
        <f>Z35-AB35</f>
        <v>0</v>
      </c>
      <c r="AD35" s="254">
        <f>IFERROR(AA35/Z35,0)</f>
        <v>0</v>
      </c>
    </row>
    <row r="36" spans="1:33" ht="17.25" customHeight="1" x14ac:dyDescent="0.25">
      <c r="A36" s="582" t="s">
        <v>17</v>
      </c>
      <c r="B36" s="565" t="s">
        <v>645</v>
      </c>
      <c r="C36" s="581"/>
      <c r="D36" s="581"/>
      <c r="E36" s="31"/>
      <c r="F36" s="31"/>
      <c r="G36" s="31"/>
      <c r="H36" s="31"/>
      <c r="I36" s="31"/>
      <c r="J36" s="31"/>
      <c r="K36" s="31"/>
      <c r="L36" s="31"/>
      <c r="M36" s="31"/>
      <c r="N36" s="31"/>
      <c r="O36" s="31"/>
      <c r="P36" s="31"/>
      <c r="Q36" s="31"/>
      <c r="R36" s="31"/>
      <c r="S36" s="31"/>
      <c r="T36" s="31"/>
      <c r="U36" s="31"/>
      <c r="V36" s="31"/>
      <c r="X36" s="30"/>
      <c r="Y36" s="30"/>
      <c r="Z36" s="100"/>
      <c r="AA36" s="100"/>
      <c r="AB36" s="100"/>
      <c r="AC36" s="100"/>
    </row>
    <row r="37" spans="1:33" ht="15" customHeight="1" x14ac:dyDescent="0.25">
      <c r="A37" s="582"/>
      <c r="B37" s="565"/>
      <c r="C37" s="581"/>
      <c r="D37" s="581"/>
      <c r="E37" s="31"/>
      <c r="F37" s="31"/>
      <c r="G37" s="31"/>
      <c r="H37" s="31"/>
      <c r="I37" s="31"/>
      <c r="J37" s="31"/>
      <c r="K37" s="31"/>
      <c r="L37" s="31"/>
      <c r="M37" s="31"/>
      <c r="N37" s="31"/>
      <c r="O37" s="31"/>
      <c r="P37" s="31"/>
      <c r="Q37" s="31"/>
      <c r="R37" s="31"/>
      <c r="S37" s="31"/>
      <c r="T37" s="31"/>
      <c r="U37" s="31"/>
      <c r="V37" s="31"/>
      <c r="X37" s="175" t="s">
        <v>643</v>
      </c>
      <c r="Z37" s="100"/>
      <c r="AA37" s="100"/>
      <c r="AB37" s="100"/>
      <c r="AC37" s="100"/>
    </row>
    <row r="38" spans="1:33" ht="17.25" customHeight="1" x14ac:dyDescent="0.25">
      <c r="A38" s="627" t="s">
        <v>19</v>
      </c>
      <c r="B38" s="787" t="s">
        <v>688</v>
      </c>
      <c r="C38" s="787"/>
      <c r="D38" s="787"/>
      <c r="E38" s="787"/>
      <c r="F38" s="787"/>
      <c r="G38" s="787"/>
      <c r="H38" s="787"/>
      <c r="I38" s="787"/>
      <c r="J38" s="787"/>
      <c r="K38" s="787"/>
      <c r="L38" s="787"/>
      <c r="M38" s="787"/>
      <c r="N38" s="787"/>
      <c r="O38" s="787"/>
      <c r="P38" s="787"/>
      <c r="Q38" s="787"/>
      <c r="R38" s="787"/>
      <c r="S38" s="787"/>
      <c r="T38" s="253"/>
      <c r="U38" s="253"/>
      <c r="V38" s="253"/>
      <c r="X38" s="698" t="s">
        <v>669</v>
      </c>
      <c r="Y38" s="698"/>
      <c r="Z38" s="698"/>
      <c r="AA38" s="101">
        <v>21.6</v>
      </c>
    </row>
    <row r="39" spans="1:33" ht="15" customHeight="1" x14ac:dyDescent="0.25">
      <c r="A39" s="627"/>
      <c r="B39" s="787"/>
      <c r="C39" s="787"/>
      <c r="D39" s="787"/>
      <c r="E39" s="787"/>
      <c r="F39" s="787"/>
      <c r="G39" s="787"/>
      <c r="H39" s="787"/>
      <c r="I39" s="787"/>
      <c r="J39" s="787"/>
      <c r="K39" s="787"/>
      <c r="L39" s="787"/>
      <c r="M39" s="787"/>
      <c r="N39" s="787"/>
      <c r="O39" s="787"/>
      <c r="P39" s="787"/>
      <c r="Q39" s="787"/>
      <c r="R39" s="787"/>
      <c r="S39" s="787"/>
      <c r="X39" s="700" t="s">
        <v>670</v>
      </c>
      <c r="Y39" s="700"/>
      <c r="Z39" s="700"/>
      <c r="AA39" s="134">
        <f>16.6/60</f>
        <v>0.27666666666666667</v>
      </c>
      <c r="AB39" s="155"/>
    </row>
    <row r="40" spans="1:33" ht="15" customHeight="1" x14ac:dyDescent="0.25">
      <c r="A40" s="627"/>
      <c r="B40" s="623"/>
      <c r="C40" s="623"/>
      <c r="D40" s="623"/>
      <c r="E40" s="623"/>
      <c r="F40" s="623"/>
      <c r="G40" s="623"/>
      <c r="H40" s="623"/>
      <c r="I40" s="623"/>
      <c r="J40" s="623"/>
      <c r="K40" s="623"/>
      <c r="L40" s="623"/>
      <c r="M40" s="623"/>
      <c r="N40" s="623"/>
      <c r="O40" s="623"/>
      <c r="P40" s="623"/>
      <c r="Q40" s="623"/>
      <c r="R40" s="623"/>
      <c r="S40" s="623"/>
      <c r="T40" s="623"/>
      <c r="U40" s="623"/>
      <c r="V40" s="623"/>
      <c r="X40" s="695" t="s">
        <v>671</v>
      </c>
      <c r="Y40" s="695"/>
      <c r="Z40" s="695"/>
      <c r="AA40" s="116">
        <v>0.4</v>
      </c>
    </row>
    <row r="41" spans="1:33" ht="17.25" customHeight="1" x14ac:dyDescent="0.25">
      <c r="A41" s="627" t="s">
        <v>20</v>
      </c>
      <c r="B41" s="747" t="s">
        <v>660</v>
      </c>
      <c r="C41" s="747"/>
      <c r="D41" s="747"/>
      <c r="E41" s="747"/>
      <c r="F41" s="747"/>
      <c r="G41" s="747"/>
      <c r="H41" s="747"/>
      <c r="I41" s="747"/>
      <c r="J41" s="747"/>
      <c r="K41" s="747"/>
      <c r="L41" s="747"/>
      <c r="M41" s="747"/>
      <c r="N41" s="747"/>
      <c r="O41" s="747"/>
      <c r="P41" s="747"/>
      <c r="Q41" s="747"/>
      <c r="R41" s="747"/>
      <c r="S41" s="747"/>
      <c r="AG41" s="117" t="s">
        <v>66</v>
      </c>
    </row>
    <row r="42" spans="1:33" ht="27" customHeight="1" x14ac:dyDescent="0.25">
      <c r="A42" s="627"/>
      <c r="B42" s="747"/>
      <c r="C42" s="747"/>
      <c r="D42" s="747"/>
      <c r="E42" s="747"/>
      <c r="F42" s="747"/>
      <c r="G42" s="747"/>
      <c r="H42" s="747"/>
      <c r="I42" s="747"/>
      <c r="J42" s="747"/>
      <c r="K42" s="747"/>
      <c r="L42" s="747"/>
      <c r="M42" s="747"/>
      <c r="N42" s="747"/>
      <c r="O42" s="747"/>
      <c r="P42" s="747"/>
      <c r="Q42" s="747"/>
      <c r="R42" s="747"/>
      <c r="S42" s="747"/>
      <c r="T42" s="31"/>
      <c r="U42" s="31"/>
      <c r="V42" s="31"/>
      <c r="W42" s="31"/>
      <c r="X42" s="525" t="s">
        <v>672</v>
      </c>
      <c r="AG42" s="117" t="s">
        <v>66</v>
      </c>
    </row>
    <row r="43" spans="1:33" ht="15" customHeight="1" x14ac:dyDescent="0.25">
      <c r="A43" s="627"/>
      <c r="B43" s="747"/>
      <c r="C43" s="747"/>
      <c r="D43" s="747"/>
      <c r="E43" s="747"/>
      <c r="F43" s="747"/>
      <c r="G43" s="747"/>
      <c r="H43" s="747"/>
      <c r="I43" s="747"/>
      <c r="J43" s="747"/>
      <c r="K43" s="747"/>
      <c r="L43" s="747"/>
      <c r="M43" s="747"/>
      <c r="N43" s="747"/>
      <c r="O43" s="747"/>
      <c r="P43" s="747"/>
      <c r="Q43" s="747"/>
      <c r="R43" s="747"/>
      <c r="S43" s="747"/>
      <c r="T43" s="31"/>
      <c r="U43" s="31"/>
      <c r="V43" s="31"/>
      <c r="W43" s="31"/>
      <c r="X43" s="262" t="s">
        <v>164</v>
      </c>
      <c r="Y43" s="263"/>
      <c r="Z43" s="263"/>
      <c r="AA43" s="185">
        <v>7.08</v>
      </c>
      <c r="AG43" s="127" t="s">
        <v>55</v>
      </c>
    </row>
    <row r="44" spans="1:33" ht="15" customHeight="1" x14ac:dyDescent="0.25">
      <c r="A44" s="627"/>
      <c r="B44" s="623"/>
      <c r="C44" s="623"/>
      <c r="D44" s="623"/>
      <c r="E44" s="623"/>
      <c r="F44" s="623"/>
      <c r="G44" s="623"/>
      <c r="H44" s="623"/>
      <c r="I44" s="623"/>
      <c r="J44" s="623"/>
      <c r="K44" s="623"/>
      <c r="L44" s="623"/>
      <c r="M44" s="623"/>
      <c r="N44" s="623"/>
      <c r="O44" s="623"/>
      <c r="P44" s="623"/>
      <c r="Q44" s="623"/>
      <c r="R44" s="623"/>
      <c r="S44" s="623"/>
      <c r="T44" s="31"/>
      <c r="U44" s="31"/>
      <c r="V44" s="31"/>
      <c r="W44" s="31"/>
      <c r="X44" s="262" t="s">
        <v>165</v>
      </c>
      <c r="Y44" s="263"/>
      <c r="Z44" s="263"/>
      <c r="AA44" s="643">
        <v>6.31</v>
      </c>
      <c r="AC44" s="115"/>
      <c r="AG44" s="117" t="s">
        <v>67</v>
      </c>
    </row>
    <row r="45" spans="1:33" ht="17.25" customHeight="1" x14ac:dyDescent="0.25">
      <c r="A45" s="627" t="s">
        <v>57</v>
      </c>
      <c r="B45" s="699" t="s">
        <v>689</v>
      </c>
      <c r="C45" s="699"/>
      <c r="D45" s="699"/>
      <c r="E45" s="699"/>
      <c r="F45" s="699"/>
      <c r="G45" s="699"/>
      <c r="H45" s="699"/>
      <c r="I45" s="699"/>
      <c r="J45" s="699"/>
      <c r="K45" s="699"/>
      <c r="L45" s="699"/>
      <c r="M45" s="699"/>
      <c r="N45" s="699"/>
      <c r="O45" s="699"/>
      <c r="P45" s="699"/>
      <c r="Q45" s="699"/>
      <c r="R45" s="699"/>
      <c r="S45" s="699"/>
      <c r="T45" s="31"/>
      <c r="U45" s="31"/>
      <c r="V45" s="31"/>
      <c r="W45" s="31"/>
      <c r="AG45" s="117" t="s">
        <v>68</v>
      </c>
    </row>
    <row r="46" spans="1:33" ht="15" customHeight="1" x14ac:dyDescent="0.25">
      <c r="A46" s="627"/>
      <c r="B46" s="699"/>
      <c r="C46" s="699"/>
      <c r="D46" s="699"/>
      <c r="E46" s="699"/>
      <c r="F46" s="699"/>
      <c r="G46" s="699"/>
      <c r="H46" s="699"/>
      <c r="I46" s="699"/>
      <c r="J46" s="699"/>
      <c r="K46" s="699"/>
      <c r="L46" s="699"/>
      <c r="M46" s="699"/>
      <c r="N46" s="699"/>
      <c r="O46" s="699"/>
      <c r="P46" s="699"/>
      <c r="Q46" s="699"/>
      <c r="R46" s="699"/>
      <c r="S46" s="699"/>
      <c r="T46" s="31"/>
      <c r="U46" s="31"/>
      <c r="V46" s="31"/>
      <c r="W46" s="31"/>
      <c r="X46" s="525" t="s">
        <v>673</v>
      </c>
      <c r="AG46" s="286"/>
    </row>
    <row r="47" spans="1:33" ht="15" customHeight="1" x14ac:dyDescent="0.25">
      <c r="A47" s="628"/>
      <c r="B47" s="565"/>
      <c r="C47" s="624"/>
      <c r="D47" s="624"/>
      <c r="E47" s="629"/>
      <c r="F47" s="629"/>
      <c r="G47" s="629"/>
      <c r="H47" s="629"/>
      <c r="I47" s="629"/>
      <c r="J47" s="629"/>
      <c r="K47" s="629"/>
      <c r="L47" s="629"/>
      <c r="M47" s="629"/>
      <c r="N47" s="629"/>
      <c r="O47" s="31"/>
      <c r="P47" s="31"/>
      <c r="Q47" s="31"/>
      <c r="R47" s="31"/>
      <c r="S47" s="31"/>
      <c r="T47" s="31"/>
      <c r="U47" s="31"/>
      <c r="V47" s="31"/>
      <c r="W47" s="31"/>
      <c r="X47" s="695" t="s">
        <v>492</v>
      </c>
      <c r="Y47" s="695"/>
      <c r="Z47" s="695"/>
      <c r="AA47" s="102">
        <v>10</v>
      </c>
      <c r="AG47" s="286"/>
    </row>
    <row r="48" spans="1:33" ht="16.5" customHeight="1" x14ac:dyDescent="0.25">
      <c r="A48" s="627" t="s">
        <v>681</v>
      </c>
      <c r="B48" s="699" t="s">
        <v>679</v>
      </c>
      <c r="C48" s="699"/>
      <c r="D48" s="699"/>
      <c r="E48" s="699"/>
      <c r="F48" s="699"/>
      <c r="G48" s="699"/>
      <c r="H48" s="699"/>
      <c r="I48" s="699"/>
      <c r="J48" s="699"/>
      <c r="K48" s="699"/>
      <c r="L48" s="699"/>
      <c r="M48" s="699"/>
      <c r="N48" s="699"/>
      <c r="O48" s="699"/>
      <c r="P48" s="699"/>
      <c r="Q48" s="699"/>
      <c r="R48" s="699"/>
      <c r="S48" s="699"/>
      <c r="W48" s="31"/>
      <c r="X48" s="695" t="s">
        <v>58</v>
      </c>
      <c r="Y48" s="695"/>
      <c r="Z48" s="695"/>
      <c r="AA48" s="104">
        <f>365-90</f>
        <v>275</v>
      </c>
      <c r="AG48" s="117" t="s">
        <v>69</v>
      </c>
    </row>
    <row r="49" spans="1:39" ht="34.5" customHeight="1" x14ac:dyDescent="0.25">
      <c r="A49" s="627"/>
      <c r="B49" s="699"/>
      <c r="C49" s="699"/>
      <c r="D49" s="699"/>
      <c r="E49" s="699"/>
      <c r="F49" s="699"/>
      <c r="G49" s="699"/>
      <c r="H49" s="699"/>
      <c r="I49" s="699"/>
      <c r="J49" s="699"/>
      <c r="K49" s="699"/>
      <c r="L49" s="699"/>
      <c r="M49" s="699"/>
      <c r="N49" s="699"/>
      <c r="O49" s="699"/>
      <c r="P49" s="699"/>
      <c r="Q49" s="699"/>
      <c r="R49" s="699"/>
      <c r="S49" s="699"/>
      <c r="T49" s="14"/>
      <c r="U49" s="14"/>
      <c r="V49" s="14"/>
      <c r="W49" s="31"/>
      <c r="X49" s="240"/>
      <c r="Y49" s="240"/>
      <c r="Z49" s="240"/>
      <c r="AA49" s="241"/>
    </row>
    <row r="50" spans="1:39" x14ac:dyDescent="0.25">
      <c r="A50" s="627"/>
      <c r="B50" s="699"/>
      <c r="C50" s="699"/>
      <c r="D50" s="699"/>
      <c r="E50" s="699"/>
      <c r="F50" s="699"/>
      <c r="G50" s="699"/>
      <c r="H50" s="699"/>
      <c r="I50" s="699"/>
      <c r="J50" s="699"/>
      <c r="K50" s="699"/>
      <c r="L50" s="699"/>
      <c r="M50" s="699"/>
      <c r="N50" s="699"/>
      <c r="O50" s="699"/>
      <c r="P50" s="699"/>
      <c r="Q50" s="699"/>
      <c r="R50" s="699"/>
      <c r="S50" s="699"/>
      <c r="W50" s="31"/>
      <c r="X50" s="27" t="s">
        <v>674</v>
      </c>
      <c r="Y50" s="547"/>
      <c r="Z50" s="547"/>
    </row>
    <row r="51" spans="1:39" ht="18" customHeight="1" x14ac:dyDescent="0.25">
      <c r="A51" s="628"/>
      <c r="B51" s="699"/>
      <c r="C51" s="699"/>
      <c r="D51" s="699"/>
      <c r="E51" s="699"/>
      <c r="F51" s="699"/>
      <c r="G51" s="699"/>
      <c r="H51" s="699"/>
      <c r="I51" s="699"/>
      <c r="J51" s="699"/>
      <c r="K51" s="699"/>
      <c r="L51" s="699"/>
      <c r="M51" s="699"/>
      <c r="N51" s="699"/>
      <c r="O51" s="699"/>
      <c r="P51" s="699"/>
      <c r="Q51" s="699"/>
      <c r="R51" s="699"/>
      <c r="S51" s="699"/>
      <c r="T51" s="31"/>
      <c r="U51" s="31"/>
      <c r="V51" s="31"/>
      <c r="W51" s="31"/>
      <c r="X51" s="700" t="s">
        <v>158</v>
      </c>
      <c r="Y51" s="700"/>
      <c r="Z51" s="700"/>
      <c r="AA51" s="176">
        <v>1.42</v>
      </c>
      <c r="AG51" s="117" t="s">
        <v>70</v>
      </c>
    </row>
    <row r="52" spans="1:39" x14ac:dyDescent="0.25">
      <c r="A52" s="628"/>
      <c r="B52" s="565"/>
      <c r="C52" s="624"/>
      <c r="D52" s="624"/>
      <c r="E52" s="629"/>
      <c r="F52" s="629"/>
      <c r="G52" s="629"/>
      <c r="H52" s="31"/>
      <c r="I52" s="31"/>
      <c r="J52" s="31"/>
      <c r="K52" s="31"/>
      <c r="L52" s="31"/>
      <c r="M52" s="31"/>
      <c r="N52" s="31"/>
      <c r="O52" s="31"/>
      <c r="P52" s="31"/>
      <c r="Q52" s="31"/>
      <c r="R52" s="31"/>
      <c r="S52" s="31"/>
      <c r="T52" s="31"/>
      <c r="U52" s="31"/>
      <c r="V52" s="31"/>
      <c r="W52" s="31"/>
      <c r="X52" s="283" t="s">
        <v>494</v>
      </c>
      <c r="Y52" s="283"/>
      <c r="Z52" s="283"/>
      <c r="AA52" s="176">
        <f>$AA$51*$AC$19</f>
        <v>1.2211999999999998</v>
      </c>
      <c r="AG52" s="112" t="s">
        <v>71</v>
      </c>
    </row>
    <row r="53" spans="1:39" x14ac:dyDescent="0.25">
      <c r="A53" s="628" t="s">
        <v>690</v>
      </c>
      <c r="B53" s="699" t="s">
        <v>680</v>
      </c>
      <c r="C53" s="699"/>
      <c r="D53" s="699"/>
      <c r="E53" s="699"/>
      <c r="F53" s="699"/>
      <c r="G53" s="699"/>
      <c r="H53" s="699"/>
      <c r="I53" s="699"/>
      <c r="J53" s="699"/>
      <c r="K53" s="699"/>
      <c r="L53" s="699"/>
      <c r="M53" s="699"/>
      <c r="N53" s="699"/>
      <c r="O53" s="699"/>
      <c r="P53" s="699"/>
      <c r="Q53" s="699"/>
      <c r="R53" s="699"/>
      <c r="S53" s="699"/>
      <c r="W53" s="31"/>
      <c r="X53" s="283" t="s">
        <v>493</v>
      </c>
      <c r="Y53" s="283"/>
      <c r="Z53" s="283"/>
      <c r="AA53" s="176">
        <f>$AA$51*$AC$18</f>
        <v>2.4849999999999999</v>
      </c>
    </row>
    <row r="54" spans="1:39" x14ac:dyDescent="0.25">
      <c r="A54" s="627"/>
      <c r="B54" s="699"/>
      <c r="C54" s="699"/>
      <c r="D54" s="699"/>
      <c r="E54" s="699"/>
      <c r="F54" s="699"/>
      <c r="G54" s="699"/>
      <c r="H54" s="699"/>
      <c r="I54" s="699"/>
      <c r="J54" s="699"/>
      <c r="K54" s="699"/>
      <c r="L54" s="699"/>
      <c r="M54" s="699"/>
      <c r="N54" s="699"/>
      <c r="O54" s="699"/>
      <c r="P54" s="699"/>
      <c r="Q54" s="699"/>
      <c r="R54" s="699"/>
      <c r="S54" s="699"/>
      <c r="T54" s="26"/>
      <c r="U54" s="26"/>
      <c r="V54" s="26"/>
      <c r="W54" s="31"/>
      <c r="AH54" s="119"/>
      <c r="AI54" s="119"/>
      <c r="AJ54" s="119"/>
      <c r="AK54" s="119"/>
    </row>
    <row r="55" spans="1:39" x14ac:dyDescent="0.25">
      <c r="A55" s="627"/>
      <c r="B55" s="699"/>
      <c r="C55" s="699"/>
      <c r="D55" s="699"/>
      <c r="E55" s="699"/>
      <c r="F55" s="699"/>
      <c r="G55" s="699"/>
      <c r="H55" s="699"/>
      <c r="I55" s="699"/>
      <c r="J55" s="699"/>
      <c r="K55" s="699"/>
      <c r="L55" s="699"/>
      <c r="M55" s="699"/>
      <c r="N55" s="699"/>
      <c r="O55" s="699"/>
      <c r="P55" s="699"/>
      <c r="Q55" s="699"/>
      <c r="R55" s="699"/>
      <c r="S55" s="699"/>
      <c r="W55" s="31"/>
      <c r="X55" s="525" t="s">
        <v>675</v>
      </c>
      <c r="AG55" s="704" t="s">
        <v>72</v>
      </c>
      <c r="AH55" s="704"/>
      <c r="AI55" s="704"/>
      <c r="AJ55" s="704"/>
      <c r="AK55" s="704"/>
      <c r="AL55" s="704"/>
      <c r="AM55" s="704"/>
    </row>
    <row r="56" spans="1:39" x14ac:dyDescent="0.25">
      <c r="A56" s="628"/>
      <c r="B56" s="547"/>
      <c r="C56" s="547"/>
      <c r="D56" s="547"/>
      <c r="E56" s="547"/>
      <c r="F56" s="547"/>
      <c r="G56" s="547"/>
      <c r="H56" s="547"/>
      <c r="I56" s="547"/>
      <c r="J56" s="630"/>
      <c r="K56" s="630"/>
      <c r="L56" s="547"/>
      <c r="W56" s="31"/>
      <c r="X56" s="698" t="s">
        <v>59</v>
      </c>
      <c r="Y56" s="698"/>
      <c r="Z56" s="105">
        <v>0.105</v>
      </c>
      <c r="AG56" s="704"/>
      <c r="AH56" s="704"/>
      <c r="AI56" s="704"/>
      <c r="AJ56" s="704"/>
      <c r="AK56" s="704"/>
      <c r="AL56" s="704"/>
      <c r="AM56" s="704"/>
    </row>
    <row r="57" spans="1:39" ht="15" customHeight="1" x14ac:dyDescent="0.25">
      <c r="W57" s="31"/>
      <c r="X57" s="705"/>
      <c r="Y57" s="705"/>
    </row>
    <row r="58" spans="1:39" x14ac:dyDescent="0.25">
      <c r="W58" s="31"/>
      <c r="X58" s="130" t="s">
        <v>676</v>
      </c>
      <c r="Y58" s="547"/>
      <c r="Z58" s="547"/>
    </row>
    <row r="59" spans="1:39" x14ac:dyDescent="0.25">
      <c r="W59" s="31"/>
      <c r="X59" s="696" t="s">
        <v>76</v>
      </c>
      <c r="Y59" s="697"/>
      <c r="Z59" s="575">
        <f>113.468/78.025</f>
        <v>1.4542518423582185</v>
      </c>
    </row>
    <row r="60" spans="1:39" x14ac:dyDescent="0.25">
      <c r="W60" s="31"/>
      <c r="X60" s="696" t="s">
        <v>75</v>
      </c>
      <c r="Y60" s="697"/>
      <c r="Z60" s="575">
        <v>1.26</v>
      </c>
    </row>
    <row r="61" spans="1:39" x14ac:dyDescent="0.25">
      <c r="W61" s="31"/>
      <c r="Z61" s="107"/>
    </row>
    <row r="62" spans="1:39" x14ac:dyDescent="0.25">
      <c r="W62" s="31"/>
      <c r="X62" s="309" t="s">
        <v>644</v>
      </c>
    </row>
    <row r="63" spans="1:39" x14ac:dyDescent="0.25">
      <c r="X63" s="695" t="s">
        <v>60</v>
      </c>
      <c r="Y63" s="695"/>
      <c r="Z63" s="118">
        <v>0</v>
      </c>
    </row>
    <row r="64" spans="1:39" x14ac:dyDescent="0.25">
      <c r="X64" s="695" t="s">
        <v>61</v>
      </c>
      <c r="Y64" s="695"/>
      <c r="Z64" s="282">
        <v>0.75</v>
      </c>
      <c r="AG64" s="112" t="s">
        <v>62</v>
      </c>
    </row>
    <row r="65" spans="24:26" x14ac:dyDescent="0.25">
      <c r="X65" s="623"/>
      <c r="Y65" s="623"/>
      <c r="Z65" s="623"/>
    </row>
  </sheetData>
  <mergeCells count="55">
    <mergeCell ref="B53:S55"/>
    <mergeCell ref="B41:S43"/>
    <mergeCell ref="B45:S46"/>
    <mergeCell ref="B48:S51"/>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38:S39"/>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FE82-5618-4010-82F7-1E85E26B65DD}">
  <sheetPr>
    <tabColor rgb="FF00B050"/>
  </sheetPr>
  <dimension ref="A1:AW65"/>
  <sheetViews>
    <sheetView view="pageBreakPreview" topLeftCell="A20" zoomScale="85" zoomScaleNormal="100" zoomScaleSheetLayoutView="85" workbookViewId="0">
      <selection activeCell="A39" sqref="A39"/>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2.57031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552</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2031</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-Eagle RT'!$Z$3,'Original Build Years'!$A$1:$A$20,'Original Build Years'!$D$1:$D$20,0)+30</f>
        <v>2029</v>
      </c>
      <c r="AU6" s="292" t="s">
        <v>122</v>
      </c>
      <c r="AW6" s="292" t="s">
        <v>160</v>
      </c>
    </row>
    <row r="7" spans="1:49" ht="18.75" customHeight="1" x14ac:dyDescent="0.25">
      <c r="A7" s="75">
        <f>(G7+D7)*2.38</f>
        <v>26081.146080430568</v>
      </c>
      <c r="B7" s="291">
        <f>$Y$5</f>
        <v>2031</v>
      </c>
      <c r="C7" s="256">
        <f>IF(OR($B7&lt;$Y$6,$B7&gt;'Project Data and Assumptions'!$C$8),0,$AC$35*(1+$AA$15)^($B7-2020))</f>
        <v>25204.675339549693</v>
      </c>
      <c r="D7" s="255">
        <f>IF(OR($B7&lt;$Y$6,$B7&gt;'Project Data and Assumptions'!$C$8),0,$AB$34*(1+$AA$15)^($B7-2020))</f>
        <v>5479.2323698383552</v>
      </c>
      <c r="E7" s="257">
        <f>IF(OR($B7&lt;$Y$6,$B7&gt;'Project Data and Assumptions'!$C$8),0,$AC$34*(1+$AA$15)^($B7-2020))</f>
        <v>28487.068206792894</v>
      </c>
      <c r="F7" s="256">
        <f>IF($B7&gt;'Project Data and Assumptions'!$C$8,0,$AC$30*(1+$AA$15)^($B7-2020))</f>
        <v>19725.442969711337</v>
      </c>
      <c r="G7" s="255">
        <f>IF($B7&gt;'Project Data and Assumptions'!$C$8,0,$AB$29*(1+$AA$15)^($B7-2020))</f>
        <v>5479.2323698383552</v>
      </c>
      <c r="H7" s="257">
        <f>IF($B7&gt;'Project Data and Assumptions'!$C$8,0,$AC$29*(1+$AA$15)^($B7-2020))</f>
        <v>28487.068206792894</v>
      </c>
      <c r="I7" s="85">
        <f t="shared" ref="I7:I27" si="0">C7*$AA$47*$Z$60</f>
        <v>317578.90927832614</v>
      </c>
      <c r="J7" s="324">
        <f>(D7*$AA$40)*$AA$38*$AA$39</f>
        <v>13097.557056861606</v>
      </c>
      <c r="K7" s="89">
        <f>C7*$AA$43+SUM(D7:E7)*$AA$44</f>
        <v>392776.45804255502</v>
      </c>
      <c r="L7" s="89">
        <f t="shared" ref="L7:L27" si="1">E7*$AA$47*$Z$60</f>
        <v>358937.05940559047</v>
      </c>
      <c r="M7" s="89">
        <f>SUM(D7:E7)*$AA$52</f>
        <v>41479.646264182076</v>
      </c>
      <c r="N7" s="122">
        <f t="shared" ref="N7:N27" si="2">D7*$AC$19*$Z$56*$Z$60</f>
        <v>623.41610057546836</v>
      </c>
      <c r="O7" s="85">
        <f t="shared" ref="O7:O27" si="3">F7*$AA$47*$Z$60</f>
        <v>248540.58141836285</v>
      </c>
      <c r="P7" s="89">
        <f>(G7*$AA$40)*$AA$38*$AA$39</f>
        <v>13097.557056861606</v>
      </c>
      <c r="Q7" s="89">
        <f>F7*$AA$43+SUM(G7:H7)*$AA$44</f>
        <v>353983.49286409945</v>
      </c>
      <c r="R7" s="89">
        <f t="shared" ref="R7:R27" si="4">H7*$AA$47*$Z$60</f>
        <v>358937.05940559047</v>
      </c>
      <c r="S7" s="89">
        <f>SUM(G7:H7)*$AA$52</f>
        <v>41479.646264182076</v>
      </c>
      <c r="T7" s="122">
        <f t="shared" ref="T7:T27" si="5">G7*$AC$19*$Z$56*$Z$60</f>
        <v>623.41610057546836</v>
      </c>
      <c r="U7" s="85">
        <f>SUM(I7:T7)</f>
        <v>2141154.7992577627</v>
      </c>
      <c r="V7" s="133">
        <f t="shared" ref="V7:V27" si="6">$U7*(1+0.07)^-($B7-$Y$4)</f>
        <v>1017247.2210780723</v>
      </c>
      <c r="X7" s="282" t="s">
        <v>470</v>
      </c>
      <c r="Y7" s="243">
        <f>IFERROR((_xlfn.XLOOKUP($Z$3,'Trail Project Summary'!$B$3:$B$32,'Trail Project Summary'!$I$3:$I$32)),0)</f>
        <v>9.8800000000000008</v>
      </c>
      <c r="AU7" s="292" t="s">
        <v>123</v>
      </c>
      <c r="AW7" s="292" t="s">
        <v>161</v>
      </c>
    </row>
    <row r="8" spans="1:49" x14ac:dyDescent="0.25">
      <c r="A8" s="75">
        <f t="shared" ref="A8:A27" si="7">(G8+D8)*2.38</f>
        <v>26602.769002039189</v>
      </c>
      <c r="B8" s="2">
        <f>B7+1</f>
        <v>2032</v>
      </c>
      <c r="C8" s="260">
        <f>IF(OR($B8&lt;$Y$6,$B8&gt;'Project Data and Assumptions'!$C$8),0,$AC$35*(1+$AA$15)^($B8-2020))</f>
        <v>25708.768846340692</v>
      </c>
      <c r="D8" s="91">
        <f>IF(OR($B8&lt;$Y$6,$B8&gt;'Project Data and Assumptions'!$C$8),0,$AB$34*(1+$AA$15)^($B8-2020))</f>
        <v>5588.8170172351238</v>
      </c>
      <c r="E8" s="258">
        <f>IF(OR($B8&lt;$Y$6,$B8&gt;'Project Data and Assumptions'!$C$8),0,$AC$34*(1+$AA$15)^($B8-2020))</f>
        <v>29056.809570928755</v>
      </c>
      <c r="F8" s="260">
        <f>IF($B8&gt;'Project Data and Assumptions'!$C$8,0,$AC$30*(1+$AA$15)^($B8-2020))</f>
        <v>20119.951829105568</v>
      </c>
      <c r="G8" s="91">
        <f>IF($B8&gt;'Project Data and Assumptions'!$C$8,0,$AB$29*(1+$AA$15)^($B8-2020))</f>
        <v>5588.8170172351238</v>
      </c>
      <c r="H8" s="258">
        <f>IF($B8&gt;'Project Data and Assumptions'!$C$8,0,$AC$29*(1+$AA$15)^($B8-2020))</f>
        <v>29056.809570928755</v>
      </c>
      <c r="I8" s="17">
        <f t="shared" si="0"/>
        <v>323930.48746389273</v>
      </c>
      <c r="J8" s="325">
        <f t="shared" ref="J8:J26" si="8">(D8*$AA$40)*$AA$38*$AA$39</f>
        <v>13359.508197998841</v>
      </c>
      <c r="K8" s="90">
        <f t="shared" ref="K8:K26" si="9">C8*$AA$43+SUM(D8:E8)*$AA$44</f>
        <v>400631.98720340617</v>
      </c>
      <c r="L8" s="90">
        <f t="shared" si="1"/>
        <v>366115.80059370236</v>
      </c>
      <c r="M8" s="90">
        <f t="shared" ref="M8:M26" si="10">SUM(D8:E8)*$AA$52</f>
        <v>42309.239189465727</v>
      </c>
      <c r="N8" s="92">
        <f t="shared" si="2"/>
        <v>635.88442258697785</v>
      </c>
      <c r="O8" s="17">
        <f t="shared" si="3"/>
        <v>253511.39304673017</v>
      </c>
      <c r="P8" s="90">
        <f t="shared" ref="P8:P26" si="11">(G8*$AA$40)*$AA$38*$AA$39</f>
        <v>13359.508197998841</v>
      </c>
      <c r="Q8" s="90">
        <f t="shared" ref="Q8:Q26" si="12">F8*$AA$43+SUM(G8:H8)*$AA$44</f>
        <v>361063.16272138152</v>
      </c>
      <c r="R8" s="90">
        <f t="shared" si="4"/>
        <v>366115.80059370236</v>
      </c>
      <c r="S8" s="90">
        <f t="shared" ref="S8:S26" si="13">SUM(G8:H8)*$AA$52</f>
        <v>42309.239189465727</v>
      </c>
      <c r="T8" s="92">
        <f t="shared" si="5"/>
        <v>635.88442258697785</v>
      </c>
      <c r="U8" s="17">
        <f t="shared" ref="U8:U26" si="14">SUM(I8:T8)</f>
        <v>2183977.8952429178</v>
      </c>
      <c r="V8" s="6">
        <f t="shared" si="6"/>
        <v>969712.30420526525</v>
      </c>
      <c r="X8" s="282" t="s">
        <v>471</v>
      </c>
      <c r="Y8" s="243">
        <f>IFERROR(_xlfn.XLOOKUP($Z$3,'Trail Project Summary'!$B$3:$B$32,'Trail Project Summary'!$C$3:$C$32),0)</f>
        <v>1.5</v>
      </c>
      <c r="AU8" s="292" t="s">
        <v>124</v>
      </c>
      <c r="AW8" s="292" t="s">
        <v>163</v>
      </c>
    </row>
    <row r="9" spans="1:49" x14ac:dyDescent="0.25">
      <c r="A9" s="75">
        <f t="shared" si="7"/>
        <v>27134.824382079969</v>
      </c>
      <c r="B9" s="2">
        <f t="shared" ref="B9:B27" si="15">B8+1</f>
        <v>2033</v>
      </c>
      <c r="C9" s="260">
        <f>IF(OR($B9&lt;$Y$6,$B9&gt;'Project Data and Assumptions'!$C$8),0,$AC$35*(1+$AA$15)^($B9-2020))</f>
        <v>26222.944223267503</v>
      </c>
      <c r="D9" s="91">
        <f>IF(OR($B9&lt;$Y$6,$B9&gt;'Project Data and Assumptions'!$C$8),0,$AB$34*(1+$AA$15)^($B9-2020))</f>
        <v>5700.5933575798254</v>
      </c>
      <c r="E9" s="258">
        <f>IF(OR($B9&lt;$Y$6,$B9&gt;'Project Data and Assumptions'!$C$8),0,$AC$34*(1+$AA$15)^($B9-2020))</f>
        <v>29637.945762347328</v>
      </c>
      <c r="F9" s="260">
        <f>IF($B9&gt;'Project Data and Assumptions'!$C$8,0,$AC$30*(1+$AA$15)^($B9-2020))</f>
        <v>20522.350865687677</v>
      </c>
      <c r="G9" s="91">
        <f>IF($B9&gt;'Project Data and Assumptions'!$C$8,0,$AB$29*(1+$AA$15)^($B9-2020))</f>
        <v>5700.5933575798254</v>
      </c>
      <c r="H9" s="258">
        <f>IF($B9&gt;'Project Data and Assumptions'!$C$8,0,$AC$29*(1+$AA$15)^($B9-2020))</f>
        <v>29637.945762347328</v>
      </c>
      <c r="I9" s="17">
        <f t="shared" si="0"/>
        <v>330409.09721317055</v>
      </c>
      <c r="J9" s="325">
        <f t="shared" si="8"/>
        <v>13626.698361958817</v>
      </c>
      <c r="K9" s="90">
        <f t="shared" si="9"/>
        <v>408644.62694747426</v>
      </c>
      <c r="L9" s="90">
        <f t="shared" si="1"/>
        <v>373438.1166055763</v>
      </c>
      <c r="M9" s="90">
        <f t="shared" si="10"/>
        <v>43155.423973255034</v>
      </c>
      <c r="N9" s="92">
        <f t="shared" si="2"/>
        <v>648.60211103871723</v>
      </c>
      <c r="O9" s="17">
        <f t="shared" si="3"/>
        <v>258581.62090766474</v>
      </c>
      <c r="P9" s="90">
        <f t="shared" si="11"/>
        <v>13626.698361958817</v>
      </c>
      <c r="Q9" s="90">
        <f t="shared" si="12"/>
        <v>368284.42597580911</v>
      </c>
      <c r="R9" s="90">
        <f t="shared" si="4"/>
        <v>373438.1166055763</v>
      </c>
      <c r="S9" s="90">
        <f t="shared" si="13"/>
        <v>43155.423973255034</v>
      </c>
      <c r="T9" s="92">
        <f t="shared" si="5"/>
        <v>648.60211103871723</v>
      </c>
      <c r="U9" s="17">
        <f t="shared" si="14"/>
        <v>2227657.4531477764</v>
      </c>
      <c r="V9" s="6">
        <f t="shared" si="6"/>
        <v>924398.64513025281</v>
      </c>
      <c r="X9" s="118" t="s">
        <v>473</v>
      </c>
      <c r="Y9" s="243">
        <f>IFERROR(_xlfn.XLOOKUP($Z$3,'Trail Project Summary'!$B$3:$B$32,'Trail Project Summary'!$D$3:$D$32),0)</f>
        <v>1.5</v>
      </c>
      <c r="AU9" s="292" t="s">
        <v>150</v>
      </c>
      <c r="AW9" s="292" t="s">
        <v>162</v>
      </c>
    </row>
    <row r="10" spans="1:49" x14ac:dyDescent="0.25">
      <c r="A10" s="75">
        <f t="shared" si="7"/>
        <v>27677.520869721571</v>
      </c>
      <c r="B10" s="2">
        <f t="shared" si="15"/>
        <v>2034</v>
      </c>
      <c r="C10" s="260">
        <f>IF(OR($B10&lt;$Y$6,$B10&gt;'Project Data and Assumptions'!$C$8),0,$AC$35*(1+$AA$15)^($B10-2020))</f>
        <v>26747.403107732855</v>
      </c>
      <c r="D10" s="91">
        <f>IF(OR($B10&lt;$Y$6,$B10&gt;'Project Data and Assumptions'!$C$8),0,$AB$34*(1+$AA$15)^($B10-2020))</f>
        <v>5814.6052247314228</v>
      </c>
      <c r="E10" s="258">
        <f>IF(OR($B10&lt;$Y$6,$B10&gt;'Project Data and Assumptions'!$C$8),0,$AC$34*(1+$AA$15)^($B10-2020))</f>
        <v>30230.704677594276</v>
      </c>
      <c r="F10" s="260">
        <f>IF($B10&gt;'Project Data and Assumptions'!$C$8,0,$AC$30*(1+$AA$15)^($B10-2020))</f>
        <v>20932.797883001433</v>
      </c>
      <c r="G10" s="91">
        <f>IF($B10&gt;'Project Data and Assumptions'!$C$8,0,$AB$29*(1+$AA$15)^($B10-2020))</f>
        <v>5814.6052247314228</v>
      </c>
      <c r="H10" s="258">
        <f>IF($B10&gt;'Project Data and Assumptions'!$C$8,0,$AC$29*(1+$AA$15)^($B10-2020))</f>
        <v>30230.704677594276</v>
      </c>
      <c r="I10" s="17">
        <f t="shared" si="0"/>
        <v>337017.27915743395</v>
      </c>
      <c r="J10" s="325">
        <f t="shared" si="8"/>
        <v>13899.232329197994</v>
      </c>
      <c r="K10" s="90">
        <f t="shared" si="9"/>
        <v>416817.51948642381</v>
      </c>
      <c r="L10" s="90">
        <f t="shared" si="1"/>
        <v>380906.8789376879</v>
      </c>
      <c r="M10" s="90">
        <f t="shared" si="10"/>
        <v>44018.532452720145</v>
      </c>
      <c r="N10" s="92">
        <f t="shared" si="2"/>
        <v>661.57415325949194</v>
      </c>
      <c r="O10" s="17">
        <f t="shared" si="3"/>
        <v>263753.25332581805</v>
      </c>
      <c r="P10" s="90">
        <f t="shared" si="11"/>
        <v>13899.232329197994</v>
      </c>
      <c r="Q10" s="90">
        <f t="shared" si="12"/>
        <v>375650.11449532531</v>
      </c>
      <c r="R10" s="90">
        <f t="shared" si="4"/>
        <v>380906.8789376879</v>
      </c>
      <c r="S10" s="90">
        <f t="shared" si="13"/>
        <v>44018.532452720145</v>
      </c>
      <c r="T10" s="92">
        <f t="shared" si="5"/>
        <v>661.57415325949194</v>
      </c>
      <c r="U10" s="17">
        <f t="shared" si="14"/>
        <v>2272210.6022107322</v>
      </c>
      <c r="V10" s="6">
        <f t="shared" si="6"/>
        <v>881202.44675968052</v>
      </c>
      <c r="X10" s="118" t="s">
        <v>472</v>
      </c>
      <c r="Y10" s="243">
        <f>IFERROR(_xlfn.XLOOKUP($Z$3,'Trail Project Summary'!$B$3:$B$32,'Trail Project Summary'!$E$3:$E$32),0)</f>
        <v>2.2000000000000002</v>
      </c>
    </row>
    <row r="11" spans="1:49" x14ac:dyDescent="0.25">
      <c r="A11" s="75">
        <f t="shared" si="7"/>
        <v>28231.071287115996</v>
      </c>
      <c r="B11" s="2">
        <f t="shared" si="15"/>
        <v>2035</v>
      </c>
      <c r="C11" s="260">
        <f>IF(OR($B11&lt;$Y$6,$B11&gt;'Project Data and Assumptions'!$C$8),0,$AC$35*(1+$AA$15)^($B11-2020))</f>
        <v>27282.351169887505</v>
      </c>
      <c r="D11" s="91">
        <f>IF(OR($B11&lt;$Y$6,$B11&gt;'Project Data and Assumptions'!$C$8),0,$AB$34*(1+$AA$15)^($B11-2020))</f>
        <v>5930.8973292260498</v>
      </c>
      <c r="E11" s="258">
        <f>IF(OR($B11&lt;$Y$6,$B11&gt;'Project Data and Assumptions'!$C$8),0,$AC$34*(1+$AA$15)^($B11-2020))</f>
        <v>30835.318771146154</v>
      </c>
      <c r="F11" s="260">
        <f>IF($B11&gt;'Project Data and Assumptions'!$C$8,0,$AC$30*(1+$AA$15)^($B11-2020))</f>
        <v>21351.453840661456</v>
      </c>
      <c r="G11" s="91">
        <f>IF($B11&gt;'Project Data and Assumptions'!$C$8,0,$AB$29*(1+$AA$15)^($B11-2020))</f>
        <v>5930.8973292260498</v>
      </c>
      <c r="H11" s="258">
        <f>IF($B11&gt;'Project Data and Assumptions'!$C$8,0,$AC$29*(1+$AA$15)^($B11-2020))</f>
        <v>30835.318771146154</v>
      </c>
      <c r="I11" s="17">
        <f t="shared" si="0"/>
        <v>343757.62474058254</v>
      </c>
      <c r="J11" s="325">
        <f t="shared" si="8"/>
        <v>14177.216975781952</v>
      </c>
      <c r="K11" s="90">
        <f t="shared" si="9"/>
        <v>425153.86987615214</v>
      </c>
      <c r="L11" s="90">
        <f t="shared" si="1"/>
        <v>388525.0165164416</v>
      </c>
      <c r="M11" s="90">
        <f t="shared" si="10"/>
        <v>44898.903101774536</v>
      </c>
      <c r="N11" s="92">
        <f t="shared" si="2"/>
        <v>674.80563632468147</v>
      </c>
      <c r="O11" s="17">
        <f t="shared" si="3"/>
        <v>269028.31839233433</v>
      </c>
      <c r="P11" s="90">
        <f t="shared" si="11"/>
        <v>14177.216975781952</v>
      </c>
      <c r="Q11" s="90">
        <f t="shared" si="12"/>
        <v>383163.11678523174</v>
      </c>
      <c r="R11" s="90">
        <f t="shared" si="4"/>
        <v>388525.0165164416</v>
      </c>
      <c r="S11" s="90">
        <f t="shared" si="13"/>
        <v>44898.903101774536</v>
      </c>
      <c r="T11" s="92">
        <f t="shared" si="5"/>
        <v>674.80563632468147</v>
      </c>
      <c r="U11" s="17">
        <f t="shared" si="14"/>
        <v>2317654.8142549461</v>
      </c>
      <c r="V11" s="6">
        <f t="shared" si="6"/>
        <v>840024.76233165769</v>
      </c>
      <c r="X11" s="28"/>
      <c r="Y11" s="60"/>
      <c r="Z11" s="28"/>
      <c r="AA11" s="28"/>
      <c r="AB11" s="28"/>
      <c r="AC11" s="28"/>
      <c r="AD11" s="28"/>
      <c r="AE11" s="28"/>
      <c r="AF11" s="28"/>
    </row>
    <row r="12" spans="1:49" x14ac:dyDescent="0.25">
      <c r="A12" s="75">
        <f t="shared" si="7"/>
        <v>28795.692712858319</v>
      </c>
      <c r="B12" s="2">
        <f t="shared" si="15"/>
        <v>2036</v>
      </c>
      <c r="C12" s="260">
        <f>IF(OR($B12&lt;$Y$6,$B12&gt;'Project Data and Assumptions'!$C$8),0,$AC$35*(1+$AA$15)^($B12-2020))</f>
        <v>27827.998193285261</v>
      </c>
      <c r="D12" s="91">
        <f>IF(OR($B12&lt;$Y$6,$B12&gt;'Project Data and Assumptions'!$C$8),0,$AB$34*(1+$AA$15)^($B12-2020))</f>
        <v>6049.5152758105714</v>
      </c>
      <c r="E12" s="258">
        <f>IF(OR($B12&lt;$Y$6,$B12&gt;'Project Data and Assumptions'!$C$8),0,$AC$34*(1+$AA$15)^($B12-2020))</f>
        <v>31452.025146569082</v>
      </c>
      <c r="F12" s="260">
        <f>IF($B12&gt;'Project Data and Assumptions'!$C$8,0,$AC$30*(1+$AA$15)^($B12-2020))</f>
        <v>21778.482917474688</v>
      </c>
      <c r="G12" s="91">
        <f>IF($B12&gt;'Project Data and Assumptions'!$C$8,0,$AB$29*(1+$AA$15)^($B12-2020))</f>
        <v>6049.5152758105714</v>
      </c>
      <c r="H12" s="258">
        <f>IF($B12&gt;'Project Data and Assumptions'!$C$8,0,$AC$29*(1+$AA$15)^($B12-2020))</f>
        <v>31452.025146569082</v>
      </c>
      <c r="I12" s="17">
        <f t="shared" si="0"/>
        <v>350632.77723539429</v>
      </c>
      <c r="J12" s="325">
        <f t="shared" si="8"/>
        <v>14460.76131529759</v>
      </c>
      <c r="K12" s="90">
        <f t="shared" si="9"/>
        <v>433656.94727367524</v>
      </c>
      <c r="L12" s="90">
        <f t="shared" si="1"/>
        <v>396295.51684677042</v>
      </c>
      <c r="M12" s="90">
        <f t="shared" si="10"/>
        <v>45796.881163810023</v>
      </c>
      <c r="N12" s="92">
        <f t="shared" si="2"/>
        <v>688.30174905117519</v>
      </c>
      <c r="O12" s="17">
        <f t="shared" si="3"/>
        <v>274408.88476018107</v>
      </c>
      <c r="P12" s="90">
        <f t="shared" si="11"/>
        <v>14460.76131529759</v>
      </c>
      <c r="Q12" s="90">
        <f t="shared" si="12"/>
        <v>390826.37912093638</v>
      </c>
      <c r="R12" s="90">
        <f t="shared" si="4"/>
        <v>396295.51684677042</v>
      </c>
      <c r="S12" s="90">
        <f t="shared" si="13"/>
        <v>45796.881163810023</v>
      </c>
      <c r="T12" s="92">
        <f t="shared" si="5"/>
        <v>688.30174905117519</v>
      </c>
      <c r="U12" s="17">
        <f t="shared" si="14"/>
        <v>2364007.9105400448</v>
      </c>
      <c r="V12" s="6">
        <f t="shared" si="6"/>
        <v>800771.26876475778</v>
      </c>
      <c r="X12" s="30"/>
      <c r="Y12" s="30"/>
    </row>
    <row r="13" spans="1:49" x14ac:dyDescent="0.25">
      <c r="A13" s="75">
        <f t="shared" si="7"/>
        <v>29371.60656711549</v>
      </c>
      <c r="B13" s="2">
        <f t="shared" si="15"/>
        <v>2037</v>
      </c>
      <c r="C13" s="260">
        <f>IF(OR($B13&lt;$Y$6,$B13&gt;'Project Data and Assumptions'!$C$8),0,$AC$35*(1+$AA$15)^($B13-2020))</f>
        <v>28384.558157150968</v>
      </c>
      <c r="D13" s="91">
        <f>IF(OR($B13&lt;$Y$6,$B13&gt;'Project Data and Assumptions'!$C$8),0,$AB$34*(1+$AA$15)^($B13-2020))</f>
        <v>6170.5055813267836</v>
      </c>
      <c r="E13" s="258">
        <f>IF(OR($B13&lt;$Y$6,$B13&gt;'Project Data and Assumptions'!$C$8),0,$AC$34*(1+$AA$15)^($B13-2020))</f>
        <v>32081.065649500466</v>
      </c>
      <c r="F13" s="260">
        <f>IF($B13&gt;'Project Data and Assumptions'!$C$8,0,$AC$30*(1+$AA$15)^($B13-2020))</f>
        <v>22214.052575824186</v>
      </c>
      <c r="G13" s="91">
        <f>IF($B13&gt;'Project Data and Assumptions'!$C$8,0,$AB$29*(1+$AA$15)^($B13-2020))</f>
        <v>6170.5055813267836</v>
      </c>
      <c r="H13" s="258">
        <f>IF($B13&gt;'Project Data and Assumptions'!$C$8,0,$AC$29*(1+$AA$15)^($B13-2020))</f>
        <v>32081.065649500466</v>
      </c>
      <c r="I13" s="17">
        <f t="shared" si="0"/>
        <v>357645.43278010224</v>
      </c>
      <c r="J13" s="325">
        <f t="shared" si="8"/>
        <v>14749.976541603544</v>
      </c>
      <c r="K13" s="90">
        <f t="shared" si="9"/>
        <v>442330.08621914883</v>
      </c>
      <c r="L13" s="90">
        <f t="shared" si="1"/>
        <v>404221.42718370585</v>
      </c>
      <c r="M13" s="90">
        <f t="shared" si="10"/>
        <v>46712.818787086231</v>
      </c>
      <c r="N13" s="92">
        <f t="shared" si="2"/>
        <v>702.06778403219869</v>
      </c>
      <c r="O13" s="17">
        <f t="shared" si="3"/>
        <v>279897.06245538476</v>
      </c>
      <c r="P13" s="90">
        <f t="shared" si="11"/>
        <v>14749.976541603544</v>
      </c>
      <c r="Q13" s="90">
        <f t="shared" si="12"/>
        <v>398642.90670335514</v>
      </c>
      <c r="R13" s="90">
        <f t="shared" si="4"/>
        <v>404221.42718370585</v>
      </c>
      <c r="S13" s="90">
        <f t="shared" si="13"/>
        <v>46712.818787086231</v>
      </c>
      <c r="T13" s="92">
        <f t="shared" si="5"/>
        <v>702.06778403219869</v>
      </c>
      <c r="U13" s="17">
        <f t="shared" si="14"/>
        <v>2411288.0687508467</v>
      </c>
      <c r="V13" s="6">
        <f t="shared" si="6"/>
        <v>763352.05059818074</v>
      </c>
      <c r="AU13" s="292" t="s">
        <v>489</v>
      </c>
      <c r="AV13" s="292" t="s">
        <v>503</v>
      </c>
    </row>
    <row r="14" spans="1:49" x14ac:dyDescent="0.25">
      <c r="A14" s="75">
        <f t="shared" si="7"/>
        <v>29959.038698457793</v>
      </c>
      <c r="B14" s="2">
        <f t="shared" si="15"/>
        <v>2038</v>
      </c>
      <c r="C14" s="260">
        <f>IF(OR($B14&lt;$Y$6,$B14&gt;'Project Data and Assumptions'!$C$8),0,$AC$35*(1+$AA$15)^($B14-2020))</f>
        <v>28952.249320293984</v>
      </c>
      <c r="D14" s="91">
        <f>IF(OR($B14&lt;$Y$6,$B14&gt;'Project Data and Assumptions'!$C$8),0,$AB$34*(1+$AA$15)^($B14-2020))</f>
        <v>6293.9156929533183</v>
      </c>
      <c r="E14" s="258">
        <f>IF(OR($B14&lt;$Y$6,$B14&gt;'Project Data and Assumptions'!$C$8),0,$AC$34*(1+$AA$15)^($B14-2020))</f>
        <v>32722.686962490472</v>
      </c>
      <c r="F14" s="260">
        <f>IF($B14&gt;'Project Data and Assumptions'!$C$8,0,$AC$30*(1+$AA$15)^($B14-2020))</f>
        <v>22658.333627340664</v>
      </c>
      <c r="G14" s="91">
        <f>IF($B14&gt;'Project Data and Assumptions'!$C$8,0,$AB$29*(1+$AA$15)^($B14-2020))</f>
        <v>6293.9156929533183</v>
      </c>
      <c r="H14" s="258">
        <f>IF($B14&gt;'Project Data and Assumptions'!$C$8,0,$AC$29*(1+$AA$15)^($B14-2020))</f>
        <v>32722.686962490472</v>
      </c>
      <c r="I14" s="17">
        <f t="shared" si="0"/>
        <v>364798.34143570421</v>
      </c>
      <c r="J14" s="325">
        <f t="shared" si="8"/>
        <v>15044.976072435617</v>
      </c>
      <c r="K14" s="90">
        <f t="shared" si="9"/>
        <v>451176.68794353172</v>
      </c>
      <c r="L14" s="90">
        <f t="shared" si="1"/>
        <v>412305.85572737991</v>
      </c>
      <c r="M14" s="90">
        <f t="shared" si="10"/>
        <v>47647.075162827954</v>
      </c>
      <c r="N14" s="92">
        <f t="shared" si="2"/>
        <v>716.10913971284253</v>
      </c>
      <c r="O14" s="17">
        <f t="shared" si="3"/>
        <v>285495.00370449235</v>
      </c>
      <c r="P14" s="90">
        <f t="shared" si="11"/>
        <v>15044.976072435617</v>
      </c>
      <c r="Q14" s="90">
        <f t="shared" si="12"/>
        <v>406615.76483742218</v>
      </c>
      <c r="R14" s="90">
        <f t="shared" si="4"/>
        <v>412305.85572737991</v>
      </c>
      <c r="S14" s="90">
        <f t="shared" si="13"/>
        <v>47647.075162827954</v>
      </c>
      <c r="T14" s="92">
        <f t="shared" si="5"/>
        <v>716.10913971284253</v>
      </c>
      <c r="U14" s="17">
        <f t="shared" si="14"/>
        <v>2459513.8301258632</v>
      </c>
      <c r="V14" s="6">
        <f t="shared" si="6"/>
        <v>727681.39402817201</v>
      </c>
      <c r="X14" s="175" t="s">
        <v>83</v>
      </c>
      <c r="AU14" s="292" t="s">
        <v>490</v>
      </c>
      <c r="AV14" s="292" t="s">
        <v>504</v>
      </c>
    </row>
    <row r="15" spans="1:49" ht="17.25" x14ac:dyDescent="0.25">
      <c r="A15" s="75">
        <f t="shared" si="7"/>
        <v>30558.219472426947</v>
      </c>
      <c r="B15" s="2">
        <f t="shared" si="15"/>
        <v>2039</v>
      </c>
      <c r="C15" s="260">
        <f>IF(OR($B15&lt;$Y$6,$B15&gt;'Project Data and Assumptions'!$C$8),0,$AC$35*(1+$AA$15)^($B15-2020))</f>
        <v>29531.294306699863</v>
      </c>
      <c r="D15" s="91">
        <f>IF(OR($B15&lt;$Y$6,$B15&gt;'Project Data and Assumptions'!$C$8),0,$AB$34*(1+$AA$15)^($B15-2020))</f>
        <v>6419.7940068123844</v>
      </c>
      <c r="E15" s="258">
        <f>IF(OR($B15&lt;$Y$6,$B15&gt;'Project Data and Assumptions'!$C$8),0,$AC$34*(1+$AA$15)^($B15-2020))</f>
        <v>33377.140701740282</v>
      </c>
      <c r="F15" s="260">
        <f>IF($B15&gt;'Project Data and Assumptions'!$C$8,0,$AC$30*(1+$AA$15)^($B15-2020))</f>
        <v>23111.500299887477</v>
      </c>
      <c r="G15" s="91">
        <f>IF($B15&gt;'Project Data and Assumptions'!$C$8,0,$AB$29*(1+$AA$15)^($B15-2020))</f>
        <v>6419.7940068123844</v>
      </c>
      <c r="H15" s="258">
        <f>IF($B15&gt;'Project Data and Assumptions'!$C$8,0,$AC$29*(1+$AA$15)^($B15-2020))</f>
        <v>33377.140701740282</v>
      </c>
      <c r="I15" s="17">
        <f t="shared" si="0"/>
        <v>372094.30826441827</v>
      </c>
      <c r="J15" s="325">
        <f t="shared" si="8"/>
        <v>15345.875593884328</v>
      </c>
      <c r="K15" s="90">
        <f t="shared" si="9"/>
        <v>460200.22170240234</v>
      </c>
      <c r="L15" s="90">
        <f t="shared" si="1"/>
        <v>420551.97284192755</v>
      </c>
      <c r="M15" s="90">
        <f t="shared" si="10"/>
        <v>48600.016666084513</v>
      </c>
      <c r="N15" s="92">
        <f t="shared" si="2"/>
        <v>730.43132250709948</v>
      </c>
      <c r="O15" s="17">
        <f t="shared" si="3"/>
        <v>291204.90377858217</v>
      </c>
      <c r="P15" s="90">
        <f t="shared" si="11"/>
        <v>15345.875593884328</v>
      </c>
      <c r="Q15" s="90">
        <f t="shared" si="12"/>
        <v>414748.08013417065</v>
      </c>
      <c r="R15" s="90">
        <f t="shared" si="4"/>
        <v>420551.97284192755</v>
      </c>
      <c r="S15" s="90">
        <f t="shared" si="13"/>
        <v>48600.016666084513</v>
      </c>
      <c r="T15" s="92">
        <f t="shared" si="5"/>
        <v>730.43132250709948</v>
      </c>
      <c r="U15" s="17">
        <f t="shared" si="14"/>
        <v>2508704.1067283801</v>
      </c>
      <c r="V15" s="6">
        <f t="shared" si="6"/>
        <v>693677.59056891152</v>
      </c>
      <c r="X15" s="700" t="s">
        <v>677</v>
      </c>
      <c r="Y15" s="700"/>
      <c r="Z15" s="700"/>
      <c r="AA15" s="569">
        <v>0.02</v>
      </c>
      <c r="AB15" s="569">
        <v>0.05</v>
      </c>
      <c r="AU15" s="292" t="s">
        <v>491</v>
      </c>
    </row>
    <row r="16" spans="1:49" x14ac:dyDescent="0.25">
      <c r="A16" s="75">
        <f t="shared" si="7"/>
        <v>31169.383861875493</v>
      </c>
      <c r="B16" s="2">
        <f t="shared" si="15"/>
        <v>2040</v>
      </c>
      <c r="C16" s="260">
        <f>IF(OR($B16&lt;$Y$6,$B16&gt;'Project Data and Assumptions'!$C$8),0,$AC$35*(1+$AA$15)^($B16-2020))</f>
        <v>30121.920192833863</v>
      </c>
      <c r="D16" s="91">
        <f>IF(OR($B16&lt;$Y$6,$B16&gt;'Project Data and Assumptions'!$C$8),0,$AB$34*(1+$AA$15)^($B16-2020))</f>
        <v>6548.1898869486331</v>
      </c>
      <c r="E16" s="258">
        <f>IF(OR($B16&lt;$Y$6,$B16&gt;'Project Data and Assumptions'!$C$8),0,$AC$34*(1+$AA$15)^($B16-2020))</f>
        <v>34044.68351577509</v>
      </c>
      <c r="F16" s="260">
        <f>IF($B16&gt;'Project Data and Assumptions'!$C$8,0,$AC$30*(1+$AA$15)^($B16-2020))</f>
        <v>23573.73030588523</v>
      </c>
      <c r="G16" s="91">
        <f>IF($B16&gt;'Project Data and Assumptions'!$C$8,0,$AB$29*(1+$AA$15)^($B16-2020))</f>
        <v>6548.1898869486331</v>
      </c>
      <c r="H16" s="258">
        <f>IF($B16&gt;'Project Data and Assumptions'!$C$8,0,$AC$29*(1+$AA$15)^($B16-2020))</f>
        <v>34044.68351577509</v>
      </c>
      <c r="I16" s="17">
        <f t="shared" si="0"/>
        <v>379536.19442970667</v>
      </c>
      <c r="J16" s="325">
        <f t="shared" si="8"/>
        <v>15652.793105762015</v>
      </c>
      <c r="K16" s="90">
        <f t="shared" si="9"/>
        <v>469404.22613645042</v>
      </c>
      <c r="L16" s="90">
        <f t="shared" si="1"/>
        <v>428963.01229876612</v>
      </c>
      <c r="M16" s="90">
        <f t="shared" si="10"/>
        <v>49572.016999406202</v>
      </c>
      <c r="N16" s="92">
        <f t="shared" si="2"/>
        <v>745.03994895724156</v>
      </c>
      <c r="O16" s="17">
        <f t="shared" si="3"/>
        <v>297029.00185415387</v>
      </c>
      <c r="P16" s="90">
        <f t="shared" si="11"/>
        <v>15652.793105762015</v>
      </c>
      <c r="Q16" s="90">
        <f t="shared" si="12"/>
        <v>423043.04173685412</v>
      </c>
      <c r="R16" s="90">
        <f t="shared" si="4"/>
        <v>428963.01229876612</v>
      </c>
      <c r="S16" s="90">
        <f t="shared" si="13"/>
        <v>49572.016999406202</v>
      </c>
      <c r="T16" s="92">
        <f t="shared" si="5"/>
        <v>745.03994895724156</v>
      </c>
      <c r="U16" s="17">
        <f t="shared" si="14"/>
        <v>2558878.1888629482</v>
      </c>
      <c r="V16" s="6">
        <f t="shared" si="6"/>
        <v>661262.7498881215</v>
      </c>
      <c r="X16" s="695" t="s">
        <v>498</v>
      </c>
      <c r="Y16" s="695"/>
      <c r="Z16" s="695"/>
      <c r="AA16" s="177">
        <v>0.86</v>
      </c>
      <c r="AB16" s="113"/>
      <c r="AU16" s="292" t="s">
        <v>502</v>
      </c>
      <c r="AV16" s="292" t="s">
        <v>505</v>
      </c>
      <c r="AW16" s="292" t="s">
        <v>506</v>
      </c>
    </row>
    <row r="17" spans="1:33" x14ac:dyDescent="0.25">
      <c r="A17" s="75">
        <f t="shared" si="7"/>
        <v>31792.771539113</v>
      </c>
      <c r="B17" s="2">
        <f t="shared" si="15"/>
        <v>2041</v>
      </c>
      <c r="C17" s="260">
        <f>IF(OR($B17&lt;$Y$6,$B17&gt;'Project Data and Assumptions'!$C$8),0,$AC$35*(1+$AA$15)^($B17-2020))</f>
        <v>30724.358596690538</v>
      </c>
      <c r="D17" s="91">
        <f>IF(OR($B17&lt;$Y$6,$B17&gt;'Project Data and Assumptions'!$C$8),0,$AB$34*(1+$AA$15)^($B17-2020))</f>
        <v>6679.1536846876052</v>
      </c>
      <c r="E17" s="258">
        <f>IF(OR($B17&lt;$Y$6,$B17&gt;'Project Data and Assumptions'!$C$8),0,$AC$34*(1+$AA$15)^($B17-2020))</f>
        <v>34725.577186090588</v>
      </c>
      <c r="F17" s="260">
        <f>IF($B17&gt;'Project Data and Assumptions'!$C$8,0,$AC$30*(1+$AA$15)^($B17-2020))</f>
        <v>24045.204912002933</v>
      </c>
      <c r="G17" s="91">
        <f>IF($B17&gt;'Project Data and Assumptions'!$C$8,0,$AB$29*(1+$AA$15)^($B17-2020))</f>
        <v>6679.1536846876052</v>
      </c>
      <c r="H17" s="258">
        <f>IF($B17&gt;'Project Data and Assumptions'!$C$8,0,$AC$29*(1+$AA$15)^($B17-2020))</f>
        <v>34725.577186090588</v>
      </c>
      <c r="I17" s="17">
        <f t="shared" si="0"/>
        <v>387126.91831830074</v>
      </c>
      <c r="J17" s="325">
        <f t="shared" si="8"/>
        <v>15965.848967877253</v>
      </c>
      <c r="K17" s="90">
        <f t="shared" si="9"/>
        <v>478792.31065917935</v>
      </c>
      <c r="L17" s="90">
        <f t="shared" si="1"/>
        <v>437542.2725447414</v>
      </c>
      <c r="M17" s="90">
        <f t="shared" si="10"/>
        <v>50563.457339394321</v>
      </c>
      <c r="N17" s="92">
        <f t="shared" si="2"/>
        <v>759.94074793638629</v>
      </c>
      <c r="O17" s="17">
        <f t="shared" si="3"/>
        <v>302969.58189123694</v>
      </c>
      <c r="P17" s="90">
        <f t="shared" si="11"/>
        <v>15965.848967877253</v>
      </c>
      <c r="Q17" s="90">
        <f t="shared" si="12"/>
        <v>431503.90257159114</v>
      </c>
      <c r="R17" s="90">
        <f t="shared" si="4"/>
        <v>437542.2725447414</v>
      </c>
      <c r="S17" s="90">
        <f t="shared" si="13"/>
        <v>50563.457339394321</v>
      </c>
      <c r="T17" s="92">
        <f t="shared" si="5"/>
        <v>759.94074793638629</v>
      </c>
      <c r="U17" s="17">
        <f t="shared" si="14"/>
        <v>2610055.7526402068</v>
      </c>
      <c r="V17" s="6">
        <f t="shared" si="6"/>
        <v>630362.62138867646</v>
      </c>
      <c r="X17" s="695" t="s">
        <v>499</v>
      </c>
      <c r="Y17" s="695"/>
      <c r="Z17" s="695"/>
      <c r="AA17" s="265">
        <f>MIN(Y7,2.38)</f>
        <v>2.38</v>
      </c>
      <c r="AB17" s="266" t="s">
        <v>500</v>
      </c>
      <c r="AC17" s="284" t="s">
        <v>501</v>
      </c>
    </row>
    <row r="18" spans="1:33" x14ac:dyDescent="0.25">
      <c r="A18" s="75">
        <f t="shared" si="7"/>
        <v>32428.62696989526</v>
      </c>
      <c r="B18" s="2">
        <f t="shared" si="15"/>
        <v>2042</v>
      </c>
      <c r="C18" s="260">
        <f>IF(OR($B18&lt;$Y$6,$B18&gt;'Project Data and Assumptions'!$C$8),0,$AC$35*(1+$AA$15)^($B18-2020))</f>
        <v>31338.845768624349</v>
      </c>
      <c r="D18" s="91">
        <f>IF(OR($B18&lt;$Y$6,$B18&gt;'Project Data and Assumptions'!$C$8),0,$AB$34*(1+$AA$15)^($B18-2020))</f>
        <v>6812.7367583813575</v>
      </c>
      <c r="E18" s="258">
        <f>IF(OR($B18&lt;$Y$6,$B18&gt;'Project Data and Assumptions'!$C$8),0,$AC$34*(1+$AA$15)^($B18-2020))</f>
        <v>35420.088729812407</v>
      </c>
      <c r="F18" s="260">
        <f>IF($B18&gt;'Project Data and Assumptions'!$C$8,0,$AC$30*(1+$AA$15)^($B18-2020))</f>
        <v>24526.109010242992</v>
      </c>
      <c r="G18" s="91">
        <f>IF($B18&gt;'Project Data and Assumptions'!$C$8,0,$AB$29*(1+$AA$15)^($B18-2020))</f>
        <v>6812.7367583813575</v>
      </c>
      <c r="H18" s="258">
        <f>IF($B18&gt;'Project Data and Assumptions'!$C$8,0,$AC$29*(1+$AA$15)^($B18-2020))</f>
        <v>35420.088729812407</v>
      </c>
      <c r="I18" s="17">
        <f t="shared" si="0"/>
        <v>394869.45668466674</v>
      </c>
      <c r="J18" s="325">
        <f t="shared" si="8"/>
        <v>16285.165947234798</v>
      </c>
      <c r="K18" s="90">
        <f t="shared" si="9"/>
        <v>488368.156872363</v>
      </c>
      <c r="L18" s="90">
        <f t="shared" si="1"/>
        <v>446293.11799563636</v>
      </c>
      <c r="M18" s="90">
        <f t="shared" si="10"/>
        <v>51574.726486182211</v>
      </c>
      <c r="N18" s="92">
        <f t="shared" si="2"/>
        <v>775.13956289511407</v>
      </c>
      <c r="O18" s="17">
        <f t="shared" si="3"/>
        <v>309028.97352906171</v>
      </c>
      <c r="P18" s="90">
        <f t="shared" si="11"/>
        <v>16285.165947234798</v>
      </c>
      <c r="Q18" s="90">
        <f t="shared" si="12"/>
        <v>440133.980623023</v>
      </c>
      <c r="R18" s="90">
        <f t="shared" si="4"/>
        <v>446293.11799563636</v>
      </c>
      <c r="S18" s="90">
        <f t="shared" si="13"/>
        <v>51574.726486182211</v>
      </c>
      <c r="T18" s="92">
        <f t="shared" si="5"/>
        <v>775.13956289511407</v>
      </c>
      <c r="U18" s="17">
        <f t="shared" si="14"/>
        <v>2662256.8676930116</v>
      </c>
      <c r="V18" s="6">
        <f t="shared" si="6"/>
        <v>600906.42412752355</v>
      </c>
      <c r="X18" s="695" t="s">
        <v>495</v>
      </c>
      <c r="Y18" s="695"/>
      <c r="Z18" s="695"/>
      <c r="AA18" s="695"/>
      <c r="AB18" s="177">
        <f>MIN($AA$16,$Y8)</f>
        <v>0.86</v>
      </c>
      <c r="AC18" s="177">
        <f>MIN($AA$17,$Y8)</f>
        <v>1.5</v>
      </c>
    </row>
    <row r="19" spans="1:33" x14ac:dyDescent="0.25">
      <c r="A19" s="75">
        <f t="shared" si="7"/>
        <v>33077.199509293161</v>
      </c>
      <c r="B19" s="2">
        <f t="shared" si="15"/>
        <v>2043</v>
      </c>
      <c r="C19" s="260">
        <f>IF(OR($B19&lt;$Y$6,$B19&gt;'Project Data and Assumptions'!$C$8),0,$AC$35*(1+$AA$15)^($B19-2020))</f>
        <v>31965.622683996833</v>
      </c>
      <c r="D19" s="91">
        <f>IF(OR($B19&lt;$Y$6,$B19&gt;'Project Data and Assumptions'!$C$8),0,$AB$34*(1+$AA$15)^($B19-2020))</f>
        <v>6948.9914935489833</v>
      </c>
      <c r="E19" s="258">
        <f>IF(OR($B19&lt;$Y$6,$B19&gt;'Project Data and Assumptions'!$C$8),0,$AC$34*(1+$AA$15)^($B19-2020))</f>
        <v>36128.490504408648</v>
      </c>
      <c r="F19" s="260">
        <f>IF($B19&gt;'Project Data and Assumptions'!$C$8,0,$AC$30*(1+$AA$15)^($B19-2020))</f>
        <v>25016.631190447846</v>
      </c>
      <c r="G19" s="91">
        <f>IF($B19&gt;'Project Data and Assumptions'!$C$8,0,$AB$29*(1+$AA$15)^($B19-2020))</f>
        <v>6948.9914935489833</v>
      </c>
      <c r="H19" s="258">
        <f>IF($B19&gt;'Project Data and Assumptions'!$C$8,0,$AC$29*(1+$AA$15)^($B19-2020))</f>
        <v>36128.490504408648</v>
      </c>
      <c r="I19" s="17">
        <f t="shared" si="0"/>
        <v>402766.8458183601</v>
      </c>
      <c r="J19" s="325">
        <f t="shared" si="8"/>
        <v>16610.869266179492</v>
      </c>
      <c r="K19" s="90">
        <f t="shared" si="9"/>
        <v>498135.52000981022</v>
      </c>
      <c r="L19" s="90">
        <f t="shared" si="1"/>
        <v>455218.98035554902</v>
      </c>
      <c r="M19" s="90">
        <f t="shared" si="10"/>
        <v>52606.221015905845</v>
      </c>
      <c r="N19" s="92">
        <f t="shared" si="2"/>
        <v>790.64235415301619</v>
      </c>
      <c r="O19" s="17">
        <f t="shared" si="3"/>
        <v>315209.55299964285</v>
      </c>
      <c r="P19" s="90">
        <f t="shared" si="11"/>
        <v>16610.869266179492</v>
      </c>
      <c r="Q19" s="90">
        <f t="shared" si="12"/>
        <v>448936.66023548337</v>
      </c>
      <c r="R19" s="90">
        <f t="shared" si="4"/>
        <v>455218.98035554902</v>
      </c>
      <c r="S19" s="90">
        <f t="shared" si="13"/>
        <v>52606.221015905845</v>
      </c>
      <c r="T19" s="92">
        <f t="shared" si="5"/>
        <v>790.64235415301619</v>
      </c>
      <c r="U19" s="17">
        <f t="shared" si="14"/>
        <v>2715502.005046872</v>
      </c>
      <c r="V19" s="6">
        <f t="shared" si="6"/>
        <v>572826.68468231207</v>
      </c>
      <c r="X19" s="695" t="s">
        <v>496</v>
      </c>
      <c r="Y19" s="695"/>
      <c r="Z19" s="695"/>
      <c r="AA19" s="695"/>
      <c r="AB19" s="177">
        <f>MIN($AA$16,SUM($Y9:$Y10))</f>
        <v>0.86</v>
      </c>
      <c r="AC19" s="177">
        <f>MIN($AA$16,SUM($Y9:$Y10))</f>
        <v>0.86</v>
      </c>
    </row>
    <row r="20" spans="1:33" x14ac:dyDescent="0.25">
      <c r="A20" s="75">
        <f t="shared" si="7"/>
        <v>33738.743499479024</v>
      </c>
      <c r="B20" s="2">
        <f t="shared" si="15"/>
        <v>2044</v>
      </c>
      <c r="C20" s="260">
        <f>IF(OR($B20&lt;$Y$6,$B20&gt;'Project Data and Assumptions'!$C$8),0,$AC$35*(1+$AA$15)^($B20-2020))</f>
        <v>32604.93513767677</v>
      </c>
      <c r="D20" s="91">
        <f>IF(OR($B20&lt;$Y$6,$B20&gt;'Project Data and Assumptions'!$C$8),0,$AB$34*(1+$AA$15)^($B20-2020))</f>
        <v>7087.9713234199635</v>
      </c>
      <c r="E20" s="258">
        <f>IF(OR($B20&lt;$Y$6,$B20&gt;'Project Data and Assumptions'!$C$8),0,$AC$34*(1+$AA$15)^($B20-2020))</f>
        <v>36851.060314496819</v>
      </c>
      <c r="F20" s="260">
        <f>IF($B20&gt;'Project Data and Assumptions'!$C$8,0,$AC$30*(1+$AA$15)^($B20-2020))</f>
        <v>25516.963814256807</v>
      </c>
      <c r="G20" s="91">
        <f>IF($B20&gt;'Project Data and Assumptions'!$C$8,0,$AB$29*(1+$AA$15)^($B20-2020))</f>
        <v>7087.9713234199635</v>
      </c>
      <c r="H20" s="258">
        <f>IF($B20&gt;'Project Data and Assumptions'!$C$8,0,$AC$29*(1+$AA$15)^($B20-2020))</f>
        <v>36851.060314496819</v>
      </c>
      <c r="I20" s="17">
        <f t="shared" si="0"/>
        <v>410822.18273472728</v>
      </c>
      <c r="J20" s="325">
        <f t="shared" si="8"/>
        <v>16943.086651503083</v>
      </c>
      <c r="K20" s="90">
        <f t="shared" si="9"/>
        <v>508098.23041000642</v>
      </c>
      <c r="L20" s="90">
        <f t="shared" si="1"/>
        <v>464323.35996265989</v>
      </c>
      <c r="M20" s="90">
        <f t="shared" si="10"/>
        <v>53658.345436223972</v>
      </c>
      <c r="N20" s="92">
        <f t="shared" si="2"/>
        <v>806.4552012360765</v>
      </c>
      <c r="O20" s="17">
        <f t="shared" si="3"/>
        <v>321513.74405963573</v>
      </c>
      <c r="P20" s="90">
        <f t="shared" si="11"/>
        <v>16943.086651503083</v>
      </c>
      <c r="Q20" s="90">
        <f t="shared" si="12"/>
        <v>457915.39344019309</v>
      </c>
      <c r="R20" s="90">
        <f t="shared" si="4"/>
        <v>464323.35996265989</v>
      </c>
      <c r="S20" s="90">
        <f t="shared" si="13"/>
        <v>53658.345436223972</v>
      </c>
      <c r="T20" s="92">
        <f t="shared" si="5"/>
        <v>806.4552012360765</v>
      </c>
      <c r="U20" s="17">
        <f t="shared" si="14"/>
        <v>2769812.0451478087</v>
      </c>
      <c r="V20" s="6">
        <f t="shared" si="6"/>
        <v>546059.08259435347</v>
      </c>
      <c r="X20" s="568"/>
      <c r="Y20" s="568"/>
      <c r="Z20" s="286"/>
      <c r="AA20" s="93"/>
    </row>
    <row r="21" spans="1:33" x14ac:dyDescent="0.25">
      <c r="A21" s="75">
        <f t="shared" si="7"/>
        <v>34413.518369468606</v>
      </c>
      <c r="B21" s="2">
        <f t="shared" si="15"/>
        <v>2045</v>
      </c>
      <c r="C21" s="260">
        <f>IF(OR($B21&lt;$Y$6,$B21&gt;'Project Data and Assumptions'!$C$8),0,$AC$35*(1+$AA$15)^($B21-2020))</f>
        <v>33257.033840430304</v>
      </c>
      <c r="D21" s="91">
        <f>IF(OR($B21&lt;$Y$6,$B21&gt;'Project Data and Assumptions'!$C$8),0,$AB$34*(1+$AA$15)^($B21-2020))</f>
        <v>7229.7307498883629</v>
      </c>
      <c r="E21" s="258">
        <f>IF(OR($B21&lt;$Y$6,$B21&gt;'Project Data and Assumptions'!$C$8),0,$AC$34*(1+$AA$15)^($B21-2020))</f>
        <v>37588.081520786756</v>
      </c>
      <c r="F21" s="260">
        <f>IF($B21&gt;'Project Data and Assumptions'!$C$8,0,$AC$30*(1+$AA$15)^($B21-2020))</f>
        <v>26027.303090541944</v>
      </c>
      <c r="G21" s="91">
        <f>IF($B21&gt;'Project Data and Assumptions'!$C$8,0,$AB$29*(1+$AA$15)^($B21-2020))</f>
        <v>7229.7307498883629</v>
      </c>
      <c r="H21" s="258">
        <f>IF($B21&gt;'Project Data and Assumptions'!$C$8,0,$AC$29*(1+$AA$15)^($B21-2020))</f>
        <v>37588.081520786756</v>
      </c>
      <c r="I21" s="17">
        <f t="shared" si="0"/>
        <v>419038.62638942187</v>
      </c>
      <c r="J21" s="325">
        <f t="shared" si="8"/>
        <v>17281.948384533145</v>
      </c>
      <c r="K21" s="90">
        <f t="shared" si="9"/>
        <v>518260.19501820649</v>
      </c>
      <c r="L21" s="90">
        <f t="shared" si="1"/>
        <v>473609.8271619131</v>
      </c>
      <c r="M21" s="90">
        <f t="shared" si="10"/>
        <v>54731.512344948445</v>
      </c>
      <c r="N21" s="92">
        <f t="shared" si="2"/>
        <v>822.58430526079815</v>
      </c>
      <c r="O21" s="17">
        <f t="shared" si="3"/>
        <v>327944.01894082851</v>
      </c>
      <c r="P21" s="90">
        <f t="shared" si="11"/>
        <v>17281.948384533145</v>
      </c>
      <c r="Q21" s="90">
        <f t="shared" si="12"/>
        <v>467073.70130899694</v>
      </c>
      <c r="R21" s="90">
        <f t="shared" si="4"/>
        <v>473609.8271619131</v>
      </c>
      <c r="S21" s="90">
        <f t="shared" si="13"/>
        <v>54731.512344948445</v>
      </c>
      <c r="T21" s="92">
        <f t="shared" si="5"/>
        <v>822.58430526079815</v>
      </c>
      <c r="U21" s="17">
        <f t="shared" si="14"/>
        <v>2825208.2860507653</v>
      </c>
      <c r="V21" s="6">
        <f t="shared" si="6"/>
        <v>520542.30303386966</v>
      </c>
      <c r="X21" s="28"/>
      <c r="Y21" s="28"/>
      <c r="Z21" s="570"/>
      <c r="AA21" s="570"/>
      <c r="AB21" s="570"/>
      <c r="AC21" s="570"/>
      <c r="AD21" s="547"/>
    </row>
    <row r="22" spans="1:33" x14ac:dyDescent="0.25">
      <c r="A22" s="75">
        <f t="shared" si="7"/>
        <v>35101.788736857983</v>
      </c>
      <c r="B22" s="2">
        <f t="shared" si="15"/>
        <v>2046</v>
      </c>
      <c r="C22" s="260">
        <f>IF(OR($B22&lt;$Y$6,$B22&gt;'Project Data and Assumptions'!$C$8),0,$AC$35*(1+$AA$15)^($B22-2020))</f>
        <v>33922.174517238913</v>
      </c>
      <c r="D22" s="91">
        <f>IF(OR($B22&lt;$Y$6,$B22&gt;'Project Data and Assumptions'!$C$8),0,$AB$34*(1+$AA$15)^($B22-2020))</f>
        <v>7374.325364886131</v>
      </c>
      <c r="E22" s="258">
        <f>IF(OR($B22&lt;$Y$6,$B22&gt;'Project Data and Assumptions'!$C$8),0,$AC$34*(1+$AA$15)^($B22-2020))</f>
        <v>38339.843151202498</v>
      </c>
      <c r="F22" s="260">
        <f>IF($B22&gt;'Project Data and Assumptions'!$C$8,0,$AC$30*(1+$AA$15)^($B22-2020))</f>
        <v>26547.849152352785</v>
      </c>
      <c r="G22" s="91">
        <f>IF($B22&gt;'Project Data and Assumptions'!$C$8,0,$AB$29*(1+$AA$15)^($B22-2020))</f>
        <v>7374.325364886131</v>
      </c>
      <c r="H22" s="258">
        <f>IF($B22&gt;'Project Data and Assumptions'!$C$8,0,$AC$29*(1+$AA$15)^($B22-2020))</f>
        <v>38339.843151202498</v>
      </c>
      <c r="I22" s="17">
        <f t="shared" si="0"/>
        <v>427419.39891721035</v>
      </c>
      <c r="J22" s="325">
        <f t="shared" si="8"/>
        <v>17627.587352223807</v>
      </c>
      <c r="K22" s="90">
        <f t="shared" si="9"/>
        <v>528625.39891857072</v>
      </c>
      <c r="L22" s="90">
        <f t="shared" si="1"/>
        <v>483082.02370515146</v>
      </c>
      <c r="M22" s="90">
        <f t="shared" si="10"/>
        <v>55826.14259184742</v>
      </c>
      <c r="N22" s="92">
        <f t="shared" si="2"/>
        <v>839.03599136601417</v>
      </c>
      <c r="O22" s="17">
        <f t="shared" si="3"/>
        <v>334502.89931964508</v>
      </c>
      <c r="P22" s="90">
        <f t="shared" si="11"/>
        <v>17627.587352223807</v>
      </c>
      <c r="Q22" s="90">
        <f t="shared" si="12"/>
        <v>476415.17533517693</v>
      </c>
      <c r="R22" s="90">
        <f t="shared" si="4"/>
        <v>483082.02370515146</v>
      </c>
      <c r="S22" s="90">
        <f t="shared" si="13"/>
        <v>55826.14259184742</v>
      </c>
      <c r="T22" s="92">
        <f t="shared" si="5"/>
        <v>839.03599136601417</v>
      </c>
      <c r="U22" s="17">
        <f t="shared" si="14"/>
        <v>2881712.4517717804</v>
      </c>
      <c r="V22" s="6">
        <f t="shared" si="6"/>
        <v>496217.896350044</v>
      </c>
      <c r="X22" s="571" t="s">
        <v>640</v>
      </c>
      <c r="Y22" s="28"/>
      <c r="Z22" s="570"/>
      <c r="AA22" s="570"/>
      <c r="AB22" s="570"/>
      <c r="AC22" s="570"/>
      <c r="AD22" s="547"/>
    </row>
    <row r="23" spans="1:33" x14ac:dyDescent="0.25">
      <c r="A23" s="75">
        <f t="shared" si="7"/>
        <v>35803.824511595136</v>
      </c>
      <c r="B23" s="2">
        <f t="shared" si="15"/>
        <v>2047</v>
      </c>
      <c r="C23" s="260">
        <f>IF(OR($B23&lt;$Y$6,$B23&gt;'Project Data and Assumptions'!$C$8),0,$AC$35*(1+$AA$15)^($B23-2020))</f>
        <v>34600.618007583689</v>
      </c>
      <c r="D23" s="91">
        <f>IF(OR($B23&lt;$Y$6,$B23&gt;'Project Data and Assumptions'!$C$8),0,$AB$34*(1+$AA$15)^($B23-2020))</f>
        <v>7521.8118721838518</v>
      </c>
      <c r="E23" s="258">
        <f>IF(OR($B23&lt;$Y$6,$B23&gt;'Project Data and Assumptions'!$C$8),0,$AC$34*(1+$AA$15)^($B23-2020))</f>
        <v>39106.640014226541</v>
      </c>
      <c r="F23" s="260">
        <f>IF($B23&gt;'Project Data and Assumptions'!$C$8,0,$AC$30*(1+$AA$15)^($B23-2020))</f>
        <v>27078.806135399835</v>
      </c>
      <c r="G23" s="91">
        <f>IF($B23&gt;'Project Data and Assumptions'!$C$8,0,$AB$29*(1+$AA$15)^($B23-2020))</f>
        <v>7521.8118721838518</v>
      </c>
      <c r="H23" s="258">
        <f>IF($B23&gt;'Project Data and Assumptions'!$C$8,0,$AC$29*(1+$AA$15)^($B23-2020))</f>
        <v>39106.640014226541</v>
      </c>
      <c r="I23" s="17">
        <f t="shared" si="0"/>
        <v>435967.78689555451</v>
      </c>
      <c r="J23" s="325">
        <f t="shared" si="8"/>
        <v>17980.139099268283</v>
      </c>
      <c r="K23" s="90">
        <f t="shared" si="9"/>
        <v>539197.90689694206</v>
      </c>
      <c r="L23" s="90">
        <f t="shared" si="1"/>
        <v>492743.66417925444</v>
      </c>
      <c r="M23" s="90">
        <f t="shared" si="10"/>
        <v>56942.665443684367</v>
      </c>
      <c r="N23" s="92">
        <f t="shared" si="2"/>
        <v>855.8167111933343</v>
      </c>
      <c r="O23" s="17">
        <f t="shared" si="3"/>
        <v>341192.95730603795</v>
      </c>
      <c r="P23" s="90">
        <f t="shared" si="11"/>
        <v>17980.139099268283</v>
      </c>
      <c r="Q23" s="90">
        <f t="shared" si="12"/>
        <v>485943.47884188045</v>
      </c>
      <c r="R23" s="90">
        <f t="shared" si="4"/>
        <v>492743.66417925444</v>
      </c>
      <c r="S23" s="90">
        <f t="shared" si="13"/>
        <v>56942.665443684367</v>
      </c>
      <c r="T23" s="92">
        <f t="shared" si="5"/>
        <v>855.8167111933343</v>
      </c>
      <c r="U23" s="17">
        <f t="shared" si="14"/>
        <v>2939346.7008072161</v>
      </c>
      <c r="V23" s="6">
        <f t="shared" si="6"/>
        <v>473030.14418415399</v>
      </c>
      <c r="X23" s="547"/>
      <c r="Y23" s="547"/>
      <c r="Z23" s="288" t="s">
        <v>23</v>
      </c>
      <c r="AA23" s="288" t="s">
        <v>468</v>
      </c>
      <c r="AB23" s="288" t="s">
        <v>53</v>
      </c>
      <c r="AC23" s="288" t="s">
        <v>261</v>
      </c>
      <c r="AD23" s="288" t="s">
        <v>486</v>
      </c>
    </row>
    <row r="24" spans="1:33" x14ac:dyDescent="0.25">
      <c r="A24" s="75">
        <f t="shared" si="7"/>
        <v>36519.901001827042</v>
      </c>
      <c r="B24" s="2">
        <f t="shared" si="15"/>
        <v>2048</v>
      </c>
      <c r="C24" s="260">
        <f>IF(OR($B24&lt;$Y$6,$B24&gt;'Project Data and Assumptions'!$C$8),0,$AC$35*(1+$AA$15)^($B24-2020))</f>
        <v>35292.630367735364</v>
      </c>
      <c r="D24" s="91">
        <f>IF(OR($B24&lt;$Y$6,$B24&gt;'Project Data and Assumptions'!$C$8),0,$AB$34*(1+$AA$15)^($B24-2020))</f>
        <v>7672.2481096275305</v>
      </c>
      <c r="E24" s="258">
        <f>IF(OR($B24&lt;$Y$6,$B24&gt;'Project Data and Assumptions'!$C$8),0,$AC$34*(1+$AA$15)^($B24-2020))</f>
        <v>39888.772814511074</v>
      </c>
      <c r="F24" s="260">
        <f>IF($B24&gt;'Project Data and Assumptions'!$C$8,0,$AC$30*(1+$AA$15)^($B24-2020))</f>
        <v>27620.382258107838</v>
      </c>
      <c r="G24" s="91">
        <f>IF($B24&gt;'Project Data and Assumptions'!$C$8,0,$AB$29*(1+$AA$15)^($B24-2020))</f>
        <v>7672.2481096275305</v>
      </c>
      <c r="H24" s="258">
        <f>IF($B24&gt;'Project Data and Assumptions'!$C$8,0,$AC$29*(1+$AA$15)^($B24-2020))</f>
        <v>39888.772814511074</v>
      </c>
      <c r="I24" s="17">
        <f t="shared" si="0"/>
        <v>444687.14263346558</v>
      </c>
      <c r="J24" s="325">
        <f t="shared" si="8"/>
        <v>18339.741881253649</v>
      </c>
      <c r="K24" s="90">
        <f t="shared" si="9"/>
        <v>549981.86503488093</v>
      </c>
      <c r="L24" s="90">
        <f t="shared" si="1"/>
        <v>502598.53746283957</v>
      </c>
      <c r="M24" s="90">
        <f t="shared" si="10"/>
        <v>58081.518752558055</v>
      </c>
      <c r="N24" s="92">
        <f t="shared" si="2"/>
        <v>872.93304541720113</v>
      </c>
      <c r="O24" s="17">
        <f t="shared" si="3"/>
        <v>348016.81645215879</v>
      </c>
      <c r="P24" s="90">
        <f t="shared" si="11"/>
        <v>18339.741881253649</v>
      </c>
      <c r="Q24" s="90">
        <f t="shared" si="12"/>
        <v>495662.34841871809</v>
      </c>
      <c r="R24" s="90">
        <f t="shared" si="4"/>
        <v>502598.53746283957</v>
      </c>
      <c r="S24" s="90">
        <f t="shared" si="13"/>
        <v>58081.518752558055</v>
      </c>
      <c r="T24" s="92">
        <f t="shared" si="5"/>
        <v>872.93304541720113</v>
      </c>
      <c r="U24" s="17">
        <f t="shared" si="14"/>
        <v>2998133.6348233605</v>
      </c>
      <c r="V24" s="6">
        <f t="shared" si="6"/>
        <v>450925.93183910014</v>
      </c>
      <c r="X24" s="709" t="s">
        <v>191</v>
      </c>
      <c r="Y24" s="709"/>
      <c r="Z24" s="327">
        <f>District!$B$6*District!$B$3*('Trail Lengths'!F10/'Trail Lengths'!F24)</f>
        <v>179933.50697983598</v>
      </c>
      <c r="AA24" s="327">
        <f>Z24*(SUM(District!$B$27:$B$30)+District!$B$26*5/7)</f>
        <v>153184.74789633154</v>
      </c>
      <c r="AB24" s="327">
        <f>SUM($Z24:$Z25)*District!$C$11</f>
        <v>29025.754324883663</v>
      </c>
      <c r="AC24" s="327">
        <f>Z24-AB24</f>
        <v>150907.75265495232</v>
      </c>
      <c r="AD24" s="328">
        <f>AA24/Z24</f>
        <v>0.85134086734327918</v>
      </c>
    </row>
    <row r="25" spans="1:33" x14ac:dyDescent="0.25">
      <c r="A25" s="75">
        <f t="shared" si="7"/>
        <v>37250.299021863582</v>
      </c>
      <c r="B25" s="2">
        <f t="shared" si="15"/>
        <v>2049</v>
      </c>
      <c r="C25" s="260">
        <f>IF(OR($B25&lt;$Y$6,$B25&gt;'Project Data and Assumptions'!$C$8),0,$AC$35*(1+$AA$15)^($B25-2020))</f>
        <v>35998.482975090068</v>
      </c>
      <c r="D25" s="91">
        <f>IF(OR($B25&lt;$Y$6,$B25&gt;'Project Data and Assumptions'!$C$8),0,$AB$34*(1+$AA$15)^($B25-2020))</f>
        <v>7825.6930718200801</v>
      </c>
      <c r="E25" s="258">
        <f>IF(OR($B25&lt;$Y$6,$B25&gt;'Project Data and Assumptions'!$C$8),0,$AC$34*(1+$AA$15)^($B25-2020))</f>
        <v>40686.548270801293</v>
      </c>
      <c r="F25" s="260">
        <f>IF($B25&gt;'Project Data and Assumptions'!$C$8,0,$AC$30*(1+$AA$15)^($B25-2020))</f>
        <v>28172.78990326999</v>
      </c>
      <c r="G25" s="91">
        <f>IF($B25&gt;'Project Data and Assumptions'!$C$8,0,$AB$29*(1+$AA$15)^($B25-2020))</f>
        <v>7825.6930718200801</v>
      </c>
      <c r="H25" s="258">
        <f>IF($B25&gt;'Project Data and Assumptions'!$C$8,0,$AC$29*(1+$AA$15)^($B25-2020))</f>
        <v>40686.548270801293</v>
      </c>
      <c r="I25" s="17">
        <f t="shared" si="0"/>
        <v>453580.88548613485</v>
      </c>
      <c r="J25" s="325">
        <f t="shared" si="8"/>
        <v>18706.53671887872</v>
      </c>
      <c r="K25" s="90">
        <f t="shared" si="9"/>
        <v>560981.50233557855</v>
      </c>
      <c r="L25" s="90">
        <f t="shared" si="1"/>
        <v>512650.50821209629</v>
      </c>
      <c r="M25" s="90">
        <f t="shared" si="10"/>
        <v>59243.149127609213</v>
      </c>
      <c r="N25" s="92">
        <f t="shared" si="2"/>
        <v>890.3917063255451</v>
      </c>
      <c r="O25" s="17">
        <f t="shared" si="3"/>
        <v>354977.15278120182</v>
      </c>
      <c r="P25" s="90">
        <f t="shared" si="11"/>
        <v>18706.53671887872</v>
      </c>
      <c r="Q25" s="90">
        <f t="shared" si="12"/>
        <v>505575.59538709233</v>
      </c>
      <c r="R25" s="90">
        <f t="shared" si="4"/>
        <v>512650.50821209629</v>
      </c>
      <c r="S25" s="90">
        <f t="shared" si="13"/>
        <v>59243.149127609213</v>
      </c>
      <c r="T25" s="92">
        <f t="shared" si="5"/>
        <v>890.3917063255451</v>
      </c>
      <c r="U25" s="17">
        <f t="shared" si="14"/>
        <v>3058096.3075198266</v>
      </c>
      <c r="V25" s="6">
        <f t="shared" si="6"/>
        <v>429854.62661297387</v>
      </c>
      <c r="X25" s="709" t="s">
        <v>190</v>
      </c>
      <c r="Y25" s="709"/>
      <c r="Z25" s="327">
        <f>District!$B$6*SUM(District!C3:D3)*('Trail Lengths'!F10/'Trail Lengths'!F24)</f>
        <v>133519.56348327053</v>
      </c>
      <c r="AA25" s="327">
        <f>Z25*(SUM(District!$B$27:$B$30)+District!$B$26*5/7)</f>
        <v>113670.66098314355</v>
      </c>
      <c r="AB25" s="327">
        <v>0</v>
      </c>
      <c r="AC25" s="327">
        <f>Z25-AB25</f>
        <v>133519.56348327053</v>
      </c>
      <c r="AD25" s="328">
        <f>AA25/Z25</f>
        <v>0.85134086734327918</v>
      </c>
      <c r="AG25" s="112" t="s">
        <v>64</v>
      </c>
    </row>
    <row r="26" spans="1:33" x14ac:dyDescent="0.25">
      <c r="A26" s="75">
        <f t="shared" si="7"/>
        <v>37995.305002300855</v>
      </c>
      <c r="B26" s="2">
        <f t="shared" si="15"/>
        <v>2050</v>
      </c>
      <c r="C26" s="260">
        <f>IF(OR($B26&lt;$Y$6,$B26&gt;'Project Data and Assumptions'!$C$8),0,$AC$35*(1+$AA$15)^($B26-2020))</f>
        <v>36718.452634591871</v>
      </c>
      <c r="D26" s="91">
        <f>IF(OR($B26&lt;$Y$6,$B26&gt;'Project Data and Assumptions'!$C$8),0,$AB$34*(1+$AA$15)^($B26-2020))</f>
        <v>7982.2069332564824</v>
      </c>
      <c r="E26" s="258">
        <f>IF(OR($B26&lt;$Y$6,$B26&gt;'Project Data and Assumptions'!$C$8),0,$AC$34*(1+$AA$15)^($B26-2020))</f>
        <v>41500.27923621732</v>
      </c>
      <c r="F26" s="260">
        <f>IF($B26&gt;'Project Data and Assumptions'!$C$8,0,$AC$30*(1+$AA$15)^($B26-2020))</f>
        <v>28736.245701335392</v>
      </c>
      <c r="G26" s="91">
        <f>IF($B26&gt;'Project Data and Assumptions'!$C$8,0,$AB$29*(1+$AA$15)^($B26-2020))</f>
        <v>7982.2069332564824</v>
      </c>
      <c r="H26" s="258">
        <f>IF($B26&gt;'Project Data and Assumptions'!$C$8,0,$AC$29*(1+$AA$15)^($B26-2020))</f>
        <v>41500.27923621732</v>
      </c>
      <c r="I26" s="17">
        <f t="shared" si="0"/>
        <v>462652.50319585757</v>
      </c>
      <c r="J26" s="325">
        <f t="shared" si="8"/>
        <v>19080.667453256297</v>
      </c>
      <c r="K26" s="90">
        <f t="shared" si="9"/>
        <v>572201.13238229009</v>
      </c>
      <c r="L26" s="90">
        <f t="shared" si="1"/>
        <v>522903.51837633824</v>
      </c>
      <c r="M26" s="90">
        <f t="shared" si="10"/>
        <v>60428.012110161406</v>
      </c>
      <c r="N26" s="92">
        <f t="shared" si="2"/>
        <v>908.19954045205611</v>
      </c>
      <c r="O26" s="17">
        <f t="shared" si="3"/>
        <v>362076.69583682594</v>
      </c>
      <c r="P26" s="90">
        <f t="shared" si="11"/>
        <v>19080.667453256297</v>
      </c>
      <c r="Q26" s="90">
        <f t="shared" si="12"/>
        <v>515687.10729483422</v>
      </c>
      <c r="R26" s="90">
        <f t="shared" si="4"/>
        <v>522903.51837633824</v>
      </c>
      <c r="S26" s="90">
        <f t="shared" si="13"/>
        <v>60428.012110161406</v>
      </c>
      <c r="T26" s="92">
        <f t="shared" si="5"/>
        <v>908.19954045205611</v>
      </c>
      <c r="U26" s="17">
        <f t="shared" si="14"/>
        <v>3119258.2336702244</v>
      </c>
      <c r="V26" s="6">
        <f t="shared" si="6"/>
        <v>409767.96181797527</v>
      </c>
      <c r="X26" s="28"/>
      <c r="Y26" s="28"/>
      <c r="Z26" s="573"/>
      <c r="AA26" s="573"/>
      <c r="AB26" s="573"/>
      <c r="AC26" s="570"/>
      <c r="AD26" s="547"/>
      <c r="AG26" s="112" t="s">
        <v>65</v>
      </c>
    </row>
    <row r="27" spans="1:33" ht="15.75" thickBot="1" x14ac:dyDescent="0.3">
      <c r="A27" s="75">
        <f t="shared" si="7"/>
        <v>0</v>
      </c>
      <c r="B27" s="3">
        <f t="shared" si="15"/>
        <v>2051</v>
      </c>
      <c r="C27" s="261">
        <f>IF(OR($B27&lt;$Y$6,$B27&gt;'Project Data and Assumptions'!$C$8),0,$AC$35*(1+$AA$15)^($B27-2020))</f>
        <v>0</v>
      </c>
      <c r="D27" s="96">
        <f>IF(OR($B27&lt;$Y$6,$B27&gt;'Project Data and Assumptions'!$C$8),0,$AB$34*(1+$AA$15)^($B27-2020))</f>
        <v>0</v>
      </c>
      <c r="E27" s="259">
        <f>IF(OR($B27&lt;$Y$6,$B27&gt;'Project Data and Assumptions'!$C$8),0,$AC$34*(1+$AA$15)^($B27-2020))</f>
        <v>0</v>
      </c>
      <c r="F27" s="261">
        <f>IF($B27&gt;'Project Data and Assumptions'!$C$8,0,$AC$30*(1+$AA$15)^($B27-2020))</f>
        <v>0</v>
      </c>
      <c r="G27" s="96">
        <f>IF($B27&gt;'Project Data and Assumptions'!$C$8,0,$AB$29*(1+$AA$15)^($B27-2020))</f>
        <v>0</v>
      </c>
      <c r="H27" s="259">
        <f>IF($B27&gt;'Project Data and Assumptions'!$C$8,0,$AC$29*(1+$AA$15)^($B27-2020))</f>
        <v>0</v>
      </c>
      <c r="I27" s="120">
        <f t="shared" si="0"/>
        <v>0</v>
      </c>
      <c r="J27" s="326">
        <f t="shared" ref="J27" si="16">(D27*$AA$40)*$AA$38*$AA$39</f>
        <v>0</v>
      </c>
      <c r="K27" s="121">
        <f t="shared" ref="K27" si="17">C27*$AA$43+SUM(D27:E27)*$AA$44</f>
        <v>0</v>
      </c>
      <c r="L27" s="121">
        <f t="shared" si="1"/>
        <v>0</v>
      </c>
      <c r="M27" s="121">
        <f t="shared" ref="M27" si="18">SUM(D27:E27)*$AA$52</f>
        <v>0</v>
      </c>
      <c r="N27" s="123">
        <f t="shared" si="2"/>
        <v>0</v>
      </c>
      <c r="O27" s="120">
        <f t="shared" si="3"/>
        <v>0</v>
      </c>
      <c r="P27" s="121">
        <f t="shared" ref="P27" si="19">(G27*$AA$40)*$AA$38*$AA$39</f>
        <v>0</v>
      </c>
      <c r="Q27" s="121">
        <f t="shared" ref="Q27" si="20">F27*$AA$43+SUM(G27:H27)*$AA$44</f>
        <v>0</v>
      </c>
      <c r="R27" s="121">
        <f t="shared" si="4"/>
        <v>0</v>
      </c>
      <c r="S27" s="121">
        <f t="shared" ref="S27" si="21">SUM(G27:H27)*$AA$52</f>
        <v>0</v>
      </c>
      <c r="T27" s="123">
        <f t="shared" si="5"/>
        <v>0</v>
      </c>
      <c r="U27" s="18">
        <f t="shared" ref="U27" si="22">SUM(I27:T27)</f>
        <v>0</v>
      </c>
      <c r="V27" s="7">
        <f t="shared" si="6"/>
        <v>0</v>
      </c>
      <c r="X27" s="32" t="s">
        <v>641</v>
      </c>
      <c r="Y27" s="30"/>
      <c r="Z27" s="100"/>
      <c r="AA27" s="100"/>
      <c r="AB27" s="100"/>
      <c r="AC27" s="100"/>
    </row>
    <row r="28" spans="1:33" ht="15.75" thickBot="1" x14ac:dyDescent="0.3">
      <c r="A28" s="75"/>
      <c r="B28" s="4"/>
      <c r="D28" s="4"/>
      <c r="G28" s="4"/>
      <c r="H28" s="97" t="s">
        <v>2</v>
      </c>
      <c r="I28" s="140">
        <f t="shared" ref="I28:V28" si="23">SUM(I7:I27)</f>
        <v>7716332.1990724318</v>
      </c>
      <c r="J28" s="141">
        <f t="shared" si="23"/>
        <v>318236.18727299082</v>
      </c>
      <c r="K28" s="141">
        <f t="shared" si="23"/>
        <v>9543434.8493690491</v>
      </c>
      <c r="L28" s="141">
        <f t="shared" si="23"/>
        <v>8721226.466913728</v>
      </c>
      <c r="M28" s="141">
        <f t="shared" si="23"/>
        <v>1007846.3044091278</v>
      </c>
      <c r="N28" s="142">
        <f t="shared" si="23"/>
        <v>15147.371534281438</v>
      </c>
      <c r="O28" s="140">
        <f t="shared" si="23"/>
        <v>6038882.416759979</v>
      </c>
      <c r="P28" s="141">
        <f t="shared" si="23"/>
        <v>318236.18727299082</v>
      </c>
      <c r="Q28" s="141">
        <f t="shared" si="23"/>
        <v>8600867.8288315758</v>
      </c>
      <c r="R28" s="141">
        <f t="shared" si="23"/>
        <v>8721226.466913728</v>
      </c>
      <c r="S28" s="141">
        <f t="shared" si="23"/>
        <v>1007846.3044091278</v>
      </c>
      <c r="T28" s="142">
        <f t="shared" si="23"/>
        <v>15147.371534281438</v>
      </c>
      <c r="U28" s="143">
        <f t="shared" si="23"/>
        <v>52024429.954293288</v>
      </c>
      <c r="V28" s="144">
        <f t="shared" si="23"/>
        <v>13409824.109984055</v>
      </c>
      <c r="Z28" s="94" t="s">
        <v>23</v>
      </c>
      <c r="AA28" s="94" t="s">
        <v>468</v>
      </c>
      <c r="AB28" s="94" t="s">
        <v>53</v>
      </c>
      <c r="AC28" s="94" t="s">
        <v>261</v>
      </c>
      <c r="AD28" s="288" t="s">
        <v>486</v>
      </c>
    </row>
    <row r="29" spans="1:33" x14ac:dyDescent="0.25">
      <c r="A29" s="75"/>
      <c r="B29" s="4"/>
      <c r="D29" s="4"/>
      <c r="F29" s="97"/>
      <c r="G29" s="4"/>
      <c r="H29" s="4"/>
      <c r="I29" s="98"/>
      <c r="J29" s="98"/>
      <c r="K29" s="98"/>
      <c r="L29" s="98"/>
      <c r="M29" s="98"/>
      <c r="N29" s="98"/>
      <c r="O29" s="98"/>
      <c r="P29" s="98"/>
      <c r="Q29" s="98"/>
      <c r="R29" s="98"/>
      <c r="S29" s="98"/>
      <c r="T29" s="98"/>
      <c r="U29" s="98"/>
      <c r="V29" s="98"/>
      <c r="X29" s="698" t="s">
        <v>191</v>
      </c>
      <c r="Y29" s="698"/>
      <c r="Z29" s="327">
        <f>$Y$8/$Y$7*Z24</f>
        <v>27317.840128517604</v>
      </c>
      <c r="AA29" s="289">
        <f>Z29*(SUM(District!$B$27:$B$30)+District!$B$26*5/7)</f>
        <v>23256.793708957215</v>
      </c>
      <c r="AB29" s="289">
        <f>SUM($Z29:$Z30)*District!$C$11</f>
        <v>4406.7440776645235</v>
      </c>
      <c r="AC29" s="327">
        <f>Z29-AB29</f>
        <v>22911.096050853081</v>
      </c>
      <c r="AD29" s="328">
        <f>IFERROR(AA29/Z29,0)</f>
        <v>0.85134086734327918</v>
      </c>
    </row>
    <row r="30" spans="1:33" x14ac:dyDescent="0.25">
      <c r="A30" s="75"/>
      <c r="D30" s="99"/>
      <c r="U30" s="30"/>
      <c r="X30" s="698" t="s">
        <v>190</v>
      </c>
      <c r="Y30" s="698"/>
      <c r="Z30" s="327">
        <f>$Y$8/$Y$7*Z25</f>
        <v>20271.188787945928</v>
      </c>
      <c r="AA30" s="289">
        <f>Z30*(SUM(District!$B$27:$B$30)+District!$B$26*5/7)</f>
        <v>17257.691444809243</v>
      </c>
      <c r="AB30" s="289">
        <f>SUM($Z29:$Z30)*District!$C$11</f>
        <v>4406.7440776645235</v>
      </c>
      <c r="AC30" s="327">
        <f>Z30-AB30</f>
        <v>15864.444710281405</v>
      </c>
      <c r="AD30" s="328">
        <f>IFERROR(AA30/Z30,0)</f>
        <v>0.85134086734327918</v>
      </c>
    </row>
    <row r="31" spans="1:33" ht="15" customHeight="1" x14ac:dyDescent="0.25">
      <c r="A31" s="75"/>
      <c r="D31" s="99"/>
      <c r="U31" s="30"/>
      <c r="X31" s="30"/>
      <c r="Y31" s="30"/>
      <c r="Z31" s="114"/>
      <c r="AA31" s="114"/>
      <c r="AB31" s="114"/>
      <c r="AC31" s="100"/>
    </row>
    <row r="32" spans="1:33" ht="15" customHeight="1" x14ac:dyDescent="0.25">
      <c r="B32" s="175" t="s">
        <v>3</v>
      </c>
      <c r="H32" s="175"/>
      <c r="U32" s="30"/>
      <c r="X32" s="32" t="s">
        <v>642</v>
      </c>
      <c r="Y32" s="30"/>
      <c r="Z32" s="100"/>
      <c r="AA32" s="100"/>
      <c r="AB32" s="100"/>
      <c r="AC32" s="100"/>
    </row>
    <row r="33" spans="1:33" ht="15" customHeight="1" x14ac:dyDescent="0.25">
      <c r="A33" s="582" t="s">
        <v>18</v>
      </c>
      <c r="B33" s="565" t="s">
        <v>683</v>
      </c>
      <c r="C33" s="581"/>
      <c r="D33" s="581"/>
      <c r="E33" s="31"/>
      <c r="F33" s="31"/>
      <c r="G33" s="31"/>
      <c r="H33" s="31"/>
      <c r="I33" s="31"/>
      <c r="J33" s="31"/>
      <c r="K33" s="31"/>
      <c r="L33" s="31"/>
      <c r="M33" s="31"/>
      <c r="N33" s="31"/>
      <c r="O33" s="31"/>
      <c r="P33" s="31"/>
      <c r="Q33" s="31"/>
      <c r="R33" s="31"/>
      <c r="S33" s="31"/>
      <c r="T33" s="62"/>
      <c r="U33" s="62"/>
      <c r="V33" s="31"/>
      <c r="Z33" s="94" t="s">
        <v>23</v>
      </c>
      <c r="AA33" s="94" t="s">
        <v>468</v>
      </c>
      <c r="AB33" s="94" t="s">
        <v>53</v>
      </c>
      <c r="AC33" s="94" t="s">
        <v>261</v>
      </c>
      <c r="AD33" s="288" t="s">
        <v>486</v>
      </c>
    </row>
    <row r="34" spans="1:33" ht="17.25" customHeight="1" x14ac:dyDescent="0.25">
      <c r="A34" s="582"/>
      <c r="B34" s="565"/>
      <c r="C34" s="581"/>
      <c r="D34" s="581"/>
      <c r="E34" s="31"/>
      <c r="F34" s="31"/>
      <c r="G34" s="31"/>
      <c r="H34" s="31"/>
      <c r="I34" s="31"/>
      <c r="J34" s="59"/>
      <c r="K34" s="59"/>
      <c r="L34" s="31"/>
      <c r="M34" s="31"/>
      <c r="N34" s="31"/>
      <c r="O34" s="31"/>
      <c r="P34" s="59"/>
      <c r="Q34" s="59"/>
      <c r="R34" s="31"/>
      <c r="S34" s="31"/>
      <c r="T34" s="62"/>
      <c r="U34" s="62"/>
      <c r="V34" s="31"/>
      <c r="X34" s="698" t="s">
        <v>191</v>
      </c>
      <c r="Y34" s="698"/>
      <c r="Z34" s="95">
        <f>$Y$9/$Y$7*Z24</f>
        <v>27317.840128517604</v>
      </c>
      <c r="AA34" s="289">
        <f>Z34*(SUM(District!$B$27:$B$30)+District!$B$26*5/7)</f>
        <v>23256.793708957215</v>
      </c>
      <c r="AB34" s="289">
        <f>SUM($Z34:$Z35)*District!$C$11</f>
        <v>4406.7440776645235</v>
      </c>
      <c r="AC34" s="95">
        <f>Z34-AB34</f>
        <v>22911.096050853081</v>
      </c>
      <c r="AD34" s="254">
        <f>AA34/Z34</f>
        <v>0.85134086734327918</v>
      </c>
    </row>
    <row r="35" spans="1:33" ht="17.25" customHeight="1" x14ac:dyDescent="0.25">
      <c r="A35" s="582" t="s">
        <v>17</v>
      </c>
      <c r="B35" s="565" t="s">
        <v>645</v>
      </c>
      <c r="C35" s="581"/>
      <c r="D35" s="581"/>
      <c r="E35" s="31"/>
      <c r="F35" s="31"/>
      <c r="G35" s="31"/>
      <c r="H35" s="31"/>
      <c r="I35" s="31"/>
      <c r="J35" s="31"/>
      <c r="K35" s="31"/>
      <c r="L35" s="31"/>
      <c r="M35" s="31"/>
      <c r="N35" s="31"/>
      <c r="O35" s="31"/>
      <c r="P35" s="31"/>
      <c r="Q35" s="31"/>
      <c r="R35" s="31"/>
      <c r="S35" s="31"/>
      <c r="T35" s="62"/>
      <c r="U35" s="62"/>
      <c r="V35" s="31"/>
      <c r="X35" s="698" t="s">
        <v>190</v>
      </c>
      <c r="Y35" s="698"/>
      <c r="Z35" s="95">
        <f>$Y$9/$Y$7*Z25</f>
        <v>20271.188787945928</v>
      </c>
      <c r="AA35" s="289">
        <f>Z35*(SUM(District!$B$27:$B$30)+District!$B$26*5/7)</f>
        <v>17257.691444809243</v>
      </c>
      <c r="AB35" s="329">
        <v>0</v>
      </c>
      <c r="AC35" s="95">
        <f>Z35-AB35</f>
        <v>20271.188787945928</v>
      </c>
      <c r="AD35" s="254">
        <f>AA35/Z35</f>
        <v>0.85134086734327918</v>
      </c>
    </row>
    <row r="36" spans="1:33" ht="17.25" customHeight="1" x14ac:dyDescent="0.25">
      <c r="A36" s="582"/>
      <c r="B36" s="565"/>
      <c r="C36" s="581"/>
      <c r="D36" s="581"/>
      <c r="E36" s="31"/>
      <c r="F36" s="31"/>
      <c r="G36" s="31"/>
      <c r="H36" s="31"/>
      <c r="I36" s="31"/>
      <c r="J36" s="31"/>
      <c r="K36" s="31"/>
      <c r="L36" s="31"/>
      <c r="M36" s="31"/>
      <c r="N36" s="31"/>
      <c r="O36" s="31"/>
      <c r="P36" s="31"/>
      <c r="Q36" s="31"/>
      <c r="R36" s="31"/>
      <c r="S36" s="31"/>
      <c r="T36" s="62"/>
      <c r="U36" s="62"/>
      <c r="V36" s="31"/>
      <c r="X36" s="30"/>
      <c r="Y36" s="30"/>
      <c r="Z36" s="100"/>
      <c r="AA36" s="100"/>
      <c r="AB36" s="100"/>
      <c r="AC36" s="100"/>
    </row>
    <row r="37" spans="1:33" ht="15" customHeight="1" x14ac:dyDescent="0.25">
      <c r="A37" s="627" t="s">
        <v>19</v>
      </c>
      <c r="B37" s="787" t="s">
        <v>688</v>
      </c>
      <c r="C37" s="787"/>
      <c r="D37" s="787"/>
      <c r="E37" s="787"/>
      <c r="F37" s="787"/>
      <c r="G37" s="787"/>
      <c r="H37" s="787"/>
      <c r="I37" s="787"/>
      <c r="J37" s="787"/>
      <c r="K37" s="787"/>
      <c r="L37" s="787"/>
      <c r="M37" s="787"/>
      <c r="N37" s="787"/>
      <c r="O37" s="787"/>
      <c r="P37" s="787"/>
      <c r="Q37" s="787"/>
      <c r="R37" s="787"/>
      <c r="S37" s="787"/>
      <c r="T37" s="579"/>
      <c r="U37" s="579"/>
      <c r="V37" s="253"/>
      <c r="X37" s="175" t="s">
        <v>643</v>
      </c>
      <c r="Z37" s="100"/>
      <c r="AA37" s="100"/>
      <c r="AB37" s="100"/>
      <c r="AC37" s="100"/>
    </row>
    <row r="38" spans="1:33" ht="17.25" customHeight="1" x14ac:dyDescent="0.25">
      <c r="A38" s="627"/>
      <c r="B38" s="787"/>
      <c r="C38" s="787"/>
      <c r="D38" s="787"/>
      <c r="E38" s="787"/>
      <c r="F38" s="787"/>
      <c r="G38" s="787"/>
      <c r="H38" s="787"/>
      <c r="I38" s="787"/>
      <c r="J38" s="787"/>
      <c r="K38" s="787"/>
      <c r="L38" s="787"/>
      <c r="M38" s="787"/>
      <c r="N38" s="787"/>
      <c r="O38" s="787"/>
      <c r="P38" s="787"/>
      <c r="Q38" s="787"/>
      <c r="R38" s="787"/>
      <c r="S38" s="787"/>
      <c r="T38" s="14"/>
      <c r="U38" s="14"/>
      <c r="X38" s="698" t="s">
        <v>669</v>
      </c>
      <c r="Y38" s="698"/>
      <c r="Z38" s="698"/>
      <c r="AA38" s="101">
        <v>21.6</v>
      </c>
    </row>
    <row r="39" spans="1:33" ht="15" customHeight="1" x14ac:dyDescent="0.25">
      <c r="A39" s="627"/>
      <c r="B39" s="623"/>
      <c r="C39" s="623"/>
      <c r="D39" s="623"/>
      <c r="E39" s="623"/>
      <c r="F39" s="623"/>
      <c r="G39" s="623"/>
      <c r="H39" s="623"/>
      <c r="I39" s="623"/>
      <c r="J39" s="623"/>
      <c r="K39" s="623"/>
      <c r="L39" s="623"/>
      <c r="M39" s="623"/>
      <c r="N39" s="623"/>
      <c r="O39" s="623"/>
      <c r="P39" s="623"/>
      <c r="Q39" s="623"/>
      <c r="R39" s="623"/>
      <c r="S39" s="623"/>
      <c r="T39" s="623"/>
      <c r="U39" s="623"/>
      <c r="V39" s="623"/>
      <c r="X39" s="700" t="s">
        <v>670</v>
      </c>
      <c r="Y39" s="700"/>
      <c r="Z39" s="700"/>
      <c r="AA39" s="134">
        <f>16.6/60</f>
        <v>0.27666666666666667</v>
      </c>
      <c r="AB39" s="155"/>
    </row>
    <row r="40" spans="1:33" ht="15" customHeight="1" x14ac:dyDescent="0.25">
      <c r="A40" s="627" t="s">
        <v>20</v>
      </c>
      <c r="B40" s="788" t="s">
        <v>660</v>
      </c>
      <c r="C40" s="788"/>
      <c r="D40" s="788"/>
      <c r="E40" s="788"/>
      <c r="F40" s="788"/>
      <c r="G40" s="788"/>
      <c r="H40" s="788"/>
      <c r="I40" s="788"/>
      <c r="J40" s="788"/>
      <c r="K40" s="788"/>
      <c r="L40" s="788"/>
      <c r="M40" s="788"/>
      <c r="N40" s="788"/>
      <c r="O40" s="788"/>
      <c r="P40" s="788"/>
      <c r="Q40" s="788"/>
      <c r="R40" s="788"/>
      <c r="S40" s="788"/>
      <c r="T40" s="14"/>
      <c r="U40" s="14"/>
      <c r="X40" s="695" t="s">
        <v>671</v>
      </c>
      <c r="Y40" s="695"/>
      <c r="Z40" s="695"/>
      <c r="AA40" s="116">
        <v>0.4</v>
      </c>
    </row>
    <row r="41" spans="1:33" ht="17.25" customHeight="1" x14ac:dyDescent="0.25">
      <c r="A41" s="627"/>
      <c r="B41" s="788"/>
      <c r="C41" s="788"/>
      <c r="D41" s="788"/>
      <c r="E41" s="788"/>
      <c r="F41" s="788"/>
      <c r="G41" s="788"/>
      <c r="H41" s="788"/>
      <c r="I41" s="788"/>
      <c r="J41" s="788"/>
      <c r="K41" s="788"/>
      <c r="L41" s="788"/>
      <c r="M41" s="788"/>
      <c r="N41" s="788"/>
      <c r="O41" s="788"/>
      <c r="P41" s="788"/>
      <c r="Q41" s="788"/>
      <c r="R41" s="788"/>
      <c r="S41" s="788"/>
      <c r="T41" s="62"/>
      <c r="U41" s="62"/>
      <c r="V41" s="31"/>
      <c r="AG41" s="117" t="s">
        <v>66</v>
      </c>
    </row>
    <row r="42" spans="1:33" x14ac:dyDescent="0.25">
      <c r="A42" s="627"/>
      <c r="B42" s="788"/>
      <c r="C42" s="788"/>
      <c r="D42" s="788"/>
      <c r="E42" s="788"/>
      <c r="F42" s="788"/>
      <c r="G42" s="788"/>
      <c r="H42" s="788"/>
      <c r="I42" s="788"/>
      <c r="J42" s="788"/>
      <c r="K42" s="788"/>
      <c r="L42" s="788"/>
      <c r="M42" s="788"/>
      <c r="N42" s="788"/>
      <c r="O42" s="788"/>
      <c r="P42" s="788"/>
      <c r="Q42" s="788"/>
      <c r="R42" s="788"/>
      <c r="S42" s="788"/>
      <c r="T42" s="62"/>
      <c r="U42" s="62"/>
      <c r="V42" s="31"/>
      <c r="W42" s="31"/>
      <c r="X42" s="525" t="s">
        <v>672</v>
      </c>
      <c r="AG42" s="117" t="s">
        <v>66</v>
      </c>
    </row>
    <row r="43" spans="1:33" ht="15" customHeight="1" x14ac:dyDescent="0.25">
      <c r="A43" s="627"/>
      <c r="B43" s="623"/>
      <c r="C43" s="623"/>
      <c r="D43" s="623"/>
      <c r="E43" s="623"/>
      <c r="F43" s="623"/>
      <c r="G43" s="623"/>
      <c r="H43" s="623"/>
      <c r="I43" s="623"/>
      <c r="J43" s="623"/>
      <c r="K43" s="623"/>
      <c r="L43" s="623"/>
      <c r="M43" s="623"/>
      <c r="N43" s="623"/>
      <c r="O43" s="623"/>
      <c r="P43" s="623"/>
      <c r="Q43" s="623"/>
      <c r="R43" s="623"/>
      <c r="S43" s="623"/>
      <c r="T43" s="62"/>
      <c r="U43" s="62"/>
      <c r="V43" s="31"/>
      <c r="W43" s="31"/>
      <c r="X43" s="262" t="s">
        <v>164</v>
      </c>
      <c r="Y43" s="263"/>
      <c r="Z43" s="263"/>
      <c r="AA43" s="185">
        <v>7.08</v>
      </c>
      <c r="AG43" s="127" t="s">
        <v>55</v>
      </c>
    </row>
    <row r="44" spans="1:33" ht="15" customHeight="1" x14ac:dyDescent="0.25">
      <c r="A44" s="627" t="s">
        <v>57</v>
      </c>
      <c r="B44" s="699" t="s">
        <v>689</v>
      </c>
      <c r="C44" s="699"/>
      <c r="D44" s="699"/>
      <c r="E44" s="699"/>
      <c r="F44" s="699"/>
      <c r="G44" s="699"/>
      <c r="H44" s="699"/>
      <c r="I44" s="699"/>
      <c r="J44" s="699"/>
      <c r="K44" s="699"/>
      <c r="L44" s="699"/>
      <c r="M44" s="699"/>
      <c r="N44" s="699"/>
      <c r="O44" s="699"/>
      <c r="P44" s="699"/>
      <c r="Q44" s="699"/>
      <c r="R44" s="699"/>
      <c r="S44" s="699"/>
      <c r="T44" s="62"/>
      <c r="U44" s="62"/>
      <c r="V44" s="31"/>
      <c r="W44" s="31"/>
      <c r="X44" s="262" t="s">
        <v>165</v>
      </c>
      <c r="Y44" s="263"/>
      <c r="Z44" s="263"/>
      <c r="AA44" s="643">
        <v>6.31</v>
      </c>
      <c r="AC44" s="115"/>
      <c r="AG44" s="117" t="s">
        <v>67</v>
      </c>
    </row>
    <row r="45" spans="1:33" ht="17.25" customHeight="1" x14ac:dyDescent="0.25">
      <c r="A45" s="627"/>
      <c r="B45" s="699"/>
      <c r="C45" s="699"/>
      <c r="D45" s="699"/>
      <c r="E45" s="699"/>
      <c r="F45" s="699"/>
      <c r="G45" s="699"/>
      <c r="H45" s="699"/>
      <c r="I45" s="699"/>
      <c r="J45" s="699"/>
      <c r="K45" s="699"/>
      <c r="L45" s="699"/>
      <c r="M45" s="699"/>
      <c r="N45" s="699"/>
      <c r="O45" s="699"/>
      <c r="P45" s="699"/>
      <c r="Q45" s="699"/>
      <c r="R45" s="699"/>
      <c r="S45" s="699"/>
      <c r="T45" s="62"/>
      <c r="U45" s="62"/>
      <c r="V45" s="31"/>
      <c r="W45" s="31"/>
      <c r="AG45" s="117" t="s">
        <v>68</v>
      </c>
    </row>
    <row r="46" spans="1:33" ht="15" customHeight="1" x14ac:dyDescent="0.25">
      <c r="A46" s="628"/>
      <c r="B46" s="565"/>
      <c r="C46" s="624"/>
      <c r="D46" s="624"/>
      <c r="E46" s="629"/>
      <c r="F46" s="629"/>
      <c r="G46" s="629"/>
      <c r="H46" s="629"/>
      <c r="I46" s="629"/>
      <c r="J46" s="629"/>
      <c r="K46" s="629"/>
      <c r="L46" s="629"/>
      <c r="M46" s="629"/>
      <c r="N46" s="629"/>
      <c r="O46" s="31"/>
      <c r="P46" s="31"/>
      <c r="Q46" s="31"/>
      <c r="R46" s="31"/>
      <c r="S46" s="31"/>
      <c r="T46" s="62"/>
      <c r="U46" s="62"/>
      <c r="V46" s="31"/>
      <c r="W46" s="31"/>
      <c r="X46" s="525" t="s">
        <v>673</v>
      </c>
      <c r="AG46" s="286"/>
    </row>
    <row r="47" spans="1:33" ht="15" customHeight="1" x14ac:dyDescent="0.25">
      <c r="A47" s="627" t="s">
        <v>681</v>
      </c>
      <c r="B47" s="699" t="s">
        <v>679</v>
      </c>
      <c r="C47" s="699"/>
      <c r="D47" s="699"/>
      <c r="E47" s="699"/>
      <c r="F47" s="699"/>
      <c r="G47" s="699"/>
      <c r="H47" s="699"/>
      <c r="I47" s="699"/>
      <c r="J47" s="699"/>
      <c r="K47" s="699"/>
      <c r="L47" s="699"/>
      <c r="M47" s="699"/>
      <c r="N47" s="699"/>
      <c r="O47" s="699"/>
      <c r="P47" s="699"/>
      <c r="Q47" s="699"/>
      <c r="R47" s="699"/>
      <c r="S47" s="699"/>
      <c r="T47" s="14"/>
      <c r="U47" s="14"/>
      <c r="W47" s="31"/>
      <c r="X47" s="695" t="s">
        <v>492</v>
      </c>
      <c r="Y47" s="695"/>
      <c r="Z47" s="695"/>
      <c r="AA47" s="102">
        <v>10</v>
      </c>
      <c r="AG47" s="286"/>
    </row>
    <row r="48" spans="1:33" ht="16.5" customHeight="1" x14ac:dyDescent="0.25">
      <c r="A48" s="627"/>
      <c r="B48" s="699"/>
      <c r="C48" s="699"/>
      <c r="D48" s="699"/>
      <c r="E48" s="699"/>
      <c r="F48" s="699"/>
      <c r="G48" s="699"/>
      <c r="H48" s="699"/>
      <c r="I48" s="699"/>
      <c r="J48" s="699"/>
      <c r="K48" s="699"/>
      <c r="L48" s="699"/>
      <c r="M48" s="699"/>
      <c r="N48" s="699"/>
      <c r="O48" s="699"/>
      <c r="P48" s="699"/>
      <c r="Q48" s="699"/>
      <c r="R48" s="699"/>
      <c r="S48" s="699"/>
      <c r="T48" s="14"/>
      <c r="U48" s="14"/>
      <c r="V48" s="14"/>
      <c r="W48" s="31"/>
      <c r="X48" s="695" t="s">
        <v>58</v>
      </c>
      <c r="Y48" s="695"/>
      <c r="Z48" s="695"/>
      <c r="AA48" s="104">
        <f>365-90</f>
        <v>275</v>
      </c>
      <c r="AG48" s="117" t="s">
        <v>69</v>
      </c>
    </row>
    <row r="49" spans="1:39" ht="34.5" customHeight="1" x14ac:dyDescent="0.25">
      <c r="A49" s="627"/>
      <c r="B49" s="699"/>
      <c r="C49" s="699"/>
      <c r="D49" s="699"/>
      <c r="E49" s="699"/>
      <c r="F49" s="699"/>
      <c r="G49" s="699"/>
      <c r="H49" s="699"/>
      <c r="I49" s="699"/>
      <c r="J49" s="699"/>
      <c r="K49" s="699"/>
      <c r="L49" s="699"/>
      <c r="M49" s="699"/>
      <c r="N49" s="699"/>
      <c r="O49" s="699"/>
      <c r="P49" s="699"/>
      <c r="Q49" s="699"/>
      <c r="R49" s="699"/>
      <c r="S49" s="699"/>
      <c r="T49" s="14"/>
      <c r="U49" s="14"/>
      <c r="W49" s="31"/>
      <c r="X49" s="240"/>
      <c r="Y49" s="240"/>
      <c r="Z49" s="240"/>
      <c r="AA49" s="241"/>
    </row>
    <row r="50" spans="1:39" x14ac:dyDescent="0.25">
      <c r="A50" s="628"/>
      <c r="B50" s="699"/>
      <c r="C50" s="699"/>
      <c r="D50" s="699"/>
      <c r="E50" s="699"/>
      <c r="F50" s="699"/>
      <c r="G50" s="699"/>
      <c r="H50" s="699"/>
      <c r="I50" s="699"/>
      <c r="J50" s="699"/>
      <c r="K50" s="699"/>
      <c r="L50" s="699"/>
      <c r="M50" s="699"/>
      <c r="N50" s="699"/>
      <c r="O50" s="699"/>
      <c r="P50" s="699"/>
      <c r="Q50" s="699"/>
      <c r="R50" s="699"/>
      <c r="S50" s="699"/>
      <c r="T50" s="62"/>
      <c r="U50" s="62"/>
      <c r="V50" s="31"/>
      <c r="W50" s="31"/>
      <c r="X50" s="27" t="s">
        <v>674</v>
      </c>
      <c r="Y50" s="547"/>
      <c r="Z50" s="547"/>
    </row>
    <row r="51" spans="1:39" ht="18" customHeight="1" x14ac:dyDescent="0.25">
      <c r="A51" s="628"/>
      <c r="B51" s="565"/>
      <c r="C51" s="624"/>
      <c r="D51" s="624"/>
      <c r="E51" s="629"/>
      <c r="F51" s="629"/>
      <c r="G51" s="629"/>
      <c r="H51" s="31"/>
      <c r="I51" s="31"/>
      <c r="J51" s="31"/>
      <c r="K51" s="31"/>
      <c r="L51" s="31"/>
      <c r="M51" s="31"/>
      <c r="N51" s="31"/>
      <c r="O51" s="31"/>
      <c r="P51" s="31"/>
      <c r="Q51" s="31"/>
      <c r="R51" s="31"/>
      <c r="S51" s="31"/>
      <c r="T51" s="62"/>
      <c r="U51" s="62"/>
      <c r="V51" s="31"/>
      <c r="W51" s="31"/>
      <c r="X51" s="700" t="s">
        <v>158</v>
      </c>
      <c r="Y51" s="700"/>
      <c r="Z51" s="700"/>
      <c r="AA51" s="176">
        <v>1.42</v>
      </c>
      <c r="AG51" s="117" t="s">
        <v>70</v>
      </c>
    </row>
    <row r="52" spans="1:39" x14ac:dyDescent="0.25">
      <c r="A52" s="628" t="s">
        <v>690</v>
      </c>
      <c r="B52" s="699" t="s">
        <v>680</v>
      </c>
      <c r="C52" s="699"/>
      <c r="D52" s="699"/>
      <c r="E52" s="699"/>
      <c r="F52" s="699"/>
      <c r="G52" s="699"/>
      <c r="H52" s="699"/>
      <c r="I52" s="699"/>
      <c r="J52" s="699"/>
      <c r="K52" s="699"/>
      <c r="L52" s="699"/>
      <c r="M52" s="699"/>
      <c r="N52" s="699"/>
      <c r="O52" s="699"/>
      <c r="P52" s="699"/>
      <c r="Q52" s="699"/>
      <c r="R52" s="699"/>
      <c r="S52" s="699"/>
      <c r="T52" s="14"/>
      <c r="U52" s="14"/>
      <c r="W52" s="31"/>
      <c r="X52" s="283" t="s">
        <v>494</v>
      </c>
      <c r="Y52" s="283"/>
      <c r="Z52" s="283"/>
      <c r="AA52" s="176">
        <f>$AA$51*$AC$19</f>
        <v>1.2211999999999998</v>
      </c>
      <c r="AG52" s="112" t="s">
        <v>71</v>
      </c>
    </row>
    <row r="53" spans="1:39" x14ac:dyDescent="0.25">
      <c r="A53" s="627"/>
      <c r="B53" s="699"/>
      <c r="C53" s="699"/>
      <c r="D53" s="699"/>
      <c r="E53" s="699"/>
      <c r="F53" s="699"/>
      <c r="G53" s="699"/>
      <c r="H53" s="699"/>
      <c r="I53" s="699"/>
      <c r="J53" s="699"/>
      <c r="K53" s="699"/>
      <c r="L53" s="699"/>
      <c r="M53" s="699"/>
      <c r="N53" s="699"/>
      <c r="O53" s="699"/>
      <c r="P53" s="699"/>
      <c r="Q53" s="699"/>
      <c r="R53" s="699"/>
      <c r="S53" s="699"/>
      <c r="T53" s="26"/>
      <c r="U53" s="26"/>
      <c r="V53" s="26"/>
      <c r="W53" s="31"/>
      <c r="X53" s="283" t="s">
        <v>493</v>
      </c>
      <c r="Y53" s="283"/>
      <c r="Z53" s="283"/>
      <c r="AA53" s="176">
        <f>$AA$51*$AC$18</f>
        <v>2.13</v>
      </c>
    </row>
    <row r="54" spans="1:39" x14ac:dyDescent="0.25">
      <c r="A54" s="627"/>
      <c r="B54" s="699"/>
      <c r="C54" s="699"/>
      <c r="D54" s="699"/>
      <c r="E54" s="699"/>
      <c r="F54" s="699"/>
      <c r="G54" s="699"/>
      <c r="H54" s="699"/>
      <c r="I54" s="699"/>
      <c r="J54" s="699"/>
      <c r="K54" s="699"/>
      <c r="L54" s="699"/>
      <c r="M54" s="699"/>
      <c r="N54" s="699"/>
      <c r="O54" s="699"/>
      <c r="P54" s="699"/>
      <c r="Q54" s="699"/>
      <c r="R54" s="699"/>
      <c r="S54" s="699"/>
      <c r="T54" s="14"/>
      <c r="U54" s="14"/>
      <c r="W54" s="31"/>
      <c r="AH54" s="119"/>
      <c r="AI54" s="119"/>
      <c r="AJ54" s="119"/>
      <c r="AK54" s="119"/>
    </row>
    <row r="55" spans="1:39" x14ac:dyDescent="0.25">
      <c r="W55" s="31"/>
      <c r="X55" s="525" t="s">
        <v>675</v>
      </c>
      <c r="AG55" s="704" t="s">
        <v>72</v>
      </c>
      <c r="AH55" s="704"/>
      <c r="AI55" s="704"/>
      <c r="AJ55" s="704"/>
      <c r="AK55" s="704"/>
      <c r="AL55" s="704"/>
      <c r="AM55" s="704"/>
    </row>
    <row r="56" spans="1:39" x14ac:dyDescent="0.25">
      <c r="W56" s="31"/>
      <c r="X56" s="698" t="s">
        <v>59</v>
      </c>
      <c r="Y56" s="698"/>
      <c r="Z56" s="105">
        <v>0.105</v>
      </c>
      <c r="AG56" s="704"/>
      <c r="AH56" s="704"/>
      <c r="AI56" s="704"/>
      <c r="AJ56" s="704"/>
      <c r="AK56" s="704"/>
      <c r="AL56" s="704"/>
      <c r="AM56" s="704"/>
    </row>
    <row r="57" spans="1:39" ht="15" customHeight="1" x14ac:dyDescent="0.25">
      <c r="W57" s="31"/>
      <c r="X57" s="705"/>
      <c r="Y57" s="705"/>
    </row>
    <row r="58" spans="1:39" x14ac:dyDescent="0.25">
      <c r="W58" s="31"/>
      <c r="X58" s="130" t="s">
        <v>676</v>
      </c>
      <c r="Y58" s="547"/>
      <c r="Z58" s="547"/>
    </row>
    <row r="59" spans="1:39" x14ac:dyDescent="0.25">
      <c r="W59" s="31"/>
      <c r="X59" s="696" t="s">
        <v>76</v>
      </c>
      <c r="Y59" s="697"/>
      <c r="Z59" s="575">
        <f>113.468/78.025</f>
        <v>1.4542518423582185</v>
      </c>
    </row>
    <row r="60" spans="1:39" x14ac:dyDescent="0.25">
      <c r="W60" s="31"/>
      <c r="X60" s="696" t="s">
        <v>75</v>
      </c>
      <c r="Y60" s="697"/>
      <c r="Z60" s="575">
        <v>1.26</v>
      </c>
    </row>
    <row r="61" spans="1:39" x14ac:dyDescent="0.25">
      <c r="W61" s="31"/>
      <c r="Z61" s="107"/>
    </row>
    <row r="62" spans="1:39" x14ac:dyDescent="0.25">
      <c r="W62" s="31"/>
      <c r="X62" s="309" t="s">
        <v>644</v>
      </c>
    </row>
    <row r="63" spans="1:39" x14ac:dyDescent="0.25">
      <c r="X63" s="695" t="s">
        <v>60</v>
      </c>
      <c r="Y63" s="695"/>
      <c r="Z63" s="118">
        <v>0</v>
      </c>
    </row>
    <row r="64" spans="1:39" x14ac:dyDescent="0.25">
      <c r="X64" s="695" t="s">
        <v>61</v>
      </c>
      <c r="Y64" s="695"/>
      <c r="Z64" s="282">
        <v>0.75</v>
      </c>
      <c r="AG64" s="112" t="s">
        <v>62</v>
      </c>
    </row>
    <row r="65" spans="24:26" x14ac:dyDescent="0.25">
      <c r="X65" s="623"/>
      <c r="Y65" s="623"/>
      <c r="Z65" s="623"/>
    </row>
  </sheetData>
  <mergeCells count="55">
    <mergeCell ref="B52:S54"/>
    <mergeCell ref="B40:S42"/>
    <mergeCell ref="B44:S45"/>
    <mergeCell ref="B47:S50"/>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37:S38"/>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D41C-107B-4183-9003-988500761B5D}">
  <sheetPr>
    <tabColor rgb="FF00B050"/>
  </sheetPr>
  <dimension ref="A1:AW86"/>
  <sheetViews>
    <sheetView view="pageBreakPreview" topLeftCell="A25" zoomScale="85" zoomScaleNormal="100" zoomScaleSheetLayoutView="85" workbookViewId="0">
      <selection activeCell="A46" sqref="A46"/>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2.57031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106</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2029</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 Med Lake RT'!$Z$3,'Original Build Years'!$A$1:$A$20,'Original Build Years'!$D$1:$D$20,0)+30</f>
        <v>2021</v>
      </c>
      <c r="AU6" s="292" t="s">
        <v>122</v>
      </c>
      <c r="AW6" s="292" t="s">
        <v>160</v>
      </c>
    </row>
    <row r="7" spans="1:49" ht="18.75" customHeight="1" x14ac:dyDescent="0.25">
      <c r="A7" s="75">
        <f>(G7+D7)*2.38</f>
        <v>6047.2166685765542</v>
      </c>
      <c r="B7" s="291">
        <f>$Y$5</f>
        <v>2029</v>
      </c>
      <c r="C7" s="256">
        <f>IF(OR($B7&lt;$Y$6,$B7&gt;'Project Data and Assumptions'!$C$8),0,$AC$35*(1+$AA$15)^($B7-2020))</f>
        <v>67698.313473746181</v>
      </c>
      <c r="D7" s="255">
        <f>IF(OR($B7&lt;$Y$6,$B7&gt;'Project Data and Assumptions'!$C$8),0,$AB$34*(1+$AA$15)^($B7-2020))</f>
        <v>2540.847339738048</v>
      </c>
      <c r="E7" s="257">
        <f>IF(OR($B7&lt;$Y$6,$B7&gt;'Project Data and Assumptions'!$C$8),0,$AC$34*(1+$AA$15)^($B7-2020))</f>
        <v>70919.024727518452</v>
      </c>
      <c r="F7" s="256">
        <f>IF($B7&gt;'Project Data and Assumptions'!$C$8,0,$AC$30*(1+$AA$15)^($B7-2020))</f>
        <v>0</v>
      </c>
      <c r="G7" s="255">
        <f>IF($B7&gt;'Project Data and Assumptions'!$C$8,0,$AB$29*(1+$AA$15)^($B7-2020))</f>
        <v>0</v>
      </c>
      <c r="H7" s="257">
        <f>IF($B7&gt;'Project Data and Assumptions'!$C$8,0,$AC$29*(1+$AA$15)^($B7-2020))</f>
        <v>0</v>
      </c>
      <c r="I7" s="85">
        <f t="shared" ref="I7:I30" si="0">C7*$AA$47*$Z$60</f>
        <v>852998.74976920185</v>
      </c>
      <c r="J7" s="324">
        <f>(D7*$AA$40)*$AA$38*$AA$39</f>
        <v>6073.6414809098314</v>
      </c>
      <c r="K7" s="89">
        <f>C7*$AA$43+SUM(D7:E7)*$AA$44</f>
        <v>942835.85213851137</v>
      </c>
      <c r="L7" s="89">
        <f t="shared" ref="L7:L30" si="1">E7*$AA$47*$Z$60</f>
        <v>893579.7115667325</v>
      </c>
      <c r="M7" s="89">
        <f>SUM(D7:E7)*$AA$52</f>
        <v>89709.195768533624</v>
      </c>
      <c r="N7" s="122">
        <f t="shared" ref="N7:N30" si="2">D7*$AC$19*$Z$56*$Z$60</f>
        <v>289.09252862071565</v>
      </c>
      <c r="O7" s="85">
        <f t="shared" ref="O7:O30" si="3">F7*$AA$47*$Z$60</f>
        <v>0</v>
      </c>
      <c r="P7" s="89">
        <f>(G7*$AA$40)*$AA$38*$AA$39</f>
        <v>0</v>
      </c>
      <c r="Q7" s="89">
        <f>F7*$AA$43+SUM(G7:H7)*$AA$44</f>
        <v>0</v>
      </c>
      <c r="R7" s="89">
        <f t="shared" ref="R7:R30" si="4">H7*$AA$47*$Z$60</f>
        <v>0</v>
      </c>
      <c r="S7" s="89">
        <f>SUM(G7:H7)*$AA$52</f>
        <v>0</v>
      </c>
      <c r="T7" s="122">
        <f t="shared" ref="T7:T30" si="5">G7*$AC$19*$Z$56*$Z$60</f>
        <v>0</v>
      </c>
      <c r="U7" s="85">
        <f>SUM(I7:T7)</f>
        <v>2785486.2432525097</v>
      </c>
      <c r="V7" s="133">
        <f t="shared" ref="V7:V30" si="6">$U7*(1+0.07)^-($B7-$Y$4)</f>
        <v>1515119.9572089962</v>
      </c>
      <c r="X7" s="282" t="s">
        <v>470</v>
      </c>
      <c r="Y7" s="243">
        <f>IFERROR((_xlfn.XLOOKUP($Z$3,'Trail Project Summary'!$B$3:$B$32,'Trail Project Summary'!$I$3:$I$32)),0)</f>
        <v>20.700000000000003</v>
      </c>
      <c r="AU7" s="292" t="s">
        <v>123</v>
      </c>
      <c r="AW7" s="292" t="s">
        <v>161</v>
      </c>
    </row>
    <row r="8" spans="1:49" x14ac:dyDescent="0.25">
      <c r="A8" s="75">
        <f t="shared" ref="A8:A30" si="7">(G8+D8)*2.38</f>
        <v>6168.1610019480859</v>
      </c>
      <c r="B8" s="2">
        <f>B7+1</f>
        <v>2030</v>
      </c>
      <c r="C8" s="260">
        <f>IF(OR($B8&lt;$Y$6,$B8&gt;'Project Data and Assumptions'!$C$8),0,$AC$35*(1+$AA$15)^($B8-2020))</f>
        <v>69052.279743221108</v>
      </c>
      <c r="D8" s="91">
        <f>IF(OR($B8&lt;$Y$6,$B8&gt;'Project Data and Assumptions'!$C$8),0,$AB$34*(1+$AA$15)^($B8-2020))</f>
        <v>2591.6642865328095</v>
      </c>
      <c r="E8" s="258">
        <f>IF(OR($B8&lt;$Y$6,$B8&gt;'Project Data and Assumptions'!$C$8),0,$AC$34*(1+$AA$15)^($B8-2020))</f>
        <v>72337.405222068817</v>
      </c>
      <c r="F8" s="260">
        <f>IF($B8&gt;'Project Data and Assumptions'!$C$8,0,$AC$30*(1+$AA$15)^($B8-2020))</f>
        <v>0</v>
      </c>
      <c r="G8" s="91">
        <f>IF($B8&gt;'Project Data and Assumptions'!$C$8,0,$AB$29*(1+$AA$15)^($B8-2020))</f>
        <v>0</v>
      </c>
      <c r="H8" s="258">
        <f>IF($B8&gt;'Project Data and Assumptions'!$C$8,0,$AC$29*(1+$AA$15)^($B8-2020))</f>
        <v>0</v>
      </c>
      <c r="I8" s="17">
        <f t="shared" si="0"/>
        <v>870058.72476458596</v>
      </c>
      <c r="J8" s="325">
        <f t="shared" ref="J8:J26" si="8">(D8*$AA$40)*$AA$38*$AA$39</f>
        <v>6195.114310528028</v>
      </c>
      <c r="K8" s="90">
        <f t="shared" ref="K8:K26" si="9">C8*$AA$43+SUM(D8:E8)*$AA$44</f>
        <v>961692.56918128161</v>
      </c>
      <c r="L8" s="90">
        <f t="shared" si="1"/>
        <v>911451.30579806713</v>
      </c>
      <c r="M8" s="90">
        <f t="shared" ref="M8:M26" si="10">SUM(D8:E8)*$AA$52</f>
        <v>91503.379683904292</v>
      </c>
      <c r="N8" s="92">
        <f t="shared" si="2"/>
        <v>294.87437919313004</v>
      </c>
      <c r="O8" s="17">
        <f t="shared" si="3"/>
        <v>0</v>
      </c>
      <c r="P8" s="90">
        <f t="shared" ref="P8:P26" si="11">(G8*$AA$40)*$AA$38*$AA$39</f>
        <v>0</v>
      </c>
      <c r="Q8" s="90">
        <f t="shared" ref="Q8:Q26" si="12">F8*$AA$43+SUM(G8:H8)*$AA$44</f>
        <v>0</v>
      </c>
      <c r="R8" s="90">
        <f t="shared" si="4"/>
        <v>0</v>
      </c>
      <c r="S8" s="90">
        <f t="shared" ref="S8:S26" si="13">SUM(G8:H8)*$AA$52</f>
        <v>0</v>
      </c>
      <c r="T8" s="92">
        <f t="shared" si="5"/>
        <v>0</v>
      </c>
      <c r="U8" s="17">
        <f t="shared" ref="U8:U26" si="14">SUM(I8:T8)</f>
        <v>2841195.9681175603</v>
      </c>
      <c r="V8" s="6">
        <f t="shared" si="6"/>
        <v>1444319.959208576</v>
      </c>
      <c r="X8" s="282" t="s">
        <v>471</v>
      </c>
      <c r="Y8" s="243">
        <f>IFERROR(_xlfn.XLOOKUP($Z$3,'Trail Project Summary'!$B$3:$B$32,'Trail Project Summary'!$C$3:$C$32),0)</f>
        <v>0</v>
      </c>
      <c r="AU8" s="292" t="s">
        <v>124</v>
      </c>
      <c r="AW8" s="292" t="s">
        <v>163</v>
      </c>
    </row>
    <row r="9" spans="1:49" x14ac:dyDescent="0.25">
      <c r="A9" s="75">
        <f t="shared" si="7"/>
        <v>6291.5242219870461</v>
      </c>
      <c r="B9" s="2">
        <f t="shared" ref="B9:B30" si="15">B8+1</f>
        <v>2031</v>
      </c>
      <c r="C9" s="260">
        <f>IF(OR($B9&lt;$Y$6,$B9&gt;'Project Data and Assumptions'!$C$8),0,$AC$35*(1+$AA$15)^($B9-2020))</f>
        <v>70433.325338085517</v>
      </c>
      <c r="D9" s="91">
        <f>IF(OR($B9&lt;$Y$6,$B9&gt;'Project Data and Assumptions'!$C$8),0,$AB$34*(1+$AA$15)^($B9-2020))</f>
        <v>2643.4975722634649</v>
      </c>
      <c r="E9" s="258">
        <f>IF(OR($B9&lt;$Y$6,$B9&gt;'Project Data and Assumptions'!$C$8),0,$AC$34*(1+$AA$15)^($B9-2020))</f>
        <v>73784.15332651019</v>
      </c>
      <c r="F9" s="260">
        <f>IF($B9&gt;'Project Data and Assumptions'!$C$8,0,$AC$30*(1+$AA$15)^($B9-2020))</f>
        <v>0</v>
      </c>
      <c r="G9" s="91">
        <f>IF($B9&gt;'Project Data and Assumptions'!$C$8,0,$AB$29*(1+$AA$15)^($B9-2020))</f>
        <v>0</v>
      </c>
      <c r="H9" s="258">
        <f>IF($B9&gt;'Project Data and Assumptions'!$C$8,0,$AC$29*(1+$AA$15)^($B9-2020))</f>
        <v>0</v>
      </c>
      <c r="I9" s="17">
        <f t="shared" si="0"/>
        <v>887459.89925987751</v>
      </c>
      <c r="J9" s="325">
        <f t="shared" si="8"/>
        <v>6319.0165967385874</v>
      </c>
      <c r="K9" s="90">
        <f t="shared" si="9"/>
        <v>980926.42056490714</v>
      </c>
      <c r="L9" s="90">
        <f t="shared" si="1"/>
        <v>929680.3319140285</v>
      </c>
      <c r="M9" s="90">
        <f t="shared" si="10"/>
        <v>93333.447277582382</v>
      </c>
      <c r="N9" s="92">
        <f t="shared" si="2"/>
        <v>300.77186677699251</v>
      </c>
      <c r="O9" s="17">
        <f t="shared" si="3"/>
        <v>0</v>
      </c>
      <c r="P9" s="90">
        <f t="shared" si="11"/>
        <v>0</v>
      </c>
      <c r="Q9" s="90">
        <f t="shared" si="12"/>
        <v>0</v>
      </c>
      <c r="R9" s="90">
        <f t="shared" si="4"/>
        <v>0</v>
      </c>
      <c r="S9" s="90">
        <f t="shared" si="13"/>
        <v>0</v>
      </c>
      <c r="T9" s="92">
        <f t="shared" si="5"/>
        <v>0</v>
      </c>
      <c r="U9" s="17">
        <f t="shared" si="14"/>
        <v>2898019.8874799111</v>
      </c>
      <c r="V9" s="6">
        <f t="shared" si="6"/>
        <v>1376828.3723296702</v>
      </c>
      <c r="X9" s="118" t="s">
        <v>473</v>
      </c>
      <c r="Y9" s="243">
        <f>IFERROR(_xlfn.XLOOKUP($Z$3,'Trail Project Summary'!$B$3:$B$32,'Trail Project Summary'!$D$3:$D$32),0)</f>
        <v>3.75</v>
      </c>
      <c r="AU9" s="292" t="s">
        <v>150</v>
      </c>
      <c r="AW9" s="292" t="s">
        <v>162</v>
      </c>
    </row>
    <row r="10" spans="1:49" x14ac:dyDescent="0.25">
      <c r="A10" s="75">
        <f t="shared" si="7"/>
        <v>6417.3547064267877</v>
      </c>
      <c r="B10" s="2">
        <f t="shared" si="15"/>
        <v>2032</v>
      </c>
      <c r="C10" s="260">
        <f>IF(OR($B10&lt;$Y$6,$B10&gt;'Project Data and Assumptions'!$C$8),0,$AC$35*(1+$AA$15)^($B10-2020))</f>
        <v>71841.991844847245</v>
      </c>
      <c r="D10" s="91">
        <f>IF(OR($B10&lt;$Y$6,$B10&gt;'Project Data and Assumptions'!$C$8),0,$AB$34*(1+$AA$15)^($B10-2020))</f>
        <v>2696.3675237087346</v>
      </c>
      <c r="E10" s="258">
        <f>IF(OR($B10&lt;$Y$6,$B10&gt;'Project Data and Assumptions'!$C$8),0,$AC$34*(1+$AA$15)^($B10-2020))</f>
        <v>75259.836393040401</v>
      </c>
      <c r="F10" s="260">
        <f>IF($B10&gt;'Project Data and Assumptions'!$C$8,0,$AC$30*(1+$AA$15)^($B10-2020))</f>
        <v>0</v>
      </c>
      <c r="G10" s="91">
        <f>IF($B10&gt;'Project Data and Assumptions'!$C$8,0,$AB$29*(1+$AA$15)^($B10-2020))</f>
        <v>0</v>
      </c>
      <c r="H10" s="258">
        <f>IF($B10&gt;'Project Data and Assumptions'!$C$8,0,$AC$29*(1+$AA$15)^($B10-2020))</f>
        <v>0</v>
      </c>
      <c r="I10" s="17">
        <f t="shared" si="0"/>
        <v>905209.09724507527</v>
      </c>
      <c r="J10" s="325">
        <f t="shared" si="8"/>
        <v>6445.39692867336</v>
      </c>
      <c r="K10" s="90">
        <f t="shared" si="9"/>
        <v>1000544.9489762054</v>
      </c>
      <c r="L10" s="90">
        <f t="shared" si="1"/>
        <v>948273.93855230894</v>
      </c>
      <c r="M10" s="90">
        <f t="shared" si="10"/>
        <v>95200.116223134028</v>
      </c>
      <c r="N10" s="92">
        <f t="shared" si="2"/>
        <v>306.78730411253241</v>
      </c>
      <c r="O10" s="17">
        <f t="shared" si="3"/>
        <v>0</v>
      </c>
      <c r="P10" s="90">
        <f t="shared" si="11"/>
        <v>0</v>
      </c>
      <c r="Q10" s="90">
        <f t="shared" si="12"/>
        <v>0</v>
      </c>
      <c r="R10" s="90">
        <f t="shared" si="4"/>
        <v>0</v>
      </c>
      <c r="S10" s="90">
        <f t="shared" si="13"/>
        <v>0</v>
      </c>
      <c r="T10" s="92">
        <f t="shared" si="5"/>
        <v>0</v>
      </c>
      <c r="U10" s="17">
        <f t="shared" si="14"/>
        <v>2955980.2852295097</v>
      </c>
      <c r="V10" s="6">
        <f t="shared" si="6"/>
        <v>1312490.5979217421</v>
      </c>
      <c r="X10" s="118" t="s">
        <v>472</v>
      </c>
      <c r="Y10" s="243">
        <f>IFERROR(_xlfn.XLOOKUP($Z$3,'Trail Project Summary'!$B$3:$B$32,'Trail Project Summary'!$E$3:$E$32),0)</f>
        <v>0</v>
      </c>
    </row>
    <row r="11" spans="1:49" x14ac:dyDescent="0.25">
      <c r="A11" s="75">
        <f t="shared" si="7"/>
        <v>6545.7018005553236</v>
      </c>
      <c r="B11" s="2">
        <f t="shared" si="15"/>
        <v>2033</v>
      </c>
      <c r="C11" s="260">
        <f>IF(OR($B11&lt;$Y$6,$B11&gt;'Project Data and Assumptions'!$C$8),0,$AC$35*(1+$AA$15)^($B11-2020))</f>
        <v>73278.831681744181</v>
      </c>
      <c r="D11" s="91">
        <f>IF(OR($B11&lt;$Y$6,$B11&gt;'Project Data and Assumptions'!$C$8),0,$AB$34*(1+$AA$15)^($B11-2020))</f>
        <v>2750.2948741829091</v>
      </c>
      <c r="E11" s="258">
        <f>IF(OR($B11&lt;$Y$6,$B11&gt;'Project Data and Assumptions'!$C$8),0,$AC$34*(1+$AA$15)^($B11-2020))</f>
        <v>76765.033120901207</v>
      </c>
      <c r="F11" s="260">
        <f>IF($B11&gt;'Project Data and Assumptions'!$C$8,0,$AC$30*(1+$AA$15)^($B11-2020))</f>
        <v>0</v>
      </c>
      <c r="G11" s="91">
        <f>IF($B11&gt;'Project Data and Assumptions'!$C$8,0,$AB$29*(1+$AA$15)^($B11-2020))</f>
        <v>0</v>
      </c>
      <c r="H11" s="258">
        <f>IF($B11&gt;'Project Data and Assumptions'!$C$8,0,$AC$29*(1+$AA$15)^($B11-2020))</f>
        <v>0</v>
      </c>
      <c r="I11" s="17">
        <f t="shared" si="0"/>
        <v>923313.27918997675</v>
      </c>
      <c r="J11" s="325">
        <f t="shared" si="8"/>
        <v>6574.3048672468258</v>
      </c>
      <c r="K11" s="90">
        <f t="shared" si="9"/>
        <v>1020555.8479557296</v>
      </c>
      <c r="L11" s="90">
        <f t="shared" si="1"/>
        <v>967239.41732335521</v>
      </c>
      <c r="M11" s="90">
        <f t="shared" si="10"/>
        <v>97104.118547596707</v>
      </c>
      <c r="N11" s="92">
        <f t="shared" si="2"/>
        <v>312.923050194783</v>
      </c>
      <c r="O11" s="17">
        <f t="shared" si="3"/>
        <v>0</v>
      </c>
      <c r="P11" s="90">
        <f t="shared" si="11"/>
        <v>0</v>
      </c>
      <c r="Q11" s="90">
        <f t="shared" si="12"/>
        <v>0</v>
      </c>
      <c r="R11" s="90">
        <f t="shared" si="4"/>
        <v>0</v>
      </c>
      <c r="S11" s="90">
        <f t="shared" si="13"/>
        <v>0</v>
      </c>
      <c r="T11" s="92">
        <f t="shared" si="5"/>
        <v>0</v>
      </c>
      <c r="U11" s="17">
        <f t="shared" si="14"/>
        <v>3015099.8909340999</v>
      </c>
      <c r="V11" s="6">
        <f t="shared" si="6"/>
        <v>1251159.2615702588</v>
      </c>
      <c r="X11" s="28"/>
      <c r="Y11" s="60"/>
      <c r="Z11" s="28"/>
      <c r="AA11" s="28"/>
      <c r="AB11" s="28"/>
      <c r="AC11" s="28"/>
      <c r="AD11" s="28"/>
      <c r="AE11" s="28"/>
      <c r="AF11" s="28"/>
    </row>
    <row r="12" spans="1:49" x14ac:dyDescent="0.25">
      <c r="A12" s="75">
        <f t="shared" si="7"/>
        <v>6676.6158365664314</v>
      </c>
      <c r="B12" s="2">
        <f t="shared" si="15"/>
        <v>2034</v>
      </c>
      <c r="C12" s="260">
        <f>IF(OR($B12&lt;$Y$6,$B12&gt;'Project Data and Assumptions'!$C$8),0,$AC$35*(1+$AA$15)^($B12-2020))</f>
        <v>74744.408315379071</v>
      </c>
      <c r="D12" s="91">
        <f>IF(OR($B12&lt;$Y$6,$B12&gt;'Project Data and Assumptions'!$C$8),0,$AB$34*(1+$AA$15)^($B12-2020))</f>
        <v>2805.3007716665679</v>
      </c>
      <c r="E12" s="258">
        <f>IF(OR($B12&lt;$Y$6,$B12&gt;'Project Data and Assumptions'!$C$8),0,$AC$34*(1+$AA$15)^($B12-2020))</f>
        <v>78300.333783319234</v>
      </c>
      <c r="F12" s="260">
        <f>IF($B12&gt;'Project Data and Assumptions'!$C$8,0,$AC$30*(1+$AA$15)^($B12-2020))</f>
        <v>0</v>
      </c>
      <c r="G12" s="91">
        <f>IF($B12&gt;'Project Data and Assumptions'!$C$8,0,$AB$29*(1+$AA$15)^($B12-2020))</f>
        <v>0</v>
      </c>
      <c r="H12" s="258">
        <f>IF($B12&gt;'Project Data and Assumptions'!$C$8,0,$AC$29*(1+$AA$15)^($B12-2020))</f>
        <v>0</v>
      </c>
      <c r="I12" s="17">
        <f t="shared" si="0"/>
        <v>941779.54477377632</v>
      </c>
      <c r="J12" s="325">
        <f t="shared" si="8"/>
        <v>6705.7909645917634</v>
      </c>
      <c r="K12" s="90">
        <f t="shared" si="9"/>
        <v>1040966.9649148443</v>
      </c>
      <c r="L12" s="90">
        <f t="shared" si="1"/>
        <v>986584.20566982229</v>
      </c>
      <c r="M12" s="90">
        <f t="shared" si="10"/>
        <v>99046.200918548653</v>
      </c>
      <c r="N12" s="92">
        <f t="shared" si="2"/>
        <v>319.18151119867872</v>
      </c>
      <c r="O12" s="17">
        <f t="shared" si="3"/>
        <v>0</v>
      </c>
      <c r="P12" s="90">
        <f t="shared" si="11"/>
        <v>0</v>
      </c>
      <c r="Q12" s="90">
        <f t="shared" si="12"/>
        <v>0</v>
      </c>
      <c r="R12" s="90">
        <f t="shared" si="4"/>
        <v>0</v>
      </c>
      <c r="S12" s="90">
        <f t="shared" si="13"/>
        <v>0</v>
      </c>
      <c r="T12" s="92">
        <f t="shared" si="5"/>
        <v>0</v>
      </c>
      <c r="U12" s="17">
        <f t="shared" si="14"/>
        <v>3075401.8887527818</v>
      </c>
      <c r="V12" s="6">
        <f t="shared" si="6"/>
        <v>1192693.8755155739</v>
      </c>
      <c r="X12" s="30"/>
      <c r="Y12" s="30"/>
    </row>
    <row r="13" spans="1:49" x14ac:dyDescent="0.25">
      <c r="A13" s="75">
        <f t="shared" si="7"/>
        <v>6810.1481532977577</v>
      </c>
      <c r="B13" s="2">
        <f t="shared" si="15"/>
        <v>2035</v>
      </c>
      <c r="C13" s="260">
        <f>IF(OR($B13&lt;$Y$6,$B13&gt;'Project Data and Assumptions'!$C$8),0,$AC$35*(1+$AA$15)^($B13-2020))</f>
        <v>76239.29648168663</v>
      </c>
      <c r="D13" s="91">
        <f>IF(OR($B13&lt;$Y$6,$B13&gt;'Project Data and Assumptions'!$C$8),0,$AB$34*(1+$AA$15)^($B13-2020))</f>
        <v>2861.4067870998983</v>
      </c>
      <c r="E13" s="258">
        <f>IF(OR($B13&lt;$Y$6,$B13&gt;'Project Data and Assumptions'!$C$8),0,$AC$34*(1+$AA$15)^($B13-2020))</f>
        <v>79866.340458985593</v>
      </c>
      <c r="F13" s="260">
        <f>IF($B13&gt;'Project Data and Assumptions'!$C$8,0,$AC$30*(1+$AA$15)^($B13-2020))</f>
        <v>0</v>
      </c>
      <c r="G13" s="91">
        <f>IF($B13&gt;'Project Data and Assumptions'!$C$8,0,$AB$29*(1+$AA$15)^($B13-2020))</f>
        <v>0</v>
      </c>
      <c r="H13" s="258">
        <f>IF($B13&gt;'Project Data and Assumptions'!$C$8,0,$AC$29*(1+$AA$15)^($B13-2020))</f>
        <v>0</v>
      </c>
      <c r="I13" s="17">
        <f t="shared" si="0"/>
        <v>960615.13566925155</v>
      </c>
      <c r="J13" s="325">
        <f t="shared" si="8"/>
        <v>6839.906783883599</v>
      </c>
      <c r="K13" s="90">
        <f t="shared" si="9"/>
        <v>1061786.3042131409</v>
      </c>
      <c r="L13" s="90">
        <f t="shared" si="1"/>
        <v>1006315.8897832185</v>
      </c>
      <c r="M13" s="90">
        <f t="shared" si="10"/>
        <v>101027.12493691959</v>
      </c>
      <c r="N13" s="92">
        <f t="shared" si="2"/>
        <v>325.56514142265223</v>
      </c>
      <c r="O13" s="17">
        <f t="shared" si="3"/>
        <v>0</v>
      </c>
      <c r="P13" s="90">
        <f t="shared" si="11"/>
        <v>0</v>
      </c>
      <c r="Q13" s="90">
        <f t="shared" si="12"/>
        <v>0</v>
      </c>
      <c r="R13" s="90">
        <f t="shared" si="4"/>
        <v>0</v>
      </c>
      <c r="S13" s="90">
        <f t="shared" si="13"/>
        <v>0</v>
      </c>
      <c r="T13" s="92">
        <f t="shared" si="5"/>
        <v>0</v>
      </c>
      <c r="U13" s="17">
        <f t="shared" si="14"/>
        <v>3136909.9265278368</v>
      </c>
      <c r="V13" s="6">
        <f t="shared" si="6"/>
        <v>1136960.5168466214</v>
      </c>
      <c r="AU13" s="292" t="s">
        <v>489</v>
      </c>
      <c r="AV13" s="292" t="s">
        <v>503</v>
      </c>
    </row>
    <row r="14" spans="1:49" x14ac:dyDescent="0.25">
      <c r="A14" s="75">
        <f t="shared" si="7"/>
        <v>6946.351116363714</v>
      </c>
      <c r="B14" s="2">
        <f t="shared" si="15"/>
        <v>2036</v>
      </c>
      <c r="C14" s="260">
        <f>IF(OR($B14&lt;$Y$6,$B14&gt;'Project Data and Assumptions'!$C$8),0,$AC$35*(1+$AA$15)^($B14-2020))</f>
        <v>77764.082411320385</v>
      </c>
      <c r="D14" s="91">
        <f>IF(OR($B14&lt;$Y$6,$B14&gt;'Project Data and Assumptions'!$C$8),0,$AB$34*(1+$AA$15)^($B14-2020))</f>
        <v>2918.6349228418967</v>
      </c>
      <c r="E14" s="258">
        <f>IF(OR($B14&lt;$Y$6,$B14&gt;'Project Data and Assumptions'!$C$8),0,$AC$34*(1+$AA$15)^($B14-2020))</f>
        <v>81463.667268165329</v>
      </c>
      <c r="F14" s="260">
        <f>IF($B14&gt;'Project Data and Assumptions'!$C$8,0,$AC$30*(1+$AA$15)^($B14-2020))</f>
        <v>0</v>
      </c>
      <c r="G14" s="91">
        <f>IF($B14&gt;'Project Data and Assumptions'!$C$8,0,$AB$29*(1+$AA$15)^($B14-2020))</f>
        <v>0</v>
      </c>
      <c r="H14" s="258">
        <f>IF($B14&gt;'Project Data and Assumptions'!$C$8,0,$AC$29*(1+$AA$15)^($B14-2020))</f>
        <v>0</v>
      </c>
      <c r="I14" s="17">
        <f t="shared" si="0"/>
        <v>979827.43838263699</v>
      </c>
      <c r="J14" s="325">
        <f t="shared" si="8"/>
        <v>6976.7049195612708</v>
      </c>
      <c r="K14" s="90">
        <f t="shared" si="9"/>
        <v>1083022.0302974037</v>
      </c>
      <c r="L14" s="90">
        <f t="shared" si="1"/>
        <v>1026442.2075788832</v>
      </c>
      <c r="M14" s="90">
        <f t="shared" si="10"/>
        <v>103047.66743565802</v>
      </c>
      <c r="N14" s="92">
        <f t="shared" si="2"/>
        <v>332.07644425110527</v>
      </c>
      <c r="O14" s="17">
        <f t="shared" si="3"/>
        <v>0</v>
      </c>
      <c r="P14" s="90">
        <f t="shared" si="11"/>
        <v>0</v>
      </c>
      <c r="Q14" s="90">
        <f t="shared" si="12"/>
        <v>0</v>
      </c>
      <c r="R14" s="90">
        <f t="shared" si="4"/>
        <v>0</v>
      </c>
      <c r="S14" s="90">
        <f t="shared" si="13"/>
        <v>0</v>
      </c>
      <c r="T14" s="92">
        <f t="shared" si="5"/>
        <v>0</v>
      </c>
      <c r="U14" s="17">
        <f t="shared" si="14"/>
        <v>3199648.1250583944</v>
      </c>
      <c r="V14" s="6">
        <f t="shared" si="6"/>
        <v>1083831.5207322936</v>
      </c>
      <c r="X14" s="175" t="s">
        <v>83</v>
      </c>
      <c r="AU14" s="292" t="s">
        <v>490</v>
      </c>
      <c r="AV14" s="292" t="s">
        <v>504</v>
      </c>
    </row>
    <row r="15" spans="1:49" ht="17.25" x14ac:dyDescent="0.25">
      <c r="A15" s="75">
        <f t="shared" si="7"/>
        <v>7085.2781386909892</v>
      </c>
      <c r="B15" s="2">
        <f t="shared" si="15"/>
        <v>2037</v>
      </c>
      <c r="C15" s="260">
        <f>IF(OR($B15&lt;$Y$6,$B15&gt;'Project Data and Assumptions'!$C$8),0,$AC$35*(1+$AA$15)^($B15-2020))</f>
        <v>79319.364059546802</v>
      </c>
      <c r="D15" s="91">
        <f>IF(OR($B15&lt;$Y$6,$B15&gt;'Project Data and Assumptions'!$C$8),0,$AB$34*(1+$AA$15)^($B15-2020))</f>
        <v>2977.0076212987351</v>
      </c>
      <c r="E15" s="258">
        <f>IF(OR($B15&lt;$Y$6,$B15&gt;'Project Data and Assumptions'!$C$8),0,$AC$34*(1+$AA$15)^($B15-2020))</f>
        <v>83092.940613528641</v>
      </c>
      <c r="F15" s="260">
        <f>IF($B15&gt;'Project Data and Assumptions'!$C$8,0,$AC$30*(1+$AA$15)^($B15-2020))</f>
        <v>0</v>
      </c>
      <c r="G15" s="91">
        <f>IF($B15&gt;'Project Data and Assumptions'!$C$8,0,$AB$29*(1+$AA$15)^($B15-2020))</f>
        <v>0</v>
      </c>
      <c r="H15" s="258">
        <f>IF($B15&gt;'Project Data and Assumptions'!$C$8,0,$AC$29*(1+$AA$15)^($B15-2020))</f>
        <v>0</v>
      </c>
      <c r="I15" s="17">
        <f t="shared" si="0"/>
        <v>999423.9871502897</v>
      </c>
      <c r="J15" s="325">
        <f t="shared" si="8"/>
        <v>7116.2390179524964</v>
      </c>
      <c r="K15" s="90">
        <f t="shared" si="9"/>
        <v>1104682.4709033521</v>
      </c>
      <c r="L15" s="90">
        <f t="shared" si="1"/>
        <v>1046971.051730461</v>
      </c>
      <c r="M15" s="90">
        <f t="shared" si="10"/>
        <v>105108.62078437117</v>
      </c>
      <c r="N15" s="92">
        <f t="shared" si="2"/>
        <v>338.71797313612751</v>
      </c>
      <c r="O15" s="17">
        <f t="shared" si="3"/>
        <v>0</v>
      </c>
      <c r="P15" s="90">
        <f t="shared" si="11"/>
        <v>0</v>
      </c>
      <c r="Q15" s="90">
        <f t="shared" si="12"/>
        <v>0</v>
      </c>
      <c r="R15" s="90">
        <f t="shared" si="4"/>
        <v>0</v>
      </c>
      <c r="S15" s="90">
        <f t="shared" si="13"/>
        <v>0</v>
      </c>
      <c r="T15" s="92">
        <f t="shared" si="5"/>
        <v>0</v>
      </c>
      <c r="U15" s="17">
        <f t="shared" si="14"/>
        <v>3263641.0875595626</v>
      </c>
      <c r="V15" s="6">
        <f t="shared" si="6"/>
        <v>1033185.1879877942</v>
      </c>
      <c r="X15" s="700" t="s">
        <v>677</v>
      </c>
      <c r="Y15" s="700"/>
      <c r="Z15" s="700"/>
      <c r="AA15" s="569">
        <v>0.02</v>
      </c>
      <c r="AB15" s="569">
        <v>0.05</v>
      </c>
      <c r="AU15" s="292" t="s">
        <v>491</v>
      </c>
    </row>
    <row r="16" spans="1:49" x14ac:dyDescent="0.25">
      <c r="A16" s="75">
        <f t="shared" si="7"/>
        <v>7226.9837014648074</v>
      </c>
      <c r="B16" s="2">
        <f t="shared" si="15"/>
        <v>2038</v>
      </c>
      <c r="C16" s="260">
        <f>IF(OR($B16&lt;$Y$6,$B16&gt;'Project Data and Assumptions'!$C$8),0,$AC$35*(1+$AA$15)^($B16-2020))</f>
        <v>80905.751340737726</v>
      </c>
      <c r="D16" s="91">
        <f>IF(OR($B16&lt;$Y$6,$B16&gt;'Project Data and Assumptions'!$C$8),0,$AB$34*(1+$AA$15)^($B16-2020))</f>
        <v>3036.5477737247093</v>
      </c>
      <c r="E16" s="258">
        <f>IF(OR($B16&lt;$Y$6,$B16&gt;'Project Data and Assumptions'!$C$8),0,$AC$34*(1+$AA$15)^($B16-2020))</f>
        <v>84754.799425799196</v>
      </c>
      <c r="F16" s="260">
        <f>IF($B16&gt;'Project Data and Assumptions'!$C$8,0,$AC$30*(1+$AA$15)^($B16-2020))</f>
        <v>0</v>
      </c>
      <c r="G16" s="91">
        <f>IF($B16&gt;'Project Data and Assumptions'!$C$8,0,$AB$29*(1+$AA$15)^($B16-2020))</f>
        <v>0</v>
      </c>
      <c r="H16" s="258">
        <f>IF($B16&gt;'Project Data and Assumptions'!$C$8,0,$AC$29*(1+$AA$15)^($B16-2020))</f>
        <v>0</v>
      </c>
      <c r="I16" s="17">
        <f t="shared" si="0"/>
        <v>1019412.4668932954</v>
      </c>
      <c r="J16" s="325">
        <f t="shared" si="8"/>
        <v>7258.5637983115457</v>
      </c>
      <c r="K16" s="90">
        <f t="shared" si="9"/>
        <v>1126776.1203214191</v>
      </c>
      <c r="L16" s="90">
        <f t="shared" si="1"/>
        <v>1067910.4727650697</v>
      </c>
      <c r="M16" s="90">
        <f t="shared" si="10"/>
        <v>107210.79320005859</v>
      </c>
      <c r="N16" s="92">
        <f t="shared" si="2"/>
        <v>345.49233259884994</v>
      </c>
      <c r="O16" s="17">
        <f t="shared" si="3"/>
        <v>0</v>
      </c>
      <c r="P16" s="90">
        <f t="shared" si="11"/>
        <v>0</v>
      </c>
      <c r="Q16" s="90">
        <f t="shared" si="12"/>
        <v>0</v>
      </c>
      <c r="R16" s="90">
        <f t="shared" si="4"/>
        <v>0</v>
      </c>
      <c r="S16" s="90">
        <f t="shared" si="13"/>
        <v>0</v>
      </c>
      <c r="T16" s="92">
        <f t="shared" si="5"/>
        <v>0</v>
      </c>
      <c r="U16" s="17">
        <f t="shared" si="14"/>
        <v>3328913.9093107525</v>
      </c>
      <c r="V16" s="6">
        <f t="shared" si="6"/>
        <v>984905.50630612101</v>
      </c>
      <c r="X16" s="695" t="s">
        <v>498</v>
      </c>
      <c r="Y16" s="695"/>
      <c r="Z16" s="695"/>
      <c r="AA16" s="177">
        <v>0.86</v>
      </c>
      <c r="AB16" s="113"/>
      <c r="AU16" s="292" t="s">
        <v>502</v>
      </c>
      <c r="AV16" s="292" t="s">
        <v>505</v>
      </c>
      <c r="AW16" s="292" t="s">
        <v>506</v>
      </c>
    </row>
    <row r="17" spans="1:33" x14ac:dyDescent="0.25">
      <c r="A17" s="75">
        <f t="shared" si="7"/>
        <v>7371.5233754941037</v>
      </c>
      <c r="B17" s="2">
        <f t="shared" si="15"/>
        <v>2039</v>
      </c>
      <c r="C17" s="260">
        <f>IF(OR($B17&lt;$Y$6,$B17&gt;'Project Data and Assumptions'!$C$8),0,$AC$35*(1+$AA$15)^($B17-2020))</f>
        <v>82523.866367552473</v>
      </c>
      <c r="D17" s="91">
        <f>IF(OR($B17&lt;$Y$6,$B17&gt;'Project Data and Assumptions'!$C$8),0,$AB$34*(1+$AA$15)^($B17-2020))</f>
        <v>3097.2787291992036</v>
      </c>
      <c r="E17" s="258">
        <f>IF(OR($B17&lt;$Y$6,$B17&gt;'Project Data and Assumptions'!$C$8),0,$AC$34*(1+$AA$15)^($B17-2020))</f>
        <v>86449.895414315179</v>
      </c>
      <c r="F17" s="260">
        <f>IF($B17&gt;'Project Data and Assumptions'!$C$8,0,$AC$30*(1+$AA$15)^($B17-2020))</f>
        <v>0</v>
      </c>
      <c r="G17" s="91">
        <f>IF($B17&gt;'Project Data and Assumptions'!$C$8,0,$AB$29*(1+$AA$15)^($B17-2020))</f>
        <v>0</v>
      </c>
      <c r="H17" s="258">
        <f>IF($B17&gt;'Project Data and Assumptions'!$C$8,0,$AC$29*(1+$AA$15)^($B17-2020))</f>
        <v>0</v>
      </c>
      <c r="I17" s="17">
        <f t="shared" si="0"/>
        <v>1039800.7162311613</v>
      </c>
      <c r="J17" s="325">
        <f t="shared" si="8"/>
        <v>7403.735074277778</v>
      </c>
      <c r="K17" s="90">
        <f t="shared" si="9"/>
        <v>1149311.6427278472</v>
      </c>
      <c r="L17" s="90">
        <f t="shared" si="1"/>
        <v>1089268.6822203712</v>
      </c>
      <c r="M17" s="90">
        <f t="shared" si="10"/>
        <v>109355.00906405975</v>
      </c>
      <c r="N17" s="92">
        <f t="shared" si="2"/>
        <v>352.40217925082698</v>
      </c>
      <c r="O17" s="17">
        <f t="shared" si="3"/>
        <v>0</v>
      </c>
      <c r="P17" s="90">
        <f t="shared" si="11"/>
        <v>0</v>
      </c>
      <c r="Q17" s="90">
        <f t="shared" si="12"/>
        <v>0</v>
      </c>
      <c r="R17" s="90">
        <f t="shared" si="4"/>
        <v>0</v>
      </c>
      <c r="S17" s="90">
        <f t="shared" si="13"/>
        <v>0</v>
      </c>
      <c r="T17" s="92">
        <f t="shared" si="5"/>
        <v>0</v>
      </c>
      <c r="U17" s="17">
        <f t="shared" si="14"/>
        <v>3395492.1874969681</v>
      </c>
      <c r="V17" s="6">
        <f t="shared" si="6"/>
        <v>938881.88451611553</v>
      </c>
      <c r="X17" s="695" t="s">
        <v>499</v>
      </c>
      <c r="Y17" s="695"/>
      <c r="Z17" s="695"/>
      <c r="AA17" s="265">
        <f>MIN(Y7,2.38)</f>
        <v>2.38</v>
      </c>
      <c r="AB17" s="266" t="s">
        <v>500</v>
      </c>
      <c r="AC17" s="284" t="s">
        <v>501</v>
      </c>
    </row>
    <row r="18" spans="1:33" x14ac:dyDescent="0.25">
      <c r="A18" s="75">
        <f t="shared" si="7"/>
        <v>7518.9538430039865</v>
      </c>
      <c r="B18" s="2">
        <f t="shared" si="15"/>
        <v>2040</v>
      </c>
      <c r="C18" s="260">
        <f>IF(OR($B18&lt;$Y$6,$B18&gt;'Project Data and Assumptions'!$C$8),0,$AC$35*(1+$AA$15)^($B18-2020))</f>
        <v>84174.343694903539</v>
      </c>
      <c r="D18" s="91">
        <f>IF(OR($B18&lt;$Y$6,$B18&gt;'Project Data and Assumptions'!$C$8),0,$AB$34*(1+$AA$15)^($B18-2020))</f>
        <v>3159.2243037831877</v>
      </c>
      <c r="E18" s="258">
        <f>IF(OR($B18&lt;$Y$6,$B18&gt;'Project Data and Assumptions'!$C$8),0,$AC$34*(1+$AA$15)^($B18-2020))</f>
        <v>88178.893322601492</v>
      </c>
      <c r="F18" s="260">
        <f>IF($B18&gt;'Project Data and Assumptions'!$C$8,0,$AC$30*(1+$AA$15)^($B18-2020))</f>
        <v>0</v>
      </c>
      <c r="G18" s="91">
        <f>IF($B18&gt;'Project Data and Assumptions'!$C$8,0,$AB$29*(1+$AA$15)^($B18-2020))</f>
        <v>0</v>
      </c>
      <c r="H18" s="258">
        <f>IF($B18&gt;'Project Data and Assumptions'!$C$8,0,$AC$29*(1+$AA$15)^($B18-2020))</f>
        <v>0</v>
      </c>
      <c r="I18" s="17">
        <f t="shared" si="0"/>
        <v>1060596.7305557847</v>
      </c>
      <c r="J18" s="325">
        <f t="shared" si="8"/>
        <v>7551.8097757633323</v>
      </c>
      <c r="K18" s="90">
        <f t="shared" si="9"/>
        <v>1172297.8755824044</v>
      </c>
      <c r="L18" s="90">
        <f t="shared" si="1"/>
        <v>1111054.0558647788</v>
      </c>
      <c r="M18" s="90">
        <f t="shared" si="10"/>
        <v>111542.10924534097</v>
      </c>
      <c r="N18" s="92">
        <f t="shared" si="2"/>
        <v>359.45022283584348</v>
      </c>
      <c r="O18" s="17">
        <f t="shared" si="3"/>
        <v>0</v>
      </c>
      <c r="P18" s="90">
        <f t="shared" si="11"/>
        <v>0</v>
      </c>
      <c r="Q18" s="90">
        <f t="shared" si="12"/>
        <v>0</v>
      </c>
      <c r="R18" s="90">
        <f t="shared" si="4"/>
        <v>0</v>
      </c>
      <c r="S18" s="90">
        <f t="shared" si="13"/>
        <v>0</v>
      </c>
      <c r="T18" s="92">
        <f t="shared" si="5"/>
        <v>0</v>
      </c>
      <c r="U18" s="17">
        <f t="shared" si="14"/>
        <v>3463402.031246908</v>
      </c>
      <c r="V18" s="6">
        <f t="shared" si="6"/>
        <v>895008.89925835328</v>
      </c>
      <c r="X18" s="695" t="s">
        <v>495</v>
      </c>
      <c r="Y18" s="695"/>
      <c r="Z18" s="695"/>
      <c r="AA18" s="695"/>
      <c r="AB18" s="177">
        <f>MIN($AA$16,$Y8)</f>
        <v>0</v>
      </c>
      <c r="AC18" s="177">
        <f>MIN($AA$17,$Y8)</f>
        <v>0</v>
      </c>
    </row>
    <row r="19" spans="1:33" x14ac:dyDescent="0.25">
      <c r="A19" s="75">
        <f t="shared" si="7"/>
        <v>7669.3329198640658</v>
      </c>
      <c r="B19" s="2">
        <f t="shared" si="15"/>
        <v>2041</v>
      </c>
      <c r="C19" s="260">
        <f>IF(OR($B19&lt;$Y$6,$B19&gt;'Project Data and Assumptions'!$C$8),0,$AC$35*(1+$AA$15)^($B19-2020))</f>
        <v>85857.830568801597</v>
      </c>
      <c r="D19" s="91">
        <f>IF(OR($B19&lt;$Y$6,$B19&gt;'Project Data and Assumptions'!$C$8),0,$AB$34*(1+$AA$15)^($B19-2020))</f>
        <v>3222.4087898588514</v>
      </c>
      <c r="E19" s="258">
        <f>IF(OR($B19&lt;$Y$6,$B19&gt;'Project Data and Assumptions'!$C$8),0,$AC$34*(1+$AA$15)^($B19-2020))</f>
        <v>89942.471189053511</v>
      </c>
      <c r="F19" s="260">
        <f>IF($B19&gt;'Project Data and Assumptions'!$C$8,0,$AC$30*(1+$AA$15)^($B19-2020))</f>
        <v>0</v>
      </c>
      <c r="G19" s="91">
        <f>IF($B19&gt;'Project Data and Assumptions'!$C$8,0,$AB$29*(1+$AA$15)^($B19-2020))</f>
        <v>0</v>
      </c>
      <c r="H19" s="258">
        <f>IF($B19&gt;'Project Data and Assumptions'!$C$8,0,$AC$29*(1+$AA$15)^($B19-2020))</f>
        <v>0</v>
      </c>
      <c r="I19" s="17">
        <f t="shared" si="0"/>
        <v>1081808.6651669003</v>
      </c>
      <c r="J19" s="325">
        <f t="shared" si="8"/>
        <v>7702.8459712785989</v>
      </c>
      <c r="K19" s="90">
        <f t="shared" si="9"/>
        <v>1195743.8330940523</v>
      </c>
      <c r="L19" s="90">
        <f t="shared" si="1"/>
        <v>1133275.1369820742</v>
      </c>
      <c r="M19" s="90">
        <f t="shared" si="10"/>
        <v>113772.95143024776</v>
      </c>
      <c r="N19" s="92">
        <f t="shared" si="2"/>
        <v>366.63922729256035</v>
      </c>
      <c r="O19" s="17">
        <f t="shared" si="3"/>
        <v>0</v>
      </c>
      <c r="P19" s="90">
        <f t="shared" si="11"/>
        <v>0</v>
      </c>
      <c r="Q19" s="90">
        <f t="shared" si="12"/>
        <v>0</v>
      </c>
      <c r="R19" s="90">
        <f t="shared" si="4"/>
        <v>0</v>
      </c>
      <c r="S19" s="90">
        <f t="shared" si="13"/>
        <v>0</v>
      </c>
      <c r="T19" s="92">
        <f t="shared" si="5"/>
        <v>0</v>
      </c>
      <c r="U19" s="17">
        <f t="shared" si="14"/>
        <v>3532670.0718718455</v>
      </c>
      <c r="V19" s="6">
        <f t="shared" si="6"/>
        <v>853186.05349861702</v>
      </c>
      <c r="X19" s="695" t="s">
        <v>496</v>
      </c>
      <c r="Y19" s="695"/>
      <c r="Z19" s="695"/>
      <c r="AA19" s="695"/>
      <c r="AB19" s="177">
        <f>MIN($AA$16,SUM($Y9:$Y10))</f>
        <v>0.86</v>
      </c>
      <c r="AC19" s="177">
        <f>MIN($AA$16,SUM($Y9:$Y10))</f>
        <v>0.86</v>
      </c>
    </row>
    <row r="20" spans="1:33" x14ac:dyDescent="0.25">
      <c r="A20" s="75">
        <f t="shared" si="7"/>
        <v>7822.7195782613471</v>
      </c>
      <c r="B20" s="2">
        <f t="shared" si="15"/>
        <v>2042</v>
      </c>
      <c r="C20" s="260">
        <f>IF(OR($B20&lt;$Y$6,$B20&gt;'Project Data and Assumptions'!$C$8),0,$AC$35*(1+$AA$15)^($B20-2020))</f>
        <v>87574.987180177632</v>
      </c>
      <c r="D20" s="91">
        <f>IF(OR($B20&lt;$Y$6,$B20&gt;'Project Data and Assumptions'!$C$8),0,$AB$34*(1+$AA$15)^($B20-2020))</f>
        <v>3286.8569656560285</v>
      </c>
      <c r="E20" s="258">
        <f>IF(OR($B20&lt;$Y$6,$B20&gt;'Project Data and Assumptions'!$C$8),0,$AC$34*(1+$AA$15)^($B20-2020))</f>
        <v>91741.320612834592</v>
      </c>
      <c r="F20" s="260">
        <f>IF($B20&gt;'Project Data and Assumptions'!$C$8,0,$AC$30*(1+$AA$15)^($B20-2020))</f>
        <v>0</v>
      </c>
      <c r="G20" s="91">
        <f>IF($B20&gt;'Project Data and Assumptions'!$C$8,0,$AB$29*(1+$AA$15)^($B20-2020))</f>
        <v>0</v>
      </c>
      <c r="H20" s="258">
        <f>IF($B20&gt;'Project Data and Assumptions'!$C$8,0,$AC$29*(1+$AA$15)^($B20-2020))</f>
        <v>0</v>
      </c>
      <c r="I20" s="17">
        <f t="shared" si="0"/>
        <v>1103444.8384702383</v>
      </c>
      <c r="J20" s="325">
        <f t="shared" si="8"/>
        <v>7856.902890704172</v>
      </c>
      <c r="K20" s="90">
        <f t="shared" si="9"/>
        <v>1219658.7097559334</v>
      </c>
      <c r="L20" s="90">
        <f t="shared" si="1"/>
        <v>1155940.6397217158</v>
      </c>
      <c r="M20" s="90">
        <f t="shared" si="10"/>
        <v>116048.41045885273</v>
      </c>
      <c r="N20" s="92">
        <f t="shared" si="2"/>
        <v>373.97201183841162</v>
      </c>
      <c r="O20" s="17">
        <f t="shared" si="3"/>
        <v>0</v>
      </c>
      <c r="P20" s="90">
        <f t="shared" si="11"/>
        <v>0</v>
      </c>
      <c r="Q20" s="90">
        <f t="shared" si="12"/>
        <v>0</v>
      </c>
      <c r="R20" s="90">
        <f t="shared" si="4"/>
        <v>0</v>
      </c>
      <c r="S20" s="90">
        <f t="shared" si="13"/>
        <v>0</v>
      </c>
      <c r="T20" s="92">
        <f t="shared" si="5"/>
        <v>0</v>
      </c>
      <c r="U20" s="17">
        <f t="shared" si="14"/>
        <v>3603323.4733092827</v>
      </c>
      <c r="V20" s="6">
        <f t="shared" si="6"/>
        <v>813317.54632578453</v>
      </c>
      <c r="X20" s="568"/>
      <c r="Y20" s="568"/>
      <c r="Z20" s="286"/>
      <c r="AA20" s="93"/>
    </row>
    <row r="21" spans="1:33" x14ac:dyDescent="0.25">
      <c r="A21" s="75">
        <f t="shared" si="7"/>
        <v>7979.1739698265728</v>
      </c>
      <c r="B21" s="2">
        <f t="shared" si="15"/>
        <v>2043</v>
      </c>
      <c r="C21" s="260">
        <f>IF(OR($B21&lt;$Y$6,$B21&gt;'Project Data and Assumptions'!$C$8),0,$AC$35*(1+$AA$15)^($B21-2020))</f>
        <v>89326.486923781165</v>
      </c>
      <c r="D21" s="91">
        <f>IF(OR($B21&lt;$Y$6,$B21&gt;'Project Data and Assumptions'!$C$8),0,$AB$34*(1+$AA$15)^($B21-2020))</f>
        <v>3352.5941049691482</v>
      </c>
      <c r="E21" s="258">
        <f>IF(OR($B21&lt;$Y$6,$B21&gt;'Project Data and Assumptions'!$C$8),0,$AC$34*(1+$AA$15)^($B21-2020))</f>
        <v>93576.147025091268</v>
      </c>
      <c r="F21" s="260">
        <f>IF($B21&gt;'Project Data and Assumptions'!$C$8,0,$AC$30*(1+$AA$15)^($B21-2020))</f>
        <v>0</v>
      </c>
      <c r="G21" s="91">
        <f>IF($B21&gt;'Project Data and Assumptions'!$C$8,0,$AB$29*(1+$AA$15)^($B21-2020))</f>
        <v>0</v>
      </c>
      <c r="H21" s="258">
        <f>IF($B21&gt;'Project Data and Assumptions'!$C$8,0,$AC$29*(1+$AA$15)^($B21-2020))</f>
        <v>0</v>
      </c>
      <c r="I21" s="17">
        <f t="shared" si="0"/>
        <v>1125513.7352396427</v>
      </c>
      <c r="J21" s="325">
        <f t="shared" si="8"/>
        <v>8014.0409485182536</v>
      </c>
      <c r="K21" s="90">
        <f t="shared" si="9"/>
        <v>1244051.8839510516</v>
      </c>
      <c r="L21" s="90">
        <f t="shared" si="1"/>
        <v>1179059.45251615</v>
      </c>
      <c r="M21" s="90">
        <f t="shared" si="10"/>
        <v>118369.37866802976</v>
      </c>
      <c r="N21" s="92">
        <f t="shared" si="2"/>
        <v>381.45145207517976</v>
      </c>
      <c r="O21" s="17">
        <f t="shared" si="3"/>
        <v>0</v>
      </c>
      <c r="P21" s="90">
        <f t="shared" si="11"/>
        <v>0</v>
      </c>
      <c r="Q21" s="90">
        <f t="shared" si="12"/>
        <v>0</v>
      </c>
      <c r="R21" s="90">
        <f t="shared" si="4"/>
        <v>0</v>
      </c>
      <c r="S21" s="90">
        <f t="shared" si="13"/>
        <v>0</v>
      </c>
      <c r="T21" s="92">
        <f t="shared" si="5"/>
        <v>0</v>
      </c>
      <c r="U21" s="17">
        <f t="shared" si="14"/>
        <v>3675389.9427754669</v>
      </c>
      <c r="V21" s="6">
        <f t="shared" si="6"/>
        <v>775312.05350682221</v>
      </c>
      <c r="X21" s="28"/>
      <c r="Y21" s="28"/>
      <c r="Z21" s="570"/>
      <c r="AA21" s="570"/>
      <c r="AB21" s="570"/>
      <c r="AC21" s="570"/>
      <c r="AD21" s="547"/>
    </row>
    <row r="22" spans="1:33" x14ac:dyDescent="0.25">
      <c r="A22" s="75">
        <f t="shared" si="7"/>
        <v>8138.7574492231051</v>
      </c>
      <c r="B22" s="2">
        <f t="shared" si="15"/>
        <v>2044</v>
      </c>
      <c r="C22" s="260">
        <f>IF(OR($B22&lt;$Y$6,$B22&gt;'Project Data and Assumptions'!$C$8),0,$AC$35*(1+$AA$15)^($B22-2020))</f>
        <v>91113.016662256792</v>
      </c>
      <c r="D22" s="91">
        <f>IF(OR($B22&lt;$Y$6,$B22&gt;'Project Data and Assumptions'!$C$8),0,$AB$34*(1+$AA$15)^($B22-2020))</f>
        <v>3419.6459870685317</v>
      </c>
      <c r="E22" s="258">
        <f>IF(OR($B22&lt;$Y$6,$B22&gt;'Project Data and Assumptions'!$C$8),0,$AC$34*(1+$AA$15)^($B22-2020))</f>
        <v>95447.669965593101</v>
      </c>
      <c r="F22" s="260">
        <f>IF($B22&gt;'Project Data and Assumptions'!$C$8,0,$AC$30*(1+$AA$15)^($B22-2020))</f>
        <v>0</v>
      </c>
      <c r="G22" s="91">
        <f>IF($B22&gt;'Project Data and Assumptions'!$C$8,0,$AB$29*(1+$AA$15)^($B22-2020))</f>
        <v>0</v>
      </c>
      <c r="H22" s="258">
        <f>IF($B22&gt;'Project Data and Assumptions'!$C$8,0,$AC$29*(1+$AA$15)^($B22-2020))</f>
        <v>0</v>
      </c>
      <c r="I22" s="17">
        <f t="shared" si="0"/>
        <v>1148024.0099444357</v>
      </c>
      <c r="J22" s="325">
        <f t="shared" si="8"/>
        <v>8174.3217674886191</v>
      </c>
      <c r="K22" s="90">
        <f t="shared" si="9"/>
        <v>1268932.9216300729</v>
      </c>
      <c r="L22" s="90">
        <f t="shared" si="1"/>
        <v>1202640.6415664731</v>
      </c>
      <c r="M22" s="90">
        <f t="shared" si="10"/>
        <v>120736.76624139037</v>
      </c>
      <c r="N22" s="92">
        <f t="shared" si="2"/>
        <v>389.0804811166833</v>
      </c>
      <c r="O22" s="17">
        <f t="shared" si="3"/>
        <v>0</v>
      </c>
      <c r="P22" s="90">
        <f t="shared" si="11"/>
        <v>0</v>
      </c>
      <c r="Q22" s="90">
        <f t="shared" si="12"/>
        <v>0</v>
      </c>
      <c r="R22" s="90">
        <f t="shared" si="4"/>
        <v>0</v>
      </c>
      <c r="S22" s="90">
        <f t="shared" si="13"/>
        <v>0</v>
      </c>
      <c r="T22" s="92">
        <f t="shared" si="5"/>
        <v>0</v>
      </c>
      <c r="U22" s="17">
        <f t="shared" si="14"/>
        <v>3748897.741630977</v>
      </c>
      <c r="V22" s="6">
        <f t="shared" si="6"/>
        <v>739082.51829622325</v>
      </c>
      <c r="X22" s="571" t="s">
        <v>640</v>
      </c>
      <c r="Y22" s="28"/>
      <c r="Z22" s="570"/>
      <c r="AA22" s="570"/>
      <c r="AB22" s="570"/>
      <c r="AC22" s="570"/>
      <c r="AD22" s="547"/>
    </row>
    <row r="23" spans="1:33" x14ac:dyDescent="0.25">
      <c r="A23" s="75">
        <f t="shared" si="7"/>
        <v>8301.5325982075665</v>
      </c>
      <c r="B23" s="2">
        <f t="shared" si="15"/>
        <v>2045</v>
      </c>
      <c r="C23" s="260">
        <f>IF(OR($B23&lt;$Y$6,$B23&gt;'Project Data and Assumptions'!$C$8),0,$AC$35*(1+$AA$15)^($B23-2020))</f>
        <v>92935.276995501932</v>
      </c>
      <c r="D23" s="91">
        <f>IF(OR($B23&lt;$Y$6,$B23&gt;'Project Data and Assumptions'!$C$8),0,$AB$34*(1+$AA$15)^($B23-2020))</f>
        <v>3488.0389068099021</v>
      </c>
      <c r="E23" s="258">
        <f>IF(OR($B23&lt;$Y$6,$B23&gt;'Project Data and Assumptions'!$C$8),0,$AC$34*(1+$AA$15)^($B23-2020))</f>
        <v>97356.623364904954</v>
      </c>
      <c r="F23" s="260">
        <f>IF($B23&gt;'Project Data and Assumptions'!$C$8,0,$AC$30*(1+$AA$15)^($B23-2020))</f>
        <v>0</v>
      </c>
      <c r="G23" s="91">
        <f>IF($B23&gt;'Project Data and Assumptions'!$C$8,0,$AB$29*(1+$AA$15)^($B23-2020))</f>
        <v>0</v>
      </c>
      <c r="H23" s="258">
        <f>IF($B23&gt;'Project Data and Assumptions'!$C$8,0,$AC$29*(1+$AA$15)^($B23-2020))</f>
        <v>0</v>
      </c>
      <c r="I23" s="17">
        <f t="shared" si="0"/>
        <v>1170984.4901433245</v>
      </c>
      <c r="J23" s="325">
        <f t="shared" si="8"/>
        <v>8337.8082028383906</v>
      </c>
      <c r="K23" s="90">
        <f t="shared" si="9"/>
        <v>1294311.5800626744</v>
      </c>
      <c r="L23" s="90">
        <f t="shared" si="1"/>
        <v>1226693.4543978025</v>
      </c>
      <c r="M23" s="90">
        <f t="shared" si="10"/>
        <v>123151.50156621817</v>
      </c>
      <c r="N23" s="92">
        <f t="shared" si="2"/>
        <v>396.86209073901699</v>
      </c>
      <c r="O23" s="17">
        <f t="shared" si="3"/>
        <v>0</v>
      </c>
      <c r="P23" s="90">
        <f t="shared" si="11"/>
        <v>0</v>
      </c>
      <c r="Q23" s="90">
        <f t="shared" si="12"/>
        <v>0</v>
      </c>
      <c r="R23" s="90">
        <f t="shared" si="4"/>
        <v>0</v>
      </c>
      <c r="S23" s="90">
        <f t="shared" si="13"/>
        <v>0</v>
      </c>
      <c r="T23" s="92">
        <f t="shared" si="5"/>
        <v>0</v>
      </c>
      <c r="U23" s="17">
        <f t="shared" si="14"/>
        <v>3823875.6964635965</v>
      </c>
      <c r="V23" s="6">
        <f t="shared" si="6"/>
        <v>704545.95202069869</v>
      </c>
      <c r="X23" s="547"/>
      <c r="Y23" s="547"/>
      <c r="Z23" s="288" t="s">
        <v>23</v>
      </c>
      <c r="AA23" s="288" t="s">
        <v>468</v>
      </c>
      <c r="AB23" s="288" t="s">
        <v>53</v>
      </c>
      <c r="AC23" s="288" t="s">
        <v>261</v>
      </c>
      <c r="AD23" s="288" t="s">
        <v>486</v>
      </c>
    </row>
    <row r="24" spans="1:33" x14ac:dyDescent="0.25">
      <c r="A24" s="75">
        <f t="shared" si="7"/>
        <v>8467.5632501717191</v>
      </c>
      <c r="B24" s="2">
        <f t="shared" si="15"/>
        <v>2046</v>
      </c>
      <c r="C24" s="260">
        <f>IF(OR($B24&lt;$Y$6,$B24&gt;'Project Data and Assumptions'!$C$8),0,$AC$35*(1+$AA$15)^($B24-2020))</f>
        <v>94793.982535411982</v>
      </c>
      <c r="D24" s="91">
        <f>IF(OR($B24&lt;$Y$6,$B24&gt;'Project Data and Assumptions'!$C$8),0,$AB$34*(1+$AA$15)^($B24-2020))</f>
        <v>3557.7996849461006</v>
      </c>
      <c r="E24" s="258">
        <f>IF(OR($B24&lt;$Y$6,$B24&gt;'Project Data and Assumptions'!$C$8),0,$AC$34*(1+$AA$15)^($B24-2020))</f>
        <v>99303.755832203067</v>
      </c>
      <c r="F24" s="260">
        <f>IF($B24&gt;'Project Data and Assumptions'!$C$8,0,$AC$30*(1+$AA$15)^($B24-2020))</f>
        <v>0</v>
      </c>
      <c r="G24" s="91">
        <f>IF($B24&gt;'Project Data and Assumptions'!$C$8,0,$AB$29*(1+$AA$15)^($B24-2020))</f>
        <v>0</v>
      </c>
      <c r="H24" s="258">
        <f>IF($B24&gt;'Project Data and Assumptions'!$C$8,0,$AC$29*(1+$AA$15)^($B24-2020))</f>
        <v>0</v>
      </c>
      <c r="I24" s="17">
        <f t="shared" si="0"/>
        <v>1194404.1799461909</v>
      </c>
      <c r="J24" s="325">
        <f t="shared" si="8"/>
        <v>8504.5643668951598</v>
      </c>
      <c r="K24" s="90">
        <f t="shared" si="9"/>
        <v>1320197.811663928</v>
      </c>
      <c r="L24" s="90">
        <f t="shared" si="1"/>
        <v>1251227.3234857586</v>
      </c>
      <c r="M24" s="90">
        <f t="shared" si="10"/>
        <v>125614.53159754255</v>
      </c>
      <c r="N24" s="92">
        <f t="shared" si="2"/>
        <v>404.7993325537974</v>
      </c>
      <c r="O24" s="17">
        <f t="shared" si="3"/>
        <v>0</v>
      </c>
      <c r="P24" s="90">
        <f t="shared" si="11"/>
        <v>0</v>
      </c>
      <c r="Q24" s="90">
        <f t="shared" si="12"/>
        <v>0</v>
      </c>
      <c r="R24" s="90">
        <f t="shared" si="4"/>
        <v>0</v>
      </c>
      <c r="S24" s="90">
        <f t="shared" si="13"/>
        <v>0</v>
      </c>
      <c r="T24" s="92">
        <f t="shared" si="5"/>
        <v>0</v>
      </c>
      <c r="U24" s="17">
        <f t="shared" si="14"/>
        <v>3900353.2103928691</v>
      </c>
      <c r="V24" s="6">
        <f t="shared" si="6"/>
        <v>671623.24398234847</v>
      </c>
      <c r="X24" s="709" t="s">
        <v>191</v>
      </c>
      <c r="Y24" s="709"/>
      <c r="Z24" s="327">
        <f>'Med Lake'!$B$6*'Med Lake'!$B$3</f>
        <v>339303</v>
      </c>
      <c r="AA24" s="327">
        <f>Z24*(SUM('Med Lake'!$B$27:$B$30)+'Med Lake'!$B$26*5/7)</f>
        <v>299373.82296000002</v>
      </c>
      <c r="AB24" s="327">
        <f>SUM($Z24:$Z25)*'Med Lake'!$C$11</f>
        <v>11735.892</v>
      </c>
      <c r="AC24" s="327">
        <f>Z24-AB24</f>
        <v>327567.10800000001</v>
      </c>
      <c r="AD24" s="328">
        <f>AA24/Z24</f>
        <v>0.8823200000000001</v>
      </c>
    </row>
    <row r="25" spans="1:33" x14ac:dyDescent="0.25">
      <c r="A25" s="75">
        <f t="shared" si="7"/>
        <v>8636.9145151751527</v>
      </c>
      <c r="B25" s="2">
        <f t="shared" si="15"/>
        <v>2047</v>
      </c>
      <c r="C25" s="260">
        <f>IF(OR($B25&lt;$Y$6,$B25&gt;'Project Data and Assumptions'!$C$8),0,$AC$35*(1+$AA$15)^($B25-2020))</f>
        <v>96689.862186120212</v>
      </c>
      <c r="D25" s="91">
        <f>IF(OR($B25&lt;$Y$6,$B25&gt;'Project Data and Assumptions'!$C$8),0,$AB$34*(1+$AA$15)^($B25-2020))</f>
        <v>3628.9556786450221</v>
      </c>
      <c r="E25" s="258">
        <f>IF(OR($B25&lt;$Y$6,$B25&gt;'Project Data and Assumptions'!$C$8),0,$AC$34*(1+$AA$15)^($B25-2020))</f>
        <v>101289.83094884711</v>
      </c>
      <c r="F25" s="260">
        <f>IF($B25&gt;'Project Data and Assumptions'!$C$8,0,$AC$30*(1+$AA$15)^($B25-2020))</f>
        <v>0</v>
      </c>
      <c r="G25" s="91">
        <f>IF($B25&gt;'Project Data and Assumptions'!$C$8,0,$AB$29*(1+$AA$15)^($B25-2020))</f>
        <v>0</v>
      </c>
      <c r="H25" s="258">
        <f>IF($B25&gt;'Project Data and Assumptions'!$C$8,0,$AC$29*(1+$AA$15)^($B25-2020))</f>
        <v>0</v>
      </c>
      <c r="I25" s="17">
        <f t="shared" si="0"/>
        <v>1218292.2635451148</v>
      </c>
      <c r="J25" s="325">
        <f t="shared" si="8"/>
        <v>8674.6556542330618</v>
      </c>
      <c r="K25" s="90">
        <f t="shared" si="9"/>
        <v>1346601.7678972064</v>
      </c>
      <c r="L25" s="90">
        <f t="shared" si="1"/>
        <v>1276251.8699554736</v>
      </c>
      <c r="M25" s="90">
        <f t="shared" si="10"/>
        <v>128126.82222949338</v>
      </c>
      <c r="N25" s="92">
        <f t="shared" si="2"/>
        <v>412.89531920487337</v>
      </c>
      <c r="O25" s="17">
        <f t="shared" si="3"/>
        <v>0</v>
      </c>
      <c r="P25" s="90">
        <f t="shared" si="11"/>
        <v>0</v>
      </c>
      <c r="Q25" s="90">
        <f t="shared" si="12"/>
        <v>0</v>
      </c>
      <c r="R25" s="90">
        <f t="shared" si="4"/>
        <v>0</v>
      </c>
      <c r="S25" s="90">
        <f t="shared" si="13"/>
        <v>0</v>
      </c>
      <c r="T25" s="92">
        <f t="shared" si="5"/>
        <v>0</v>
      </c>
      <c r="U25" s="17">
        <f t="shared" si="14"/>
        <v>3978360.2746007256</v>
      </c>
      <c r="V25" s="6">
        <f t="shared" si="6"/>
        <v>640238.98024485528</v>
      </c>
      <c r="X25" s="709" t="s">
        <v>190</v>
      </c>
      <c r="Y25" s="709"/>
      <c r="Z25" s="327">
        <f>'Med Lake'!$B$6*SUM('Med Lake'!C3:D3)</f>
        <v>312691</v>
      </c>
      <c r="AA25" s="327">
        <f>Z25*(SUM('Med Lake'!$B$27:$B$30)+'Med Lake'!$B$26*5/7)</f>
        <v>275893.52312000003</v>
      </c>
      <c r="AB25" s="327">
        <v>0</v>
      </c>
      <c r="AC25" s="327">
        <f>Z25-AB25</f>
        <v>312691</v>
      </c>
      <c r="AD25" s="328">
        <f>AA25/Z25</f>
        <v>0.8823200000000001</v>
      </c>
      <c r="AG25" s="112" t="s">
        <v>64</v>
      </c>
    </row>
    <row r="26" spans="1:33" x14ac:dyDescent="0.25">
      <c r="A26" s="75">
        <f t="shared" si="7"/>
        <v>8809.6528054786559</v>
      </c>
      <c r="B26" s="361">
        <f t="shared" si="15"/>
        <v>2048</v>
      </c>
      <c r="C26" s="362">
        <f>IF(OR($B26&lt;$Y$6,$B26&gt;'Project Data and Assumptions'!$C$8),0,$AC$35*(1+$AA$15)^($B26-2020))</f>
        <v>98623.659429842635</v>
      </c>
      <c r="D26" s="363">
        <f>IF(OR($B26&lt;$Y$6,$B26&gt;'Project Data and Assumptions'!$C$8),0,$AB$34*(1+$AA$15)^($B26-2020))</f>
        <v>3701.534792217923</v>
      </c>
      <c r="E26" s="364">
        <f>IF(OR($B26&lt;$Y$6,$B26&gt;'Project Data and Assumptions'!$C$8),0,$AC$34*(1+$AA$15)^($B26-2020))</f>
        <v>103315.62756782408</v>
      </c>
      <c r="F26" s="362">
        <f>IF($B26&gt;'Project Data and Assumptions'!$C$8,0,$AC$30*(1+$AA$15)^($B26-2020))</f>
        <v>0</v>
      </c>
      <c r="G26" s="363">
        <f>IF($B26&gt;'Project Data and Assumptions'!$C$8,0,$AB$29*(1+$AA$15)^($B26-2020))</f>
        <v>0</v>
      </c>
      <c r="H26" s="364">
        <f>IF($B26&gt;'Project Data and Assumptions'!$C$8,0,$AC$29*(1+$AA$15)^($B26-2020))</f>
        <v>0</v>
      </c>
      <c r="I26" s="120">
        <f t="shared" si="0"/>
        <v>1242658.1088160172</v>
      </c>
      <c r="J26" s="326">
        <f t="shared" si="8"/>
        <v>8848.1487673177253</v>
      </c>
      <c r="K26" s="121">
        <f t="shared" si="9"/>
        <v>1373533.8032551508</v>
      </c>
      <c r="L26" s="121">
        <f t="shared" si="1"/>
        <v>1301776.9073545835</v>
      </c>
      <c r="M26" s="121">
        <f t="shared" si="10"/>
        <v>130689.35867408327</v>
      </c>
      <c r="N26" s="123">
        <f t="shared" si="2"/>
        <v>421.15322558897077</v>
      </c>
      <c r="O26" s="120">
        <f t="shared" si="3"/>
        <v>0</v>
      </c>
      <c r="P26" s="121">
        <f t="shared" si="11"/>
        <v>0</v>
      </c>
      <c r="Q26" s="121">
        <f t="shared" si="12"/>
        <v>0</v>
      </c>
      <c r="R26" s="121">
        <f t="shared" si="4"/>
        <v>0</v>
      </c>
      <c r="S26" s="121">
        <f t="shared" si="13"/>
        <v>0</v>
      </c>
      <c r="T26" s="123">
        <f t="shared" si="5"/>
        <v>0</v>
      </c>
      <c r="U26" s="120">
        <f t="shared" si="14"/>
        <v>4057927.4800927415</v>
      </c>
      <c r="V26" s="369">
        <f t="shared" si="6"/>
        <v>610321.27088761935</v>
      </c>
      <c r="X26" s="28"/>
      <c r="Y26" s="28"/>
      <c r="Z26" s="573"/>
      <c r="AA26" s="573"/>
      <c r="AB26" s="573"/>
      <c r="AC26" s="570"/>
      <c r="AD26" s="547"/>
      <c r="AG26" s="112" t="s">
        <v>65</v>
      </c>
    </row>
    <row r="27" spans="1:33" x14ac:dyDescent="0.25">
      <c r="A27" s="75">
        <f t="shared" si="7"/>
        <v>8985.8458615882282</v>
      </c>
      <c r="B27" s="2">
        <f t="shared" si="15"/>
        <v>2049</v>
      </c>
      <c r="C27" s="260">
        <f>IF(OR($B27&lt;$Y$6,$B27&gt;'Project Data and Assumptions'!$C$8),0,$AC$35*(1+$AA$15)^($B27-2020))</f>
        <v>100596.13261843947</v>
      </c>
      <c r="D27" s="91">
        <f>IF(OR($B27&lt;$Y$6,$B27&gt;'Project Data and Assumptions'!$C$8),0,$AB$34*(1+$AA$15)^($B27-2020))</f>
        <v>3775.565488062281</v>
      </c>
      <c r="E27" s="258">
        <f>IF(OR($B27&lt;$Y$6,$B27&gt;'Project Data and Assumptions'!$C$8),0,$AC$34*(1+$AA$15)^($B27-2020))</f>
        <v>105381.94011918054</v>
      </c>
      <c r="F27" s="260">
        <f>IF($B27&gt;'Project Data and Assumptions'!$C$8,0,$AC$30*(1+$AA$15)^($B27-2020))</f>
        <v>0</v>
      </c>
      <c r="G27" s="91">
        <f>IF($B27&gt;'Project Data and Assumptions'!$C$8,0,$AB$29*(1+$AA$15)^($B27-2020))</f>
        <v>0</v>
      </c>
      <c r="H27" s="258">
        <f>IF($B27&gt;'Project Data and Assumptions'!$C$8,0,$AC$29*(1+$AA$15)^($B27-2020))</f>
        <v>0</v>
      </c>
      <c r="I27" s="17">
        <f t="shared" si="0"/>
        <v>1267511.2709923375</v>
      </c>
      <c r="J27" s="325">
        <f t="shared" ref="J27:J29" si="16">(D27*$AA$40)*$AA$38*$AA$39</f>
        <v>9025.1117426640776</v>
      </c>
      <c r="K27" s="90">
        <f t="shared" ref="K27:K29" si="17">C27*$AA$43+SUM(D27:E27)*$AA$44</f>
        <v>1401004.4793202537</v>
      </c>
      <c r="L27" s="90">
        <f t="shared" si="1"/>
        <v>1327812.4455016749</v>
      </c>
      <c r="M27" s="90">
        <f t="shared" ref="M27:M29" si="18">SUM(D27:E27)*$AA$52</f>
        <v>133303.14584756491</v>
      </c>
      <c r="N27" s="92">
        <f t="shared" si="2"/>
        <v>429.57629010075021</v>
      </c>
      <c r="O27" s="17">
        <f t="shared" si="3"/>
        <v>0</v>
      </c>
      <c r="P27" s="90">
        <f t="shared" ref="P27:P29" si="19">(G27*$AA$40)*$AA$38*$AA$39</f>
        <v>0</v>
      </c>
      <c r="Q27" s="90">
        <f t="shared" ref="Q27:Q29" si="20">F27*$AA$43+SUM(G27:H27)*$AA$44</f>
        <v>0</v>
      </c>
      <c r="R27" s="90">
        <f t="shared" si="4"/>
        <v>0</v>
      </c>
      <c r="S27" s="90">
        <f t="shared" ref="S27:S29" si="21">SUM(G27:H27)*$AA$52</f>
        <v>0</v>
      </c>
      <c r="T27" s="92">
        <f t="shared" si="5"/>
        <v>0</v>
      </c>
      <c r="U27" s="17">
        <f t="shared" ref="U27:U29" si="22">SUM(I27:T27)</f>
        <v>4139086.0296945958</v>
      </c>
      <c r="V27" s="6">
        <f t="shared" si="6"/>
        <v>581801.5853321231</v>
      </c>
      <c r="X27" s="32" t="s">
        <v>641</v>
      </c>
      <c r="Y27" s="30"/>
      <c r="Z27" s="100"/>
      <c r="AA27" s="100"/>
      <c r="AB27" s="100"/>
      <c r="AC27" s="100"/>
    </row>
    <row r="28" spans="1:33" x14ac:dyDescent="0.25">
      <c r="A28" s="75">
        <f t="shared" si="7"/>
        <v>9165.5627788199945</v>
      </c>
      <c r="B28" s="2">
        <f t="shared" si="15"/>
        <v>2050</v>
      </c>
      <c r="C28" s="260">
        <f>IF(OR($B28&lt;$Y$6,$B28&gt;'Project Data and Assumptions'!$C$8),0,$AC$35*(1+$AA$15)^($B28-2020))</f>
        <v>102608.05527080827</v>
      </c>
      <c r="D28" s="91">
        <f>IF(OR($B28&lt;$Y$6,$B28&gt;'Project Data and Assumptions'!$C$8),0,$AB$34*(1+$AA$15)^($B28-2020))</f>
        <v>3851.0767978235272</v>
      </c>
      <c r="E28" s="258">
        <f>IF(OR($B28&lt;$Y$6,$B28&gt;'Project Data and Assumptions'!$C$8),0,$AC$34*(1+$AA$15)^($B28-2020))</f>
        <v>107489.57892156416</v>
      </c>
      <c r="F28" s="260">
        <f>IF($B28&gt;'Project Data and Assumptions'!$C$8,0,$AC$30*(1+$AA$15)^($B28-2020))</f>
        <v>0</v>
      </c>
      <c r="G28" s="91">
        <f>IF($B28&gt;'Project Data and Assumptions'!$C$8,0,$AB$29*(1+$AA$15)^($B28-2020))</f>
        <v>0</v>
      </c>
      <c r="H28" s="258">
        <f>IF($B28&gt;'Project Data and Assumptions'!$C$8,0,$AC$29*(1+$AA$15)^($B28-2020))</f>
        <v>0</v>
      </c>
      <c r="I28" s="17">
        <f t="shared" si="0"/>
        <v>1292861.4964121843</v>
      </c>
      <c r="J28" s="325">
        <f t="shared" si="16"/>
        <v>9205.6139775173597</v>
      </c>
      <c r="K28" s="90">
        <f t="shared" si="17"/>
        <v>1429024.5689066588</v>
      </c>
      <c r="L28" s="90">
        <f t="shared" si="1"/>
        <v>1354368.6944117083</v>
      </c>
      <c r="M28" s="90">
        <f t="shared" si="18"/>
        <v>135969.20876451622</v>
      </c>
      <c r="N28" s="92">
        <f t="shared" si="2"/>
        <v>438.16781590276526</v>
      </c>
      <c r="O28" s="17">
        <f t="shared" si="3"/>
        <v>0</v>
      </c>
      <c r="P28" s="90">
        <f t="shared" si="19"/>
        <v>0</v>
      </c>
      <c r="Q28" s="90">
        <f t="shared" si="20"/>
        <v>0</v>
      </c>
      <c r="R28" s="90">
        <f t="shared" si="4"/>
        <v>0</v>
      </c>
      <c r="S28" s="90">
        <f t="shared" si="21"/>
        <v>0</v>
      </c>
      <c r="T28" s="92">
        <f t="shared" si="5"/>
        <v>0</v>
      </c>
      <c r="U28" s="17">
        <f t="shared" si="22"/>
        <v>4221867.7502884874</v>
      </c>
      <c r="V28" s="6">
        <f t="shared" si="6"/>
        <v>554614.59536333231</v>
      </c>
      <c r="Z28" s="94" t="s">
        <v>23</v>
      </c>
      <c r="AA28" s="94" t="s">
        <v>468</v>
      </c>
      <c r="AB28" s="94" t="s">
        <v>53</v>
      </c>
      <c r="AC28" s="94" t="s">
        <v>261</v>
      </c>
      <c r="AD28" s="288" t="s">
        <v>486</v>
      </c>
    </row>
    <row r="29" spans="1:33" x14ac:dyDescent="0.25">
      <c r="A29" s="75">
        <f t="shared" si="7"/>
        <v>0</v>
      </c>
      <c r="B29" s="2">
        <f t="shared" si="15"/>
        <v>2051</v>
      </c>
      <c r="C29" s="260">
        <f>IF(OR($B29&lt;$Y$6,$B29&gt;'Project Data and Assumptions'!$C$8),0,$AC$35*(1+$AA$15)^($B29-2020))</f>
        <v>0</v>
      </c>
      <c r="D29" s="91">
        <f>IF(OR($B29&lt;$Y$6,$B29&gt;'Project Data and Assumptions'!$C$8),0,$AB$34*(1+$AA$15)^($B29-2020))</f>
        <v>0</v>
      </c>
      <c r="E29" s="258">
        <f>IF(OR($B29&lt;$Y$6,$B29&gt;'Project Data and Assumptions'!$C$8),0,$AC$34*(1+$AA$15)^($B29-2020))</f>
        <v>0</v>
      </c>
      <c r="F29" s="260">
        <f>IF($B29&gt;'Project Data and Assumptions'!$C$8,0,$AC$30*(1+$AA$15)^($B29-2020))</f>
        <v>0</v>
      </c>
      <c r="G29" s="91">
        <f>IF($B29&gt;'Project Data and Assumptions'!$C$8,0,$AB$29*(1+$AA$15)^($B29-2020))</f>
        <v>0</v>
      </c>
      <c r="H29" s="258">
        <f>IF($B29&gt;'Project Data and Assumptions'!$C$8,0,$AC$29*(1+$AA$15)^($B29-2020))</f>
        <v>0</v>
      </c>
      <c r="I29" s="17">
        <f t="shared" si="0"/>
        <v>0</v>
      </c>
      <c r="J29" s="325">
        <f t="shared" si="16"/>
        <v>0</v>
      </c>
      <c r="K29" s="90">
        <f t="shared" si="17"/>
        <v>0</v>
      </c>
      <c r="L29" s="90">
        <f t="shared" si="1"/>
        <v>0</v>
      </c>
      <c r="M29" s="90">
        <f t="shared" si="18"/>
        <v>0</v>
      </c>
      <c r="N29" s="92">
        <f t="shared" si="2"/>
        <v>0</v>
      </c>
      <c r="O29" s="17">
        <f t="shared" si="3"/>
        <v>0</v>
      </c>
      <c r="P29" s="90">
        <f t="shared" si="19"/>
        <v>0</v>
      </c>
      <c r="Q29" s="90">
        <f t="shared" si="20"/>
        <v>0</v>
      </c>
      <c r="R29" s="90">
        <f t="shared" si="4"/>
        <v>0</v>
      </c>
      <c r="S29" s="90">
        <f t="shared" si="21"/>
        <v>0</v>
      </c>
      <c r="T29" s="92">
        <f t="shared" si="5"/>
        <v>0</v>
      </c>
      <c r="U29" s="17">
        <f t="shared" si="22"/>
        <v>0</v>
      </c>
      <c r="V29" s="6">
        <f t="shared" si="6"/>
        <v>0</v>
      </c>
      <c r="X29" s="698" t="s">
        <v>191</v>
      </c>
      <c r="Y29" s="698"/>
      <c r="Z29" s="327">
        <f>$Y$8/$Y$7*Z24</f>
        <v>0</v>
      </c>
      <c r="AA29" s="289">
        <f>Z29*(SUM('Med Lake'!$B$27:$B$30)+'Med Lake'!$B$26*5/7)</f>
        <v>0</v>
      </c>
      <c r="AB29" s="289">
        <f>SUM($Z29:$Z30)*'Med Lake'!$C$11</f>
        <v>0</v>
      </c>
      <c r="AC29" s="327">
        <f>Z29-AB29</f>
        <v>0</v>
      </c>
      <c r="AD29" s="328">
        <f>IFERROR(AA29/Z29,0)</f>
        <v>0</v>
      </c>
    </row>
    <row r="30" spans="1:33" ht="15.75" thickBot="1" x14ac:dyDescent="0.3">
      <c r="A30" s="75">
        <f t="shared" si="7"/>
        <v>0</v>
      </c>
      <c r="B30" s="365">
        <f t="shared" si="15"/>
        <v>2052</v>
      </c>
      <c r="C30" s="366">
        <f>IF(OR($B30&lt;$Y$6,$B30&gt;'Project Data and Assumptions'!$C$8),0,$AC$35*(1+$AA$15)^($B30-2020))</f>
        <v>0</v>
      </c>
      <c r="D30" s="367">
        <f>IF(OR($B30&lt;$Y$6,$B30&gt;'Project Data and Assumptions'!$C$8),0,$AB$34*(1+$AA$15)^($B30-2020))</f>
        <v>0</v>
      </c>
      <c r="E30" s="368">
        <f>IF(OR($B30&lt;$Y$6,$B30&gt;'Project Data and Assumptions'!$C$8),0,$AC$34*(1+$AA$15)^($B30-2020))</f>
        <v>0</v>
      </c>
      <c r="F30" s="366">
        <f>IF($B30&gt;'Project Data and Assumptions'!$C$8,0,$AC$30*(1+$AA$15)^($B30-2020))</f>
        <v>0</v>
      </c>
      <c r="G30" s="367">
        <f>IF($B30&gt;'Project Data and Assumptions'!$C$8,0,$AB$29*(1+$AA$15)^($B30-2020))</f>
        <v>0</v>
      </c>
      <c r="H30" s="368">
        <f>IF($B30&gt;'Project Data and Assumptions'!$C$8,0,$AC$29*(1+$AA$15)^($B30-2020))</f>
        <v>0</v>
      </c>
      <c r="I30" s="357">
        <f t="shared" si="0"/>
        <v>0</v>
      </c>
      <c r="J30" s="358">
        <f t="shared" ref="J30" si="23">(D30*$AA$40)*$AA$38*$AA$39</f>
        <v>0</v>
      </c>
      <c r="K30" s="359">
        <f t="shared" ref="K30" si="24">C30*$AA$43+SUM(D30:E30)*$AA$44</f>
        <v>0</v>
      </c>
      <c r="L30" s="359">
        <f t="shared" si="1"/>
        <v>0</v>
      </c>
      <c r="M30" s="359">
        <f t="shared" ref="M30" si="25">SUM(D30:E30)*$AA$52</f>
        <v>0</v>
      </c>
      <c r="N30" s="360">
        <f t="shared" si="2"/>
        <v>0</v>
      </c>
      <c r="O30" s="357">
        <f t="shared" si="3"/>
        <v>0</v>
      </c>
      <c r="P30" s="359">
        <f t="shared" ref="P30" si="26">(G30*$AA$40)*$AA$38*$AA$39</f>
        <v>0</v>
      </c>
      <c r="Q30" s="359">
        <f t="shared" ref="Q30" si="27">F30*$AA$43+SUM(G30:H30)*$AA$44</f>
        <v>0</v>
      </c>
      <c r="R30" s="359">
        <f t="shared" si="4"/>
        <v>0</v>
      </c>
      <c r="S30" s="359">
        <f t="shared" ref="S30" si="28">SUM(G30:H30)*$AA$52</f>
        <v>0</v>
      </c>
      <c r="T30" s="360">
        <f t="shared" si="5"/>
        <v>0</v>
      </c>
      <c r="U30" s="143">
        <f t="shared" ref="U30" si="29">SUM(I30:T30)</f>
        <v>0</v>
      </c>
      <c r="V30" s="144">
        <f t="shared" si="6"/>
        <v>0</v>
      </c>
      <c r="X30" s="698" t="s">
        <v>190</v>
      </c>
      <c r="Y30" s="698"/>
      <c r="Z30" s="327">
        <f>$Y$8/$Y$7*Z25</f>
        <v>0</v>
      </c>
      <c r="AA30" s="289">
        <f>Z30*(SUM('Med Lake'!$B$27:$B$30)+'Med Lake'!$B$26*5/7)</f>
        <v>0</v>
      </c>
      <c r="AB30" s="289">
        <f>SUM($Z29:$Z30)*'Med Lake'!$C$11</f>
        <v>0</v>
      </c>
      <c r="AC30" s="327">
        <f>Z30-AB30</f>
        <v>0</v>
      </c>
      <c r="AD30" s="328">
        <f>IFERROR(AA30/Z30,0)</f>
        <v>0</v>
      </c>
    </row>
    <row r="31" spans="1:33" ht="15" customHeight="1" thickBot="1" x14ac:dyDescent="0.3">
      <c r="A31" s="75"/>
      <c r="B31" s="4"/>
      <c r="D31" s="4"/>
      <c r="G31" s="4"/>
      <c r="H31" s="97" t="s">
        <v>2</v>
      </c>
      <c r="I31" s="140">
        <f t="shared" ref="I31:V31" si="30">SUM(I7:I30)</f>
        <v>23285998.828561299</v>
      </c>
      <c r="J31" s="141">
        <f t="shared" si="30"/>
        <v>165804.23880789385</v>
      </c>
      <c r="K31" s="141">
        <f t="shared" si="30"/>
        <v>25738460.407314032</v>
      </c>
      <c r="L31" s="141">
        <f t="shared" si="30"/>
        <v>24393817.836660508</v>
      </c>
      <c r="M31" s="141">
        <f t="shared" si="30"/>
        <v>2448969.8585636476</v>
      </c>
      <c r="N31" s="142">
        <f t="shared" si="30"/>
        <v>7891.9321800052467</v>
      </c>
      <c r="O31" s="140">
        <f t="shared" si="30"/>
        <v>0</v>
      </c>
      <c r="P31" s="141">
        <f t="shared" si="30"/>
        <v>0</v>
      </c>
      <c r="Q31" s="141">
        <f t="shared" si="30"/>
        <v>0</v>
      </c>
      <c r="R31" s="141">
        <f t="shared" si="30"/>
        <v>0</v>
      </c>
      <c r="S31" s="141">
        <f t="shared" si="30"/>
        <v>0</v>
      </c>
      <c r="T31" s="142">
        <f t="shared" si="30"/>
        <v>0</v>
      </c>
      <c r="U31" s="143">
        <f t="shared" si="30"/>
        <v>76040943.102087393</v>
      </c>
      <c r="V31" s="144">
        <f t="shared" si="30"/>
        <v>21109429.338860542</v>
      </c>
      <c r="X31" s="30"/>
      <c r="Y31" s="30"/>
      <c r="Z31" s="114"/>
      <c r="AA31" s="114"/>
      <c r="AB31" s="114"/>
      <c r="AC31" s="100"/>
    </row>
    <row r="32" spans="1:33" ht="15" customHeight="1" x14ac:dyDescent="0.25">
      <c r="B32" s="4"/>
      <c r="D32" s="4"/>
      <c r="F32" s="97"/>
      <c r="G32" s="4"/>
      <c r="H32" s="4"/>
      <c r="I32" s="98"/>
      <c r="J32" s="98"/>
      <c r="K32" s="98"/>
      <c r="L32" s="98"/>
      <c r="M32" s="98"/>
      <c r="N32" s="98"/>
      <c r="O32" s="98"/>
      <c r="P32" s="98"/>
      <c r="Q32" s="98"/>
      <c r="R32" s="98"/>
      <c r="S32" s="98"/>
      <c r="T32" s="98"/>
      <c r="U32" s="98"/>
      <c r="V32" s="98"/>
      <c r="X32" s="32" t="s">
        <v>642</v>
      </c>
      <c r="Y32" s="30"/>
      <c r="Z32" s="100"/>
      <c r="AA32" s="100"/>
      <c r="AB32" s="100"/>
      <c r="AC32" s="100"/>
    </row>
    <row r="33" spans="1:33" ht="15" customHeight="1" x14ac:dyDescent="0.25">
      <c r="D33" s="99"/>
      <c r="U33" s="30"/>
      <c r="Z33" s="94" t="s">
        <v>23</v>
      </c>
      <c r="AA33" s="94" t="s">
        <v>468</v>
      </c>
      <c r="AB33" s="94" t="s">
        <v>53</v>
      </c>
      <c r="AC33" s="94" t="s">
        <v>261</v>
      </c>
      <c r="AD33" s="288" t="s">
        <v>486</v>
      </c>
    </row>
    <row r="34" spans="1:33" ht="17.25" customHeight="1" x14ac:dyDescent="0.25">
      <c r="D34" s="99"/>
      <c r="U34" s="30"/>
      <c r="X34" s="698" t="s">
        <v>191</v>
      </c>
      <c r="Y34" s="698"/>
      <c r="Z34" s="95">
        <f>$Y$9/$Y$7*Z24</f>
        <v>61467.934782608689</v>
      </c>
      <c r="AA34" s="289">
        <f>Z34*(SUM('Med Lake'!$B$27:$B$30)+'Med Lake'!$B$26*5/7)</f>
        <v>54234.388217391308</v>
      </c>
      <c r="AB34" s="289">
        <f>SUM($Z34:$Z35)*'Med Lake'!$C$11</f>
        <v>2126.0673913043474</v>
      </c>
      <c r="AC34" s="95">
        <f>Z34-AB34</f>
        <v>59341.867391304339</v>
      </c>
      <c r="AD34" s="254">
        <f>AA34/Z34</f>
        <v>0.8823200000000001</v>
      </c>
    </row>
    <row r="35" spans="1:33" ht="17.25" customHeight="1" x14ac:dyDescent="0.25">
      <c r="B35" s="175" t="s">
        <v>3</v>
      </c>
      <c r="H35" s="175"/>
      <c r="U35" s="30"/>
      <c r="X35" s="698" t="s">
        <v>190</v>
      </c>
      <c r="Y35" s="698"/>
      <c r="Z35" s="95">
        <f>$Y$9/$Y$7*Z25</f>
        <v>56646.920289855065</v>
      </c>
      <c r="AA35" s="289">
        <f>Z35*(SUM('Med Lake'!$B$27:$B$30)+'Med Lake'!$B$26*5/7)</f>
        <v>49980.710710144929</v>
      </c>
      <c r="AB35" s="329">
        <v>0</v>
      </c>
      <c r="AC35" s="95">
        <f>Z35-AB35</f>
        <v>56646.920289855065</v>
      </c>
      <c r="AD35" s="254">
        <f>AA35/Z35</f>
        <v>0.8823200000000001</v>
      </c>
    </row>
    <row r="36" spans="1:33" ht="17.25" customHeight="1" x14ac:dyDescent="0.25">
      <c r="A36" s="631" t="s">
        <v>18</v>
      </c>
      <c r="B36" s="632" t="s">
        <v>684</v>
      </c>
      <c r="C36" s="633"/>
      <c r="D36" s="633"/>
      <c r="E36" s="634"/>
      <c r="F36" s="634"/>
      <c r="G36" s="634"/>
      <c r="H36" s="634"/>
      <c r="I36" s="634"/>
      <c r="J36" s="634"/>
      <c r="K36" s="634"/>
      <c r="L36" s="634"/>
      <c r="M36" s="634"/>
      <c r="N36" s="634"/>
      <c r="O36" s="634"/>
      <c r="P36" s="634"/>
      <c r="Q36" s="634"/>
      <c r="R36" s="634"/>
      <c r="S36" s="634"/>
      <c r="T36" s="62"/>
      <c r="U36" s="31"/>
      <c r="V36" s="31"/>
      <c r="X36" s="30"/>
      <c r="Y36" s="30"/>
      <c r="Z36" s="100"/>
      <c r="AA36" s="100"/>
      <c r="AB36" s="100"/>
      <c r="AC36" s="100"/>
    </row>
    <row r="37" spans="1:33" ht="15" customHeight="1" x14ac:dyDescent="0.25">
      <c r="A37" s="631"/>
      <c r="B37" s="632"/>
      <c r="C37" s="633"/>
      <c r="D37" s="633"/>
      <c r="E37" s="634"/>
      <c r="F37" s="634"/>
      <c r="G37" s="634"/>
      <c r="H37" s="634"/>
      <c r="I37" s="634"/>
      <c r="J37" s="635"/>
      <c r="K37" s="635"/>
      <c r="L37" s="634"/>
      <c r="M37" s="634"/>
      <c r="N37" s="634"/>
      <c r="O37" s="634"/>
      <c r="P37" s="635"/>
      <c r="Q37" s="635"/>
      <c r="R37" s="634"/>
      <c r="S37" s="634"/>
      <c r="T37" s="62"/>
      <c r="U37" s="31"/>
      <c r="V37" s="31"/>
      <c r="X37" s="175" t="s">
        <v>643</v>
      </c>
      <c r="Z37" s="100"/>
      <c r="AA37" s="100"/>
      <c r="AB37" s="100"/>
      <c r="AC37" s="100"/>
    </row>
    <row r="38" spans="1:33" ht="17.25" customHeight="1" x14ac:dyDescent="0.25">
      <c r="A38" s="631" t="s">
        <v>17</v>
      </c>
      <c r="B38" s="632" t="s">
        <v>645</v>
      </c>
      <c r="C38" s="633"/>
      <c r="D38" s="633"/>
      <c r="E38" s="634"/>
      <c r="F38" s="634"/>
      <c r="G38" s="634"/>
      <c r="H38" s="634"/>
      <c r="I38" s="634"/>
      <c r="J38" s="634"/>
      <c r="K38" s="634"/>
      <c r="L38" s="634"/>
      <c r="M38" s="634"/>
      <c r="N38" s="634"/>
      <c r="O38" s="634"/>
      <c r="P38" s="634"/>
      <c r="Q38" s="634"/>
      <c r="R38" s="634"/>
      <c r="S38" s="634"/>
      <c r="T38" s="62"/>
      <c r="U38" s="31"/>
      <c r="V38" s="31"/>
      <c r="X38" s="698" t="s">
        <v>669</v>
      </c>
      <c r="Y38" s="698"/>
      <c r="Z38" s="698"/>
      <c r="AA38" s="101">
        <v>21.6</v>
      </c>
    </row>
    <row r="39" spans="1:33" ht="15" customHeight="1" x14ac:dyDescent="0.25">
      <c r="A39" s="631"/>
      <c r="B39" s="632"/>
      <c r="C39" s="633"/>
      <c r="D39" s="633"/>
      <c r="E39" s="634"/>
      <c r="F39" s="634"/>
      <c r="G39" s="634"/>
      <c r="H39" s="634"/>
      <c r="I39" s="634"/>
      <c r="J39" s="634"/>
      <c r="K39" s="634"/>
      <c r="L39" s="634"/>
      <c r="M39" s="634"/>
      <c r="N39" s="634"/>
      <c r="O39" s="634"/>
      <c r="P39" s="634"/>
      <c r="Q39" s="634"/>
      <c r="R39" s="634"/>
      <c r="S39" s="634"/>
      <c r="T39" s="62"/>
      <c r="U39" s="31"/>
      <c r="V39" s="31"/>
      <c r="X39" s="700" t="s">
        <v>670</v>
      </c>
      <c r="Y39" s="700"/>
      <c r="Z39" s="700"/>
      <c r="AA39" s="134">
        <f>16.6/60</f>
        <v>0.27666666666666667</v>
      </c>
      <c r="AB39" s="155"/>
    </row>
    <row r="40" spans="1:33" ht="15" customHeight="1" x14ac:dyDescent="0.25">
      <c r="A40" s="627" t="s">
        <v>19</v>
      </c>
      <c r="B40" s="787" t="s">
        <v>688</v>
      </c>
      <c r="C40" s="787"/>
      <c r="D40" s="787"/>
      <c r="E40" s="787"/>
      <c r="F40" s="787"/>
      <c r="G40" s="787"/>
      <c r="H40" s="787"/>
      <c r="I40" s="787"/>
      <c r="J40" s="787"/>
      <c r="K40" s="787"/>
      <c r="L40" s="787"/>
      <c r="M40" s="787"/>
      <c r="N40" s="787"/>
      <c r="O40" s="787"/>
      <c r="P40" s="787"/>
      <c r="Q40" s="787"/>
      <c r="R40" s="787"/>
      <c r="S40" s="787"/>
      <c r="T40" s="579"/>
      <c r="U40" s="253"/>
      <c r="V40" s="253"/>
      <c r="X40" s="695" t="s">
        <v>671</v>
      </c>
      <c r="Y40" s="695"/>
      <c r="Z40" s="695"/>
      <c r="AA40" s="116">
        <v>0.4</v>
      </c>
    </row>
    <row r="41" spans="1:33" ht="17.25" customHeight="1" x14ac:dyDescent="0.25">
      <c r="A41" s="627"/>
      <c r="B41" s="787"/>
      <c r="C41" s="787"/>
      <c r="D41" s="787"/>
      <c r="E41" s="787"/>
      <c r="F41" s="787"/>
      <c r="G41" s="787"/>
      <c r="H41" s="787"/>
      <c r="I41" s="787"/>
      <c r="J41" s="787"/>
      <c r="K41" s="787"/>
      <c r="L41" s="787"/>
      <c r="M41" s="787"/>
      <c r="N41" s="787"/>
      <c r="O41" s="787"/>
      <c r="P41" s="787"/>
      <c r="Q41" s="787"/>
      <c r="R41" s="787"/>
      <c r="S41" s="787"/>
      <c r="T41" s="14"/>
      <c r="AG41" s="117" t="s">
        <v>66</v>
      </c>
    </row>
    <row r="42" spans="1:33" ht="17.25" customHeight="1" x14ac:dyDescent="0.25">
      <c r="A42" s="627"/>
      <c r="B42" s="623"/>
      <c r="C42" s="623"/>
      <c r="D42" s="623"/>
      <c r="E42" s="623"/>
      <c r="F42" s="623"/>
      <c r="G42" s="623"/>
      <c r="H42" s="623"/>
      <c r="I42" s="623"/>
      <c r="J42" s="623"/>
      <c r="K42" s="623"/>
      <c r="L42" s="623"/>
      <c r="M42" s="623"/>
      <c r="N42" s="623"/>
      <c r="O42" s="623"/>
      <c r="P42" s="623"/>
      <c r="Q42" s="623"/>
      <c r="R42" s="623"/>
      <c r="S42" s="623"/>
      <c r="T42" s="623"/>
      <c r="U42" s="253"/>
      <c r="V42" s="253"/>
      <c r="W42" s="31"/>
      <c r="X42" s="525" t="s">
        <v>672</v>
      </c>
      <c r="AG42" s="117" t="s">
        <v>66</v>
      </c>
    </row>
    <row r="43" spans="1:33" ht="15" customHeight="1" x14ac:dyDescent="0.25">
      <c r="A43" s="627" t="s">
        <v>20</v>
      </c>
      <c r="B43" s="788" t="s">
        <v>660</v>
      </c>
      <c r="C43" s="788"/>
      <c r="D43" s="788"/>
      <c r="E43" s="788"/>
      <c r="F43" s="788"/>
      <c r="G43" s="788"/>
      <c r="H43" s="788"/>
      <c r="I43" s="788"/>
      <c r="J43" s="788"/>
      <c r="K43" s="788"/>
      <c r="L43" s="788"/>
      <c r="M43" s="788"/>
      <c r="N43" s="788"/>
      <c r="O43" s="788"/>
      <c r="P43" s="788"/>
      <c r="Q43" s="788"/>
      <c r="R43" s="788"/>
      <c r="S43" s="788"/>
      <c r="T43" s="14"/>
      <c r="U43" s="253"/>
      <c r="V43" s="253"/>
      <c r="W43" s="31"/>
      <c r="X43" s="262" t="s">
        <v>164</v>
      </c>
      <c r="Y43" s="263"/>
      <c r="Z43" s="263"/>
      <c r="AA43" s="185">
        <v>7.08</v>
      </c>
      <c r="AG43" s="127" t="s">
        <v>55</v>
      </c>
    </row>
    <row r="44" spans="1:33" ht="15" customHeight="1" x14ac:dyDescent="0.25">
      <c r="A44" s="627"/>
      <c r="B44" s="788"/>
      <c r="C44" s="788"/>
      <c r="D44" s="788"/>
      <c r="E44" s="788"/>
      <c r="F44" s="788"/>
      <c r="G44" s="788"/>
      <c r="H44" s="788"/>
      <c r="I44" s="788"/>
      <c r="J44" s="788"/>
      <c r="K44" s="788"/>
      <c r="L44" s="788"/>
      <c r="M44" s="788"/>
      <c r="N44" s="788"/>
      <c r="O44" s="788"/>
      <c r="P44" s="788"/>
      <c r="Q44" s="788"/>
      <c r="R44" s="788"/>
      <c r="S44" s="788"/>
      <c r="T44" s="62"/>
      <c r="W44" s="31"/>
      <c r="X44" s="262" t="s">
        <v>165</v>
      </c>
      <c r="Y44" s="263"/>
      <c r="Z44" s="263"/>
      <c r="AA44" s="643">
        <v>6.31</v>
      </c>
      <c r="AC44" s="115"/>
      <c r="AG44" s="117" t="s">
        <v>67</v>
      </c>
    </row>
    <row r="45" spans="1:33" ht="17.25" customHeight="1" x14ac:dyDescent="0.25">
      <c r="A45" s="627"/>
      <c r="B45" s="788"/>
      <c r="C45" s="788"/>
      <c r="D45" s="788"/>
      <c r="E45" s="788"/>
      <c r="F45" s="788"/>
      <c r="G45" s="788"/>
      <c r="H45" s="788"/>
      <c r="I45" s="788"/>
      <c r="J45" s="788"/>
      <c r="K45" s="788"/>
      <c r="L45" s="788"/>
      <c r="M45" s="788"/>
      <c r="N45" s="788"/>
      <c r="O45" s="788"/>
      <c r="P45" s="788"/>
      <c r="Q45" s="788"/>
      <c r="R45" s="788"/>
      <c r="S45" s="788"/>
      <c r="T45" s="62"/>
      <c r="U45" s="31"/>
      <c r="V45" s="31"/>
      <c r="W45" s="31"/>
      <c r="AG45" s="117" t="s">
        <v>68</v>
      </c>
    </row>
    <row r="46" spans="1:33" ht="15" customHeight="1" x14ac:dyDescent="0.25">
      <c r="A46" s="627"/>
      <c r="B46" s="623"/>
      <c r="C46" s="623"/>
      <c r="D46" s="623"/>
      <c r="E46" s="623"/>
      <c r="F46" s="623"/>
      <c r="G46" s="623"/>
      <c r="H46" s="623"/>
      <c r="I46" s="623"/>
      <c r="J46" s="623"/>
      <c r="K46" s="623"/>
      <c r="L46" s="623"/>
      <c r="M46" s="623"/>
      <c r="N46" s="623"/>
      <c r="O46" s="623"/>
      <c r="P46" s="623"/>
      <c r="Q46" s="623"/>
      <c r="R46" s="623"/>
      <c r="S46" s="623"/>
      <c r="T46" s="62"/>
      <c r="U46" s="31"/>
      <c r="V46" s="31"/>
      <c r="W46" s="31"/>
      <c r="X46" s="525" t="s">
        <v>673</v>
      </c>
      <c r="AG46" s="286"/>
    </row>
    <row r="47" spans="1:33" ht="15" customHeight="1" x14ac:dyDescent="0.25">
      <c r="A47" s="627" t="s">
        <v>57</v>
      </c>
      <c r="B47" s="699" t="s">
        <v>689</v>
      </c>
      <c r="C47" s="699"/>
      <c r="D47" s="699"/>
      <c r="E47" s="699"/>
      <c r="F47" s="699"/>
      <c r="G47" s="699"/>
      <c r="H47" s="699"/>
      <c r="I47" s="699"/>
      <c r="J47" s="699"/>
      <c r="K47" s="699"/>
      <c r="L47" s="699"/>
      <c r="M47" s="699"/>
      <c r="N47" s="699"/>
      <c r="O47" s="699"/>
      <c r="P47" s="699"/>
      <c r="Q47" s="699"/>
      <c r="R47" s="699"/>
      <c r="S47" s="699"/>
      <c r="T47" s="62"/>
      <c r="U47" s="31"/>
      <c r="V47" s="31"/>
      <c r="W47" s="31"/>
      <c r="X47" s="695" t="s">
        <v>492</v>
      </c>
      <c r="Y47" s="695"/>
      <c r="Z47" s="695"/>
      <c r="AA47" s="102">
        <v>10</v>
      </c>
      <c r="AG47" s="286"/>
    </row>
    <row r="48" spans="1:33" ht="16.5" customHeight="1" x14ac:dyDescent="0.25">
      <c r="A48" s="627"/>
      <c r="B48" s="699"/>
      <c r="C48" s="699"/>
      <c r="D48" s="699"/>
      <c r="E48" s="699"/>
      <c r="F48" s="699"/>
      <c r="G48" s="699"/>
      <c r="H48" s="699"/>
      <c r="I48" s="699"/>
      <c r="J48" s="699"/>
      <c r="K48" s="699"/>
      <c r="L48" s="699"/>
      <c r="M48" s="699"/>
      <c r="N48" s="699"/>
      <c r="O48" s="699"/>
      <c r="P48" s="699"/>
      <c r="Q48" s="699"/>
      <c r="R48" s="699"/>
      <c r="S48" s="699"/>
      <c r="T48" s="62"/>
      <c r="U48" s="31"/>
      <c r="V48" s="31"/>
      <c r="W48" s="31"/>
      <c r="X48" s="695" t="s">
        <v>58</v>
      </c>
      <c r="Y48" s="695"/>
      <c r="Z48" s="695"/>
      <c r="AA48" s="104">
        <f>365-90</f>
        <v>275</v>
      </c>
      <c r="AG48" s="117" t="s">
        <v>69</v>
      </c>
    </row>
    <row r="49" spans="1:39" x14ac:dyDescent="0.25">
      <c r="A49" s="628"/>
      <c r="B49" s="565"/>
      <c r="C49" s="624"/>
      <c r="D49" s="624"/>
      <c r="E49" s="629"/>
      <c r="F49" s="629"/>
      <c r="G49" s="629"/>
      <c r="H49" s="629"/>
      <c r="I49" s="629"/>
      <c r="J49" s="629"/>
      <c r="K49" s="629"/>
      <c r="L49" s="629"/>
      <c r="M49" s="629"/>
      <c r="N49" s="629"/>
      <c r="O49" s="31"/>
      <c r="P49" s="31"/>
      <c r="Q49" s="31"/>
      <c r="R49" s="31"/>
      <c r="S49" s="31"/>
      <c r="T49" s="62"/>
      <c r="U49" s="31"/>
      <c r="V49" s="31"/>
      <c r="W49" s="31"/>
      <c r="X49" s="240"/>
      <c r="Y49" s="240"/>
      <c r="Z49" s="240"/>
      <c r="AA49" s="241"/>
    </row>
    <row r="50" spans="1:39" x14ac:dyDescent="0.25">
      <c r="A50" s="627" t="s">
        <v>681</v>
      </c>
      <c r="B50" s="699" t="s">
        <v>679</v>
      </c>
      <c r="C50" s="699"/>
      <c r="D50" s="699"/>
      <c r="E50" s="699"/>
      <c r="F50" s="699"/>
      <c r="G50" s="699"/>
      <c r="H50" s="699"/>
      <c r="I50" s="699"/>
      <c r="J50" s="699"/>
      <c r="K50" s="699"/>
      <c r="L50" s="699"/>
      <c r="M50" s="699"/>
      <c r="N50" s="699"/>
      <c r="O50" s="699"/>
      <c r="P50" s="699"/>
      <c r="Q50" s="699"/>
      <c r="R50" s="699"/>
      <c r="S50" s="699"/>
      <c r="W50" s="31"/>
      <c r="X50" s="27" t="s">
        <v>674</v>
      </c>
      <c r="Y50" s="547"/>
      <c r="Z50" s="547"/>
    </row>
    <row r="51" spans="1:39" ht="18" customHeight="1" x14ac:dyDescent="0.25">
      <c r="A51" s="627"/>
      <c r="B51" s="699"/>
      <c r="C51" s="699"/>
      <c r="D51" s="699"/>
      <c r="E51" s="699"/>
      <c r="F51" s="699"/>
      <c r="G51" s="699"/>
      <c r="H51" s="699"/>
      <c r="I51" s="699"/>
      <c r="J51" s="699"/>
      <c r="K51" s="699"/>
      <c r="L51" s="699"/>
      <c r="M51" s="699"/>
      <c r="N51" s="699"/>
      <c r="O51" s="699"/>
      <c r="P51" s="699"/>
      <c r="Q51" s="699"/>
      <c r="R51" s="699"/>
      <c r="S51" s="699"/>
      <c r="T51" s="14"/>
      <c r="U51" s="14"/>
      <c r="V51" s="14"/>
      <c r="W51" s="31"/>
      <c r="X51" s="700" t="s">
        <v>158</v>
      </c>
      <c r="Y51" s="700"/>
      <c r="Z51" s="700"/>
      <c r="AA51" s="176">
        <v>1.42</v>
      </c>
      <c r="AG51" s="117" t="s">
        <v>70</v>
      </c>
    </row>
    <row r="52" spans="1:39" ht="15" customHeight="1" x14ac:dyDescent="0.25">
      <c r="A52" s="627"/>
      <c r="B52" s="699"/>
      <c r="C52" s="699"/>
      <c r="D52" s="699"/>
      <c r="E52" s="699"/>
      <c r="F52" s="699"/>
      <c r="G52" s="699"/>
      <c r="H52" s="699"/>
      <c r="I52" s="699"/>
      <c r="J52" s="699"/>
      <c r="K52" s="699"/>
      <c r="L52" s="699"/>
      <c r="M52" s="699"/>
      <c r="N52" s="699"/>
      <c r="O52" s="699"/>
      <c r="P52" s="699"/>
      <c r="Q52" s="699"/>
      <c r="R52" s="699"/>
      <c r="S52" s="699"/>
      <c r="W52" s="31"/>
      <c r="X52" s="283" t="s">
        <v>494</v>
      </c>
      <c r="Y52" s="283"/>
      <c r="Z52" s="283"/>
      <c r="AA52" s="176">
        <f>$AA$51*$AC$19</f>
        <v>1.2211999999999998</v>
      </c>
      <c r="AG52" s="112" t="s">
        <v>71</v>
      </c>
    </row>
    <row r="53" spans="1:39" x14ac:dyDescent="0.25">
      <c r="A53" s="628"/>
      <c r="B53" s="699"/>
      <c r="C53" s="699"/>
      <c r="D53" s="699"/>
      <c r="E53" s="699"/>
      <c r="F53" s="699"/>
      <c r="G53" s="699"/>
      <c r="H53" s="699"/>
      <c r="I53" s="699"/>
      <c r="J53" s="699"/>
      <c r="K53" s="699"/>
      <c r="L53" s="699"/>
      <c r="M53" s="699"/>
      <c r="N53" s="699"/>
      <c r="O53" s="699"/>
      <c r="P53" s="699"/>
      <c r="Q53" s="699"/>
      <c r="R53" s="699"/>
      <c r="S53" s="699"/>
      <c r="T53" s="31"/>
      <c r="U53" s="31"/>
      <c r="V53" s="31"/>
      <c r="W53" s="31"/>
      <c r="X53" s="283" t="s">
        <v>493</v>
      </c>
      <c r="Y53" s="283"/>
      <c r="Z53" s="283"/>
      <c r="AA53" s="176">
        <f>$AA$51*$AC$18</f>
        <v>0</v>
      </c>
    </row>
    <row r="54" spans="1:39" x14ac:dyDescent="0.25">
      <c r="A54" s="628"/>
      <c r="B54" s="565"/>
      <c r="C54" s="624"/>
      <c r="D54" s="624"/>
      <c r="E54" s="629"/>
      <c r="F54" s="629"/>
      <c r="G54" s="629"/>
      <c r="H54" s="31"/>
      <c r="I54" s="31"/>
      <c r="J54" s="31"/>
      <c r="K54" s="31"/>
      <c r="L54" s="31"/>
      <c r="M54" s="31"/>
      <c r="N54" s="31"/>
      <c r="O54" s="31"/>
      <c r="P54" s="31"/>
      <c r="Q54" s="31"/>
      <c r="R54" s="31"/>
      <c r="S54" s="31"/>
      <c r="T54" s="31"/>
      <c r="U54" s="31"/>
      <c r="V54" s="31"/>
      <c r="W54" s="31"/>
      <c r="AH54" s="119"/>
      <c r="AI54" s="119"/>
      <c r="AJ54" s="119"/>
      <c r="AK54" s="119"/>
    </row>
    <row r="55" spans="1:39" x14ac:dyDescent="0.25">
      <c r="A55" s="628" t="s">
        <v>690</v>
      </c>
      <c r="B55" s="699" t="s">
        <v>680</v>
      </c>
      <c r="C55" s="699"/>
      <c r="D55" s="699"/>
      <c r="E55" s="699"/>
      <c r="F55" s="699"/>
      <c r="G55" s="699"/>
      <c r="H55" s="699"/>
      <c r="I55" s="699"/>
      <c r="J55" s="699"/>
      <c r="K55" s="699"/>
      <c r="L55" s="699"/>
      <c r="M55" s="699"/>
      <c r="N55" s="699"/>
      <c r="O55" s="699"/>
      <c r="P55" s="699"/>
      <c r="Q55" s="699"/>
      <c r="R55" s="699"/>
      <c r="S55" s="699"/>
      <c r="W55" s="31"/>
      <c r="X55" s="525" t="s">
        <v>675</v>
      </c>
      <c r="AG55" s="704" t="s">
        <v>72</v>
      </c>
      <c r="AH55" s="704"/>
      <c r="AI55" s="704"/>
      <c r="AJ55" s="704"/>
      <c r="AK55" s="704"/>
      <c r="AL55" s="704"/>
      <c r="AM55" s="704"/>
    </row>
    <row r="56" spans="1:39" x14ac:dyDescent="0.25">
      <c r="A56" s="627"/>
      <c r="B56" s="699"/>
      <c r="C56" s="699"/>
      <c r="D56" s="699"/>
      <c r="E56" s="699"/>
      <c r="F56" s="699"/>
      <c r="G56" s="699"/>
      <c r="H56" s="699"/>
      <c r="I56" s="699"/>
      <c r="J56" s="699"/>
      <c r="K56" s="699"/>
      <c r="L56" s="699"/>
      <c r="M56" s="699"/>
      <c r="N56" s="699"/>
      <c r="O56" s="699"/>
      <c r="P56" s="699"/>
      <c r="Q56" s="699"/>
      <c r="R56" s="699"/>
      <c r="S56" s="699"/>
      <c r="T56" s="26"/>
      <c r="U56" s="26"/>
      <c r="V56" s="26"/>
      <c r="W56" s="31"/>
      <c r="X56" s="698" t="s">
        <v>59</v>
      </c>
      <c r="Y56" s="698"/>
      <c r="Z56" s="105">
        <v>0.105</v>
      </c>
      <c r="AG56" s="704"/>
      <c r="AH56" s="704"/>
      <c r="AI56" s="704"/>
      <c r="AJ56" s="704"/>
      <c r="AK56" s="704"/>
      <c r="AL56" s="704"/>
      <c r="AM56" s="704"/>
    </row>
    <row r="57" spans="1:39" ht="15" customHeight="1" x14ac:dyDescent="0.25">
      <c r="A57" s="627"/>
      <c r="B57" s="699"/>
      <c r="C57" s="699"/>
      <c r="D57" s="699"/>
      <c r="E57" s="699"/>
      <c r="F57" s="699"/>
      <c r="G57" s="699"/>
      <c r="H57" s="699"/>
      <c r="I57" s="699"/>
      <c r="J57" s="699"/>
      <c r="K57" s="699"/>
      <c r="L57" s="699"/>
      <c r="M57" s="699"/>
      <c r="N57" s="699"/>
      <c r="O57" s="699"/>
      <c r="P57" s="699"/>
      <c r="Q57" s="699"/>
      <c r="R57" s="699"/>
      <c r="S57" s="699"/>
      <c r="W57" s="31"/>
      <c r="X57" s="705"/>
      <c r="Y57" s="705"/>
    </row>
    <row r="58" spans="1:39" x14ac:dyDescent="0.25">
      <c r="B58" s="14"/>
      <c r="W58" s="31"/>
      <c r="X58" s="130" t="s">
        <v>676</v>
      </c>
      <c r="Y58" s="547"/>
      <c r="Z58" s="547"/>
    </row>
    <row r="59" spans="1:39" x14ac:dyDescent="0.25">
      <c r="B59" s="14"/>
      <c r="W59" s="31"/>
      <c r="X59" s="696" t="s">
        <v>76</v>
      </c>
      <c r="Y59" s="697"/>
      <c r="Z59" s="575">
        <f>113.468/78.025</f>
        <v>1.4542518423582185</v>
      </c>
    </row>
    <row r="60" spans="1:39" x14ac:dyDescent="0.25">
      <c r="B60" s="14"/>
      <c r="W60" s="31"/>
      <c r="X60" s="696" t="s">
        <v>75</v>
      </c>
      <c r="Y60" s="697"/>
      <c r="Z60" s="575">
        <v>1.26</v>
      </c>
    </row>
    <row r="61" spans="1:39" x14ac:dyDescent="0.25">
      <c r="B61" s="14"/>
      <c r="W61" s="31"/>
      <c r="Z61" s="107"/>
    </row>
    <row r="62" spans="1:39" x14ac:dyDescent="0.25">
      <c r="B62" s="14"/>
      <c r="W62" s="31"/>
      <c r="X62" s="309" t="s">
        <v>644</v>
      </c>
    </row>
    <row r="63" spans="1:39" x14ac:dyDescent="0.25">
      <c r="B63" s="14"/>
      <c r="X63" s="695" t="s">
        <v>60</v>
      </c>
      <c r="Y63" s="695"/>
      <c r="Z63" s="118">
        <v>0</v>
      </c>
    </row>
    <row r="64" spans="1:39" x14ac:dyDescent="0.25">
      <c r="B64" s="14"/>
      <c r="X64" s="695" t="s">
        <v>61</v>
      </c>
      <c r="Y64" s="695"/>
      <c r="Z64" s="282">
        <v>0.75</v>
      </c>
      <c r="AG64" s="112" t="s">
        <v>62</v>
      </c>
    </row>
    <row r="65" spans="2:26" x14ac:dyDescent="0.25">
      <c r="B65" s="14"/>
      <c r="X65" s="623"/>
      <c r="Y65" s="623"/>
      <c r="Z65" s="623"/>
    </row>
    <row r="66" spans="2:26" x14ac:dyDescent="0.25">
      <c r="B66" s="14"/>
    </row>
    <row r="67" spans="2:26" x14ac:dyDescent="0.25">
      <c r="B67" s="14"/>
    </row>
    <row r="68" spans="2:26" x14ac:dyDescent="0.25">
      <c r="B68" s="14"/>
    </row>
    <row r="69" spans="2:26" x14ac:dyDescent="0.25">
      <c r="B69" s="14"/>
    </row>
    <row r="70" spans="2:26" x14ac:dyDescent="0.25">
      <c r="B70" s="14"/>
    </row>
    <row r="71" spans="2:26" x14ac:dyDescent="0.25">
      <c r="B71" s="14"/>
    </row>
    <row r="72" spans="2:26" x14ac:dyDescent="0.25">
      <c r="B72" s="14"/>
    </row>
    <row r="73" spans="2:26" x14ac:dyDescent="0.25">
      <c r="B73" s="14"/>
    </row>
    <row r="74" spans="2:26" x14ac:dyDescent="0.25">
      <c r="B74" s="14"/>
    </row>
    <row r="75" spans="2:26" x14ac:dyDescent="0.25">
      <c r="B75" s="14"/>
    </row>
    <row r="76" spans="2:26" x14ac:dyDescent="0.25">
      <c r="B76" s="14"/>
    </row>
    <row r="77" spans="2:26" x14ac:dyDescent="0.25">
      <c r="B77" s="14"/>
    </row>
    <row r="78" spans="2:26" x14ac:dyDescent="0.25">
      <c r="B78" s="14"/>
    </row>
    <row r="79" spans="2:26" x14ac:dyDescent="0.25">
      <c r="B79" s="14"/>
    </row>
    <row r="80" spans="2:26" x14ac:dyDescent="0.25">
      <c r="B80" s="14"/>
    </row>
    <row r="81" spans="2:2" x14ac:dyDescent="0.25">
      <c r="B81" s="14"/>
    </row>
    <row r="82" spans="2:2" x14ac:dyDescent="0.25">
      <c r="B82" s="14"/>
    </row>
    <row r="83" spans="2:2" x14ac:dyDescent="0.25">
      <c r="B83" s="14"/>
    </row>
    <row r="84" spans="2:2" x14ac:dyDescent="0.25">
      <c r="B84" s="14"/>
    </row>
    <row r="85" spans="2:2" x14ac:dyDescent="0.25">
      <c r="B85" s="14"/>
    </row>
    <row r="86" spans="2:2" x14ac:dyDescent="0.25">
      <c r="B86" s="14"/>
    </row>
  </sheetData>
  <mergeCells count="55">
    <mergeCell ref="B55:S57"/>
    <mergeCell ref="B43:S45"/>
    <mergeCell ref="B47:S48"/>
    <mergeCell ref="B50:S53"/>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40:S41"/>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3FE1-92B0-4DCC-9B19-CD43019499AC}">
  <sheetPr>
    <tabColor rgb="FF00B050"/>
  </sheetPr>
  <dimension ref="A1:AW65"/>
  <sheetViews>
    <sheetView view="pageBreakPreview" topLeftCell="A19" zoomScale="85" zoomScaleNormal="100" zoomScaleSheetLayoutView="85" workbookViewId="0">
      <selection activeCell="C41" sqref="C41"/>
    </sheetView>
  </sheetViews>
  <sheetFormatPr defaultRowHeight="15" x14ac:dyDescent="0.25"/>
  <cols>
    <col min="1" max="1" width="9.140625" style="9"/>
    <col min="2" max="2" width="10.140625" style="292" customWidth="1"/>
    <col min="3" max="5" width="11.42578125" style="292" customWidth="1"/>
    <col min="6" max="6" width="12.5703125" style="292" customWidth="1"/>
    <col min="7" max="8" width="11.42578125" style="292" customWidth="1"/>
    <col min="9" max="9" width="12.5703125" style="292" customWidth="1"/>
    <col min="10" max="10" width="13.7109375" style="287" bestFit="1" customWidth="1"/>
    <col min="11" max="11" width="11.42578125" style="287" customWidth="1"/>
    <col min="12" max="13" width="12.5703125" style="292" customWidth="1"/>
    <col min="14" max="14" width="15.28515625" style="292" customWidth="1"/>
    <col min="15" max="15" width="12.5703125" style="292" customWidth="1"/>
    <col min="16" max="16" width="13.7109375" style="287" bestFit="1" customWidth="1"/>
    <col min="17" max="17" width="11.42578125" style="287" customWidth="1"/>
    <col min="18" max="19" width="12.5703125" style="292" customWidth="1"/>
    <col min="20" max="20" width="15.28515625" style="292" customWidth="1"/>
    <col min="21" max="21" width="14" style="292" customWidth="1"/>
    <col min="22" max="22" width="13.140625" style="292" bestFit="1" customWidth="1"/>
    <col min="23" max="23" width="9.140625" style="292"/>
    <col min="24" max="24" width="36.7109375" style="292" customWidth="1"/>
    <col min="25" max="25" width="12" style="292" customWidth="1"/>
    <col min="26" max="26" width="12.140625" style="292" customWidth="1"/>
    <col min="27" max="27" width="12.5703125" style="292" customWidth="1"/>
    <col min="28" max="29" width="16.5703125" style="292" customWidth="1"/>
    <col min="30" max="30" width="16" style="292" customWidth="1"/>
    <col min="31" max="31" width="18.140625" style="292" customWidth="1"/>
    <col min="32" max="32" width="17.7109375" style="292" customWidth="1"/>
    <col min="33" max="46" width="9.140625" style="292"/>
    <col min="47" max="47" width="76.140625" style="292" customWidth="1"/>
    <col min="48" max="16384" width="9.140625" style="292"/>
  </cols>
  <sheetData>
    <row r="1" spans="1:49" ht="16.5" customHeight="1" x14ac:dyDescent="0.25"/>
    <row r="2" spans="1:49" ht="16.5" customHeight="1" x14ac:dyDescent="0.25">
      <c r="B2" s="175" t="s">
        <v>74</v>
      </c>
    </row>
    <row r="3" spans="1:49" ht="15.75" thickBot="1" x14ac:dyDescent="0.3">
      <c r="H3" s="175"/>
      <c r="J3" s="287" t="s">
        <v>480</v>
      </c>
      <c r="K3" s="287" t="s">
        <v>481</v>
      </c>
      <c r="L3" s="292" t="s">
        <v>157</v>
      </c>
      <c r="M3" s="292" t="s">
        <v>482</v>
      </c>
      <c r="N3" s="292" t="s">
        <v>480</v>
      </c>
      <c r="P3" s="287" t="s">
        <v>480</v>
      </c>
      <c r="Q3" s="287" t="s">
        <v>481</v>
      </c>
      <c r="R3" s="292" t="s">
        <v>157</v>
      </c>
      <c r="S3" s="292" t="s">
        <v>482</v>
      </c>
      <c r="T3" s="292" t="s">
        <v>480</v>
      </c>
      <c r="X3" s="576" t="s">
        <v>639</v>
      </c>
      <c r="Y3" s="9" t="s">
        <v>474</v>
      </c>
      <c r="Z3" s="547" t="s">
        <v>110</v>
      </c>
    </row>
    <row r="4" spans="1:49" ht="15.75" thickBot="1" x14ac:dyDescent="0.3">
      <c r="C4" s="701" t="s">
        <v>487</v>
      </c>
      <c r="D4" s="702"/>
      <c r="E4" s="703"/>
      <c r="F4" s="701" t="s">
        <v>488</v>
      </c>
      <c r="G4" s="702"/>
      <c r="H4" s="703"/>
      <c r="I4" s="722" t="s">
        <v>497</v>
      </c>
      <c r="J4" s="723"/>
      <c r="K4" s="723"/>
      <c r="L4" s="723"/>
      <c r="M4" s="723"/>
      <c r="N4" s="723"/>
      <c r="O4" s="722" t="s">
        <v>507</v>
      </c>
      <c r="P4" s="723"/>
      <c r="Q4" s="723"/>
      <c r="R4" s="723"/>
      <c r="S4" s="723"/>
      <c r="T4" s="723"/>
      <c r="U4" s="728" t="s">
        <v>2</v>
      </c>
      <c r="V4" s="729"/>
      <c r="X4" s="282" t="s">
        <v>52</v>
      </c>
      <c r="Y4" s="284">
        <v>2020</v>
      </c>
      <c r="AU4" s="175" t="s">
        <v>121</v>
      </c>
    </row>
    <row r="5" spans="1:49" ht="18" customHeight="1" x14ac:dyDescent="0.25">
      <c r="B5" s="716" t="s">
        <v>0</v>
      </c>
      <c r="C5" s="714" t="s">
        <v>485</v>
      </c>
      <c r="D5" s="720" t="s">
        <v>484</v>
      </c>
      <c r="E5" s="718" t="s">
        <v>483</v>
      </c>
      <c r="F5" s="714" t="s">
        <v>46</v>
      </c>
      <c r="G5" s="720" t="s">
        <v>47</v>
      </c>
      <c r="H5" s="718" t="s">
        <v>48</v>
      </c>
      <c r="I5" s="724" t="s">
        <v>479</v>
      </c>
      <c r="J5" s="710" t="s">
        <v>49</v>
      </c>
      <c r="K5" s="710" t="s">
        <v>50</v>
      </c>
      <c r="L5" s="710" t="s">
        <v>157</v>
      </c>
      <c r="M5" s="710" t="s">
        <v>478</v>
      </c>
      <c r="N5" s="712" t="s">
        <v>51</v>
      </c>
      <c r="O5" s="724" t="s">
        <v>479</v>
      </c>
      <c r="P5" s="710" t="s">
        <v>49</v>
      </c>
      <c r="Q5" s="710" t="s">
        <v>50</v>
      </c>
      <c r="R5" s="710" t="s">
        <v>157</v>
      </c>
      <c r="S5" s="710" t="s">
        <v>478</v>
      </c>
      <c r="T5" s="712" t="s">
        <v>51</v>
      </c>
      <c r="U5" s="714" t="s">
        <v>77</v>
      </c>
      <c r="V5" s="726" t="s">
        <v>1</v>
      </c>
      <c r="X5" s="282" t="s">
        <v>545</v>
      </c>
      <c r="Y5" s="323">
        <f>IFERROR((_xlfn.XLOOKUP($Z$3,'Trail Project Summary'!$B$3:$B$32,'Trail Project Summary'!$L$3:$L$32)),0)</f>
        <v>2029</v>
      </c>
      <c r="AU5" s="292" t="s">
        <v>125</v>
      </c>
      <c r="AV5" s="178">
        <v>0.05</v>
      </c>
      <c r="AW5" s="292" t="s">
        <v>159</v>
      </c>
    </row>
    <row r="6" spans="1:49" ht="18.75" customHeight="1" thickBot="1" x14ac:dyDescent="0.3">
      <c r="B6" s="717"/>
      <c r="C6" s="715"/>
      <c r="D6" s="721"/>
      <c r="E6" s="719"/>
      <c r="F6" s="715"/>
      <c r="G6" s="721"/>
      <c r="H6" s="719"/>
      <c r="I6" s="725"/>
      <c r="J6" s="711"/>
      <c r="K6" s="711"/>
      <c r="L6" s="711"/>
      <c r="M6" s="711"/>
      <c r="N6" s="713"/>
      <c r="O6" s="725"/>
      <c r="P6" s="711"/>
      <c r="Q6" s="711"/>
      <c r="R6" s="711"/>
      <c r="S6" s="711"/>
      <c r="T6" s="713"/>
      <c r="U6" s="715"/>
      <c r="V6" s="727"/>
      <c r="X6" s="282" t="s">
        <v>546</v>
      </c>
      <c r="Y6" s="323">
        <f>_xlfn.XLOOKUP('QoL Benefits - 9Mi RT'!$Z$3,'Original Build Years'!$A$1:$A$20,'Original Build Years'!$D$1:$D$20,0)+30</f>
        <v>2030</v>
      </c>
      <c r="AU6" s="292" t="s">
        <v>122</v>
      </c>
      <c r="AW6" s="292" t="s">
        <v>160</v>
      </c>
    </row>
    <row r="7" spans="1:49" ht="18.75" customHeight="1" x14ac:dyDescent="0.25">
      <c r="A7" s="75">
        <f>(G7+D7)*2.38</f>
        <v>0</v>
      </c>
      <c r="B7" s="291">
        <f>$Y$5</f>
        <v>2029</v>
      </c>
      <c r="C7" s="256">
        <f>IF(OR($B7&lt;$Y$6,$B7&gt;'Project Data and Assumptions'!$C$8),0,$AC$35*(1+$AA$15)^($B7-2020))</f>
        <v>0</v>
      </c>
      <c r="D7" s="255">
        <f>IF(OR($B7&lt;$Y$6,$B7&gt;'Project Data and Assumptions'!$C$8),0,$AB$34*(1+$AA$15)^($B7-2020))</f>
        <v>0</v>
      </c>
      <c r="E7" s="257">
        <f>IF(OR($B7&lt;$Y$6,$B7&gt;'Project Data and Assumptions'!$C$8),0,$AC$34*(1+$AA$15)^($B7-2020))</f>
        <v>0</v>
      </c>
      <c r="F7" s="256">
        <f>IF($B7&gt;'Project Data and Assumptions'!$C$8,0,$AC$30*(1+$AA$15)^($B7-2020))</f>
        <v>0</v>
      </c>
      <c r="G7" s="255">
        <f>IF($B7&gt;'Project Data and Assumptions'!$C$8,0,$AB$29*(1+$AA$15)^($B7-2020))</f>
        <v>0</v>
      </c>
      <c r="H7" s="257">
        <f>IF($B7&gt;'Project Data and Assumptions'!$C$8,0,$AC$29*(1+$AA$15)^($B7-2020))</f>
        <v>0</v>
      </c>
      <c r="I7" s="85">
        <f t="shared" ref="I7:I29" si="0">C7*$AA$47*$Z$60</f>
        <v>0</v>
      </c>
      <c r="J7" s="324">
        <f>(D7*$AA$40)*$AA$38*$AA$39</f>
        <v>0</v>
      </c>
      <c r="K7" s="89">
        <f>C7*$AA$43+SUM(D7:E7)*$AA$44</f>
        <v>0</v>
      </c>
      <c r="L7" s="89">
        <f t="shared" ref="L7:L29" si="1">E7*$AA$47*$Z$60</f>
        <v>0</v>
      </c>
      <c r="M7" s="89">
        <f>SUM(D7:E7)*$AA$52</f>
        <v>0</v>
      </c>
      <c r="N7" s="122">
        <f t="shared" ref="N7:N29" si="2">D7*$AC$19*$Z$56*$Z$60</f>
        <v>0</v>
      </c>
      <c r="O7" s="85">
        <f t="shared" ref="O7:O29" si="3">F7*$AA$47*$Z$60</f>
        <v>0</v>
      </c>
      <c r="P7" s="89">
        <f>(G7*$AA$40)*$AA$38*$AA$39</f>
        <v>0</v>
      </c>
      <c r="Q7" s="89">
        <f>F7*$AA$43+SUM(G7:H7)*$AA$44</f>
        <v>0</v>
      </c>
      <c r="R7" s="89">
        <f t="shared" ref="R7:R29" si="4">H7*$AA$47*$Z$60</f>
        <v>0</v>
      </c>
      <c r="S7" s="89">
        <f>SUM(G7:H7)*$AA$52</f>
        <v>0</v>
      </c>
      <c r="T7" s="122">
        <f t="shared" ref="T7:T29" si="5">G7*$AC$19*$Z$56*$Z$60</f>
        <v>0</v>
      </c>
      <c r="U7" s="85">
        <f>SUM(I7:T7)</f>
        <v>0</v>
      </c>
      <c r="V7" s="133">
        <f t="shared" ref="V7:V29" si="6">$U7*(1+0.07)^-($B7-$Y$4)</f>
        <v>0</v>
      </c>
      <c r="X7" s="282" t="s">
        <v>470</v>
      </c>
      <c r="Y7" s="243">
        <f>IFERROR((_xlfn.XLOOKUP($Z$3,'Trail Project Summary'!$B$3:$B$32,'Trail Project Summary'!$I$3:$I$32)),0)</f>
        <v>12</v>
      </c>
      <c r="AU7" s="292" t="s">
        <v>123</v>
      </c>
      <c r="AW7" s="292" t="s">
        <v>161</v>
      </c>
    </row>
    <row r="8" spans="1:49" x14ac:dyDescent="0.25">
      <c r="A8" s="75">
        <f t="shared" ref="A8:A29" si="7">(G8+D8)*2.38</f>
        <v>3295.4364693769917</v>
      </c>
      <c r="B8" s="2">
        <f>B7+1</f>
        <v>2030</v>
      </c>
      <c r="C8" s="260">
        <f>IF(OR($B8&lt;$Y$6,$B8&gt;'Project Data and Assumptions'!$C$8),0,$AC$35*(1+$AA$15)^($B8-2020))</f>
        <v>10775.910672753653</v>
      </c>
      <c r="D8" s="91">
        <f>IF(OR($B8&lt;$Y$6,$B8&gt;'Project Data and Assumptions'!$C$8),0,$AB$34*(1+$AA$15)^($B8-2020))</f>
        <v>1384.6371720071395</v>
      </c>
      <c r="E8" s="258">
        <f>IF(OR($B8&lt;$Y$6,$B8&gt;'Project Data and Assumptions'!$C$8),0,$AC$34*(1+$AA$15)^($B8-2020))</f>
        <v>10064.767917793617</v>
      </c>
      <c r="F8" s="260">
        <f>IF($B8&gt;'Project Data and Assumptions'!$C$8,0,$AC$30*(1+$AA$15)^($B8-2020))</f>
        <v>0</v>
      </c>
      <c r="G8" s="91">
        <f>IF($B8&gt;'Project Data and Assumptions'!$C$8,0,$AB$29*(1+$AA$15)^($B8-2020))</f>
        <v>0</v>
      </c>
      <c r="H8" s="258">
        <f>IF($B8&gt;'Project Data and Assumptions'!$C$8,0,$AC$29*(1+$AA$15)^($B8-2020))</f>
        <v>0</v>
      </c>
      <c r="I8" s="17">
        <f t="shared" si="0"/>
        <v>135776.47447669602</v>
      </c>
      <c r="J8" s="325">
        <f t="shared" ref="J8:J26" si="8">(D8*$AA$40)*$AA$38*$AA$39</f>
        <v>3309.8366959658665</v>
      </c>
      <c r="K8" s="90">
        <f t="shared" ref="K8:K26" si="9">C8*$AA$43+SUM(D8:E8)*$AA$44</f>
        <v>148539.19367973862</v>
      </c>
      <c r="L8" s="90">
        <f t="shared" si="1"/>
        <v>126816.07576419957</v>
      </c>
      <c r="M8" s="90">
        <f t="shared" ref="M8:M26" si="10">SUM(D8:E8)*$AA$52</f>
        <v>6503.2620910068299</v>
      </c>
      <c r="N8" s="92">
        <f t="shared" si="2"/>
        <v>73.274999142617816</v>
      </c>
      <c r="O8" s="17">
        <f t="shared" si="3"/>
        <v>0</v>
      </c>
      <c r="P8" s="90">
        <f t="shared" ref="P8:P26" si="11">(G8*$AA$40)*$AA$38*$AA$39</f>
        <v>0</v>
      </c>
      <c r="Q8" s="90">
        <f t="shared" ref="Q8:Q26" si="12">F8*$AA$43+SUM(G8:H8)*$AA$44</f>
        <v>0</v>
      </c>
      <c r="R8" s="90">
        <f t="shared" si="4"/>
        <v>0</v>
      </c>
      <c r="S8" s="90">
        <f t="shared" ref="S8:S26" si="13">SUM(G8:H8)*$AA$52</f>
        <v>0</v>
      </c>
      <c r="T8" s="92">
        <f t="shared" si="5"/>
        <v>0</v>
      </c>
      <c r="U8" s="17">
        <f t="shared" ref="U8:U26" si="14">SUM(I8:T8)</f>
        <v>421018.11770674959</v>
      </c>
      <c r="V8" s="6">
        <f t="shared" si="6"/>
        <v>214024.26211211746</v>
      </c>
      <c r="X8" s="282" t="s">
        <v>471</v>
      </c>
      <c r="Y8" s="243">
        <f>IFERROR(_xlfn.XLOOKUP($Z$3,'Trail Project Summary'!$B$3:$B$32,'Trail Project Summary'!$C$3:$C$32),0)</f>
        <v>0</v>
      </c>
      <c r="AU8" s="292" t="s">
        <v>124</v>
      </c>
      <c r="AW8" s="292" t="s">
        <v>163</v>
      </c>
    </row>
    <row r="9" spans="1:49" x14ac:dyDescent="0.25">
      <c r="A9" s="75">
        <f t="shared" si="7"/>
        <v>3361.3451987645317</v>
      </c>
      <c r="B9" s="2">
        <f t="shared" ref="B9:B29" si="15">B8+1</f>
        <v>2031</v>
      </c>
      <c r="C9" s="260">
        <f>IF(OR($B9&lt;$Y$6,$B9&gt;'Project Data and Assumptions'!$C$8),0,$AC$35*(1+$AA$15)^($B9-2020))</f>
        <v>10991.428886208723</v>
      </c>
      <c r="D9" s="91">
        <f>IF(OR($B9&lt;$Y$6,$B9&gt;'Project Data and Assumptions'!$C$8),0,$AB$34*(1+$AA$15)^($B9-2020))</f>
        <v>1412.3299154472822</v>
      </c>
      <c r="E9" s="258">
        <f>IF(OR($B9&lt;$Y$6,$B9&gt;'Project Data and Assumptions'!$C$8),0,$AC$34*(1+$AA$15)^($B9-2020))</f>
        <v>10266.063276149487</v>
      </c>
      <c r="F9" s="260">
        <f>IF($B9&gt;'Project Data and Assumptions'!$C$8,0,$AC$30*(1+$AA$15)^($B9-2020))</f>
        <v>0</v>
      </c>
      <c r="G9" s="91">
        <f>IF($B9&gt;'Project Data and Assumptions'!$C$8,0,$AB$29*(1+$AA$15)^($B9-2020))</f>
        <v>0</v>
      </c>
      <c r="H9" s="258">
        <f>IF($B9&gt;'Project Data and Assumptions'!$C$8,0,$AC$29*(1+$AA$15)^($B9-2020))</f>
        <v>0</v>
      </c>
      <c r="I9" s="17">
        <f t="shared" si="0"/>
        <v>138492.00396622991</v>
      </c>
      <c r="J9" s="325">
        <f t="shared" si="8"/>
        <v>3376.033429885184</v>
      </c>
      <c r="K9" s="90">
        <f t="shared" si="9"/>
        <v>151509.97755333339</v>
      </c>
      <c r="L9" s="90">
        <f t="shared" si="1"/>
        <v>129352.39727948353</v>
      </c>
      <c r="M9" s="90">
        <f t="shared" si="10"/>
        <v>6633.3273328269643</v>
      </c>
      <c r="N9" s="92">
        <f t="shared" si="2"/>
        <v>74.74049912547018</v>
      </c>
      <c r="O9" s="17">
        <f t="shared" si="3"/>
        <v>0</v>
      </c>
      <c r="P9" s="90">
        <f t="shared" si="11"/>
        <v>0</v>
      </c>
      <c r="Q9" s="90">
        <f t="shared" si="12"/>
        <v>0</v>
      </c>
      <c r="R9" s="90">
        <f t="shared" si="4"/>
        <v>0</v>
      </c>
      <c r="S9" s="90">
        <f t="shared" si="13"/>
        <v>0</v>
      </c>
      <c r="T9" s="92">
        <f t="shared" si="5"/>
        <v>0</v>
      </c>
      <c r="U9" s="17">
        <f t="shared" si="14"/>
        <v>429438.48006088444</v>
      </c>
      <c r="V9" s="6">
        <f t="shared" si="6"/>
        <v>204023.12836856046</v>
      </c>
      <c r="X9" s="118" t="s">
        <v>473</v>
      </c>
      <c r="Y9" s="243">
        <f>IFERROR(_xlfn.XLOOKUP($Z$3,'Trail Project Summary'!$B$3:$B$32,'Trail Project Summary'!$D$3:$D$32),0)</f>
        <v>0.4</v>
      </c>
      <c r="AU9" s="292" t="s">
        <v>150</v>
      </c>
      <c r="AW9" s="292" t="s">
        <v>162</v>
      </c>
    </row>
    <row r="10" spans="1:49" x14ac:dyDescent="0.25">
      <c r="A10" s="75">
        <f t="shared" si="7"/>
        <v>3428.5721027398226</v>
      </c>
      <c r="B10" s="2">
        <f t="shared" si="15"/>
        <v>2032</v>
      </c>
      <c r="C10" s="260">
        <f>IF(OR($B10&lt;$Y$6,$B10&gt;'Project Data and Assumptions'!$C$8),0,$AC$35*(1+$AA$15)^($B10-2020))</f>
        <v>11211.2574639329</v>
      </c>
      <c r="D10" s="91">
        <f>IF(OR($B10&lt;$Y$6,$B10&gt;'Project Data and Assumptions'!$C$8),0,$AB$34*(1+$AA$15)^($B10-2020))</f>
        <v>1440.576513756228</v>
      </c>
      <c r="E10" s="258">
        <f>IF(OR($B10&lt;$Y$6,$B10&gt;'Project Data and Assumptions'!$C$8),0,$AC$34*(1+$AA$15)^($B10-2020))</f>
        <v>10471.38454167248</v>
      </c>
      <c r="F10" s="260">
        <f>IF($B10&gt;'Project Data and Assumptions'!$C$8,0,$AC$30*(1+$AA$15)^($B10-2020))</f>
        <v>0</v>
      </c>
      <c r="G10" s="91">
        <f>IF($B10&gt;'Project Data and Assumptions'!$C$8,0,$AB$29*(1+$AA$15)^($B10-2020))</f>
        <v>0</v>
      </c>
      <c r="H10" s="258">
        <f>IF($B10&gt;'Project Data and Assumptions'!$C$8,0,$AC$29*(1+$AA$15)^($B10-2020))</f>
        <v>0</v>
      </c>
      <c r="I10" s="17">
        <f t="shared" si="0"/>
        <v>141261.84404555452</v>
      </c>
      <c r="J10" s="325">
        <f t="shared" si="8"/>
        <v>3443.5540984828876</v>
      </c>
      <c r="K10" s="90">
        <f t="shared" si="9"/>
        <v>154540.17710440006</v>
      </c>
      <c r="L10" s="90">
        <f t="shared" si="1"/>
        <v>131939.44522507326</v>
      </c>
      <c r="M10" s="90">
        <f t="shared" si="10"/>
        <v>6765.9938794835061</v>
      </c>
      <c r="N10" s="92">
        <f t="shared" si="2"/>
        <v>76.235309107979589</v>
      </c>
      <c r="O10" s="17">
        <f t="shared" si="3"/>
        <v>0</v>
      </c>
      <c r="P10" s="90">
        <f t="shared" si="11"/>
        <v>0</v>
      </c>
      <c r="Q10" s="90">
        <f t="shared" si="12"/>
        <v>0</v>
      </c>
      <c r="R10" s="90">
        <f t="shared" si="4"/>
        <v>0</v>
      </c>
      <c r="S10" s="90">
        <f t="shared" si="13"/>
        <v>0</v>
      </c>
      <c r="T10" s="92">
        <f t="shared" si="5"/>
        <v>0</v>
      </c>
      <c r="U10" s="17">
        <f t="shared" si="14"/>
        <v>438027.2496621022</v>
      </c>
      <c r="V10" s="6">
        <f t="shared" si="6"/>
        <v>194489.33732330069</v>
      </c>
      <c r="X10" s="118" t="s">
        <v>472</v>
      </c>
      <c r="Y10" s="243">
        <f>IFERROR(_xlfn.XLOOKUP($Z$3,'Trail Project Summary'!$B$3:$B$32,'Trail Project Summary'!$E$3:$E$32),0)</f>
        <v>0</v>
      </c>
    </row>
    <row r="11" spans="1:49" x14ac:dyDescent="0.25">
      <c r="A11" s="75">
        <f t="shared" si="7"/>
        <v>3497.1435447946192</v>
      </c>
      <c r="B11" s="2">
        <f t="shared" si="15"/>
        <v>2033</v>
      </c>
      <c r="C11" s="260">
        <f>IF(OR($B11&lt;$Y$6,$B11&gt;'Project Data and Assumptions'!$C$8),0,$AC$35*(1+$AA$15)^($B11-2020))</f>
        <v>11435.482613211558</v>
      </c>
      <c r="D11" s="91">
        <f>IF(OR($B11&lt;$Y$6,$B11&gt;'Project Data and Assumptions'!$C$8),0,$AB$34*(1+$AA$15)^($B11-2020))</f>
        <v>1469.3880440313526</v>
      </c>
      <c r="E11" s="258">
        <f>IF(OR($B11&lt;$Y$6,$B11&gt;'Project Data and Assumptions'!$C$8),0,$AC$34*(1+$AA$15)^($B11-2020))</f>
        <v>10680.812232505928</v>
      </c>
      <c r="F11" s="260">
        <f>IF($B11&gt;'Project Data and Assumptions'!$C$8,0,$AC$30*(1+$AA$15)^($B11-2020))</f>
        <v>0</v>
      </c>
      <c r="G11" s="91">
        <f>IF($B11&gt;'Project Data and Assumptions'!$C$8,0,$AB$29*(1+$AA$15)^($B11-2020))</f>
        <v>0</v>
      </c>
      <c r="H11" s="258">
        <f>IF($B11&gt;'Project Data and Assumptions'!$C$8,0,$AC$29*(1+$AA$15)^($B11-2020))</f>
        <v>0</v>
      </c>
      <c r="I11" s="17">
        <f t="shared" si="0"/>
        <v>144087.08092646563</v>
      </c>
      <c r="J11" s="325">
        <f t="shared" si="8"/>
        <v>3512.4251804525456</v>
      </c>
      <c r="K11" s="90">
        <f t="shared" si="9"/>
        <v>157630.98064648808</v>
      </c>
      <c r="L11" s="90">
        <f t="shared" si="1"/>
        <v>134578.2341295747</v>
      </c>
      <c r="M11" s="90">
        <f t="shared" si="10"/>
        <v>6901.3137570731751</v>
      </c>
      <c r="N11" s="92">
        <f t="shared" si="2"/>
        <v>77.760015290139179</v>
      </c>
      <c r="O11" s="17">
        <f t="shared" si="3"/>
        <v>0</v>
      </c>
      <c r="P11" s="90">
        <f t="shared" si="11"/>
        <v>0</v>
      </c>
      <c r="Q11" s="90">
        <f t="shared" si="12"/>
        <v>0</v>
      </c>
      <c r="R11" s="90">
        <f t="shared" si="4"/>
        <v>0</v>
      </c>
      <c r="S11" s="90">
        <f t="shared" si="13"/>
        <v>0</v>
      </c>
      <c r="T11" s="92">
        <f t="shared" si="5"/>
        <v>0</v>
      </c>
      <c r="U11" s="17">
        <f t="shared" si="14"/>
        <v>446787.79465534427</v>
      </c>
      <c r="V11" s="6">
        <f t="shared" si="6"/>
        <v>185401.05053249226</v>
      </c>
      <c r="X11" s="28"/>
      <c r="Y11" s="60"/>
      <c r="Z11" s="28"/>
      <c r="AA11" s="28"/>
      <c r="AB11" s="28"/>
      <c r="AC11" s="28"/>
      <c r="AD11" s="28"/>
      <c r="AE11" s="28"/>
      <c r="AF11" s="28"/>
    </row>
    <row r="12" spans="1:49" x14ac:dyDescent="0.25">
      <c r="A12" s="75">
        <f t="shared" si="7"/>
        <v>3567.0864156905118</v>
      </c>
      <c r="B12" s="2">
        <f t="shared" si="15"/>
        <v>2034</v>
      </c>
      <c r="C12" s="260">
        <f>IF(OR($B12&lt;$Y$6,$B12&gt;'Project Data and Assumptions'!$C$8),0,$AC$35*(1+$AA$15)^($B12-2020))</f>
        <v>11664.192265475789</v>
      </c>
      <c r="D12" s="91">
        <f>IF(OR($B12&lt;$Y$6,$B12&gt;'Project Data and Assumptions'!$C$8),0,$AB$34*(1+$AA$15)^($B12-2020))</f>
        <v>1498.7758049119798</v>
      </c>
      <c r="E12" s="258">
        <f>IF(OR($B12&lt;$Y$6,$B12&gt;'Project Data and Assumptions'!$C$8),0,$AC$34*(1+$AA$15)^($B12-2020))</f>
        <v>10894.428477156049</v>
      </c>
      <c r="F12" s="260">
        <f>IF($B12&gt;'Project Data and Assumptions'!$C$8,0,$AC$30*(1+$AA$15)^($B12-2020))</f>
        <v>0</v>
      </c>
      <c r="G12" s="91">
        <f>IF($B12&gt;'Project Data and Assumptions'!$C$8,0,$AB$29*(1+$AA$15)^($B12-2020))</f>
        <v>0</v>
      </c>
      <c r="H12" s="258">
        <f>IF($B12&gt;'Project Data and Assumptions'!$C$8,0,$AC$29*(1+$AA$15)^($B12-2020))</f>
        <v>0</v>
      </c>
      <c r="I12" s="17">
        <f t="shared" si="0"/>
        <v>146968.82254499494</v>
      </c>
      <c r="J12" s="325">
        <f t="shared" si="8"/>
        <v>3582.6736840615972</v>
      </c>
      <c r="K12" s="90">
        <f t="shared" si="9"/>
        <v>160783.60025941784</v>
      </c>
      <c r="L12" s="90">
        <f t="shared" si="1"/>
        <v>137269.79881216621</v>
      </c>
      <c r="M12" s="90">
        <f t="shared" si="10"/>
        <v>7039.3400322146399</v>
      </c>
      <c r="N12" s="92">
        <f t="shared" si="2"/>
        <v>79.315215595941979</v>
      </c>
      <c r="O12" s="17">
        <f t="shared" si="3"/>
        <v>0</v>
      </c>
      <c r="P12" s="90">
        <f t="shared" si="11"/>
        <v>0</v>
      </c>
      <c r="Q12" s="90">
        <f t="shared" si="12"/>
        <v>0</v>
      </c>
      <c r="R12" s="90">
        <f t="shared" si="4"/>
        <v>0</v>
      </c>
      <c r="S12" s="90">
        <f t="shared" si="13"/>
        <v>0</v>
      </c>
      <c r="T12" s="92">
        <f t="shared" si="5"/>
        <v>0</v>
      </c>
      <c r="U12" s="17">
        <f t="shared" si="14"/>
        <v>455723.5505484512</v>
      </c>
      <c r="V12" s="6">
        <f t="shared" si="6"/>
        <v>176737.45004031973</v>
      </c>
      <c r="X12" s="30"/>
      <c r="Y12" s="30"/>
    </row>
    <row r="13" spans="1:49" x14ac:dyDescent="0.25">
      <c r="A13" s="75">
        <f t="shared" si="7"/>
        <v>3638.4281440043205</v>
      </c>
      <c r="B13" s="2">
        <f t="shared" si="15"/>
        <v>2035</v>
      </c>
      <c r="C13" s="260">
        <f>IF(OR($B13&lt;$Y$6,$B13&gt;'Project Data and Assumptions'!$C$8),0,$AC$35*(1+$AA$15)^($B13-2020))</f>
        <v>11897.476110785303</v>
      </c>
      <c r="D13" s="91">
        <f>IF(OR($B13&lt;$Y$6,$B13&gt;'Project Data and Assumptions'!$C$8),0,$AB$34*(1+$AA$15)^($B13-2020))</f>
        <v>1528.7513210102188</v>
      </c>
      <c r="E13" s="258">
        <f>IF(OR($B13&lt;$Y$6,$B13&gt;'Project Data and Assumptions'!$C$8),0,$AC$34*(1+$AA$15)^($B13-2020))</f>
        <v>11112.317046699165</v>
      </c>
      <c r="F13" s="260">
        <f>IF($B13&gt;'Project Data and Assumptions'!$C$8,0,$AC$30*(1+$AA$15)^($B13-2020))</f>
        <v>0</v>
      </c>
      <c r="G13" s="91">
        <f>IF($B13&gt;'Project Data and Assumptions'!$C$8,0,$AB$29*(1+$AA$15)^($B13-2020))</f>
        <v>0</v>
      </c>
      <c r="H13" s="258">
        <f>IF($B13&gt;'Project Data and Assumptions'!$C$8,0,$AC$29*(1+$AA$15)^($B13-2020))</f>
        <v>0</v>
      </c>
      <c r="I13" s="17">
        <f t="shared" si="0"/>
        <v>149908.19899589481</v>
      </c>
      <c r="J13" s="325">
        <f t="shared" si="8"/>
        <v>3654.3271577428272</v>
      </c>
      <c r="K13" s="90">
        <f t="shared" si="9"/>
        <v>163999.27226460614</v>
      </c>
      <c r="L13" s="90">
        <f t="shared" si="1"/>
        <v>140015.19478840948</v>
      </c>
      <c r="M13" s="90">
        <f t="shared" si="10"/>
        <v>7180.1268328589294</v>
      </c>
      <c r="N13" s="92">
        <f t="shared" si="2"/>
        <v>80.901519907860774</v>
      </c>
      <c r="O13" s="17">
        <f t="shared" si="3"/>
        <v>0</v>
      </c>
      <c r="P13" s="90">
        <f t="shared" si="11"/>
        <v>0</v>
      </c>
      <c r="Q13" s="90">
        <f t="shared" si="12"/>
        <v>0</v>
      </c>
      <c r="R13" s="90">
        <f t="shared" si="4"/>
        <v>0</v>
      </c>
      <c r="S13" s="90">
        <f t="shared" si="13"/>
        <v>0</v>
      </c>
      <c r="T13" s="92">
        <f t="shared" si="5"/>
        <v>0</v>
      </c>
      <c r="U13" s="17">
        <f t="shared" si="14"/>
        <v>464838.0215594201</v>
      </c>
      <c r="V13" s="6">
        <f t="shared" si="6"/>
        <v>168478.69069264119</v>
      </c>
      <c r="AU13" s="292" t="s">
        <v>489</v>
      </c>
      <c r="AV13" s="292" t="s">
        <v>503</v>
      </c>
    </row>
    <row r="14" spans="1:49" x14ac:dyDescent="0.25">
      <c r="A14" s="75">
        <f t="shared" si="7"/>
        <v>3711.1967068844078</v>
      </c>
      <c r="B14" s="2">
        <f t="shared" si="15"/>
        <v>2036</v>
      </c>
      <c r="C14" s="260">
        <f>IF(OR($B14&lt;$Y$6,$B14&gt;'Project Data and Assumptions'!$C$8),0,$AC$35*(1+$AA$15)^($B14-2020))</f>
        <v>12135.42563300101</v>
      </c>
      <c r="D14" s="91">
        <f>IF(OR($B14&lt;$Y$6,$B14&gt;'Project Data and Assumptions'!$C$8),0,$AB$34*(1+$AA$15)^($B14-2020))</f>
        <v>1559.3263474304235</v>
      </c>
      <c r="E14" s="258">
        <f>IF(OR($B14&lt;$Y$6,$B14&gt;'Project Data and Assumptions'!$C$8),0,$AC$34*(1+$AA$15)^($B14-2020))</f>
        <v>11334.56338763315</v>
      </c>
      <c r="F14" s="260">
        <f>IF($B14&gt;'Project Data and Assumptions'!$C$8,0,$AC$30*(1+$AA$15)^($B14-2020))</f>
        <v>0</v>
      </c>
      <c r="G14" s="91">
        <f>IF($B14&gt;'Project Data and Assumptions'!$C$8,0,$AB$29*(1+$AA$15)^($B14-2020))</f>
        <v>0</v>
      </c>
      <c r="H14" s="258">
        <f>IF($B14&gt;'Project Data and Assumptions'!$C$8,0,$AC$29*(1+$AA$15)^($B14-2020))</f>
        <v>0</v>
      </c>
      <c r="I14" s="17">
        <f t="shared" si="0"/>
        <v>152906.36297581272</v>
      </c>
      <c r="J14" s="325">
        <f t="shared" si="8"/>
        <v>3727.4137008976854</v>
      </c>
      <c r="K14" s="90">
        <f t="shared" si="9"/>
        <v>167279.25770989829</v>
      </c>
      <c r="L14" s="90">
        <f t="shared" si="1"/>
        <v>142815.4986841777</v>
      </c>
      <c r="M14" s="90">
        <f t="shared" si="10"/>
        <v>7323.7293695161097</v>
      </c>
      <c r="N14" s="92">
        <f t="shared" si="2"/>
        <v>82.519550306018019</v>
      </c>
      <c r="O14" s="17">
        <f t="shared" si="3"/>
        <v>0</v>
      </c>
      <c r="P14" s="90">
        <f t="shared" si="11"/>
        <v>0</v>
      </c>
      <c r="Q14" s="90">
        <f t="shared" si="12"/>
        <v>0</v>
      </c>
      <c r="R14" s="90">
        <f t="shared" si="4"/>
        <v>0</v>
      </c>
      <c r="S14" s="90">
        <f t="shared" si="13"/>
        <v>0</v>
      </c>
      <c r="T14" s="92">
        <f t="shared" si="5"/>
        <v>0</v>
      </c>
      <c r="U14" s="17">
        <f t="shared" si="14"/>
        <v>474134.78199060855</v>
      </c>
      <c r="V14" s="6">
        <f t="shared" si="6"/>
        <v>160605.8546789664</v>
      </c>
      <c r="X14" s="175" t="s">
        <v>83</v>
      </c>
      <c r="AU14" s="292" t="s">
        <v>490</v>
      </c>
      <c r="AV14" s="292" t="s">
        <v>504</v>
      </c>
    </row>
    <row r="15" spans="1:49" ht="17.25" x14ac:dyDescent="0.25">
      <c r="A15" s="75">
        <f t="shared" si="7"/>
        <v>3785.4206410220963</v>
      </c>
      <c r="B15" s="2">
        <f t="shared" si="15"/>
        <v>2037</v>
      </c>
      <c r="C15" s="260">
        <f>IF(OR($B15&lt;$Y$6,$B15&gt;'Project Data and Assumptions'!$C$8),0,$AC$35*(1+$AA$15)^($B15-2020))</f>
        <v>12378.134145661032</v>
      </c>
      <c r="D15" s="91">
        <f>IF(OR($B15&lt;$Y$6,$B15&gt;'Project Data and Assumptions'!$C$8),0,$AB$34*(1+$AA$15)^($B15-2020))</f>
        <v>1590.5128743790322</v>
      </c>
      <c r="E15" s="258">
        <f>IF(OR($B15&lt;$Y$6,$B15&gt;'Project Data and Assumptions'!$C$8),0,$AC$34*(1+$AA$15)^($B15-2020))</f>
        <v>11561.254655385816</v>
      </c>
      <c r="F15" s="260">
        <f>IF($B15&gt;'Project Data and Assumptions'!$C$8,0,$AC$30*(1+$AA$15)^($B15-2020))</f>
        <v>0</v>
      </c>
      <c r="G15" s="91">
        <f>IF($B15&gt;'Project Data and Assumptions'!$C$8,0,$AB$29*(1+$AA$15)^($B15-2020))</f>
        <v>0</v>
      </c>
      <c r="H15" s="258">
        <f>IF($B15&gt;'Project Data and Assumptions'!$C$8,0,$AC$29*(1+$AA$15)^($B15-2020))</f>
        <v>0</v>
      </c>
      <c r="I15" s="17">
        <f t="shared" si="0"/>
        <v>155964.49023532899</v>
      </c>
      <c r="J15" s="325">
        <f t="shared" si="8"/>
        <v>3801.9619749156391</v>
      </c>
      <c r="K15" s="90">
        <f t="shared" si="9"/>
        <v>170624.84286409628</v>
      </c>
      <c r="L15" s="90">
        <f t="shared" si="1"/>
        <v>145671.80865786126</v>
      </c>
      <c r="M15" s="90">
        <f t="shared" si="10"/>
        <v>7470.2039569064327</v>
      </c>
      <c r="N15" s="92">
        <f t="shared" si="2"/>
        <v>84.169941312138391</v>
      </c>
      <c r="O15" s="17">
        <f t="shared" si="3"/>
        <v>0</v>
      </c>
      <c r="P15" s="90">
        <f t="shared" si="11"/>
        <v>0</v>
      </c>
      <c r="Q15" s="90">
        <f t="shared" si="12"/>
        <v>0</v>
      </c>
      <c r="R15" s="90">
        <f t="shared" si="4"/>
        <v>0</v>
      </c>
      <c r="S15" s="90">
        <f t="shared" si="13"/>
        <v>0</v>
      </c>
      <c r="T15" s="92">
        <f t="shared" si="5"/>
        <v>0</v>
      </c>
      <c r="U15" s="17">
        <f t="shared" si="14"/>
        <v>483617.4776304207</v>
      </c>
      <c r="V15" s="6">
        <f t="shared" si="6"/>
        <v>153100.90819864089</v>
      </c>
      <c r="X15" s="700" t="s">
        <v>677</v>
      </c>
      <c r="Y15" s="700"/>
      <c r="Z15" s="700"/>
      <c r="AA15" s="569">
        <v>0.02</v>
      </c>
      <c r="AB15" s="569">
        <v>0.05</v>
      </c>
      <c r="AU15" s="292" t="s">
        <v>491</v>
      </c>
    </row>
    <row r="16" spans="1:49" x14ac:dyDescent="0.25">
      <c r="A16" s="75">
        <f t="shared" si="7"/>
        <v>3861.1290538425378</v>
      </c>
      <c r="B16" s="2">
        <f t="shared" si="15"/>
        <v>2038</v>
      </c>
      <c r="C16" s="260">
        <f>IF(OR($B16&lt;$Y$6,$B16&gt;'Project Data and Assumptions'!$C$8),0,$AC$35*(1+$AA$15)^($B16-2020))</f>
        <v>12625.696828574251</v>
      </c>
      <c r="D16" s="91">
        <f>IF(OR($B16&lt;$Y$6,$B16&gt;'Project Data and Assumptions'!$C$8),0,$AB$34*(1+$AA$15)^($B16-2020))</f>
        <v>1622.3231318666126</v>
      </c>
      <c r="E16" s="258">
        <f>IF(OR($B16&lt;$Y$6,$B16&gt;'Project Data and Assumptions'!$C$8),0,$AC$34*(1+$AA$15)^($B16-2020))</f>
        <v>11792.47974849353</v>
      </c>
      <c r="F16" s="260">
        <f>IF($B16&gt;'Project Data and Assumptions'!$C$8,0,$AC$30*(1+$AA$15)^($B16-2020))</f>
        <v>0</v>
      </c>
      <c r="G16" s="91">
        <f>IF($B16&gt;'Project Data and Assumptions'!$C$8,0,$AB$29*(1+$AA$15)^($B16-2020))</f>
        <v>0</v>
      </c>
      <c r="H16" s="258">
        <f>IF($B16&gt;'Project Data and Assumptions'!$C$8,0,$AC$29*(1+$AA$15)^($B16-2020))</f>
        <v>0</v>
      </c>
      <c r="I16" s="17">
        <f t="shared" si="0"/>
        <v>159083.78004003555</v>
      </c>
      <c r="J16" s="325">
        <f t="shared" si="8"/>
        <v>3878.0012144139509</v>
      </c>
      <c r="K16" s="90">
        <f t="shared" si="9"/>
        <v>174037.3397213782</v>
      </c>
      <c r="L16" s="90">
        <f t="shared" si="1"/>
        <v>148585.24483101847</v>
      </c>
      <c r="M16" s="90">
        <f t="shared" si="10"/>
        <v>7619.6080360445603</v>
      </c>
      <c r="N16" s="92">
        <f t="shared" si="2"/>
        <v>85.853340138381128</v>
      </c>
      <c r="O16" s="17">
        <f t="shared" si="3"/>
        <v>0</v>
      </c>
      <c r="P16" s="90">
        <f t="shared" si="11"/>
        <v>0</v>
      </c>
      <c r="Q16" s="90">
        <f t="shared" si="12"/>
        <v>0</v>
      </c>
      <c r="R16" s="90">
        <f t="shared" si="4"/>
        <v>0</v>
      </c>
      <c r="S16" s="90">
        <f t="shared" si="13"/>
        <v>0</v>
      </c>
      <c r="T16" s="92">
        <f t="shared" si="5"/>
        <v>0</v>
      </c>
      <c r="U16" s="17">
        <f t="shared" si="14"/>
        <v>493289.82718302915</v>
      </c>
      <c r="V16" s="6">
        <f t="shared" si="6"/>
        <v>145946.6601519754</v>
      </c>
      <c r="X16" s="695" t="s">
        <v>498</v>
      </c>
      <c r="Y16" s="695"/>
      <c r="Z16" s="695"/>
      <c r="AA16" s="177">
        <v>0.86</v>
      </c>
      <c r="AB16" s="113"/>
      <c r="AU16" s="292" t="s">
        <v>502</v>
      </c>
      <c r="AV16" s="292" t="s">
        <v>505</v>
      </c>
      <c r="AW16" s="292" t="s">
        <v>506</v>
      </c>
    </row>
    <row r="17" spans="1:33" x14ac:dyDescent="0.25">
      <c r="A17" s="75">
        <f t="shared" si="7"/>
        <v>3938.3516349193883</v>
      </c>
      <c r="B17" s="2">
        <f t="shared" si="15"/>
        <v>2039</v>
      </c>
      <c r="C17" s="260">
        <f>IF(OR($B17&lt;$Y$6,$B17&gt;'Project Data and Assumptions'!$C$8),0,$AC$35*(1+$AA$15)^($B17-2020))</f>
        <v>12878.210765145735</v>
      </c>
      <c r="D17" s="91">
        <f>IF(OR($B17&lt;$Y$6,$B17&gt;'Project Data and Assumptions'!$C$8),0,$AB$34*(1+$AA$15)^($B17-2020))</f>
        <v>1654.7695945039447</v>
      </c>
      <c r="E17" s="258">
        <f>IF(OR($B17&lt;$Y$6,$B17&gt;'Project Data and Assumptions'!$C$8),0,$AC$34*(1+$AA$15)^($B17-2020))</f>
        <v>12028.3293434634</v>
      </c>
      <c r="F17" s="260">
        <f>IF($B17&gt;'Project Data and Assumptions'!$C$8,0,$AC$30*(1+$AA$15)^($B17-2020))</f>
        <v>0</v>
      </c>
      <c r="G17" s="91">
        <f>IF($B17&gt;'Project Data and Assumptions'!$C$8,0,$AB$29*(1+$AA$15)^($B17-2020))</f>
        <v>0</v>
      </c>
      <c r="H17" s="258">
        <f>IF($B17&gt;'Project Data and Assumptions'!$C$8,0,$AC$29*(1+$AA$15)^($B17-2020))</f>
        <v>0</v>
      </c>
      <c r="I17" s="17">
        <f t="shared" si="0"/>
        <v>162265.45564083627</v>
      </c>
      <c r="J17" s="325">
        <f t="shared" si="8"/>
        <v>3955.5612387022297</v>
      </c>
      <c r="K17" s="90">
        <f t="shared" si="9"/>
        <v>177518.08651580574</v>
      </c>
      <c r="L17" s="90">
        <f t="shared" si="1"/>
        <v>151556.94972763883</v>
      </c>
      <c r="M17" s="90">
        <f t="shared" si="10"/>
        <v>7772.0001967654507</v>
      </c>
      <c r="N17" s="92">
        <f t="shared" si="2"/>
        <v>87.570406941148761</v>
      </c>
      <c r="O17" s="17">
        <f t="shared" si="3"/>
        <v>0</v>
      </c>
      <c r="P17" s="90">
        <f t="shared" si="11"/>
        <v>0</v>
      </c>
      <c r="Q17" s="90">
        <f t="shared" si="12"/>
        <v>0</v>
      </c>
      <c r="R17" s="90">
        <f t="shared" si="4"/>
        <v>0</v>
      </c>
      <c r="S17" s="90">
        <f t="shared" si="13"/>
        <v>0</v>
      </c>
      <c r="T17" s="92">
        <f t="shared" si="5"/>
        <v>0</v>
      </c>
      <c r="U17" s="17">
        <f t="shared" si="14"/>
        <v>503155.62372668972</v>
      </c>
      <c r="V17" s="6">
        <f t="shared" si="6"/>
        <v>139126.72276169618</v>
      </c>
      <c r="X17" s="695" t="s">
        <v>499</v>
      </c>
      <c r="Y17" s="695"/>
      <c r="Z17" s="695"/>
      <c r="AA17" s="265">
        <f>MIN(Y7,2.38)</f>
        <v>2.38</v>
      </c>
      <c r="AB17" s="266" t="s">
        <v>500</v>
      </c>
      <c r="AC17" s="284" t="s">
        <v>501</v>
      </c>
    </row>
    <row r="18" spans="1:33" x14ac:dyDescent="0.25">
      <c r="A18" s="75">
        <f t="shared" si="7"/>
        <v>4017.1186676177767</v>
      </c>
      <c r="B18" s="2">
        <f t="shared" si="15"/>
        <v>2040</v>
      </c>
      <c r="C18" s="260">
        <f>IF(OR($B18&lt;$Y$6,$B18&gt;'Project Data and Assumptions'!$C$8),0,$AC$35*(1+$AA$15)^($B18-2020))</f>
        <v>13135.774980448652</v>
      </c>
      <c r="D18" s="91">
        <f>IF(OR($B18&lt;$Y$6,$B18&gt;'Project Data and Assumptions'!$C$8),0,$AB$34*(1+$AA$15)^($B18-2020))</f>
        <v>1687.8649863940238</v>
      </c>
      <c r="E18" s="258">
        <f>IF(OR($B18&lt;$Y$6,$B18&gt;'Project Data and Assumptions'!$C$8),0,$AC$34*(1+$AA$15)^($B18-2020))</f>
        <v>12268.89593033267</v>
      </c>
      <c r="F18" s="260">
        <f>IF($B18&gt;'Project Data and Assumptions'!$C$8,0,$AC$30*(1+$AA$15)^($B18-2020))</f>
        <v>0</v>
      </c>
      <c r="G18" s="91">
        <f>IF($B18&gt;'Project Data and Assumptions'!$C$8,0,$AB$29*(1+$AA$15)^($B18-2020))</f>
        <v>0</v>
      </c>
      <c r="H18" s="258">
        <f>IF($B18&gt;'Project Data and Assumptions'!$C$8,0,$AC$29*(1+$AA$15)^($B18-2020))</f>
        <v>0</v>
      </c>
      <c r="I18" s="17">
        <f t="shared" si="0"/>
        <v>165510.76475365303</v>
      </c>
      <c r="J18" s="325">
        <f t="shared" si="8"/>
        <v>4034.672463476275</v>
      </c>
      <c r="K18" s="90">
        <f t="shared" si="9"/>
        <v>181068.4482461219</v>
      </c>
      <c r="L18" s="90">
        <f t="shared" si="1"/>
        <v>154588.08872219163</v>
      </c>
      <c r="M18" s="90">
        <f t="shared" si="10"/>
        <v>7927.440200700762</v>
      </c>
      <c r="N18" s="92">
        <f t="shared" si="2"/>
        <v>89.321815079971756</v>
      </c>
      <c r="O18" s="17">
        <f t="shared" si="3"/>
        <v>0</v>
      </c>
      <c r="P18" s="90">
        <f t="shared" si="11"/>
        <v>0</v>
      </c>
      <c r="Q18" s="90">
        <f t="shared" si="12"/>
        <v>0</v>
      </c>
      <c r="R18" s="90">
        <f t="shared" si="4"/>
        <v>0</v>
      </c>
      <c r="S18" s="90">
        <f t="shared" si="13"/>
        <v>0</v>
      </c>
      <c r="T18" s="92">
        <f t="shared" si="5"/>
        <v>0</v>
      </c>
      <c r="U18" s="17">
        <f t="shared" si="14"/>
        <v>513218.73620122357</v>
      </c>
      <c r="V18" s="6">
        <f t="shared" si="6"/>
        <v>132625.47403451413</v>
      </c>
      <c r="X18" s="695" t="s">
        <v>495</v>
      </c>
      <c r="Y18" s="695"/>
      <c r="Z18" s="695"/>
      <c r="AA18" s="695"/>
      <c r="AB18" s="177">
        <f>MIN($AA$16,$Y8)</f>
        <v>0</v>
      </c>
      <c r="AC18" s="177">
        <f>MIN($AA$17,$Y8)</f>
        <v>0</v>
      </c>
    </row>
    <row r="19" spans="1:33" x14ac:dyDescent="0.25">
      <c r="A19" s="75">
        <f t="shared" si="7"/>
        <v>4097.4610409701318</v>
      </c>
      <c r="B19" s="2">
        <f t="shared" si="15"/>
        <v>2041</v>
      </c>
      <c r="C19" s="260">
        <f>IF(OR($B19&lt;$Y$6,$B19&gt;'Project Data and Assumptions'!$C$8),0,$AC$35*(1+$AA$15)^($B19-2020))</f>
        <v>13398.490480057624</v>
      </c>
      <c r="D19" s="91">
        <f>IF(OR($B19&lt;$Y$6,$B19&gt;'Project Data and Assumptions'!$C$8),0,$AB$34*(1+$AA$15)^($B19-2020))</f>
        <v>1721.6222861219042</v>
      </c>
      <c r="E19" s="258">
        <f>IF(OR($B19&lt;$Y$6,$B19&gt;'Project Data and Assumptions'!$C$8),0,$AC$34*(1+$AA$15)^($B19-2020))</f>
        <v>12514.273848939321</v>
      </c>
      <c r="F19" s="260">
        <f>IF($B19&gt;'Project Data and Assumptions'!$C$8,0,$AC$30*(1+$AA$15)^($B19-2020))</f>
        <v>0</v>
      </c>
      <c r="G19" s="91">
        <f>IF($B19&gt;'Project Data and Assumptions'!$C$8,0,$AB$29*(1+$AA$15)^($B19-2020))</f>
        <v>0</v>
      </c>
      <c r="H19" s="258">
        <f>IF($B19&gt;'Project Data and Assumptions'!$C$8,0,$AC$29*(1+$AA$15)^($B19-2020))</f>
        <v>0</v>
      </c>
      <c r="I19" s="17">
        <f t="shared" si="0"/>
        <v>168820.98004872608</v>
      </c>
      <c r="J19" s="325">
        <f t="shared" si="8"/>
        <v>4115.3659127458004</v>
      </c>
      <c r="K19" s="90">
        <f t="shared" si="9"/>
        <v>184689.81721104431</v>
      </c>
      <c r="L19" s="90">
        <f t="shared" si="1"/>
        <v>157679.85049663545</v>
      </c>
      <c r="M19" s="90">
        <f t="shared" si="10"/>
        <v>8085.9890047147755</v>
      </c>
      <c r="N19" s="92">
        <f t="shared" si="2"/>
        <v>91.108251381571179</v>
      </c>
      <c r="O19" s="17">
        <f t="shared" si="3"/>
        <v>0</v>
      </c>
      <c r="P19" s="90">
        <f t="shared" si="11"/>
        <v>0</v>
      </c>
      <c r="Q19" s="90">
        <f t="shared" si="12"/>
        <v>0</v>
      </c>
      <c r="R19" s="90">
        <f t="shared" si="4"/>
        <v>0</v>
      </c>
      <c r="S19" s="90">
        <f t="shared" si="13"/>
        <v>0</v>
      </c>
      <c r="T19" s="92">
        <f t="shared" si="5"/>
        <v>0</v>
      </c>
      <c r="U19" s="17">
        <f t="shared" si="14"/>
        <v>523483.11092524789</v>
      </c>
      <c r="V19" s="6">
        <f t="shared" si="6"/>
        <v>126428.02197682652</v>
      </c>
      <c r="X19" s="695" t="s">
        <v>496</v>
      </c>
      <c r="Y19" s="695"/>
      <c r="Z19" s="695"/>
      <c r="AA19" s="695"/>
      <c r="AB19" s="177">
        <f>MIN($AA$16,SUM($Y9:$Y10))</f>
        <v>0.4</v>
      </c>
      <c r="AC19" s="177">
        <f>MIN($AA$16,SUM($Y9:$Y10))</f>
        <v>0.4</v>
      </c>
    </row>
    <row r="20" spans="1:33" x14ac:dyDescent="0.25">
      <c r="A20" s="75">
        <f t="shared" si="7"/>
        <v>4179.4102617895342</v>
      </c>
      <c r="B20" s="2">
        <f t="shared" si="15"/>
        <v>2042</v>
      </c>
      <c r="C20" s="260">
        <f>IF(OR($B20&lt;$Y$6,$B20&gt;'Project Data and Assumptions'!$C$8),0,$AC$35*(1+$AA$15)^($B20-2020))</f>
        <v>13666.460289658777</v>
      </c>
      <c r="D20" s="91">
        <f>IF(OR($B20&lt;$Y$6,$B20&gt;'Project Data and Assumptions'!$C$8),0,$AB$34*(1+$AA$15)^($B20-2020))</f>
        <v>1756.0547318443423</v>
      </c>
      <c r="E20" s="258">
        <f>IF(OR($B20&lt;$Y$6,$B20&gt;'Project Data and Assumptions'!$C$8),0,$AC$34*(1+$AA$15)^($B20-2020))</f>
        <v>12764.55932591811</v>
      </c>
      <c r="F20" s="260">
        <f>IF($B20&gt;'Project Data and Assumptions'!$C$8,0,$AC$30*(1+$AA$15)^($B20-2020))</f>
        <v>0</v>
      </c>
      <c r="G20" s="91">
        <f>IF($B20&gt;'Project Data and Assumptions'!$C$8,0,$AB$29*(1+$AA$15)^($B20-2020))</f>
        <v>0</v>
      </c>
      <c r="H20" s="258">
        <f>IF($B20&gt;'Project Data and Assumptions'!$C$8,0,$AC$29*(1+$AA$15)^($B20-2020))</f>
        <v>0</v>
      </c>
      <c r="I20" s="17">
        <f t="shared" si="0"/>
        <v>172197.39964970062</v>
      </c>
      <c r="J20" s="325">
        <f t="shared" si="8"/>
        <v>4197.6732310007164</v>
      </c>
      <c r="K20" s="90">
        <f t="shared" si="9"/>
        <v>188383.61355526521</v>
      </c>
      <c r="L20" s="90">
        <f t="shared" si="1"/>
        <v>160833.44750656819</v>
      </c>
      <c r="M20" s="90">
        <f t="shared" si="10"/>
        <v>8247.7087848090723</v>
      </c>
      <c r="N20" s="92">
        <f t="shared" si="2"/>
        <v>92.930416409202593</v>
      </c>
      <c r="O20" s="17">
        <f t="shared" si="3"/>
        <v>0</v>
      </c>
      <c r="P20" s="90">
        <f t="shared" si="11"/>
        <v>0</v>
      </c>
      <c r="Q20" s="90">
        <f t="shared" si="12"/>
        <v>0</v>
      </c>
      <c r="R20" s="90">
        <f t="shared" si="4"/>
        <v>0</v>
      </c>
      <c r="S20" s="90">
        <f t="shared" si="13"/>
        <v>0</v>
      </c>
      <c r="T20" s="92">
        <f t="shared" si="5"/>
        <v>0</v>
      </c>
      <c r="U20" s="17">
        <f t="shared" si="14"/>
        <v>533952.77314375294</v>
      </c>
      <c r="V20" s="6">
        <f t="shared" si="6"/>
        <v>120520.17048258231</v>
      </c>
      <c r="X20" s="568"/>
      <c r="Y20" s="568"/>
      <c r="Z20" s="286"/>
      <c r="AA20" s="93"/>
    </row>
    <row r="21" spans="1:33" x14ac:dyDescent="0.25">
      <c r="A21" s="75">
        <f t="shared" si="7"/>
        <v>4262.9984670253243</v>
      </c>
      <c r="B21" s="2">
        <f t="shared" si="15"/>
        <v>2043</v>
      </c>
      <c r="C21" s="260">
        <f>IF(OR($B21&lt;$Y$6,$B21&gt;'Project Data and Assumptions'!$C$8),0,$AC$35*(1+$AA$15)^($B21-2020))</f>
        <v>13939.789495451951</v>
      </c>
      <c r="D21" s="91">
        <f>IF(OR($B21&lt;$Y$6,$B21&gt;'Project Data and Assumptions'!$C$8),0,$AB$34*(1+$AA$15)^($B21-2020))</f>
        <v>1791.1758264812288</v>
      </c>
      <c r="E21" s="258">
        <f>IF(OR($B21&lt;$Y$6,$B21&gt;'Project Data and Assumptions'!$C$8),0,$AC$34*(1+$AA$15)^($B21-2020))</f>
        <v>13019.850512436469</v>
      </c>
      <c r="F21" s="260">
        <f>IF($B21&gt;'Project Data and Assumptions'!$C$8,0,$AC$30*(1+$AA$15)^($B21-2020))</f>
        <v>0</v>
      </c>
      <c r="G21" s="91">
        <f>IF($B21&gt;'Project Data and Assumptions'!$C$8,0,$AB$29*(1+$AA$15)^($B21-2020))</f>
        <v>0</v>
      </c>
      <c r="H21" s="258">
        <f>IF($B21&gt;'Project Data and Assumptions'!$C$8,0,$AC$29*(1+$AA$15)^($B21-2020))</f>
        <v>0</v>
      </c>
      <c r="I21" s="17">
        <f t="shared" si="0"/>
        <v>175641.3476426946</v>
      </c>
      <c r="J21" s="325">
        <f t="shared" si="8"/>
        <v>4281.6266956207301</v>
      </c>
      <c r="K21" s="90">
        <f t="shared" si="9"/>
        <v>192151.28582637047</v>
      </c>
      <c r="L21" s="90">
        <f t="shared" si="1"/>
        <v>164050.1164566995</v>
      </c>
      <c r="M21" s="90">
        <f t="shared" si="10"/>
        <v>8412.6629605052512</v>
      </c>
      <c r="N21" s="92">
        <f t="shared" si="2"/>
        <v>94.789024737386626</v>
      </c>
      <c r="O21" s="17">
        <f t="shared" si="3"/>
        <v>0</v>
      </c>
      <c r="P21" s="90">
        <f t="shared" si="11"/>
        <v>0</v>
      </c>
      <c r="Q21" s="90">
        <f t="shared" si="12"/>
        <v>0</v>
      </c>
      <c r="R21" s="90">
        <f t="shared" si="4"/>
        <v>0</v>
      </c>
      <c r="S21" s="90">
        <f t="shared" si="13"/>
        <v>0</v>
      </c>
      <c r="T21" s="92">
        <f t="shared" si="5"/>
        <v>0</v>
      </c>
      <c r="U21" s="17">
        <f t="shared" si="14"/>
        <v>544631.828606628</v>
      </c>
      <c r="V21" s="6">
        <f t="shared" si="6"/>
        <v>114888.38681517191</v>
      </c>
      <c r="X21" s="28"/>
      <c r="Y21" s="28"/>
      <c r="Z21" s="570"/>
      <c r="AA21" s="570"/>
      <c r="AB21" s="570"/>
      <c r="AC21" s="570"/>
      <c r="AD21" s="547"/>
    </row>
    <row r="22" spans="1:33" x14ac:dyDescent="0.25">
      <c r="A22" s="75">
        <f t="shared" si="7"/>
        <v>4348.2584363658316</v>
      </c>
      <c r="B22" s="2">
        <f t="shared" si="15"/>
        <v>2044</v>
      </c>
      <c r="C22" s="260">
        <f>IF(OR($B22&lt;$Y$6,$B22&gt;'Project Data and Assumptions'!$C$8),0,$AC$35*(1+$AA$15)^($B22-2020))</f>
        <v>14218.585285360989</v>
      </c>
      <c r="D22" s="91">
        <f>IF(OR($B22&lt;$Y$6,$B22&gt;'Project Data and Assumptions'!$C$8),0,$AB$34*(1+$AA$15)^($B22-2020))</f>
        <v>1826.9993430108536</v>
      </c>
      <c r="E22" s="258">
        <f>IF(OR($B22&lt;$Y$6,$B22&gt;'Project Data and Assumptions'!$C$8),0,$AC$34*(1+$AA$15)^($B22-2020))</f>
        <v>13280.247522685198</v>
      </c>
      <c r="F22" s="260">
        <f>IF($B22&gt;'Project Data and Assumptions'!$C$8,0,$AC$30*(1+$AA$15)^($B22-2020))</f>
        <v>0</v>
      </c>
      <c r="G22" s="91">
        <f>IF($B22&gt;'Project Data and Assumptions'!$C$8,0,$AB$29*(1+$AA$15)^($B22-2020))</f>
        <v>0</v>
      </c>
      <c r="H22" s="258">
        <f>IF($B22&gt;'Project Data and Assumptions'!$C$8,0,$AC$29*(1+$AA$15)^($B22-2020))</f>
        <v>0</v>
      </c>
      <c r="I22" s="17">
        <f t="shared" si="0"/>
        <v>179154.17459554845</v>
      </c>
      <c r="J22" s="325">
        <f t="shared" si="8"/>
        <v>4367.2592295331451</v>
      </c>
      <c r="K22" s="90">
        <f t="shared" si="9"/>
        <v>195994.31154289789</v>
      </c>
      <c r="L22" s="90">
        <f t="shared" si="1"/>
        <v>167331.1187858335</v>
      </c>
      <c r="M22" s="90">
        <f t="shared" si="10"/>
        <v>8580.9162197153564</v>
      </c>
      <c r="N22" s="92">
        <f t="shared" si="2"/>
        <v>96.684805232134366</v>
      </c>
      <c r="O22" s="17">
        <f t="shared" si="3"/>
        <v>0</v>
      </c>
      <c r="P22" s="90">
        <f t="shared" si="11"/>
        <v>0</v>
      </c>
      <c r="Q22" s="90">
        <f t="shared" si="12"/>
        <v>0</v>
      </c>
      <c r="R22" s="90">
        <f t="shared" si="4"/>
        <v>0</v>
      </c>
      <c r="S22" s="90">
        <f t="shared" si="13"/>
        <v>0</v>
      </c>
      <c r="T22" s="92">
        <f t="shared" si="5"/>
        <v>0</v>
      </c>
      <c r="U22" s="17">
        <f t="shared" si="14"/>
        <v>555524.46517876047</v>
      </c>
      <c r="V22" s="6">
        <f t="shared" si="6"/>
        <v>109519.77060885546</v>
      </c>
      <c r="X22" s="571" t="s">
        <v>640</v>
      </c>
      <c r="Y22" s="28"/>
      <c r="Z22" s="570"/>
      <c r="AA22" s="570"/>
      <c r="AB22" s="570"/>
      <c r="AC22" s="570"/>
      <c r="AD22" s="547"/>
    </row>
    <row r="23" spans="1:33" x14ac:dyDescent="0.25">
      <c r="A23" s="75">
        <f t="shared" si="7"/>
        <v>4435.2236050931479</v>
      </c>
      <c r="B23" s="2">
        <f t="shared" si="15"/>
        <v>2045</v>
      </c>
      <c r="C23" s="260">
        <f>IF(OR($B23&lt;$Y$6,$B23&gt;'Project Data and Assumptions'!$C$8),0,$AC$35*(1+$AA$15)^($B23-2020))</f>
        <v>14502.956991068209</v>
      </c>
      <c r="D23" s="91">
        <f>IF(OR($B23&lt;$Y$6,$B23&gt;'Project Data and Assumptions'!$C$8),0,$AB$34*(1+$AA$15)^($B23-2020))</f>
        <v>1863.5393298710705</v>
      </c>
      <c r="E23" s="258">
        <f>IF(OR($B23&lt;$Y$6,$B23&gt;'Project Data and Assumptions'!$C$8),0,$AC$34*(1+$AA$15)^($B23-2020))</f>
        <v>13545.852473138902</v>
      </c>
      <c r="F23" s="260">
        <f>IF($B23&gt;'Project Data and Assumptions'!$C$8,0,$AC$30*(1+$AA$15)^($B23-2020))</f>
        <v>0</v>
      </c>
      <c r="G23" s="91">
        <f>IF($B23&gt;'Project Data and Assumptions'!$C$8,0,$AB$29*(1+$AA$15)^($B23-2020))</f>
        <v>0</v>
      </c>
      <c r="H23" s="258">
        <f>IF($B23&gt;'Project Data and Assumptions'!$C$8,0,$AC$29*(1+$AA$15)^($B23-2020))</f>
        <v>0</v>
      </c>
      <c r="I23" s="17">
        <f t="shared" si="0"/>
        <v>182737.25808745946</v>
      </c>
      <c r="J23" s="325">
        <f t="shared" si="8"/>
        <v>4454.6044141238081</v>
      </c>
      <c r="K23" s="90">
        <f t="shared" si="9"/>
        <v>199914.19777375585</v>
      </c>
      <c r="L23" s="90">
        <f t="shared" si="1"/>
        <v>170677.74116155016</v>
      </c>
      <c r="M23" s="90">
        <f t="shared" si="10"/>
        <v>8752.5345441096651</v>
      </c>
      <c r="N23" s="92">
        <f t="shared" si="2"/>
        <v>98.618501336777072</v>
      </c>
      <c r="O23" s="17">
        <f t="shared" si="3"/>
        <v>0</v>
      </c>
      <c r="P23" s="90">
        <f t="shared" si="11"/>
        <v>0</v>
      </c>
      <c r="Q23" s="90">
        <f t="shared" si="12"/>
        <v>0</v>
      </c>
      <c r="R23" s="90">
        <f t="shared" si="4"/>
        <v>0</v>
      </c>
      <c r="S23" s="90">
        <f t="shared" si="13"/>
        <v>0</v>
      </c>
      <c r="T23" s="92">
        <f t="shared" si="5"/>
        <v>0</v>
      </c>
      <c r="U23" s="17">
        <f t="shared" si="14"/>
        <v>566634.95448233571</v>
      </c>
      <c r="V23" s="6">
        <f t="shared" si="6"/>
        <v>104402.02431872202</v>
      </c>
      <c r="X23" s="547"/>
      <c r="Y23" s="547"/>
      <c r="Z23" s="288" t="s">
        <v>23</v>
      </c>
      <c r="AA23" s="288" t="s">
        <v>468</v>
      </c>
      <c r="AB23" s="288" t="s">
        <v>53</v>
      </c>
      <c r="AC23" s="288" t="s">
        <v>261</v>
      </c>
      <c r="AD23" s="288" t="s">
        <v>486</v>
      </c>
    </row>
    <row r="24" spans="1:33" x14ac:dyDescent="0.25">
      <c r="A24" s="75">
        <f t="shared" si="7"/>
        <v>4523.9280771950116</v>
      </c>
      <c r="B24" s="2">
        <f t="shared" si="15"/>
        <v>2046</v>
      </c>
      <c r="C24" s="260">
        <f>IF(OR($B24&lt;$Y$6,$B24&gt;'Project Data and Assumptions'!$C$8),0,$AC$35*(1+$AA$15)^($B24-2020))</f>
        <v>14793.016130889575</v>
      </c>
      <c r="D24" s="91">
        <f>IF(OR($B24&lt;$Y$6,$B24&gt;'Project Data and Assumptions'!$C$8),0,$AB$34*(1+$AA$15)^($B24-2020))</f>
        <v>1900.8101164684922</v>
      </c>
      <c r="E24" s="258">
        <f>IF(OR($B24&lt;$Y$6,$B24&gt;'Project Data and Assumptions'!$C$8),0,$AC$34*(1+$AA$15)^($B24-2020))</f>
        <v>13816.769522601682</v>
      </c>
      <c r="F24" s="260">
        <f>IF($B24&gt;'Project Data and Assumptions'!$C$8,0,$AC$30*(1+$AA$15)^($B24-2020))</f>
        <v>0</v>
      </c>
      <c r="G24" s="91">
        <f>IF($B24&gt;'Project Data and Assumptions'!$C$8,0,$AB$29*(1+$AA$15)^($B24-2020))</f>
        <v>0</v>
      </c>
      <c r="H24" s="258">
        <f>IF($B24&gt;'Project Data and Assumptions'!$C$8,0,$AC$29*(1+$AA$15)^($B24-2020))</f>
        <v>0</v>
      </c>
      <c r="I24" s="17">
        <f t="shared" si="0"/>
        <v>186392.00324920862</v>
      </c>
      <c r="J24" s="325">
        <f t="shared" si="8"/>
        <v>4543.6965024062838</v>
      </c>
      <c r="K24" s="90">
        <f t="shared" si="9"/>
        <v>203912.48172923096</v>
      </c>
      <c r="L24" s="90">
        <f t="shared" si="1"/>
        <v>174091.2959847812</v>
      </c>
      <c r="M24" s="90">
        <f t="shared" si="10"/>
        <v>8927.5852349918587</v>
      </c>
      <c r="N24" s="92">
        <f t="shared" si="2"/>
        <v>100.59087136351259</v>
      </c>
      <c r="O24" s="17">
        <f t="shared" si="3"/>
        <v>0</v>
      </c>
      <c r="P24" s="90">
        <f t="shared" si="11"/>
        <v>0</v>
      </c>
      <c r="Q24" s="90">
        <f t="shared" si="12"/>
        <v>0</v>
      </c>
      <c r="R24" s="90">
        <f t="shared" si="4"/>
        <v>0</v>
      </c>
      <c r="S24" s="90">
        <f t="shared" si="13"/>
        <v>0</v>
      </c>
      <c r="T24" s="92">
        <f t="shared" si="5"/>
        <v>0</v>
      </c>
      <c r="U24" s="17">
        <f t="shared" si="14"/>
        <v>577967.65357198252</v>
      </c>
      <c r="V24" s="6">
        <f t="shared" si="6"/>
        <v>99523.425051492042</v>
      </c>
      <c r="X24" s="709" t="s">
        <v>191</v>
      </c>
      <c r="Y24" s="709"/>
      <c r="Z24" s="327">
        <f>'Nine Mile Creek'!$B$6*'Nine Mile Creek'!$B$3</f>
        <v>281775</v>
      </c>
      <c r="AA24" s="327">
        <f>Z24*(SUM('Nine Mile Creek'!$B$27:$B$30)+'Nine Mile Creek'!$B$26*5/7)</f>
        <v>218963.72967857143</v>
      </c>
      <c r="AB24" s="327">
        <f>SUM($Z24:$Z25)*'Nine Mile Creek'!$C$11</f>
        <v>34076.542500000003</v>
      </c>
      <c r="AC24" s="327">
        <f>Z24-AB24</f>
        <v>247698.45749999999</v>
      </c>
      <c r="AD24" s="328">
        <f>AA24/Z24</f>
        <v>0.77708714285714287</v>
      </c>
    </row>
    <row r="25" spans="1:33" x14ac:dyDescent="0.25">
      <c r="A25" s="75">
        <f t="shared" si="7"/>
        <v>4614.4066387389103</v>
      </c>
      <c r="B25" s="2">
        <f t="shared" si="15"/>
        <v>2047</v>
      </c>
      <c r="C25" s="260">
        <f>IF(OR($B25&lt;$Y$6,$B25&gt;'Project Data and Assumptions'!$C$8),0,$AC$35*(1+$AA$15)^($B25-2020))</f>
        <v>15088.876453507364</v>
      </c>
      <c r="D25" s="91">
        <f>IF(OR($B25&lt;$Y$6,$B25&gt;'Project Data and Assumptions'!$C$8),0,$AB$34*(1+$AA$15)^($B25-2020))</f>
        <v>1938.8263187978616</v>
      </c>
      <c r="E25" s="258">
        <f>IF(OR($B25&lt;$Y$6,$B25&gt;'Project Data and Assumptions'!$C$8),0,$AC$34*(1+$AA$15)^($B25-2020))</f>
        <v>14093.104913053714</v>
      </c>
      <c r="F25" s="260">
        <f>IF($B25&gt;'Project Data and Assumptions'!$C$8,0,$AC$30*(1+$AA$15)^($B25-2020))</f>
        <v>0</v>
      </c>
      <c r="G25" s="91">
        <f>IF($B25&gt;'Project Data and Assumptions'!$C$8,0,$AB$29*(1+$AA$15)^($B25-2020))</f>
        <v>0</v>
      </c>
      <c r="H25" s="258">
        <f>IF($B25&gt;'Project Data and Assumptions'!$C$8,0,$AC$29*(1+$AA$15)^($B25-2020))</f>
        <v>0</v>
      </c>
      <c r="I25" s="17">
        <f t="shared" si="0"/>
        <v>190119.84331419281</v>
      </c>
      <c r="J25" s="325">
        <f t="shared" si="8"/>
        <v>4634.5704324544095</v>
      </c>
      <c r="K25" s="90">
        <f t="shared" si="9"/>
        <v>207990.73136381558</v>
      </c>
      <c r="L25" s="90">
        <f t="shared" si="1"/>
        <v>177573.12190447681</v>
      </c>
      <c r="M25" s="90">
        <f t="shared" si="10"/>
        <v>9106.1369396916944</v>
      </c>
      <c r="N25" s="92">
        <f t="shared" si="2"/>
        <v>102.60268879078285</v>
      </c>
      <c r="O25" s="17">
        <f t="shared" si="3"/>
        <v>0</v>
      </c>
      <c r="P25" s="90">
        <f t="shared" si="11"/>
        <v>0</v>
      </c>
      <c r="Q25" s="90">
        <f t="shared" si="12"/>
        <v>0</v>
      </c>
      <c r="R25" s="90">
        <f t="shared" si="4"/>
        <v>0</v>
      </c>
      <c r="S25" s="90">
        <f t="shared" si="13"/>
        <v>0</v>
      </c>
      <c r="T25" s="92">
        <f t="shared" si="5"/>
        <v>0</v>
      </c>
      <c r="U25" s="17">
        <f t="shared" si="14"/>
        <v>589527.00664342206</v>
      </c>
      <c r="V25" s="6">
        <f t="shared" si="6"/>
        <v>94872.797712637243</v>
      </c>
      <c r="X25" s="709" t="s">
        <v>190</v>
      </c>
      <c r="Y25" s="709"/>
      <c r="Z25" s="327">
        <f>'Nine Mile Creek'!$B$6*SUM('Nine Mile Creek'!C3:D3)</f>
        <v>265200</v>
      </c>
      <c r="AA25" s="327">
        <f>Z25*(SUM('Nine Mile Creek'!$B$27:$B$30)+'Nine Mile Creek'!$B$26*5/7)</f>
        <v>206083.51028571429</v>
      </c>
      <c r="AB25" s="327">
        <v>0</v>
      </c>
      <c r="AC25" s="327">
        <f>Z25-AB25</f>
        <v>265200</v>
      </c>
      <c r="AD25" s="328">
        <f>AA25/Z25</f>
        <v>0.77708714285714287</v>
      </c>
      <c r="AG25" s="112" t="s">
        <v>64</v>
      </c>
    </row>
    <row r="26" spans="1:33" x14ac:dyDescent="0.25">
      <c r="A26" s="75">
        <f t="shared" si="7"/>
        <v>4706.6947715136894</v>
      </c>
      <c r="B26" s="361">
        <f t="shared" si="15"/>
        <v>2048</v>
      </c>
      <c r="C26" s="362">
        <f>IF(OR($B26&lt;$Y$6,$B26&gt;'Project Data and Assumptions'!$C$8),0,$AC$35*(1+$AA$15)^($B26-2020))</f>
        <v>15390.653982577514</v>
      </c>
      <c r="D26" s="363">
        <f>IF(OR($B26&lt;$Y$6,$B26&gt;'Project Data and Assumptions'!$C$8),0,$AB$34*(1+$AA$15)^($B26-2020))</f>
        <v>1977.6028451738193</v>
      </c>
      <c r="E26" s="364">
        <f>IF(OR($B26&lt;$Y$6,$B26&gt;'Project Data and Assumptions'!$C$8),0,$AC$34*(1+$AA$15)^($B26-2020))</f>
        <v>14374.967011314791</v>
      </c>
      <c r="F26" s="362">
        <f>IF($B26&gt;'Project Data and Assumptions'!$C$8,0,$AC$30*(1+$AA$15)^($B26-2020))</f>
        <v>0</v>
      </c>
      <c r="G26" s="363">
        <f>IF($B26&gt;'Project Data and Assumptions'!$C$8,0,$AB$29*(1+$AA$15)^($B26-2020))</f>
        <v>0</v>
      </c>
      <c r="H26" s="364">
        <f>IF($B26&gt;'Project Data and Assumptions'!$C$8,0,$AC$29*(1+$AA$15)^($B26-2020))</f>
        <v>0</v>
      </c>
      <c r="I26" s="120">
        <f t="shared" si="0"/>
        <v>193922.24018047669</v>
      </c>
      <c r="J26" s="326">
        <f t="shared" si="8"/>
        <v>4727.2618411034982</v>
      </c>
      <c r="K26" s="121">
        <f t="shared" si="9"/>
        <v>212150.54599109193</v>
      </c>
      <c r="L26" s="121">
        <f t="shared" si="1"/>
        <v>181124.58434256638</v>
      </c>
      <c r="M26" s="121">
        <f t="shared" si="10"/>
        <v>9288.2596784855305</v>
      </c>
      <c r="N26" s="123">
        <f t="shared" si="2"/>
        <v>104.65474256659851</v>
      </c>
      <c r="O26" s="120">
        <f t="shared" si="3"/>
        <v>0</v>
      </c>
      <c r="P26" s="121">
        <f t="shared" si="11"/>
        <v>0</v>
      </c>
      <c r="Q26" s="121">
        <f t="shared" si="12"/>
        <v>0</v>
      </c>
      <c r="R26" s="121">
        <f t="shared" si="4"/>
        <v>0</v>
      </c>
      <c r="S26" s="121">
        <f t="shared" si="13"/>
        <v>0</v>
      </c>
      <c r="T26" s="123">
        <f t="shared" si="5"/>
        <v>0</v>
      </c>
      <c r="U26" s="120">
        <f t="shared" si="14"/>
        <v>601317.54677629075</v>
      </c>
      <c r="V26" s="369">
        <f t="shared" si="6"/>
        <v>90439.489408308451</v>
      </c>
      <c r="X26" s="28"/>
      <c r="Y26" s="28"/>
      <c r="Z26" s="573"/>
      <c r="AA26" s="573"/>
      <c r="AB26" s="573"/>
      <c r="AC26" s="570"/>
      <c r="AD26" s="547"/>
      <c r="AG26" s="112" t="s">
        <v>65</v>
      </c>
    </row>
    <row r="27" spans="1:33" x14ac:dyDescent="0.25">
      <c r="A27" s="75">
        <f t="shared" si="7"/>
        <v>4800.8286669439631</v>
      </c>
      <c r="B27" s="2">
        <f t="shared" si="15"/>
        <v>2049</v>
      </c>
      <c r="C27" s="260">
        <f>IF(OR($B27&lt;$Y$6,$B27&gt;'Project Data and Assumptions'!$C$8),0,$AC$35*(1+$AA$15)^($B27-2020))</f>
        <v>15698.467062229061</v>
      </c>
      <c r="D27" s="91">
        <f>IF(OR($B27&lt;$Y$6,$B27&gt;'Project Data and Assumptions'!$C$8),0,$AB$34*(1+$AA$15)^($B27-2020))</f>
        <v>2017.1549020772954</v>
      </c>
      <c r="E27" s="258">
        <f>IF(OR($B27&lt;$Y$6,$B27&gt;'Project Data and Assumptions'!$C$8),0,$AC$34*(1+$AA$15)^($B27-2020))</f>
        <v>14662.466351541085</v>
      </c>
      <c r="F27" s="260">
        <f>IF($B27&gt;'Project Data and Assumptions'!$C$8,0,$AC$30*(1+$AA$15)^($B27-2020))</f>
        <v>0</v>
      </c>
      <c r="G27" s="91">
        <f>IF($B27&gt;'Project Data and Assumptions'!$C$8,0,$AB$29*(1+$AA$15)^($B27-2020))</f>
        <v>0</v>
      </c>
      <c r="H27" s="258">
        <f>IF($B27&gt;'Project Data and Assumptions'!$C$8,0,$AC$29*(1+$AA$15)^($B27-2020))</f>
        <v>0</v>
      </c>
      <c r="I27" s="17">
        <f t="shared" si="0"/>
        <v>197800.68498408617</v>
      </c>
      <c r="J27" s="325">
        <f t="shared" ref="J27:J29" si="16">(D27*$AA$40)*$AA$38*$AA$39</f>
        <v>4821.8070779255677</v>
      </c>
      <c r="K27" s="90">
        <f t="shared" ref="K27:K29" si="17">C27*$AA$43+SUM(D27:E27)*$AA$44</f>
        <v>216393.55691091373</v>
      </c>
      <c r="L27" s="90">
        <f t="shared" si="1"/>
        <v>184747.07602941769</v>
      </c>
      <c r="M27" s="90">
        <f t="shared" ref="M27:M29" si="18">SUM(D27:E27)*$AA$52</f>
        <v>9474.024872055239</v>
      </c>
      <c r="N27" s="92">
        <f t="shared" si="2"/>
        <v>106.74783741793047</v>
      </c>
      <c r="O27" s="17">
        <f t="shared" si="3"/>
        <v>0</v>
      </c>
      <c r="P27" s="90">
        <f t="shared" ref="P27:P29" si="19">(G27*$AA$40)*$AA$38*$AA$39</f>
        <v>0</v>
      </c>
      <c r="Q27" s="90">
        <f t="shared" ref="Q27:Q29" si="20">F27*$AA$43+SUM(G27:H27)*$AA$44</f>
        <v>0</v>
      </c>
      <c r="R27" s="90">
        <f t="shared" si="4"/>
        <v>0</v>
      </c>
      <c r="S27" s="90">
        <f t="shared" ref="S27:S29" si="21">SUM(G27:H27)*$AA$52</f>
        <v>0</v>
      </c>
      <c r="T27" s="92">
        <f t="shared" si="5"/>
        <v>0</v>
      </c>
      <c r="U27" s="17">
        <f t="shared" ref="U27:U29" si="22">SUM(I27:T27)</f>
        <v>613343.89771181636</v>
      </c>
      <c r="V27" s="6">
        <f t="shared" si="6"/>
        <v>86213.345043434194</v>
      </c>
      <c r="X27" s="32" t="s">
        <v>641</v>
      </c>
      <c r="Y27" s="30"/>
      <c r="Z27" s="100"/>
      <c r="AA27" s="100"/>
      <c r="AB27" s="100"/>
      <c r="AC27" s="100"/>
    </row>
    <row r="28" spans="1:33" x14ac:dyDescent="0.25">
      <c r="A28" s="75">
        <f t="shared" si="7"/>
        <v>4896.8452402828425</v>
      </c>
      <c r="B28" s="2">
        <f t="shared" si="15"/>
        <v>2050</v>
      </c>
      <c r="C28" s="260">
        <f>IF(OR($B28&lt;$Y$6,$B28&gt;'Project Data and Assumptions'!$C$8),0,$AC$35*(1+$AA$15)^($B28-2020))</f>
        <v>16012.436403473645</v>
      </c>
      <c r="D28" s="91">
        <f>IF(OR($B28&lt;$Y$6,$B28&gt;'Project Data and Assumptions'!$C$8),0,$AB$34*(1+$AA$15)^($B28-2020))</f>
        <v>2057.4980001188414</v>
      </c>
      <c r="E28" s="258">
        <f>IF(OR($B28&lt;$Y$6,$B28&gt;'Project Data and Assumptions'!$C$8),0,$AC$34*(1+$AA$15)^($B28-2020))</f>
        <v>14955.715678571907</v>
      </c>
      <c r="F28" s="260">
        <f>IF($B28&gt;'Project Data and Assumptions'!$C$8,0,$AC$30*(1+$AA$15)^($B28-2020))</f>
        <v>0</v>
      </c>
      <c r="G28" s="91">
        <f>IF($B28&gt;'Project Data and Assumptions'!$C$8,0,$AB$29*(1+$AA$15)^($B28-2020))</f>
        <v>0</v>
      </c>
      <c r="H28" s="258">
        <f>IF($B28&gt;'Project Data and Assumptions'!$C$8,0,$AC$29*(1+$AA$15)^($B28-2020))</f>
        <v>0</v>
      </c>
      <c r="I28" s="17">
        <f t="shared" si="0"/>
        <v>201756.69868376793</v>
      </c>
      <c r="J28" s="325">
        <f t="shared" si="16"/>
        <v>4918.2432194840794</v>
      </c>
      <c r="K28" s="90">
        <f t="shared" si="17"/>
        <v>220721.42804913202</v>
      </c>
      <c r="L28" s="90">
        <f t="shared" si="1"/>
        <v>188442.01755000601</v>
      </c>
      <c r="M28" s="90">
        <f t="shared" si="18"/>
        <v>9663.5053694963462</v>
      </c>
      <c r="N28" s="92">
        <f t="shared" si="2"/>
        <v>108.88279416628909</v>
      </c>
      <c r="O28" s="17">
        <f t="shared" si="3"/>
        <v>0</v>
      </c>
      <c r="P28" s="90">
        <f t="shared" si="19"/>
        <v>0</v>
      </c>
      <c r="Q28" s="90">
        <f t="shared" si="20"/>
        <v>0</v>
      </c>
      <c r="R28" s="90">
        <f t="shared" si="4"/>
        <v>0</v>
      </c>
      <c r="S28" s="90">
        <f t="shared" si="21"/>
        <v>0</v>
      </c>
      <c r="T28" s="92">
        <f t="shared" si="5"/>
        <v>0</v>
      </c>
      <c r="U28" s="17">
        <f t="shared" si="22"/>
        <v>625610.77566605271</v>
      </c>
      <c r="V28" s="6">
        <f t="shared" si="6"/>
        <v>82184.684060096159</v>
      </c>
      <c r="Z28" s="94" t="s">
        <v>23</v>
      </c>
      <c r="AA28" s="94" t="s">
        <v>468</v>
      </c>
      <c r="AB28" s="94" t="s">
        <v>53</v>
      </c>
      <c r="AC28" s="94" t="s">
        <v>261</v>
      </c>
      <c r="AD28" s="288" t="s">
        <v>486</v>
      </c>
    </row>
    <row r="29" spans="1:33" ht="15.75" thickBot="1" x14ac:dyDescent="0.3">
      <c r="A29" s="75">
        <f t="shared" si="7"/>
        <v>0</v>
      </c>
      <c r="B29" s="365">
        <f t="shared" si="15"/>
        <v>2051</v>
      </c>
      <c r="C29" s="366">
        <f>IF(OR($B29&lt;$Y$6,$B29&gt;'Project Data and Assumptions'!$C$8),0,$AC$35*(1+$AA$15)^($B29-2020))</f>
        <v>0</v>
      </c>
      <c r="D29" s="367">
        <f>IF(OR($B29&lt;$Y$6,$B29&gt;'Project Data and Assumptions'!$C$8),0,$AB$34*(1+$AA$15)^($B29-2020))</f>
        <v>0</v>
      </c>
      <c r="E29" s="368">
        <f>IF(OR($B29&lt;$Y$6,$B29&gt;'Project Data and Assumptions'!$C$8),0,$AC$34*(1+$AA$15)^($B29-2020))</f>
        <v>0</v>
      </c>
      <c r="F29" s="366">
        <f>IF($B29&gt;'Project Data and Assumptions'!$C$8,0,$AC$30*(1+$AA$15)^($B29-2020))</f>
        <v>0</v>
      </c>
      <c r="G29" s="367">
        <f>IF($B29&gt;'Project Data and Assumptions'!$C$8,0,$AB$29*(1+$AA$15)^($B29-2020))</f>
        <v>0</v>
      </c>
      <c r="H29" s="368">
        <f>IF($B29&gt;'Project Data and Assumptions'!$C$8,0,$AC$29*(1+$AA$15)^($B29-2020))</f>
        <v>0</v>
      </c>
      <c r="I29" s="357">
        <f t="shared" si="0"/>
        <v>0</v>
      </c>
      <c r="J29" s="358">
        <f t="shared" si="16"/>
        <v>0</v>
      </c>
      <c r="K29" s="359">
        <f t="shared" si="17"/>
        <v>0</v>
      </c>
      <c r="L29" s="359">
        <f t="shared" si="1"/>
        <v>0</v>
      </c>
      <c r="M29" s="359">
        <f t="shared" si="18"/>
        <v>0</v>
      </c>
      <c r="N29" s="360">
        <f t="shared" si="2"/>
        <v>0</v>
      </c>
      <c r="O29" s="357">
        <f t="shared" si="3"/>
        <v>0</v>
      </c>
      <c r="P29" s="359">
        <f t="shared" si="19"/>
        <v>0</v>
      </c>
      <c r="Q29" s="359">
        <f t="shared" si="20"/>
        <v>0</v>
      </c>
      <c r="R29" s="359">
        <f t="shared" si="4"/>
        <v>0</v>
      </c>
      <c r="S29" s="359">
        <f t="shared" si="21"/>
        <v>0</v>
      </c>
      <c r="T29" s="360">
        <f t="shared" si="5"/>
        <v>0</v>
      </c>
      <c r="U29" s="143">
        <f t="shared" si="22"/>
        <v>0</v>
      </c>
      <c r="V29" s="144">
        <f t="shared" si="6"/>
        <v>0</v>
      </c>
      <c r="X29" s="698" t="s">
        <v>191</v>
      </c>
      <c r="Y29" s="698"/>
      <c r="Z29" s="327">
        <f>$Y$8/$Y$7*Z24</f>
        <v>0</v>
      </c>
      <c r="AA29" s="289">
        <f>Z29*(SUM('Nine Mile Creek'!$B$27:$B$30)+'Nine Mile Creek'!$B$26*5/7)</f>
        <v>0</v>
      </c>
      <c r="AB29" s="289">
        <f>SUM($Z29:$Z30)*'Nine Mile Creek'!$C$11</f>
        <v>0</v>
      </c>
      <c r="AC29" s="327">
        <f>Z29-AB29</f>
        <v>0</v>
      </c>
      <c r="AD29" s="328">
        <f>IFERROR(AA29/Z29,0)</f>
        <v>0</v>
      </c>
    </row>
    <row r="30" spans="1:33" ht="15.75" thickBot="1" x14ac:dyDescent="0.3">
      <c r="A30" s="75"/>
      <c r="B30" s="4"/>
      <c r="D30" s="4"/>
      <c r="G30" s="4"/>
      <c r="H30" s="97" t="s">
        <v>2</v>
      </c>
      <c r="I30" s="140">
        <f t="shared" ref="I30:V30" si="23">SUM(I7:I29)</f>
        <v>3500767.9090373632</v>
      </c>
      <c r="J30" s="141">
        <f t="shared" si="23"/>
        <v>85338.569395394719</v>
      </c>
      <c r="K30" s="141">
        <f t="shared" si="23"/>
        <v>3829833.1465188032</v>
      </c>
      <c r="L30" s="141">
        <f t="shared" si="23"/>
        <v>3269739.1068403297</v>
      </c>
      <c r="M30" s="141">
        <f t="shared" si="23"/>
        <v>167675.66929397217</v>
      </c>
      <c r="N30" s="142">
        <f t="shared" si="23"/>
        <v>1889.2725453498531</v>
      </c>
      <c r="O30" s="140">
        <f t="shared" si="23"/>
        <v>0</v>
      </c>
      <c r="P30" s="141">
        <f t="shared" si="23"/>
        <v>0</v>
      </c>
      <c r="Q30" s="141">
        <f t="shared" si="23"/>
        <v>0</v>
      </c>
      <c r="R30" s="141">
        <f t="shared" si="23"/>
        <v>0</v>
      </c>
      <c r="S30" s="141">
        <f t="shared" si="23"/>
        <v>0</v>
      </c>
      <c r="T30" s="142">
        <f t="shared" si="23"/>
        <v>0</v>
      </c>
      <c r="U30" s="143">
        <f t="shared" si="23"/>
        <v>10855243.673631214</v>
      </c>
      <c r="V30" s="144">
        <f t="shared" si="23"/>
        <v>2903551.654373351</v>
      </c>
      <c r="X30" s="698" t="s">
        <v>190</v>
      </c>
      <c r="Y30" s="698"/>
      <c r="Z30" s="327">
        <f>$Y$8/$Y$7*Z25</f>
        <v>0</v>
      </c>
      <c r="AA30" s="289">
        <f>Z30*(SUM('Nine Mile Creek'!$B$27:$B$30)+'Nine Mile Creek'!$B$26*5/7)</f>
        <v>0</v>
      </c>
      <c r="AB30" s="289">
        <f>SUM($Z29:$Z30)*'Nine Mile Creek'!$C$11</f>
        <v>0</v>
      </c>
      <c r="AC30" s="327">
        <f>Z30-AB30</f>
        <v>0</v>
      </c>
      <c r="AD30" s="328">
        <f>IFERROR(AA30/Z30,0)</f>
        <v>0</v>
      </c>
    </row>
    <row r="31" spans="1:33" ht="15" customHeight="1" x14ac:dyDescent="0.25">
      <c r="A31" s="75"/>
      <c r="B31" s="4"/>
      <c r="D31" s="4"/>
      <c r="F31" s="97"/>
      <c r="G31" s="4"/>
      <c r="H31" s="4"/>
      <c r="I31" s="98"/>
      <c r="J31" s="98"/>
      <c r="K31" s="98"/>
      <c r="L31" s="98"/>
      <c r="M31" s="98"/>
      <c r="N31" s="98"/>
      <c r="O31" s="98"/>
      <c r="P31" s="98"/>
      <c r="Q31" s="98"/>
      <c r="R31" s="98"/>
      <c r="S31" s="98"/>
      <c r="T31" s="98"/>
      <c r="U31" s="98"/>
      <c r="V31" s="98"/>
      <c r="X31" s="30"/>
      <c r="Y31" s="30"/>
      <c r="Z31" s="114"/>
      <c r="AA31" s="114"/>
      <c r="AB31" s="114"/>
      <c r="AC31" s="100"/>
    </row>
    <row r="32" spans="1:33" ht="15" customHeight="1" x14ac:dyDescent="0.25">
      <c r="D32" s="99"/>
      <c r="U32" s="30"/>
      <c r="X32" s="32" t="s">
        <v>642</v>
      </c>
      <c r="Y32" s="30"/>
      <c r="Z32" s="100"/>
      <c r="AA32" s="100"/>
      <c r="AB32" s="100"/>
      <c r="AC32" s="100"/>
    </row>
    <row r="33" spans="1:33" ht="15" customHeight="1" x14ac:dyDescent="0.25">
      <c r="D33" s="99"/>
      <c r="U33" s="30"/>
      <c r="Z33" s="94" t="s">
        <v>23</v>
      </c>
      <c r="AA33" s="94" t="s">
        <v>468</v>
      </c>
      <c r="AB33" s="94" t="s">
        <v>53</v>
      </c>
      <c r="AC33" s="94" t="s">
        <v>261</v>
      </c>
      <c r="AD33" s="288" t="s">
        <v>486</v>
      </c>
    </row>
    <row r="34" spans="1:33" ht="17.25" customHeight="1" x14ac:dyDescent="0.25">
      <c r="B34" s="175" t="s">
        <v>3</v>
      </c>
      <c r="H34" s="175"/>
      <c r="U34" s="30"/>
      <c r="X34" s="698" t="s">
        <v>191</v>
      </c>
      <c r="Y34" s="698"/>
      <c r="Z34" s="95">
        <f>$Y$9/$Y$7*Z24</f>
        <v>9392.5</v>
      </c>
      <c r="AA34" s="289">
        <f>Z34*(SUM('Nine Mile Creek'!$B$27:$B$30)+'Nine Mile Creek'!$B$26*5/7)</f>
        <v>7298.7909892857142</v>
      </c>
      <c r="AB34" s="289">
        <f>SUM($Z34:$Z35)*'Nine Mile Creek'!$C$11</f>
        <v>1135.8847499999999</v>
      </c>
      <c r="AC34" s="95">
        <f>Z34-AB34</f>
        <v>8256.6152500000007</v>
      </c>
      <c r="AD34" s="254">
        <f>AA34/Z34</f>
        <v>0.77708714285714287</v>
      </c>
    </row>
    <row r="35" spans="1:33" ht="17.25" customHeight="1" x14ac:dyDescent="0.25">
      <c r="A35" s="582" t="s">
        <v>18</v>
      </c>
      <c r="B35" s="565" t="s">
        <v>685</v>
      </c>
      <c r="C35" s="581"/>
      <c r="D35" s="581"/>
      <c r="E35" s="31"/>
      <c r="F35" s="31"/>
      <c r="G35" s="31"/>
      <c r="H35" s="31"/>
      <c r="I35" s="31"/>
      <c r="J35" s="31"/>
      <c r="K35" s="31"/>
      <c r="L35" s="31"/>
      <c r="M35" s="31"/>
      <c r="N35" s="31"/>
      <c r="O35" s="31"/>
      <c r="P35" s="31"/>
      <c r="Q35" s="31"/>
      <c r="R35" s="31"/>
      <c r="S35" s="31"/>
      <c r="T35" s="62"/>
      <c r="U35" s="62"/>
      <c r="V35" s="62"/>
      <c r="X35" s="698" t="s">
        <v>190</v>
      </c>
      <c r="Y35" s="698"/>
      <c r="Z35" s="95">
        <f>$Y$9/$Y$7*Z25</f>
        <v>8840</v>
      </c>
      <c r="AA35" s="289">
        <f>Z35*(SUM('Nine Mile Creek'!$B$27:$B$30)+'Nine Mile Creek'!$B$26*5/7)</f>
        <v>6869.4503428571434</v>
      </c>
      <c r="AB35" s="329">
        <v>0</v>
      </c>
      <c r="AC35" s="95">
        <f>Z35-AB35</f>
        <v>8840</v>
      </c>
      <c r="AD35" s="254">
        <f>AA35/Z35</f>
        <v>0.77708714285714287</v>
      </c>
    </row>
    <row r="36" spans="1:33" ht="17.25" customHeight="1" x14ac:dyDescent="0.25">
      <c r="A36" s="582"/>
      <c r="B36" s="565"/>
      <c r="C36" s="581"/>
      <c r="D36" s="581"/>
      <c r="E36" s="31"/>
      <c r="F36" s="31"/>
      <c r="G36" s="31"/>
      <c r="H36" s="31"/>
      <c r="I36" s="31"/>
      <c r="J36" s="59"/>
      <c r="K36" s="59"/>
      <c r="L36" s="31"/>
      <c r="M36" s="31"/>
      <c r="N36" s="31"/>
      <c r="O36" s="31"/>
      <c r="P36" s="59"/>
      <c r="Q36" s="59"/>
      <c r="R36" s="31"/>
      <c r="S36" s="31"/>
      <c r="T36" s="62"/>
      <c r="U36" s="62"/>
      <c r="V36" s="62"/>
      <c r="X36" s="30"/>
      <c r="Y36" s="30"/>
      <c r="Z36" s="100"/>
      <c r="AA36" s="100"/>
      <c r="AB36" s="100"/>
      <c r="AC36" s="100"/>
    </row>
    <row r="37" spans="1:33" ht="15" customHeight="1" x14ac:dyDescent="0.25">
      <c r="A37" s="582" t="s">
        <v>17</v>
      </c>
      <c r="B37" s="565" t="s">
        <v>645</v>
      </c>
      <c r="C37" s="581"/>
      <c r="D37" s="581"/>
      <c r="E37" s="31"/>
      <c r="F37" s="31"/>
      <c r="G37" s="31"/>
      <c r="H37" s="31"/>
      <c r="I37" s="31"/>
      <c r="J37" s="31"/>
      <c r="K37" s="31"/>
      <c r="L37" s="31"/>
      <c r="M37" s="31"/>
      <c r="N37" s="31"/>
      <c r="O37" s="31"/>
      <c r="P37" s="31"/>
      <c r="Q37" s="31"/>
      <c r="R37" s="31"/>
      <c r="S37" s="31"/>
      <c r="T37" s="62"/>
      <c r="U37" s="62"/>
      <c r="V37" s="62"/>
      <c r="X37" s="175" t="s">
        <v>643</v>
      </c>
      <c r="Z37" s="100"/>
      <c r="AA37" s="100"/>
      <c r="AB37" s="100"/>
      <c r="AC37" s="100"/>
    </row>
    <row r="38" spans="1:33" ht="17.25" customHeight="1" x14ac:dyDescent="0.25">
      <c r="A38" s="582"/>
      <c r="B38" s="565"/>
      <c r="C38" s="581"/>
      <c r="D38" s="581"/>
      <c r="E38" s="31"/>
      <c r="F38" s="31"/>
      <c r="G38" s="31"/>
      <c r="H38" s="31"/>
      <c r="I38" s="31"/>
      <c r="J38" s="31"/>
      <c r="K38" s="31"/>
      <c r="L38" s="31"/>
      <c r="M38" s="31"/>
      <c r="N38" s="31"/>
      <c r="O38" s="31"/>
      <c r="P38" s="31"/>
      <c r="Q38" s="31"/>
      <c r="R38" s="31"/>
      <c r="S38" s="31"/>
      <c r="T38" s="62"/>
      <c r="U38" s="62"/>
      <c r="V38" s="62"/>
      <c r="X38" s="698" t="s">
        <v>669</v>
      </c>
      <c r="Y38" s="698"/>
      <c r="Z38" s="698"/>
      <c r="AA38" s="101">
        <v>21.6</v>
      </c>
    </row>
    <row r="39" spans="1:33" ht="15" customHeight="1" x14ac:dyDescent="0.25">
      <c r="A39" s="582" t="s">
        <v>19</v>
      </c>
      <c r="B39" s="787" t="s">
        <v>688</v>
      </c>
      <c r="C39" s="787"/>
      <c r="D39" s="787"/>
      <c r="E39" s="787"/>
      <c r="F39" s="787"/>
      <c r="G39" s="787"/>
      <c r="H39" s="787"/>
      <c r="I39" s="787"/>
      <c r="J39" s="787"/>
      <c r="K39" s="787"/>
      <c r="L39" s="787"/>
      <c r="M39" s="787"/>
      <c r="N39" s="787"/>
      <c r="O39" s="787"/>
      <c r="P39" s="787"/>
      <c r="Q39" s="787"/>
      <c r="R39" s="787"/>
      <c r="S39" s="787"/>
      <c r="T39" s="579"/>
      <c r="U39" s="579"/>
      <c r="V39" s="579"/>
      <c r="X39" s="700" t="s">
        <v>670</v>
      </c>
      <c r="Y39" s="700"/>
      <c r="Z39" s="700"/>
      <c r="AA39" s="134">
        <f>16.6/60</f>
        <v>0.27666666666666667</v>
      </c>
      <c r="AB39" s="155"/>
    </row>
    <row r="40" spans="1:33" ht="15" customHeight="1" x14ac:dyDescent="0.25">
      <c r="A40" s="582"/>
      <c r="B40" s="787"/>
      <c r="C40" s="787"/>
      <c r="D40" s="787"/>
      <c r="E40" s="787"/>
      <c r="F40" s="787"/>
      <c r="G40" s="787"/>
      <c r="H40" s="787"/>
      <c r="I40" s="787"/>
      <c r="J40" s="787"/>
      <c r="K40" s="787"/>
      <c r="L40" s="787"/>
      <c r="M40" s="787"/>
      <c r="N40" s="787"/>
      <c r="O40" s="787"/>
      <c r="P40" s="787"/>
      <c r="Q40" s="787"/>
      <c r="R40" s="787"/>
      <c r="S40" s="787"/>
      <c r="T40" s="14"/>
      <c r="U40" s="14"/>
      <c r="V40" s="14"/>
      <c r="X40" s="695" t="s">
        <v>671</v>
      </c>
      <c r="Y40" s="695"/>
      <c r="Z40" s="695"/>
      <c r="AA40" s="116">
        <v>0.4</v>
      </c>
    </row>
    <row r="41" spans="1:33" ht="17.25" customHeight="1" x14ac:dyDescent="0.25">
      <c r="A41" s="627"/>
      <c r="B41" s="625"/>
      <c r="C41" s="625"/>
      <c r="D41" s="625"/>
      <c r="E41" s="625"/>
      <c r="F41" s="625"/>
      <c r="G41" s="625"/>
      <c r="H41" s="625"/>
      <c r="I41" s="625"/>
      <c r="J41" s="625"/>
      <c r="K41" s="625"/>
      <c r="L41" s="625"/>
      <c r="M41" s="625"/>
      <c r="N41" s="625"/>
      <c r="O41" s="625"/>
      <c r="P41" s="625"/>
      <c r="Q41" s="625"/>
      <c r="R41" s="625"/>
      <c r="S41" s="625"/>
      <c r="T41" s="579"/>
      <c r="U41" s="579"/>
      <c r="V41" s="579"/>
      <c r="AG41" s="117" t="s">
        <v>66</v>
      </c>
    </row>
    <row r="42" spans="1:33" ht="17.25" customHeight="1" x14ac:dyDescent="0.25">
      <c r="A42" s="627" t="s">
        <v>20</v>
      </c>
      <c r="B42" s="788" t="s">
        <v>660</v>
      </c>
      <c r="C42" s="788"/>
      <c r="D42" s="788"/>
      <c r="E42" s="788"/>
      <c r="F42" s="788"/>
      <c r="G42" s="788"/>
      <c r="H42" s="788"/>
      <c r="I42" s="788"/>
      <c r="J42" s="788"/>
      <c r="K42" s="788"/>
      <c r="L42" s="788"/>
      <c r="M42" s="788"/>
      <c r="N42" s="788"/>
      <c r="O42" s="788"/>
      <c r="P42" s="788"/>
      <c r="Q42" s="788"/>
      <c r="R42" s="788"/>
      <c r="S42" s="788"/>
      <c r="T42" s="14"/>
      <c r="U42" s="14"/>
      <c r="V42" s="14"/>
      <c r="W42" s="31"/>
      <c r="X42" s="525" t="s">
        <v>672</v>
      </c>
      <c r="AG42" s="117" t="s">
        <v>66</v>
      </c>
    </row>
    <row r="43" spans="1:33" ht="15" customHeight="1" x14ac:dyDescent="0.25">
      <c r="A43" s="627"/>
      <c r="B43" s="788"/>
      <c r="C43" s="788"/>
      <c r="D43" s="788"/>
      <c r="E43" s="788"/>
      <c r="F43" s="788"/>
      <c r="G43" s="788"/>
      <c r="H43" s="788"/>
      <c r="I43" s="788"/>
      <c r="J43" s="788"/>
      <c r="K43" s="788"/>
      <c r="L43" s="788"/>
      <c r="M43" s="788"/>
      <c r="N43" s="788"/>
      <c r="O43" s="788"/>
      <c r="P43" s="788"/>
      <c r="Q43" s="788"/>
      <c r="R43" s="788"/>
      <c r="S43" s="788"/>
      <c r="T43" s="14"/>
      <c r="U43" s="14"/>
      <c r="V43" s="14"/>
      <c r="W43" s="31"/>
      <c r="X43" s="262" t="s">
        <v>164</v>
      </c>
      <c r="Y43" s="263"/>
      <c r="Z43" s="263"/>
      <c r="AA43" s="185">
        <v>7.08</v>
      </c>
      <c r="AG43" s="127" t="s">
        <v>55</v>
      </c>
    </row>
    <row r="44" spans="1:33" ht="15" customHeight="1" x14ac:dyDescent="0.25">
      <c r="A44" s="627"/>
      <c r="B44" s="788"/>
      <c r="C44" s="788"/>
      <c r="D44" s="788"/>
      <c r="E44" s="788"/>
      <c r="F44" s="788"/>
      <c r="G44" s="788"/>
      <c r="H44" s="788"/>
      <c r="I44" s="788"/>
      <c r="J44" s="788"/>
      <c r="K44" s="788"/>
      <c r="L44" s="788"/>
      <c r="M44" s="788"/>
      <c r="N44" s="788"/>
      <c r="O44" s="788"/>
      <c r="P44" s="788"/>
      <c r="Q44" s="788"/>
      <c r="R44" s="788"/>
      <c r="S44" s="788"/>
      <c r="T44" s="62"/>
      <c r="U44" s="62"/>
      <c r="V44" s="62"/>
      <c r="W44" s="31"/>
      <c r="X44" s="262" t="s">
        <v>165</v>
      </c>
      <c r="Y44" s="263"/>
      <c r="Z44" s="263"/>
      <c r="AA44" s="643">
        <v>6.31</v>
      </c>
      <c r="AC44" s="115"/>
      <c r="AG44" s="117" t="s">
        <v>67</v>
      </c>
    </row>
    <row r="45" spans="1:33" ht="17.25" customHeight="1" x14ac:dyDescent="0.25">
      <c r="A45" s="627"/>
      <c r="B45" s="623"/>
      <c r="C45" s="623"/>
      <c r="D45" s="623"/>
      <c r="E45" s="623"/>
      <c r="F45" s="623"/>
      <c r="G45" s="623"/>
      <c r="H45" s="623"/>
      <c r="I45" s="623"/>
      <c r="J45" s="623"/>
      <c r="K45" s="623"/>
      <c r="L45" s="623"/>
      <c r="M45" s="623"/>
      <c r="N45" s="623"/>
      <c r="O45" s="623"/>
      <c r="P45" s="623"/>
      <c r="Q45" s="623"/>
      <c r="R45" s="623"/>
      <c r="S45" s="623"/>
      <c r="T45" s="62"/>
      <c r="U45" s="62"/>
      <c r="V45" s="62"/>
      <c r="W45" s="31"/>
      <c r="AG45" s="117" t="s">
        <v>68</v>
      </c>
    </row>
    <row r="46" spans="1:33" ht="15" customHeight="1" x14ac:dyDescent="0.25">
      <c r="A46" s="627" t="s">
        <v>57</v>
      </c>
      <c r="B46" s="699" t="s">
        <v>689</v>
      </c>
      <c r="C46" s="699"/>
      <c r="D46" s="699"/>
      <c r="E46" s="699"/>
      <c r="F46" s="699"/>
      <c r="G46" s="699"/>
      <c r="H46" s="699"/>
      <c r="I46" s="699"/>
      <c r="J46" s="699"/>
      <c r="K46" s="699"/>
      <c r="L46" s="699"/>
      <c r="M46" s="699"/>
      <c r="N46" s="699"/>
      <c r="O46" s="699"/>
      <c r="P46" s="699"/>
      <c r="Q46" s="699"/>
      <c r="R46" s="699"/>
      <c r="S46" s="699"/>
      <c r="T46" s="62"/>
      <c r="U46" s="62"/>
      <c r="V46" s="62"/>
      <c r="W46" s="31"/>
      <c r="X46" s="525" t="s">
        <v>673</v>
      </c>
      <c r="AG46" s="286"/>
    </row>
    <row r="47" spans="1:33" ht="15" customHeight="1" x14ac:dyDescent="0.25">
      <c r="A47" s="627"/>
      <c r="B47" s="699"/>
      <c r="C47" s="699"/>
      <c r="D47" s="699"/>
      <c r="E47" s="699"/>
      <c r="F47" s="699"/>
      <c r="G47" s="699"/>
      <c r="H47" s="699"/>
      <c r="I47" s="699"/>
      <c r="J47" s="699"/>
      <c r="K47" s="699"/>
      <c r="L47" s="699"/>
      <c r="M47" s="699"/>
      <c r="N47" s="699"/>
      <c r="O47" s="699"/>
      <c r="P47" s="699"/>
      <c r="Q47" s="699"/>
      <c r="R47" s="699"/>
      <c r="S47" s="699"/>
      <c r="T47" s="62"/>
      <c r="U47" s="62"/>
      <c r="V47" s="62"/>
      <c r="W47" s="31"/>
      <c r="X47" s="695" t="s">
        <v>492</v>
      </c>
      <c r="Y47" s="695"/>
      <c r="Z47" s="695"/>
      <c r="AA47" s="102">
        <v>10</v>
      </c>
      <c r="AG47" s="286"/>
    </row>
    <row r="48" spans="1:33" ht="16.5" customHeight="1" x14ac:dyDescent="0.25">
      <c r="A48" s="628"/>
      <c r="B48" s="565"/>
      <c r="C48" s="624"/>
      <c r="D48" s="624"/>
      <c r="E48" s="629"/>
      <c r="F48" s="629"/>
      <c r="G48" s="629"/>
      <c r="H48" s="629"/>
      <c r="I48" s="629"/>
      <c r="J48" s="629"/>
      <c r="K48" s="629"/>
      <c r="L48" s="629"/>
      <c r="M48" s="629"/>
      <c r="N48" s="629"/>
      <c r="O48" s="31"/>
      <c r="P48" s="31"/>
      <c r="Q48" s="31"/>
      <c r="R48" s="31"/>
      <c r="S48" s="31"/>
      <c r="T48" s="62"/>
      <c r="U48" s="62"/>
      <c r="V48" s="62"/>
      <c r="W48" s="31"/>
      <c r="X48" s="695" t="s">
        <v>58</v>
      </c>
      <c r="Y48" s="695"/>
      <c r="Z48" s="695"/>
      <c r="AA48" s="104">
        <f>365-90</f>
        <v>275</v>
      </c>
      <c r="AG48" s="117" t="s">
        <v>69</v>
      </c>
    </row>
    <row r="49" spans="1:39" ht="15" customHeight="1" x14ac:dyDescent="0.25">
      <c r="A49" s="627" t="s">
        <v>681</v>
      </c>
      <c r="B49" s="699" t="s">
        <v>679</v>
      </c>
      <c r="C49" s="699"/>
      <c r="D49" s="699"/>
      <c r="E49" s="699"/>
      <c r="F49" s="699"/>
      <c r="G49" s="699"/>
      <c r="H49" s="699"/>
      <c r="I49" s="699"/>
      <c r="J49" s="699"/>
      <c r="K49" s="699"/>
      <c r="L49" s="699"/>
      <c r="M49" s="699"/>
      <c r="N49" s="699"/>
      <c r="O49" s="699"/>
      <c r="P49" s="699"/>
      <c r="Q49" s="699"/>
      <c r="R49" s="699"/>
      <c r="S49" s="699"/>
      <c r="T49" s="14"/>
      <c r="U49" s="14"/>
      <c r="V49" s="14"/>
      <c r="W49" s="31"/>
      <c r="X49" s="240"/>
      <c r="Y49" s="240"/>
      <c r="Z49" s="240"/>
      <c r="AA49" s="241"/>
    </row>
    <row r="50" spans="1:39" ht="15" customHeight="1" x14ac:dyDescent="0.25">
      <c r="A50" s="627"/>
      <c r="B50" s="699"/>
      <c r="C50" s="699"/>
      <c r="D50" s="699"/>
      <c r="E50" s="699"/>
      <c r="F50" s="699"/>
      <c r="G50" s="699"/>
      <c r="H50" s="699"/>
      <c r="I50" s="699"/>
      <c r="J50" s="699"/>
      <c r="K50" s="699"/>
      <c r="L50" s="699"/>
      <c r="M50" s="699"/>
      <c r="N50" s="699"/>
      <c r="O50" s="699"/>
      <c r="P50" s="699"/>
      <c r="Q50" s="699"/>
      <c r="R50" s="699"/>
      <c r="S50" s="699"/>
      <c r="T50" s="14"/>
      <c r="U50" s="14"/>
      <c r="V50" s="14"/>
      <c r="W50" s="31"/>
      <c r="X50" s="27" t="s">
        <v>674</v>
      </c>
      <c r="Y50" s="547"/>
      <c r="Z50" s="547"/>
    </row>
    <row r="51" spans="1:39" ht="18" customHeight="1" x14ac:dyDescent="0.25">
      <c r="A51" s="627"/>
      <c r="B51" s="699"/>
      <c r="C51" s="699"/>
      <c r="D51" s="699"/>
      <c r="E51" s="699"/>
      <c r="F51" s="699"/>
      <c r="G51" s="699"/>
      <c r="H51" s="699"/>
      <c r="I51" s="699"/>
      <c r="J51" s="699"/>
      <c r="K51" s="699"/>
      <c r="L51" s="699"/>
      <c r="M51" s="699"/>
      <c r="N51" s="699"/>
      <c r="O51" s="699"/>
      <c r="P51" s="699"/>
      <c r="Q51" s="699"/>
      <c r="R51" s="699"/>
      <c r="S51" s="699"/>
      <c r="T51" s="14"/>
      <c r="U51" s="14"/>
      <c r="V51" s="14"/>
      <c r="W51" s="31"/>
      <c r="X51" s="700" t="s">
        <v>158</v>
      </c>
      <c r="Y51" s="700"/>
      <c r="Z51" s="700"/>
      <c r="AA51" s="176">
        <v>1.42</v>
      </c>
      <c r="AG51" s="117" t="s">
        <v>70</v>
      </c>
    </row>
    <row r="52" spans="1:39" x14ac:dyDescent="0.25">
      <c r="A52" s="628"/>
      <c r="B52" s="699"/>
      <c r="C52" s="699"/>
      <c r="D52" s="699"/>
      <c r="E52" s="699"/>
      <c r="F52" s="699"/>
      <c r="G52" s="699"/>
      <c r="H52" s="699"/>
      <c r="I52" s="699"/>
      <c r="J52" s="699"/>
      <c r="K52" s="699"/>
      <c r="L52" s="699"/>
      <c r="M52" s="699"/>
      <c r="N52" s="699"/>
      <c r="O52" s="699"/>
      <c r="P52" s="699"/>
      <c r="Q52" s="699"/>
      <c r="R52" s="699"/>
      <c r="S52" s="699"/>
      <c r="T52" s="62"/>
      <c r="U52" s="62"/>
      <c r="V52" s="62"/>
      <c r="W52" s="31"/>
      <c r="X52" s="283" t="s">
        <v>494</v>
      </c>
      <c r="Y52" s="283"/>
      <c r="Z52" s="283"/>
      <c r="AA52" s="176">
        <f>$AA$51*$AC$19</f>
        <v>0.56799999999999995</v>
      </c>
      <c r="AG52" s="112" t="s">
        <v>71</v>
      </c>
    </row>
    <row r="53" spans="1:39" x14ac:dyDescent="0.25">
      <c r="A53" s="628"/>
      <c r="B53" s="565"/>
      <c r="C53" s="624"/>
      <c r="D53" s="624"/>
      <c r="E53" s="629"/>
      <c r="F53" s="629"/>
      <c r="G53" s="629"/>
      <c r="H53" s="31"/>
      <c r="I53" s="31"/>
      <c r="J53" s="31"/>
      <c r="K53" s="31"/>
      <c r="L53" s="31"/>
      <c r="M53" s="31"/>
      <c r="N53" s="31"/>
      <c r="O53" s="31"/>
      <c r="P53" s="31"/>
      <c r="Q53" s="31"/>
      <c r="R53" s="31"/>
      <c r="S53" s="31"/>
      <c r="T53" s="62"/>
      <c r="U53" s="62"/>
      <c r="V53" s="62"/>
      <c r="W53" s="31"/>
      <c r="X53" s="283" t="s">
        <v>493</v>
      </c>
      <c r="Y53" s="283"/>
      <c r="Z53" s="283"/>
      <c r="AA53" s="176">
        <f>$AA$51*$AC$18</f>
        <v>0</v>
      </c>
    </row>
    <row r="54" spans="1:39" ht="15" customHeight="1" x14ac:dyDescent="0.25">
      <c r="A54" s="628" t="s">
        <v>690</v>
      </c>
      <c r="B54" s="699" t="s">
        <v>680</v>
      </c>
      <c r="C54" s="699"/>
      <c r="D54" s="699"/>
      <c r="E54" s="699"/>
      <c r="F54" s="699"/>
      <c r="G54" s="699"/>
      <c r="H54" s="699"/>
      <c r="I54" s="699"/>
      <c r="J54" s="699"/>
      <c r="K54" s="699"/>
      <c r="L54" s="699"/>
      <c r="M54" s="699"/>
      <c r="N54" s="699"/>
      <c r="O54" s="699"/>
      <c r="P54" s="699"/>
      <c r="Q54" s="699"/>
      <c r="R54" s="699"/>
      <c r="S54" s="699"/>
      <c r="T54" s="14"/>
      <c r="U54" s="14"/>
      <c r="V54" s="14"/>
      <c r="W54" s="31"/>
      <c r="AH54" s="119"/>
      <c r="AI54" s="119"/>
      <c r="AJ54" s="119"/>
      <c r="AK54" s="119"/>
    </row>
    <row r="55" spans="1:39" x14ac:dyDescent="0.25">
      <c r="A55" s="627"/>
      <c r="B55" s="699"/>
      <c r="C55" s="699"/>
      <c r="D55" s="699"/>
      <c r="E55" s="699"/>
      <c r="F55" s="699"/>
      <c r="G55" s="699"/>
      <c r="H55" s="699"/>
      <c r="I55" s="699"/>
      <c r="J55" s="699"/>
      <c r="K55" s="699"/>
      <c r="L55" s="699"/>
      <c r="M55" s="699"/>
      <c r="N55" s="699"/>
      <c r="O55" s="699"/>
      <c r="P55" s="699"/>
      <c r="Q55" s="699"/>
      <c r="R55" s="699"/>
      <c r="S55" s="699"/>
      <c r="T55" s="26"/>
      <c r="U55" s="26"/>
      <c r="V55" s="26"/>
      <c r="W55" s="31"/>
      <c r="X55" s="525" t="s">
        <v>675</v>
      </c>
      <c r="AG55" s="704" t="s">
        <v>72</v>
      </c>
      <c r="AH55" s="704"/>
      <c r="AI55" s="704"/>
      <c r="AJ55" s="704"/>
      <c r="AK55" s="704"/>
      <c r="AL55" s="704"/>
      <c r="AM55" s="704"/>
    </row>
    <row r="56" spans="1:39" x14ac:dyDescent="0.25">
      <c r="A56" s="627"/>
      <c r="B56" s="699"/>
      <c r="C56" s="699"/>
      <c r="D56" s="699"/>
      <c r="E56" s="699"/>
      <c r="F56" s="699"/>
      <c r="G56" s="699"/>
      <c r="H56" s="699"/>
      <c r="I56" s="699"/>
      <c r="J56" s="699"/>
      <c r="K56" s="699"/>
      <c r="L56" s="699"/>
      <c r="M56" s="699"/>
      <c r="N56" s="699"/>
      <c r="O56" s="699"/>
      <c r="P56" s="699"/>
      <c r="Q56" s="699"/>
      <c r="R56" s="699"/>
      <c r="S56" s="699"/>
      <c r="T56" s="14"/>
      <c r="U56" s="14"/>
      <c r="V56" s="14"/>
      <c r="W56" s="31"/>
      <c r="X56" s="698" t="s">
        <v>59</v>
      </c>
      <c r="Y56" s="698"/>
      <c r="Z56" s="105">
        <v>0.105</v>
      </c>
      <c r="AG56" s="704"/>
      <c r="AH56" s="704"/>
      <c r="AI56" s="704"/>
      <c r="AJ56" s="704"/>
      <c r="AK56" s="704"/>
      <c r="AL56" s="704"/>
      <c r="AM56" s="704"/>
    </row>
    <row r="57" spans="1:39" ht="15" customHeight="1" x14ac:dyDescent="0.25">
      <c r="A57" s="550"/>
      <c r="B57" s="14"/>
      <c r="C57" s="14"/>
      <c r="D57" s="14"/>
      <c r="E57" s="14"/>
      <c r="F57" s="14"/>
      <c r="G57" s="14"/>
      <c r="H57" s="14"/>
      <c r="I57" s="14"/>
      <c r="J57" s="551"/>
      <c r="K57" s="551"/>
      <c r="L57" s="14"/>
      <c r="M57" s="14"/>
      <c r="N57" s="14"/>
      <c r="O57" s="14"/>
      <c r="P57" s="551"/>
      <c r="Q57" s="551"/>
      <c r="R57" s="14"/>
      <c r="S57" s="14"/>
      <c r="T57" s="14"/>
      <c r="U57" s="14"/>
      <c r="V57" s="14"/>
      <c r="W57" s="31"/>
      <c r="X57" s="705"/>
      <c r="Y57" s="705"/>
    </row>
    <row r="58" spans="1:39" x14ac:dyDescent="0.25">
      <c r="A58" s="550"/>
      <c r="B58" s="14"/>
      <c r="C58" s="14"/>
      <c r="D58" s="14"/>
      <c r="E58" s="14"/>
      <c r="F58" s="14"/>
      <c r="G58" s="14"/>
      <c r="H58" s="14"/>
      <c r="I58" s="14"/>
      <c r="J58" s="551"/>
      <c r="K58" s="551"/>
      <c r="L58" s="14"/>
      <c r="M58" s="14"/>
      <c r="N58" s="14"/>
      <c r="O58" s="14"/>
      <c r="P58" s="551"/>
      <c r="Q58" s="551"/>
      <c r="R58" s="14"/>
      <c r="S58" s="14"/>
      <c r="T58" s="14"/>
      <c r="U58" s="14"/>
      <c r="V58" s="14"/>
      <c r="W58" s="31"/>
      <c r="X58" s="130" t="s">
        <v>676</v>
      </c>
      <c r="Y58" s="547"/>
      <c r="Z58" s="547"/>
    </row>
    <row r="59" spans="1:39" x14ac:dyDescent="0.25">
      <c r="A59" s="550"/>
      <c r="B59" s="14"/>
      <c r="C59" s="14"/>
      <c r="D59" s="14"/>
      <c r="E59" s="14"/>
      <c r="F59" s="14"/>
      <c r="G59" s="14"/>
      <c r="H59" s="14"/>
      <c r="I59" s="14"/>
      <c r="J59" s="551"/>
      <c r="K59" s="551"/>
      <c r="L59" s="14"/>
      <c r="M59" s="14"/>
      <c r="N59" s="14"/>
      <c r="O59" s="14"/>
      <c r="P59" s="551"/>
      <c r="Q59" s="551"/>
      <c r="R59" s="14"/>
      <c r="S59" s="14"/>
      <c r="T59" s="14"/>
      <c r="U59" s="14"/>
      <c r="V59" s="14"/>
      <c r="W59" s="31"/>
      <c r="X59" s="696" t="s">
        <v>76</v>
      </c>
      <c r="Y59" s="697"/>
      <c r="Z59" s="575">
        <f>113.468/78.025</f>
        <v>1.4542518423582185</v>
      </c>
    </row>
    <row r="60" spans="1:39" x14ac:dyDescent="0.25">
      <c r="W60" s="31"/>
      <c r="X60" s="696" t="s">
        <v>75</v>
      </c>
      <c r="Y60" s="697"/>
      <c r="Z60" s="575">
        <v>1.26</v>
      </c>
    </row>
    <row r="61" spans="1:39" x14ac:dyDescent="0.25">
      <c r="W61" s="31"/>
      <c r="Z61" s="107"/>
    </row>
    <row r="62" spans="1:39" x14ac:dyDescent="0.25">
      <c r="W62" s="31"/>
      <c r="X62" s="309" t="s">
        <v>644</v>
      </c>
    </row>
    <row r="63" spans="1:39" x14ac:dyDescent="0.25">
      <c r="X63" s="695" t="s">
        <v>60</v>
      </c>
      <c r="Y63" s="695"/>
      <c r="Z63" s="118">
        <v>0</v>
      </c>
    </row>
    <row r="64" spans="1:39" x14ac:dyDescent="0.25">
      <c r="X64" s="695" t="s">
        <v>61</v>
      </c>
      <c r="Y64" s="695"/>
      <c r="Z64" s="282">
        <v>0.75</v>
      </c>
      <c r="AG64" s="112" t="s">
        <v>62</v>
      </c>
    </row>
    <row r="65" spans="24:26" x14ac:dyDescent="0.25">
      <c r="X65" s="623"/>
      <c r="Y65" s="623"/>
      <c r="Z65" s="623"/>
    </row>
  </sheetData>
  <mergeCells count="55">
    <mergeCell ref="B54:S56"/>
    <mergeCell ref="B42:S44"/>
    <mergeCell ref="B46:S47"/>
    <mergeCell ref="B49:S52"/>
    <mergeCell ref="AG55:AM56"/>
    <mergeCell ref="X35:Y35"/>
    <mergeCell ref="X38:Z38"/>
    <mergeCell ref="X40:Z40"/>
    <mergeCell ref="X47:Z47"/>
    <mergeCell ref="X48:Z48"/>
    <mergeCell ref="X51:Z51"/>
    <mergeCell ref="X56:Y56"/>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C4:E4"/>
    <mergeCell ref="F4:H4"/>
    <mergeCell ref="I4:N4"/>
    <mergeCell ref="O4:T4"/>
    <mergeCell ref="U4:V4"/>
    <mergeCell ref="B39:S40"/>
    <mergeCell ref="B5:B6"/>
    <mergeCell ref="C5:C6"/>
    <mergeCell ref="D5:D6"/>
    <mergeCell ref="E5:E6"/>
    <mergeCell ref="F5:F6"/>
    <mergeCell ref="R5:R6"/>
    <mergeCell ref="G5:G6"/>
    <mergeCell ref="H5:H6"/>
    <mergeCell ref="I5:I6"/>
    <mergeCell ref="J5:J6"/>
    <mergeCell ref="K5:K6"/>
    <mergeCell ref="L5:L6"/>
    <mergeCell ref="M5:M6"/>
  </mergeCells>
  <pageMargins left="0.7" right="0.7" top="0.75" bottom="0.75" header="0.3" footer="0.3"/>
  <pageSetup scale="27" orientation="portrait" horizontalDpi="300" verticalDpi="1200" r:id="rId1"/>
  <colBreaks count="2" manualBreakCount="2">
    <brk id="22" max="65" man="1"/>
    <brk id="32"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17</vt:i4>
      </vt:variant>
    </vt:vector>
  </HeadingPairs>
  <TitlesOfParts>
    <vt:vector size="46" baseType="lpstr">
      <vt:lpstr>Project Data and Assumptions</vt:lpstr>
      <vt:lpstr>Trail Project Summary</vt:lpstr>
      <vt:lpstr>BCA Summary</vt:lpstr>
      <vt:lpstr>QoL Benefits - BCRT</vt:lpstr>
      <vt:lpstr>QoL Benefits - Bryant RT</vt:lpstr>
      <vt:lpstr>QoL Benefits - CP RT</vt:lpstr>
      <vt:lpstr>QoL Benefits -Eagle RT</vt:lpstr>
      <vt:lpstr>QoL Benefits - Med Lake RT</vt:lpstr>
      <vt:lpstr>QoL Benefits - 9Mi RT</vt:lpstr>
      <vt:lpstr>QoL Benefits - Rush Crk RT</vt:lpstr>
      <vt:lpstr>QoL Benefits - Shingle Crk BCR</vt:lpstr>
      <vt:lpstr>QoL Benefits - Shingle Crk NAR</vt:lpstr>
      <vt:lpstr>Air Quality</vt:lpstr>
      <vt:lpstr>Operating Cost Savings</vt:lpstr>
      <vt:lpstr>Operation and Maintenance</vt:lpstr>
      <vt:lpstr>Capital Costs</vt:lpstr>
      <vt:lpstr>VMT Change</vt:lpstr>
      <vt:lpstr>Project Costs</vt:lpstr>
      <vt:lpstr>Original Build Years</vt:lpstr>
      <vt:lpstr>Trail Lengths</vt:lpstr>
      <vt:lpstr>TRPD RT Forecated Growth</vt:lpstr>
      <vt:lpstr>Users per Mile</vt:lpstr>
      <vt:lpstr>Bassett Creek</vt:lpstr>
      <vt:lpstr>Lake Independence</vt:lpstr>
      <vt:lpstr>Med Lake</vt:lpstr>
      <vt:lpstr>Nine Mile Creek</vt:lpstr>
      <vt:lpstr>Rush Creek</vt:lpstr>
      <vt:lpstr>Shingle Creek</vt:lpstr>
      <vt:lpstr>District</vt:lpstr>
      <vt:lpstr>'Air Quality'!Print_Area</vt:lpstr>
      <vt:lpstr>'BCA Summary'!Print_Area</vt:lpstr>
      <vt:lpstr>'Capital Costs'!Print_Area</vt:lpstr>
      <vt:lpstr>'Lake Independence'!Print_Area</vt:lpstr>
      <vt:lpstr>'Operating Cost Savings'!Print_Area</vt:lpstr>
      <vt:lpstr>'Operation and Maintenance'!Print_Area</vt:lpstr>
      <vt:lpstr>'Project Data and Assumptions'!Print_Area</vt:lpstr>
      <vt:lpstr>'QoL Benefits - 9Mi RT'!Print_Area</vt:lpstr>
      <vt:lpstr>'QoL Benefits - BCRT'!Print_Area</vt:lpstr>
      <vt:lpstr>'QoL Benefits - Bryant RT'!Print_Area</vt:lpstr>
      <vt:lpstr>'QoL Benefits - CP RT'!Print_Area</vt:lpstr>
      <vt:lpstr>'QoL Benefits - Med Lake RT'!Print_Area</vt:lpstr>
      <vt:lpstr>'QoL Benefits - Rush Crk RT'!Print_Area</vt:lpstr>
      <vt:lpstr>'QoL Benefits - Shingle Crk BCR'!Print_Area</vt:lpstr>
      <vt:lpstr>'QoL Benefits - Shingle Crk NAR'!Print_Area</vt:lpstr>
      <vt:lpstr>'QoL Benefits -Eagle RT'!Print_Area</vt:lpstr>
      <vt:lpstr>'VMT Change'!Print_Area</vt:lpstr>
    </vt:vector>
  </TitlesOfParts>
  <Company>SRF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Loos</dc:creator>
  <cp:lastModifiedBy>Nick Semeja</cp:lastModifiedBy>
  <cp:lastPrinted>2019-07-11T18:57:14Z</cp:lastPrinted>
  <dcterms:created xsi:type="dcterms:W3CDTF">2013-05-17T20:57:43Z</dcterms:created>
  <dcterms:modified xsi:type="dcterms:W3CDTF">2022-04-14T16:11:42Z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m_Crash_Cost" linkTarget="Prop_Dam_Crash_Cost">
    <vt:r8>0</vt:r8>
  </property>
</Properties>
</file>