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omments4.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K:\Trans\Grant Applications\2023 Grants\RAISE\Three Rivers PD\BCA\"/>
    </mc:Choice>
  </mc:AlternateContent>
  <xr:revisionPtr revIDLastSave="0" documentId="13_ncr:1_{392636EF-86BB-41FF-9902-A43D85F9990A}" xr6:coauthVersionLast="47" xr6:coauthVersionMax="47" xr10:uidLastSave="{00000000-0000-0000-0000-000000000000}"/>
  <bookViews>
    <workbookView xWindow="-120" yWindow="-120" windowWidth="29040" windowHeight="15990" tabRatio="895" activeTab="2" xr2:uid="{00000000-000D-0000-FFFF-FFFF00000000}"/>
  </bookViews>
  <sheets>
    <sheet name="Project Data and Assumptions" sheetId="53" r:id="rId1"/>
    <sheet name="Trail Project Summary" sheetId="60" r:id="rId2"/>
    <sheet name="BCA Summary" sheetId="12" r:id="rId3"/>
    <sheet name="QoL Benefits - BCRT" sheetId="59" r:id="rId4"/>
    <sheet name="QoL Benefits - CP South RT" sheetId="82" r:id="rId5"/>
    <sheet name="QoL Benefits - CP North RT" sheetId="87" r:id="rId6"/>
    <sheet name="QoL Benefits - Eagle RT" sheetId="81" r:id="rId7"/>
    <sheet name="QoL Benefits - Med Lake RT" sheetId="73" r:id="rId8"/>
    <sheet name="QoL Benefits - Shingle Crk NAR" sheetId="78" r:id="rId9"/>
    <sheet name="QoL Benefits - Twin Lakes RT" sheetId="89" r:id="rId10"/>
    <sheet name="Air Quality" sheetId="83" r:id="rId11"/>
    <sheet name="Operating Cost Savings" sheetId="86" r:id="rId12"/>
    <sheet name="Operation and Maintenance" sheetId="48" r:id="rId13"/>
    <sheet name="Capital Costs" sheetId="8" r:id="rId14"/>
    <sheet name="VMT Change" sheetId="85" r:id="rId15"/>
    <sheet name="Project Costs" sheetId="61" r:id="rId16"/>
    <sheet name="Cost Est. Breakdown" sheetId="90" r:id="rId17"/>
    <sheet name="Original Build Years" sheetId="70" r:id="rId18"/>
    <sheet name="Trail Lengths" sheetId="72" r:id="rId19"/>
    <sheet name="Users per Mile" sheetId="79" r:id="rId20"/>
    <sheet name="Annual Use" sheetId="88" r:id="rId21"/>
    <sheet name="Bassett Creek" sheetId="63" r:id="rId22"/>
    <sheet name="Med Lake" sheetId="65" r:id="rId23"/>
    <sheet name="Shingle Creek" sheetId="68" r:id="rId24"/>
    <sheet name="District" sheetId="69" r:id="rId25"/>
  </sheets>
  <externalReferences>
    <externalReference r:id="rId26"/>
    <externalReference r:id="rId27"/>
    <externalReference r:id="rId28"/>
    <externalReference r:id="rId29"/>
  </externalReferences>
  <definedNames>
    <definedName name="BCAnalysisPeriod" localSheetId="10">[1]Assumptions!#REF!</definedName>
    <definedName name="BCAnalysisPeriod" localSheetId="11">[2]Assumptions!#REF!</definedName>
    <definedName name="BCAnalysisPeriod" localSheetId="12">[3]Assumptions!#REF!</definedName>
    <definedName name="BCAnalysisPeriod">[3]Assumptions!#REF!</definedName>
    <definedName name="_xlnm.Print_Area" localSheetId="10">'Air Quality'!$A$1:$AE$55</definedName>
    <definedName name="_xlnm.Print_Area" localSheetId="2">'BCA Summary'!$A$1:$R$69</definedName>
    <definedName name="_xlnm.Print_Area" localSheetId="13">'Capital Costs'!$A$2:$N$55</definedName>
    <definedName name="_xlnm.Print_Area" localSheetId="11">'Operating Cost Savings'!$A$2:$J$39</definedName>
    <definedName name="_xlnm.Print_Area" localSheetId="12">'Operation and Maintenance'!$A$2:$Y$41</definedName>
    <definedName name="_xlnm.Print_Area" localSheetId="0">'Project Data and Assumptions'!$A$1:$E$8</definedName>
    <definedName name="_xlnm.Print_Area" localSheetId="3">'QoL Benefits - BCRT'!$A$1:$AT$66</definedName>
    <definedName name="_xlnm.Print_Area" localSheetId="5">'QoL Benefits - CP North RT'!$A$1:$AT$66</definedName>
    <definedName name="_xlnm.Print_Area" localSheetId="4">'QoL Benefits - CP South RT'!$A$1:$AT$66</definedName>
    <definedName name="_xlnm.Print_Area" localSheetId="6">'QoL Benefits - Eagle RT'!$A$1:$AT$66</definedName>
    <definedName name="_xlnm.Print_Area" localSheetId="7">'QoL Benefits - Med Lake RT'!$A$1:$AT$66</definedName>
    <definedName name="_xlnm.Print_Area" localSheetId="8">'QoL Benefits - Shingle Crk NAR'!$A$1:$AT$66</definedName>
    <definedName name="_xlnm.Print_Area" localSheetId="9">'QoL Benefits - Twin Lakes RT'!$A$1:$AT$66</definedName>
    <definedName name="_xlnm.Print_Area" localSheetId="14">'VMT Change'!$A$1:$K$36</definedName>
    <definedName name="TruckCost" localSheetId="10">[1]Assumptions!#REF!</definedName>
    <definedName name="TruckCost" localSheetId="11">[2]Assumptions!#REF!</definedName>
    <definedName name="TruckCost" localSheetId="12">[3]Assumptions!#REF!</definedName>
    <definedName name="TruckCost">[3]Assumptions!#REF!</definedName>
    <definedName name="yrofanalysis">[4]Assumptions!#REF!</definedName>
    <definedName name="yrofcurrentdollars">[4]Assumptions!#REF!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15" i="82" l="1"/>
  <c r="AA15" i="87"/>
  <c r="AA15" i="81"/>
  <c r="Y6" i="87"/>
  <c r="Y6" i="82"/>
  <c r="Y6" i="89"/>
  <c r="Y6" i="78"/>
  <c r="Y6" i="73"/>
  <c r="Y6" i="81"/>
  <c r="Y6" i="59"/>
  <c r="Z25" i="81" l="1"/>
  <c r="Z25" i="87"/>
  <c r="Y7" i="82"/>
  <c r="Z25" i="82" s="1"/>
  <c r="AA15" i="89" l="1"/>
  <c r="AA15" i="78"/>
  <c r="AA15" i="73"/>
  <c r="AA15" i="59"/>
  <c r="Y9" i="73"/>
  <c r="Y8" i="73"/>
  <c r="Y9" i="81"/>
  <c r="Y8" i="81"/>
  <c r="Y9" i="87"/>
  <c r="Y8" i="87"/>
  <c r="Y9" i="82"/>
  <c r="Y8" i="82"/>
  <c r="Y9" i="59"/>
  <c r="Y8" i="59"/>
  <c r="G22" i="60"/>
  <c r="G26" i="60"/>
  <c r="G18" i="60"/>
  <c r="G3" i="60"/>
  <c r="G8" i="60"/>
  <c r="G12" i="60"/>
  <c r="Z30" i="82"/>
  <c r="Z24" i="82"/>
  <c r="Z29" i="82" s="1"/>
  <c r="H7" i="61" l="1"/>
  <c r="E9" i="61"/>
  <c r="F9" i="61"/>
  <c r="G9" i="61"/>
  <c r="H9" i="61"/>
  <c r="I9" i="61"/>
  <c r="J9" i="61"/>
  <c r="D9" i="61"/>
  <c r="K8" i="61"/>
  <c r="E8" i="61"/>
  <c r="F8" i="61"/>
  <c r="G8" i="61"/>
  <c r="H8" i="61"/>
  <c r="I8" i="61"/>
  <c r="J8" i="61"/>
  <c r="D8" i="61"/>
  <c r="H6" i="61"/>
  <c r="P5" i="8" l="1"/>
  <c r="D6" i="61" l="1"/>
  <c r="E6" i="61"/>
  <c r="F6" i="61"/>
  <c r="G6" i="61"/>
  <c r="I6" i="61"/>
  <c r="J6" i="61"/>
  <c r="D7" i="61"/>
  <c r="E7" i="61"/>
  <c r="F7" i="61"/>
  <c r="G7" i="61"/>
  <c r="I7" i="61"/>
  <c r="J7" i="61"/>
  <c r="W6" i="48"/>
  <c r="F3" i="61"/>
  <c r="J21" i="8" s="1"/>
  <c r="Y5" i="87"/>
  <c r="J9" i="48" s="1"/>
  <c r="I9" i="48" s="1"/>
  <c r="Y4" i="87"/>
  <c r="Y7" i="73"/>
  <c r="Y7" i="81"/>
  <c r="G15" i="60"/>
  <c r="F12" i="60"/>
  <c r="K6" i="48" s="1"/>
  <c r="J3" i="61"/>
  <c r="J26" i="8" s="1"/>
  <c r="J13" i="61"/>
  <c r="M26" i="8" s="1"/>
  <c r="I13" i="61"/>
  <c r="M25" i="8" s="1"/>
  <c r="H13" i="61"/>
  <c r="M24" i="8" s="1"/>
  <c r="G13" i="61"/>
  <c r="M23" i="8" s="1"/>
  <c r="E13" i="61"/>
  <c r="M22" i="8" s="1"/>
  <c r="F13" i="61"/>
  <c r="M21" i="8" s="1"/>
  <c r="D128" i="90"/>
  <c r="D127" i="90"/>
  <c r="D126" i="90"/>
  <c r="D125" i="90"/>
  <c r="D124" i="90"/>
  <c r="D123" i="90"/>
  <c r="D122" i="90"/>
  <c r="D121" i="90"/>
  <c r="D120" i="90"/>
  <c r="D119" i="90"/>
  <c r="C118" i="90"/>
  <c r="D118" i="90" s="1"/>
  <c r="B117" i="90"/>
  <c r="D117" i="90" s="1"/>
  <c r="D116" i="90"/>
  <c r="G114" i="90"/>
  <c r="G112" i="90"/>
  <c r="G111" i="90"/>
  <c r="D104" i="90"/>
  <c r="D103" i="90"/>
  <c r="D102" i="90"/>
  <c r="D101" i="90"/>
  <c r="D100" i="90"/>
  <c r="D99" i="90"/>
  <c r="D98" i="90"/>
  <c r="D97" i="90"/>
  <c r="C96" i="90"/>
  <c r="D96" i="90" s="1"/>
  <c r="D95" i="90"/>
  <c r="D94" i="90"/>
  <c r="D93" i="90"/>
  <c r="D105" i="90" s="1"/>
  <c r="I87" i="90"/>
  <c r="D82" i="90"/>
  <c r="D81" i="90"/>
  <c r="D80" i="90"/>
  <c r="D79" i="90"/>
  <c r="I78" i="90"/>
  <c r="D78" i="90"/>
  <c r="G77" i="90"/>
  <c r="D77" i="90"/>
  <c r="D76" i="90"/>
  <c r="D83" i="90" s="1"/>
  <c r="J73" i="90"/>
  <c r="K71" i="90"/>
  <c r="D65" i="90"/>
  <c r="D64" i="90"/>
  <c r="D63" i="90"/>
  <c r="D62" i="90"/>
  <c r="D61" i="90"/>
  <c r="D60" i="90"/>
  <c r="D59" i="90"/>
  <c r="G58" i="90"/>
  <c r="G59" i="90" s="1"/>
  <c r="D58" i="90"/>
  <c r="D66" i="90" s="1"/>
  <c r="H57" i="90"/>
  <c r="H56" i="90"/>
  <c r="H55" i="90"/>
  <c r="H54" i="90"/>
  <c r="I49" i="90"/>
  <c r="G49" i="90"/>
  <c r="G50" i="90" s="1"/>
  <c r="D47" i="90"/>
  <c r="D46" i="90"/>
  <c r="D45" i="90"/>
  <c r="D44" i="90"/>
  <c r="D43" i="90"/>
  <c r="D42" i="90"/>
  <c r="D41" i="90"/>
  <c r="L40" i="90"/>
  <c r="D40" i="90"/>
  <c r="L39" i="90"/>
  <c r="D39" i="90"/>
  <c r="D38" i="90"/>
  <c r="L37" i="90"/>
  <c r="D37" i="90"/>
  <c r="L36" i="90"/>
  <c r="D36" i="90"/>
  <c r="D35" i="90"/>
  <c r="L34" i="90"/>
  <c r="D34" i="90"/>
  <c r="D48" i="90" s="1"/>
  <c r="L33" i="90"/>
  <c r="F31" i="90"/>
  <c r="E31" i="90"/>
  <c r="D31" i="90"/>
  <c r="D23" i="90"/>
  <c r="D22" i="90"/>
  <c r="D21" i="90"/>
  <c r="D20" i="90"/>
  <c r="D19" i="90"/>
  <c r="D24" i="90" s="1"/>
  <c r="D8" i="90"/>
  <c r="D7" i="90"/>
  <c r="D6" i="90"/>
  <c r="D5" i="90"/>
  <c r="D4" i="90"/>
  <c r="D9" i="90" s="1"/>
  <c r="K7" i="61" l="1"/>
  <c r="K6" i="61"/>
  <c r="K9" i="61"/>
  <c r="D13" i="61"/>
  <c r="M20" i="8" s="1"/>
  <c r="K9" i="48"/>
  <c r="D10" i="90"/>
  <c r="D25" i="90"/>
  <c r="D49" i="90"/>
  <c r="I50" i="90"/>
  <c r="D67" i="90"/>
  <c r="D84" i="90"/>
  <c r="I83" i="90"/>
  <c r="D106" i="90"/>
  <c r="B115" i="90"/>
  <c r="D115" i="90" s="1"/>
  <c r="D129" i="90" s="1"/>
  <c r="K114" i="90"/>
  <c r="D130" i="90" l="1"/>
  <c r="D136" i="90"/>
  <c r="D137" i="90"/>
  <c r="D108" i="90"/>
  <c r="D107" i="90"/>
  <c r="D86" i="90"/>
  <c r="D85" i="90"/>
  <c r="D69" i="90"/>
  <c r="D68" i="90"/>
  <c r="D51" i="90"/>
  <c r="D50" i="90"/>
  <c r="D27" i="90"/>
  <c r="D26" i="90"/>
  <c r="D12" i="90"/>
  <c r="D11" i="90"/>
  <c r="D140" i="90" l="1"/>
  <c r="D145" i="90" s="1"/>
  <c r="H137" i="90"/>
  <c r="G137" i="90"/>
  <c r="D132" i="90"/>
  <c r="D138" i="90" s="1"/>
  <c r="D131" i="90"/>
  <c r="D139" i="90" s="1"/>
  <c r="H139" i="90" l="1"/>
  <c r="G139" i="90"/>
  <c r="D144" i="90"/>
  <c r="D141" i="90"/>
  <c r="K26" i="8" l="1"/>
  <c r="AB24" i="89"/>
  <c r="AA25" i="89"/>
  <c r="AA24" i="89"/>
  <c r="Z25" i="89"/>
  <c r="Z24" i="89"/>
  <c r="Y10" i="89"/>
  <c r="Y9" i="89"/>
  <c r="Y8" i="89"/>
  <c r="Y7" i="89"/>
  <c r="Z34" i="89" s="1"/>
  <c r="Y5" i="89"/>
  <c r="V9" i="48" s="1"/>
  <c r="U9" i="48" s="1"/>
  <c r="W9" i="48" s="1"/>
  <c r="AA48" i="89"/>
  <c r="AA39" i="89"/>
  <c r="AA17" i="89"/>
  <c r="AC18" i="89" s="1"/>
  <c r="AA53" i="89" s="1"/>
  <c r="B7" i="89"/>
  <c r="Y4" i="89"/>
  <c r="B8" i="89" l="1"/>
  <c r="Z30" i="89"/>
  <c r="Z29" i="89"/>
  <c r="AB18" i="89"/>
  <c r="Z35" i="89"/>
  <c r="AC19" i="89"/>
  <c r="AA52" i="89" s="1"/>
  <c r="AB19" i="89"/>
  <c r="AC24" i="89"/>
  <c r="AD24" i="89"/>
  <c r="AC25" i="89"/>
  <c r="AD25" i="89"/>
  <c r="AB34" i="89" l="1"/>
  <c r="AA34" i="89"/>
  <c r="AD34" i="89" s="1"/>
  <c r="AC35" i="89"/>
  <c r="C7" i="89" s="1"/>
  <c r="AA35" i="89"/>
  <c r="AD35" i="89" s="1"/>
  <c r="AB29" i="89"/>
  <c r="AA29" i="89"/>
  <c r="AD29" i="89" s="1"/>
  <c r="AC30" i="89"/>
  <c r="F7" i="89" s="1"/>
  <c r="AA30" i="89"/>
  <c r="AD30" i="89" s="1"/>
  <c r="B9" i="89"/>
  <c r="G8" i="89"/>
  <c r="F8" i="89"/>
  <c r="D8" i="89"/>
  <c r="C8" i="89"/>
  <c r="K22" i="60"/>
  <c r="K18" i="60"/>
  <c r="K3" i="60"/>
  <c r="Z25" i="78"/>
  <c r="Z24" i="78"/>
  <c r="Z25" i="73"/>
  <c r="Z24" i="73"/>
  <c r="Z25" i="59"/>
  <c r="Z24" i="59"/>
  <c r="AB24" i="59" s="1"/>
  <c r="K8" i="60"/>
  <c r="I8" i="89" l="1"/>
  <c r="N8" i="89"/>
  <c r="J8" i="89"/>
  <c r="O8" i="89"/>
  <c r="T8" i="89"/>
  <c r="P8" i="89"/>
  <c r="A8" i="89"/>
  <c r="B10" i="89"/>
  <c r="G9" i="89"/>
  <c r="F9" i="89"/>
  <c r="D9" i="89"/>
  <c r="C9" i="89"/>
  <c r="O7" i="89"/>
  <c r="G7" i="89"/>
  <c r="AC29" i="89"/>
  <c r="I7" i="89"/>
  <c r="D7" i="89"/>
  <c r="AC34" i="89"/>
  <c r="Z24" i="87"/>
  <c r="AA48" i="87"/>
  <c r="AA39" i="87"/>
  <c r="AC25" i="87"/>
  <c r="AA25" i="87"/>
  <c r="AD25" i="87" s="1"/>
  <c r="AB24" i="87"/>
  <c r="AC24" i="87" s="1"/>
  <c r="AA24" i="87"/>
  <c r="AD24" i="87" s="1"/>
  <c r="AA17" i="87"/>
  <c r="B7" i="87"/>
  <c r="E7" i="89" l="1"/>
  <c r="L7" i="89" s="1"/>
  <c r="E8" i="89"/>
  <c r="E9" i="89"/>
  <c r="L9" i="89" s="1"/>
  <c r="N7" i="89"/>
  <c r="M7" i="89"/>
  <c r="J7" i="89"/>
  <c r="K7" i="89"/>
  <c r="H7" i="89"/>
  <c r="R7" i="89" s="1"/>
  <c r="H8" i="89"/>
  <c r="H9" i="89"/>
  <c r="R9" i="89" s="1"/>
  <c r="T7" i="89"/>
  <c r="S7" i="89"/>
  <c r="P7" i="89"/>
  <c r="A7" i="89"/>
  <c r="Q7" i="89"/>
  <c r="K9" i="89"/>
  <c r="I9" i="89"/>
  <c r="N9" i="89"/>
  <c r="M9" i="89"/>
  <c r="J9" i="89"/>
  <c r="Q9" i="89"/>
  <c r="O9" i="89"/>
  <c r="T9" i="89"/>
  <c r="S9" i="89"/>
  <c r="P9" i="89"/>
  <c r="A9" i="89"/>
  <c r="B11" i="89"/>
  <c r="H10" i="89"/>
  <c r="R10" i="89" s="1"/>
  <c r="G10" i="89"/>
  <c r="F10" i="89"/>
  <c r="E10" i="89"/>
  <c r="L10" i="89" s="1"/>
  <c r="D10" i="89"/>
  <c r="C10" i="89"/>
  <c r="B8" i="87"/>
  <c r="Z30" i="87"/>
  <c r="Z29" i="87"/>
  <c r="AB18" i="87"/>
  <c r="Z35" i="87"/>
  <c r="Z34" i="87"/>
  <c r="AC19" i="87"/>
  <c r="AA52" i="87" s="1"/>
  <c r="AB19" i="87"/>
  <c r="AC18" i="87"/>
  <c r="AA53" i="87" s="1"/>
  <c r="Y4" i="82"/>
  <c r="Y4" i="81"/>
  <c r="Y4" i="73"/>
  <c r="Y4" i="78"/>
  <c r="Y4" i="59"/>
  <c r="K10" i="89" l="1"/>
  <c r="I10" i="89"/>
  <c r="N10" i="89"/>
  <c r="M10" i="89"/>
  <c r="J10" i="89"/>
  <c r="Q10" i="89"/>
  <c r="O10" i="89"/>
  <c r="T10" i="89"/>
  <c r="S10" i="89"/>
  <c r="P10" i="89"/>
  <c r="A10" i="89"/>
  <c r="B12" i="89"/>
  <c r="H11" i="89"/>
  <c r="R11" i="89" s="1"/>
  <c r="G11" i="89"/>
  <c r="F11" i="89"/>
  <c r="E11" i="89"/>
  <c r="L11" i="89" s="1"/>
  <c r="D11" i="89"/>
  <c r="C11" i="89"/>
  <c r="U9" i="89"/>
  <c r="U7" i="89"/>
  <c r="I10" i="12" s="1"/>
  <c r="R8" i="89"/>
  <c r="Q8" i="89"/>
  <c r="S8" i="89"/>
  <c r="L8" i="89"/>
  <c r="K8" i="89"/>
  <c r="M8" i="89"/>
  <c r="AB34" i="87"/>
  <c r="AA34" i="87"/>
  <c r="AD34" i="87" s="1"/>
  <c r="AC35" i="87"/>
  <c r="C7" i="87" s="1"/>
  <c r="AA35" i="87"/>
  <c r="AD35" i="87" s="1"/>
  <c r="AB29" i="87"/>
  <c r="AA29" i="87"/>
  <c r="AD29" i="87" s="1"/>
  <c r="AC30" i="87"/>
  <c r="F7" i="87" s="1"/>
  <c r="AA30" i="87"/>
  <c r="AD30" i="87" s="1"/>
  <c r="I7" i="87"/>
  <c r="B9" i="87"/>
  <c r="G8" i="87"/>
  <c r="F8" i="87"/>
  <c r="D8" i="87"/>
  <c r="C8" i="87"/>
  <c r="AC34" i="87" l="1"/>
  <c r="D7" i="87"/>
  <c r="V9" i="89"/>
  <c r="I12" i="12"/>
  <c r="U8" i="89"/>
  <c r="V7" i="89"/>
  <c r="K11" i="89"/>
  <c r="I11" i="89"/>
  <c r="N11" i="89"/>
  <c r="M11" i="89"/>
  <c r="J11" i="89"/>
  <c r="Q11" i="89"/>
  <c r="O11" i="89"/>
  <c r="T11" i="89"/>
  <c r="S11" i="89"/>
  <c r="P11" i="89"/>
  <c r="A11" i="89"/>
  <c r="B13" i="89"/>
  <c r="H12" i="89"/>
  <c r="R12" i="89" s="1"/>
  <c r="G12" i="89"/>
  <c r="F12" i="89"/>
  <c r="E12" i="89"/>
  <c r="L12" i="89" s="1"/>
  <c r="D12" i="89"/>
  <c r="C12" i="89"/>
  <c r="U10" i="89"/>
  <c r="I13" i="12" s="1"/>
  <c r="I8" i="87"/>
  <c r="N8" i="87"/>
  <c r="J8" i="87"/>
  <c r="O8" i="87"/>
  <c r="T8" i="87"/>
  <c r="P8" i="87"/>
  <c r="A8" i="87"/>
  <c r="B10" i="87"/>
  <c r="G9" i="87"/>
  <c r="F9" i="87"/>
  <c r="E9" i="87"/>
  <c r="L9" i="87" s="1"/>
  <c r="D9" i="87"/>
  <c r="C9" i="87"/>
  <c r="O7" i="87"/>
  <c r="G7" i="87"/>
  <c r="AC29" i="87"/>
  <c r="C6" i="53"/>
  <c r="N7" i="87" l="1"/>
  <c r="J7" i="87"/>
  <c r="E7" i="87"/>
  <c r="E8" i="87"/>
  <c r="V8" i="89"/>
  <c r="I11" i="12"/>
  <c r="V10" i="89"/>
  <c r="K12" i="89"/>
  <c r="I12" i="89"/>
  <c r="N12" i="89"/>
  <c r="M12" i="89"/>
  <c r="J12" i="89"/>
  <c r="Q12" i="89"/>
  <c r="O12" i="89"/>
  <c r="T12" i="89"/>
  <c r="S12" i="89"/>
  <c r="P12" i="89"/>
  <c r="A12" i="89"/>
  <c r="B14" i="89"/>
  <c r="H13" i="89"/>
  <c r="R13" i="89" s="1"/>
  <c r="G13" i="89"/>
  <c r="F13" i="89"/>
  <c r="E13" i="89"/>
  <c r="L13" i="89" s="1"/>
  <c r="D13" i="89"/>
  <c r="C13" i="89"/>
  <c r="U11" i="89"/>
  <c r="I14" i="12" s="1"/>
  <c r="H7" i="87"/>
  <c r="R7" i="87" s="1"/>
  <c r="H8" i="87"/>
  <c r="H9" i="87"/>
  <c r="R9" i="87" s="1"/>
  <c r="T7" i="87"/>
  <c r="S7" i="87"/>
  <c r="P7" i="87"/>
  <c r="A7" i="87"/>
  <c r="Q7" i="87"/>
  <c r="K9" i="87"/>
  <c r="I9" i="87"/>
  <c r="N9" i="87"/>
  <c r="M9" i="87"/>
  <c r="J9" i="87"/>
  <c r="Q9" i="87"/>
  <c r="O9" i="87"/>
  <c r="T9" i="87"/>
  <c r="S9" i="87"/>
  <c r="P9" i="87"/>
  <c r="A9" i="87"/>
  <c r="B11" i="87"/>
  <c r="H10" i="87"/>
  <c r="R10" i="87" s="1"/>
  <c r="G10" i="87"/>
  <c r="F10" i="87"/>
  <c r="E10" i="87"/>
  <c r="L10" i="87" s="1"/>
  <c r="D10" i="87"/>
  <c r="C10" i="87"/>
  <c r="F8" i="60"/>
  <c r="F3" i="60"/>
  <c r="F22" i="60"/>
  <c r="T6" i="48" s="1"/>
  <c r="F18" i="60"/>
  <c r="F15" i="60"/>
  <c r="L8" i="87" l="1"/>
  <c r="K8" i="87"/>
  <c r="M8" i="87"/>
  <c r="L7" i="87"/>
  <c r="K7" i="87"/>
  <c r="M7" i="87"/>
  <c r="V11" i="89"/>
  <c r="K13" i="89"/>
  <c r="I13" i="89"/>
  <c r="N13" i="89"/>
  <c r="M13" i="89"/>
  <c r="J13" i="89"/>
  <c r="Q13" i="89"/>
  <c r="O13" i="89"/>
  <c r="T13" i="89"/>
  <c r="S13" i="89"/>
  <c r="P13" i="89"/>
  <c r="A13" i="89"/>
  <c r="B15" i="89"/>
  <c r="H14" i="89"/>
  <c r="R14" i="89" s="1"/>
  <c r="G14" i="89"/>
  <c r="F14" i="89"/>
  <c r="E14" i="89"/>
  <c r="L14" i="89" s="1"/>
  <c r="D14" i="89"/>
  <c r="C14" i="89"/>
  <c r="U12" i="89"/>
  <c r="I15" i="12" s="1"/>
  <c r="K10" i="87"/>
  <c r="I10" i="87"/>
  <c r="N10" i="87"/>
  <c r="M10" i="87"/>
  <c r="J10" i="87"/>
  <c r="Q10" i="87"/>
  <c r="O10" i="87"/>
  <c r="T10" i="87"/>
  <c r="S10" i="87"/>
  <c r="P10" i="87"/>
  <c r="A10" i="87"/>
  <c r="B12" i="87"/>
  <c r="H11" i="87"/>
  <c r="R11" i="87" s="1"/>
  <c r="G11" i="87"/>
  <c r="F11" i="87"/>
  <c r="E11" i="87"/>
  <c r="L11" i="87" s="1"/>
  <c r="D11" i="87"/>
  <c r="C11" i="87"/>
  <c r="U9" i="87"/>
  <c r="R8" i="87"/>
  <c r="Q8" i="87"/>
  <c r="S8" i="87"/>
  <c r="N6" i="48"/>
  <c r="Q6" i="48"/>
  <c r="E6" i="48"/>
  <c r="H6" i="48"/>
  <c r="X6" i="48" l="1"/>
  <c r="U7" i="87"/>
  <c r="V7" i="87" s="1"/>
  <c r="V12" i="89"/>
  <c r="K14" i="89"/>
  <c r="I14" i="89"/>
  <c r="N14" i="89"/>
  <c r="M14" i="89"/>
  <c r="J14" i="89"/>
  <c r="Q14" i="89"/>
  <c r="O14" i="89"/>
  <c r="T14" i="89"/>
  <c r="S14" i="89"/>
  <c r="P14" i="89"/>
  <c r="A14" i="89"/>
  <c r="B16" i="89"/>
  <c r="H15" i="89"/>
  <c r="R15" i="89" s="1"/>
  <c r="G15" i="89"/>
  <c r="F15" i="89"/>
  <c r="E15" i="89"/>
  <c r="L15" i="89" s="1"/>
  <c r="D15" i="89"/>
  <c r="C15" i="89"/>
  <c r="U13" i="89"/>
  <c r="I16" i="12" s="1"/>
  <c r="V9" i="87"/>
  <c r="U8" i="87"/>
  <c r="K11" i="87"/>
  <c r="I11" i="87"/>
  <c r="N11" i="87"/>
  <c r="M11" i="87"/>
  <c r="J11" i="87"/>
  <c r="Q11" i="87"/>
  <c r="O11" i="87"/>
  <c r="T11" i="87"/>
  <c r="S11" i="87"/>
  <c r="P11" i="87"/>
  <c r="A11" i="87"/>
  <c r="B13" i="87"/>
  <c r="H12" i="87"/>
  <c r="R12" i="87" s="1"/>
  <c r="G12" i="87"/>
  <c r="F12" i="87"/>
  <c r="E12" i="87"/>
  <c r="L12" i="87" s="1"/>
  <c r="D12" i="87"/>
  <c r="C12" i="87"/>
  <c r="U10" i="87"/>
  <c r="I14" i="86"/>
  <c r="C1" i="86"/>
  <c r="D1" i="86" s="1"/>
  <c r="E1" i="86" s="1"/>
  <c r="F1" i="86" s="1"/>
  <c r="G1" i="86" s="1"/>
  <c r="V13" i="89" l="1"/>
  <c r="K15" i="89"/>
  <c r="I15" i="89"/>
  <c r="N15" i="89"/>
  <c r="M15" i="89"/>
  <c r="J15" i="89"/>
  <c r="Q15" i="89"/>
  <c r="O15" i="89"/>
  <c r="T15" i="89"/>
  <c r="S15" i="89"/>
  <c r="P15" i="89"/>
  <c r="A15" i="89"/>
  <c r="B17" i="89"/>
  <c r="H16" i="89"/>
  <c r="R16" i="89" s="1"/>
  <c r="G16" i="89"/>
  <c r="F16" i="89"/>
  <c r="E16" i="89"/>
  <c r="L16" i="89" s="1"/>
  <c r="D16" i="89"/>
  <c r="C16" i="89"/>
  <c r="U14" i="89"/>
  <c r="I17" i="12" s="1"/>
  <c r="V10" i="87"/>
  <c r="K12" i="87"/>
  <c r="I12" i="87"/>
  <c r="N12" i="87"/>
  <c r="M12" i="87"/>
  <c r="J12" i="87"/>
  <c r="Q12" i="87"/>
  <c r="O12" i="87"/>
  <c r="T12" i="87"/>
  <c r="S12" i="87"/>
  <c r="P12" i="87"/>
  <c r="A12" i="87"/>
  <c r="B14" i="87"/>
  <c r="H13" i="87"/>
  <c r="R13" i="87" s="1"/>
  <c r="G13" i="87"/>
  <c r="F13" i="87"/>
  <c r="E13" i="87"/>
  <c r="L13" i="87" s="1"/>
  <c r="D13" i="87"/>
  <c r="C13" i="87"/>
  <c r="U11" i="87"/>
  <c r="V8" i="87"/>
  <c r="B7" i="86"/>
  <c r="V14" i="89" l="1"/>
  <c r="K16" i="89"/>
  <c r="I16" i="89"/>
  <c r="N16" i="89"/>
  <c r="M16" i="89"/>
  <c r="J16" i="89"/>
  <c r="Q16" i="89"/>
  <c r="O16" i="89"/>
  <c r="T16" i="89"/>
  <c r="S16" i="89"/>
  <c r="P16" i="89"/>
  <c r="A16" i="89"/>
  <c r="B18" i="89"/>
  <c r="H17" i="89"/>
  <c r="R17" i="89" s="1"/>
  <c r="G17" i="89"/>
  <c r="F17" i="89"/>
  <c r="E17" i="89"/>
  <c r="L17" i="89" s="1"/>
  <c r="D17" i="89"/>
  <c r="C17" i="89"/>
  <c r="U15" i="89"/>
  <c r="I18" i="12" s="1"/>
  <c r="V11" i="87"/>
  <c r="K13" i="87"/>
  <c r="I13" i="87"/>
  <c r="N13" i="87"/>
  <c r="M13" i="87"/>
  <c r="J13" i="87"/>
  <c r="Q13" i="87"/>
  <c r="O13" i="87"/>
  <c r="T13" i="87"/>
  <c r="S13" i="87"/>
  <c r="P13" i="87"/>
  <c r="A13" i="87"/>
  <c r="B15" i="87"/>
  <c r="H14" i="87"/>
  <c r="R14" i="87" s="1"/>
  <c r="G14" i="87"/>
  <c r="F14" i="87"/>
  <c r="E14" i="87"/>
  <c r="L14" i="87" s="1"/>
  <c r="D14" i="87"/>
  <c r="C14" i="87"/>
  <c r="U12" i="87"/>
  <c r="B8" i="86"/>
  <c r="V15" i="89" l="1"/>
  <c r="K17" i="89"/>
  <c r="I17" i="89"/>
  <c r="N17" i="89"/>
  <c r="M17" i="89"/>
  <c r="J17" i="89"/>
  <c r="Q17" i="89"/>
  <c r="O17" i="89"/>
  <c r="T17" i="89"/>
  <c r="S17" i="89"/>
  <c r="P17" i="89"/>
  <c r="A17" i="89"/>
  <c r="B19" i="89"/>
  <c r="H18" i="89"/>
  <c r="R18" i="89" s="1"/>
  <c r="G18" i="89"/>
  <c r="F18" i="89"/>
  <c r="E18" i="89"/>
  <c r="L18" i="89" s="1"/>
  <c r="D18" i="89"/>
  <c r="C18" i="89"/>
  <c r="U16" i="89"/>
  <c r="I19" i="12" s="1"/>
  <c r="V12" i="87"/>
  <c r="K14" i="87"/>
  <c r="I14" i="87"/>
  <c r="N14" i="87"/>
  <c r="M14" i="87"/>
  <c r="J14" i="87"/>
  <c r="Q14" i="87"/>
  <c r="O14" i="87"/>
  <c r="T14" i="87"/>
  <c r="S14" i="87"/>
  <c r="P14" i="87"/>
  <c r="A14" i="87"/>
  <c r="B16" i="87"/>
  <c r="H15" i="87"/>
  <c r="R15" i="87" s="1"/>
  <c r="G15" i="87"/>
  <c r="F15" i="87"/>
  <c r="E15" i="87"/>
  <c r="L15" i="87" s="1"/>
  <c r="D15" i="87"/>
  <c r="C15" i="87"/>
  <c r="U13" i="87"/>
  <c r="B9" i="86"/>
  <c r="V16" i="89" l="1"/>
  <c r="K18" i="89"/>
  <c r="I18" i="89"/>
  <c r="N18" i="89"/>
  <c r="M18" i="89"/>
  <c r="J18" i="89"/>
  <c r="Q18" i="89"/>
  <c r="O18" i="89"/>
  <c r="T18" i="89"/>
  <c r="S18" i="89"/>
  <c r="P18" i="89"/>
  <c r="A18" i="89"/>
  <c r="B20" i="89"/>
  <c r="H19" i="89"/>
  <c r="R19" i="89" s="1"/>
  <c r="G19" i="89"/>
  <c r="F19" i="89"/>
  <c r="E19" i="89"/>
  <c r="L19" i="89" s="1"/>
  <c r="D19" i="89"/>
  <c r="C19" i="89"/>
  <c r="U17" i="89"/>
  <c r="I20" i="12" s="1"/>
  <c r="V13" i="87"/>
  <c r="K15" i="87"/>
  <c r="I15" i="87"/>
  <c r="N15" i="87"/>
  <c r="M15" i="87"/>
  <c r="J15" i="87"/>
  <c r="Q15" i="87"/>
  <c r="O15" i="87"/>
  <c r="T15" i="87"/>
  <c r="S15" i="87"/>
  <c r="P15" i="87"/>
  <c r="A15" i="87"/>
  <c r="B17" i="87"/>
  <c r="H16" i="87"/>
  <c r="R16" i="87" s="1"/>
  <c r="G16" i="87"/>
  <c r="F16" i="87"/>
  <c r="E16" i="87"/>
  <c r="L16" i="87" s="1"/>
  <c r="D16" i="87"/>
  <c r="C16" i="87"/>
  <c r="U14" i="87"/>
  <c r="B10" i="86"/>
  <c r="V17" i="89" l="1"/>
  <c r="K19" i="89"/>
  <c r="I19" i="89"/>
  <c r="N19" i="89"/>
  <c r="M19" i="89"/>
  <c r="J19" i="89"/>
  <c r="Q19" i="89"/>
  <c r="O19" i="89"/>
  <c r="T19" i="89"/>
  <c r="S19" i="89"/>
  <c r="P19" i="89"/>
  <c r="A19" i="89"/>
  <c r="B21" i="89"/>
  <c r="H20" i="89"/>
  <c r="R20" i="89" s="1"/>
  <c r="G20" i="89"/>
  <c r="F20" i="89"/>
  <c r="E20" i="89"/>
  <c r="L20" i="89" s="1"/>
  <c r="D20" i="89"/>
  <c r="C20" i="89"/>
  <c r="U18" i="89"/>
  <c r="I21" i="12" s="1"/>
  <c r="V14" i="87"/>
  <c r="K16" i="87"/>
  <c r="I16" i="87"/>
  <c r="N16" i="87"/>
  <c r="M16" i="87"/>
  <c r="J16" i="87"/>
  <c r="Q16" i="87"/>
  <c r="O16" i="87"/>
  <c r="T16" i="87"/>
  <c r="S16" i="87"/>
  <c r="P16" i="87"/>
  <c r="A16" i="87"/>
  <c r="B18" i="87"/>
  <c r="H17" i="87"/>
  <c r="R17" i="87" s="1"/>
  <c r="G17" i="87"/>
  <c r="F17" i="87"/>
  <c r="E17" i="87"/>
  <c r="L17" i="87" s="1"/>
  <c r="D17" i="87"/>
  <c r="C17" i="87"/>
  <c r="U15" i="87"/>
  <c r="B11" i="86"/>
  <c r="V18" i="89" l="1"/>
  <c r="K20" i="89"/>
  <c r="I20" i="89"/>
  <c r="N20" i="89"/>
  <c r="M20" i="89"/>
  <c r="J20" i="89"/>
  <c r="Q20" i="89"/>
  <c r="O20" i="89"/>
  <c r="T20" i="89"/>
  <c r="S20" i="89"/>
  <c r="P20" i="89"/>
  <c r="A20" i="89"/>
  <c r="B22" i="89"/>
  <c r="H21" i="89"/>
  <c r="R21" i="89" s="1"/>
  <c r="G21" i="89"/>
  <c r="F21" i="89"/>
  <c r="E21" i="89"/>
  <c r="L21" i="89" s="1"/>
  <c r="D21" i="89"/>
  <c r="C21" i="89"/>
  <c r="U19" i="89"/>
  <c r="I22" i="12" s="1"/>
  <c r="V15" i="87"/>
  <c r="K17" i="87"/>
  <c r="I17" i="87"/>
  <c r="N17" i="87"/>
  <c r="M17" i="87"/>
  <c r="J17" i="87"/>
  <c r="Q17" i="87"/>
  <c r="O17" i="87"/>
  <c r="T17" i="87"/>
  <c r="S17" i="87"/>
  <c r="P17" i="87"/>
  <c r="A17" i="87"/>
  <c r="B19" i="87"/>
  <c r="H18" i="87"/>
  <c r="R18" i="87" s="1"/>
  <c r="G18" i="87"/>
  <c r="F18" i="87"/>
  <c r="E18" i="87"/>
  <c r="L18" i="87" s="1"/>
  <c r="D18" i="87"/>
  <c r="C18" i="87"/>
  <c r="U16" i="87"/>
  <c r="B12" i="86"/>
  <c r="V19" i="89" l="1"/>
  <c r="K21" i="89"/>
  <c r="I21" i="89"/>
  <c r="N21" i="89"/>
  <c r="M21" i="89"/>
  <c r="J21" i="89"/>
  <c r="Q21" i="89"/>
  <c r="O21" i="89"/>
  <c r="T21" i="89"/>
  <c r="S21" i="89"/>
  <c r="P21" i="89"/>
  <c r="A21" i="89"/>
  <c r="B23" i="89"/>
  <c r="H22" i="89"/>
  <c r="R22" i="89" s="1"/>
  <c r="G22" i="89"/>
  <c r="F22" i="89"/>
  <c r="E22" i="89"/>
  <c r="L22" i="89" s="1"/>
  <c r="D22" i="89"/>
  <c r="C22" i="89"/>
  <c r="U20" i="89"/>
  <c r="I23" i="12" s="1"/>
  <c r="V16" i="87"/>
  <c r="K18" i="87"/>
  <c r="I18" i="87"/>
  <c r="N18" i="87"/>
  <c r="M18" i="87"/>
  <c r="J18" i="87"/>
  <c r="Q18" i="87"/>
  <c r="O18" i="87"/>
  <c r="T18" i="87"/>
  <c r="S18" i="87"/>
  <c r="P18" i="87"/>
  <c r="A18" i="87"/>
  <c r="B20" i="87"/>
  <c r="H19" i="87"/>
  <c r="R19" i="87" s="1"/>
  <c r="G19" i="87"/>
  <c r="F19" i="87"/>
  <c r="E19" i="87"/>
  <c r="L19" i="87" s="1"/>
  <c r="D19" i="87"/>
  <c r="C19" i="87"/>
  <c r="U17" i="87"/>
  <c r="B13" i="86"/>
  <c r="V20" i="89" l="1"/>
  <c r="K22" i="89"/>
  <c r="I22" i="89"/>
  <c r="N22" i="89"/>
  <c r="M22" i="89"/>
  <c r="J22" i="89"/>
  <c r="Q22" i="89"/>
  <c r="O22" i="89"/>
  <c r="T22" i="89"/>
  <c r="S22" i="89"/>
  <c r="P22" i="89"/>
  <c r="A22" i="89"/>
  <c r="B24" i="89"/>
  <c r="H23" i="89"/>
  <c r="R23" i="89" s="1"/>
  <c r="G23" i="89"/>
  <c r="F23" i="89"/>
  <c r="E23" i="89"/>
  <c r="L23" i="89" s="1"/>
  <c r="D23" i="89"/>
  <c r="C23" i="89"/>
  <c r="U21" i="89"/>
  <c r="I24" i="12" s="1"/>
  <c r="V17" i="87"/>
  <c r="K19" i="87"/>
  <c r="I19" i="87"/>
  <c r="N19" i="87"/>
  <c r="M19" i="87"/>
  <c r="J19" i="87"/>
  <c r="Q19" i="87"/>
  <c r="O19" i="87"/>
  <c r="T19" i="87"/>
  <c r="S19" i="87"/>
  <c r="P19" i="87"/>
  <c r="A19" i="87"/>
  <c r="B21" i="87"/>
  <c r="H20" i="87"/>
  <c r="R20" i="87" s="1"/>
  <c r="G20" i="87"/>
  <c r="F20" i="87"/>
  <c r="E20" i="87"/>
  <c r="L20" i="87" s="1"/>
  <c r="D20" i="87"/>
  <c r="C20" i="87"/>
  <c r="U18" i="87"/>
  <c r="B14" i="86"/>
  <c r="V21" i="89" l="1"/>
  <c r="K23" i="89"/>
  <c r="I23" i="89"/>
  <c r="N23" i="89"/>
  <c r="M23" i="89"/>
  <c r="J23" i="89"/>
  <c r="Q23" i="89"/>
  <c r="O23" i="89"/>
  <c r="T23" i="89"/>
  <c r="S23" i="89"/>
  <c r="P23" i="89"/>
  <c r="A23" i="89"/>
  <c r="B25" i="89"/>
  <c r="H24" i="89"/>
  <c r="R24" i="89" s="1"/>
  <c r="G24" i="89"/>
  <c r="F24" i="89"/>
  <c r="E24" i="89"/>
  <c r="L24" i="89" s="1"/>
  <c r="D24" i="89"/>
  <c r="C24" i="89"/>
  <c r="U22" i="89"/>
  <c r="I25" i="12" s="1"/>
  <c r="V18" i="87"/>
  <c r="K20" i="87"/>
  <c r="I20" i="87"/>
  <c r="N20" i="87"/>
  <c r="M20" i="87"/>
  <c r="J20" i="87"/>
  <c r="Q20" i="87"/>
  <c r="O20" i="87"/>
  <c r="T20" i="87"/>
  <c r="S20" i="87"/>
  <c r="P20" i="87"/>
  <c r="A20" i="87"/>
  <c r="B22" i="87"/>
  <c r="H21" i="87"/>
  <c r="R21" i="87" s="1"/>
  <c r="G21" i="87"/>
  <c r="F21" i="87"/>
  <c r="E21" i="87"/>
  <c r="L21" i="87" s="1"/>
  <c r="D21" i="87"/>
  <c r="C21" i="87"/>
  <c r="U19" i="87"/>
  <c r="B15" i="86"/>
  <c r="V22" i="89" l="1"/>
  <c r="K24" i="89"/>
  <c r="I24" i="89"/>
  <c r="N24" i="89"/>
  <c r="M24" i="89"/>
  <c r="J24" i="89"/>
  <c r="Q24" i="89"/>
  <c r="O24" i="89"/>
  <c r="T24" i="89"/>
  <c r="S24" i="89"/>
  <c r="P24" i="89"/>
  <c r="A24" i="89"/>
  <c r="B26" i="89"/>
  <c r="H25" i="89"/>
  <c r="R25" i="89" s="1"/>
  <c r="G25" i="89"/>
  <c r="F25" i="89"/>
  <c r="E25" i="89"/>
  <c r="L25" i="89" s="1"/>
  <c r="D25" i="89"/>
  <c r="C25" i="89"/>
  <c r="U23" i="89"/>
  <c r="I26" i="12" s="1"/>
  <c r="V19" i="87"/>
  <c r="K21" i="87"/>
  <c r="I21" i="87"/>
  <c r="N21" i="87"/>
  <c r="M21" i="87"/>
  <c r="J21" i="87"/>
  <c r="Q21" i="87"/>
  <c r="O21" i="87"/>
  <c r="T21" i="87"/>
  <c r="S21" i="87"/>
  <c r="P21" i="87"/>
  <c r="A21" i="87"/>
  <c r="B23" i="87"/>
  <c r="H22" i="87"/>
  <c r="R22" i="87" s="1"/>
  <c r="G22" i="87"/>
  <c r="F22" i="87"/>
  <c r="E22" i="87"/>
  <c r="L22" i="87" s="1"/>
  <c r="D22" i="87"/>
  <c r="C22" i="87"/>
  <c r="U20" i="87"/>
  <c r="B16" i="86"/>
  <c r="V23" i="89" l="1"/>
  <c r="K25" i="89"/>
  <c r="I25" i="89"/>
  <c r="N25" i="89"/>
  <c r="M25" i="89"/>
  <c r="J25" i="89"/>
  <c r="Q25" i="89"/>
  <c r="O25" i="89"/>
  <c r="T25" i="89"/>
  <c r="S25" i="89"/>
  <c r="P25" i="89"/>
  <c r="A25" i="89"/>
  <c r="B27" i="89"/>
  <c r="H26" i="89"/>
  <c r="R26" i="89" s="1"/>
  <c r="G26" i="89"/>
  <c r="F26" i="89"/>
  <c r="E26" i="89"/>
  <c r="L26" i="89" s="1"/>
  <c r="D26" i="89"/>
  <c r="C26" i="89"/>
  <c r="U24" i="89"/>
  <c r="I27" i="12" s="1"/>
  <c r="V20" i="87"/>
  <c r="K22" i="87"/>
  <c r="I22" i="87"/>
  <c r="N22" i="87"/>
  <c r="M22" i="87"/>
  <c r="J22" i="87"/>
  <c r="Q22" i="87"/>
  <c r="O22" i="87"/>
  <c r="T22" i="87"/>
  <c r="S22" i="87"/>
  <c r="P22" i="87"/>
  <c r="A22" i="87"/>
  <c r="B24" i="87"/>
  <c r="H23" i="87"/>
  <c r="R23" i="87" s="1"/>
  <c r="G23" i="87"/>
  <c r="F23" i="87"/>
  <c r="E23" i="87"/>
  <c r="L23" i="87" s="1"/>
  <c r="D23" i="87"/>
  <c r="C23" i="87"/>
  <c r="U21" i="87"/>
  <c r="B17" i="86"/>
  <c r="V24" i="89" l="1"/>
  <c r="K26" i="89"/>
  <c r="I26" i="89"/>
  <c r="N26" i="89"/>
  <c r="M26" i="89"/>
  <c r="J26" i="89"/>
  <c r="Q26" i="89"/>
  <c r="O26" i="89"/>
  <c r="T26" i="89"/>
  <c r="S26" i="89"/>
  <c r="P26" i="89"/>
  <c r="A26" i="89"/>
  <c r="B28" i="89"/>
  <c r="H27" i="89"/>
  <c r="R27" i="89" s="1"/>
  <c r="G27" i="89"/>
  <c r="F27" i="89"/>
  <c r="E27" i="89"/>
  <c r="L27" i="89" s="1"/>
  <c r="D27" i="89"/>
  <c r="C27" i="89"/>
  <c r="U25" i="89"/>
  <c r="I28" i="12" s="1"/>
  <c r="V21" i="87"/>
  <c r="K23" i="87"/>
  <c r="I23" i="87"/>
  <c r="N23" i="87"/>
  <c r="M23" i="87"/>
  <c r="J23" i="87"/>
  <c r="Q23" i="87"/>
  <c r="O23" i="87"/>
  <c r="T23" i="87"/>
  <c r="S23" i="87"/>
  <c r="P23" i="87"/>
  <c r="A23" i="87"/>
  <c r="B25" i="87"/>
  <c r="H24" i="87"/>
  <c r="R24" i="87" s="1"/>
  <c r="G24" i="87"/>
  <c r="F24" i="87"/>
  <c r="E24" i="87"/>
  <c r="L24" i="87" s="1"/>
  <c r="D24" i="87"/>
  <c r="C24" i="87"/>
  <c r="U22" i="87"/>
  <c r="B18" i="86"/>
  <c r="V25" i="89" l="1"/>
  <c r="K27" i="89"/>
  <c r="I27" i="89"/>
  <c r="N27" i="89"/>
  <c r="M27" i="89"/>
  <c r="J27" i="89"/>
  <c r="Q27" i="89"/>
  <c r="O27" i="89"/>
  <c r="T27" i="89"/>
  <c r="S27" i="89"/>
  <c r="P27" i="89"/>
  <c r="A27" i="89"/>
  <c r="B29" i="89"/>
  <c r="H28" i="89"/>
  <c r="R28" i="89" s="1"/>
  <c r="G28" i="89"/>
  <c r="F28" i="89"/>
  <c r="E28" i="89"/>
  <c r="L28" i="89" s="1"/>
  <c r="D28" i="89"/>
  <c r="C28" i="89"/>
  <c r="U26" i="89"/>
  <c r="I29" i="12" s="1"/>
  <c r="V22" i="87"/>
  <c r="K24" i="87"/>
  <c r="I24" i="87"/>
  <c r="N24" i="87"/>
  <c r="M24" i="87"/>
  <c r="J24" i="87"/>
  <c r="Q24" i="87"/>
  <c r="O24" i="87"/>
  <c r="T24" i="87"/>
  <c r="S24" i="87"/>
  <c r="P24" i="87"/>
  <c r="A24" i="87"/>
  <c r="B26" i="87"/>
  <c r="H25" i="87"/>
  <c r="R25" i="87" s="1"/>
  <c r="G25" i="87"/>
  <c r="F25" i="87"/>
  <c r="E25" i="87"/>
  <c r="L25" i="87" s="1"/>
  <c r="D25" i="87"/>
  <c r="C25" i="87"/>
  <c r="U23" i="87"/>
  <c r="B19" i="86"/>
  <c r="I9" i="12" l="1"/>
  <c r="I8" i="12"/>
  <c r="I7" i="12"/>
  <c r="V26" i="89"/>
  <c r="K28" i="89"/>
  <c r="I28" i="89"/>
  <c r="N28" i="89"/>
  <c r="M28" i="89"/>
  <c r="J28" i="89"/>
  <c r="Q28" i="89"/>
  <c r="O28" i="89"/>
  <c r="T28" i="89"/>
  <c r="S28" i="89"/>
  <c r="P28" i="89"/>
  <c r="A28" i="89"/>
  <c r="H29" i="89"/>
  <c r="R29" i="89" s="1"/>
  <c r="R30" i="89" s="1"/>
  <c r="G29" i="89"/>
  <c r="F29" i="89"/>
  <c r="E29" i="89"/>
  <c r="L29" i="89" s="1"/>
  <c r="L30" i="89" s="1"/>
  <c r="D29" i="89"/>
  <c r="C29" i="89"/>
  <c r="U27" i="89"/>
  <c r="I30" i="12" s="1"/>
  <c r="V23" i="87"/>
  <c r="K25" i="87"/>
  <c r="I25" i="87"/>
  <c r="N25" i="87"/>
  <c r="M25" i="87"/>
  <c r="J25" i="87"/>
  <c r="Q25" i="87"/>
  <c r="O25" i="87"/>
  <c r="T25" i="87"/>
  <c r="S25" i="87"/>
  <c r="P25" i="87"/>
  <c r="A25" i="87"/>
  <c r="B27" i="87"/>
  <c r="H26" i="87"/>
  <c r="R26" i="87" s="1"/>
  <c r="G26" i="87"/>
  <c r="F26" i="87"/>
  <c r="E26" i="87"/>
  <c r="L26" i="87" s="1"/>
  <c r="D26" i="87"/>
  <c r="C26" i="87"/>
  <c r="U24" i="87"/>
  <c r="B20" i="86"/>
  <c r="V27" i="89" l="1"/>
  <c r="K29" i="89"/>
  <c r="K30" i="89" s="1"/>
  <c r="I29" i="89"/>
  <c r="N29" i="89"/>
  <c r="N30" i="89" s="1"/>
  <c r="M29" i="89"/>
  <c r="M30" i="89" s="1"/>
  <c r="J29" i="89"/>
  <c r="J30" i="89" s="1"/>
  <c r="Q29" i="89"/>
  <c r="Q30" i="89" s="1"/>
  <c r="O29" i="89"/>
  <c r="O30" i="89" s="1"/>
  <c r="T29" i="89"/>
  <c r="T30" i="89" s="1"/>
  <c r="S29" i="89"/>
  <c r="S30" i="89" s="1"/>
  <c r="P29" i="89"/>
  <c r="P30" i="89" s="1"/>
  <c r="A29" i="89"/>
  <c r="U28" i="89"/>
  <c r="V24" i="87"/>
  <c r="K26" i="87"/>
  <c r="I26" i="87"/>
  <c r="N26" i="87"/>
  <c r="M26" i="87"/>
  <c r="J26" i="87"/>
  <c r="Q26" i="87"/>
  <c r="O26" i="87"/>
  <c r="T26" i="87"/>
  <c r="S26" i="87"/>
  <c r="P26" i="87"/>
  <c r="A26" i="87"/>
  <c r="B28" i="87"/>
  <c r="H27" i="87"/>
  <c r="R27" i="87" s="1"/>
  <c r="G27" i="87"/>
  <c r="F27" i="87"/>
  <c r="E27" i="87"/>
  <c r="L27" i="87" s="1"/>
  <c r="D27" i="87"/>
  <c r="C27" i="87"/>
  <c r="U25" i="87"/>
  <c r="B21" i="86"/>
  <c r="V28" i="89" l="1"/>
  <c r="U29" i="89"/>
  <c r="I30" i="89"/>
  <c r="V25" i="87"/>
  <c r="K27" i="87"/>
  <c r="I27" i="87"/>
  <c r="N27" i="87"/>
  <c r="M27" i="87"/>
  <c r="J27" i="87"/>
  <c r="Q27" i="87"/>
  <c r="O27" i="87"/>
  <c r="T27" i="87"/>
  <c r="S27" i="87"/>
  <c r="P27" i="87"/>
  <c r="A27" i="87"/>
  <c r="H28" i="87"/>
  <c r="R28" i="87" s="1"/>
  <c r="R29" i="87" s="1"/>
  <c r="G28" i="87"/>
  <c r="F28" i="87"/>
  <c r="E28" i="87"/>
  <c r="L28" i="87" s="1"/>
  <c r="L29" i="87" s="1"/>
  <c r="D28" i="87"/>
  <c r="C28" i="87"/>
  <c r="U26" i="87"/>
  <c r="B22" i="86"/>
  <c r="V29" i="89" l="1"/>
  <c r="V30" i="89" s="1"/>
  <c r="U30" i="89"/>
  <c r="V26" i="87"/>
  <c r="K28" i="87"/>
  <c r="I28" i="87"/>
  <c r="N28" i="87"/>
  <c r="M28" i="87"/>
  <c r="J28" i="87"/>
  <c r="Q28" i="87"/>
  <c r="O28" i="87"/>
  <c r="T28" i="87"/>
  <c r="S28" i="87"/>
  <c r="P28" i="87"/>
  <c r="A28" i="87"/>
  <c r="P29" i="87"/>
  <c r="S29" i="87"/>
  <c r="T29" i="87"/>
  <c r="O29" i="87"/>
  <c r="Q29" i="87"/>
  <c r="J29" i="87"/>
  <c r="M29" i="87"/>
  <c r="N29" i="87"/>
  <c r="U27" i="87"/>
  <c r="I29" i="87"/>
  <c r="K29" i="87"/>
  <c r="B23" i="86"/>
  <c r="V27" i="87" l="1"/>
  <c r="U28" i="87"/>
  <c r="B24" i="86"/>
  <c r="V28" i="87" l="1"/>
  <c r="V29" i="87" s="1"/>
  <c r="U29" i="87"/>
  <c r="B25" i="86"/>
  <c r="B26" i="86" l="1"/>
  <c r="B27" i="86" l="1"/>
  <c r="B28" i="86" l="1"/>
  <c r="B29" i="86" l="1"/>
  <c r="B30" i="86" l="1"/>
  <c r="B31" i="86" l="1"/>
  <c r="B32" i="86" l="1"/>
  <c r="W2" i="48" l="1"/>
  <c r="B7" i="85"/>
  <c r="AE28" i="83"/>
  <c r="AD28" i="83"/>
  <c r="AC28" i="83"/>
  <c r="AB28" i="83"/>
  <c r="AE27" i="83"/>
  <c r="AD27" i="83"/>
  <c r="AC27" i="83"/>
  <c r="AB27" i="83"/>
  <c r="V10" i="83"/>
  <c r="U10" i="83"/>
  <c r="T10" i="83"/>
  <c r="S10" i="83"/>
  <c r="V9" i="83"/>
  <c r="U9" i="83"/>
  <c r="T9" i="83"/>
  <c r="S9" i="83"/>
  <c r="E7" i="85" l="1"/>
  <c r="I7" i="85"/>
  <c r="B8" i="83"/>
  <c r="B9" i="83" s="1"/>
  <c r="B10" i="83" s="1"/>
  <c r="B11" i="83" s="1"/>
  <c r="B12" i="83" s="1"/>
  <c r="B13" i="83" s="1"/>
  <c r="B14" i="83" s="1"/>
  <c r="B15" i="83" s="1"/>
  <c r="B16" i="83" s="1"/>
  <c r="B17" i="83" s="1"/>
  <c r="B18" i="83" s="1"/>
  <c r="B19" i="83" s="1"/>
  <c r="B20" i="83" s="1"/>
  <c r="B21" i="83" s="1"/>
  <c r="B22" i="83" s="1"/>
  <c r="B23" i="83" s="1"/>
  <c r="B24" i="83" s="1"/>
  <c r="B25" i="83" s="1"/>
  <c r="B26" i="83" s="1"/>
  <c r="B27" i="83" s="1"/>
  <c r="B28" i="83" s="1"/>
  <c r="B29" i="83" s="1"/>
  <c r="B30" i="83" s="1"/>
  <c r="B31" i="83" s="1"/>
  <c r="B32" i="83" s="1"/>
  <c r="B8" i="85"/>
  <c r="E8" i="85" l="1"/>
  <c r="I8" i="85"/>
  <c r="B9" i="85"/>
  <c r="E9" i="85" l="1"/>
  <c r="I9" i="85"/>
  <c r="B10" i="85"/>
  <c r="E10" i="85" l="1"/>
  <c r="I10" i="85"/>
  <c r="B11" i="85"/>
  <c r="E11" i="85" l="1"/>
  <c r="I11" i="85"/>
  <c r="B12" i="85"/>
  <c r="E12" i="85" l="1"/>
  <c r="I12" i="85"/>
  <c r="B13" i="85"/>
  <c r="E13" i="85" l="1"/>
  <c r="I13" i="85"/>
  <c r="B14" i="85"/>
  <c r="E14" i="85" l="1"/>
  <c r="I14" i="85"/>
  <c r="B15" i="85"/>
  <c r="E15" i="85" l="1"/>
  <c r="I15" i="85"/>
  <c r="B16" i="85"/>
  <c r="E16" i="85" l="1"/>
  <c r="I16" i="85"/>
  <c r="B17" i="85"/>
  <c r="E17" i="85" l="1"/>
  <c r="I17" i="85"/>
  <c r="B18" i="85"/>
  <c r="E18" i="85" l="1"/>
  <c r="I18" i="85"/>
  <c r="B19" i="85"/>
  <c r="E19" i="85" l="1"/>
  <c r="I19" i="85"/>
  <c r="B20" i="85"/>
  <c r="E20" i="85" l="1"/>
  <c r="I20" i="85"/>
  <c r="B21" i="85"/>
  <c r="E21" i="85" l="1"/>
  <c r="I21" i="85"/>
  <c r="B22" i="85"/>
  <c r="E22" i="85" l="1"/>
  <c r="I22" i="85"/>
  <c r="B23" i="85"/>
  <c r="E23" i="85" l="1"/>
  <c r="I23" i="85"/>
  <c r="B24" i="85"/>
  <c r="E24" i="85" l="1"/>
  <c r="I24" i="85"/>
  <c r="B25" i="85"/>
  <c r="E25" i="85" l="1"/>
  <c r="I25" i="85"/>
  <c r="B26" i="85"/>
  <c r="E26" i="85" l="1"/>
  <c r="I26" i="85"/>
  <c r="B27" i="85"/>
  <c r="E27" i="85" l="1"/>
  <c r="I27" i="85"/>
  <c r="B28" i="85"/>
  <c r="E28" i="85" l="1"/>
  <c r="I28" i="85"/>
  <c r="B29" i="85"/>
  <c r="E29" i="85" l="1"/>
  <c r="I29" i="85"/>
  <c r="B30" i="85"/>
  <c r="E30" i="85" l="1"/>
  <c r="I30" i="85"/>
  <c r="B31" i="85"/>
  <c r="E31" i="85" l="1"/>
  <c r="I31" i="85"/>
  <c r="B32" i="85"/>
  <c r="E32" i="85" l="1"/>
  <c r="I32" i="85"/>
  <c r="B33" i="85"/>
  <c r="E33" i="85" l="1"/>
  <c r="I33" i="85"/>
  <c r="B34" i="85"/>
  <c r="E34" i="85" l="1"/>
  <c r="I34" i="85"/>
  <c r="F7" i="83"/>
  <c r="F6" i="83"/>
  <c r="F5" i="83"/>
  <c r="B7" i="8"/>
  <c r="F10" i="61"/>
  <c r="E10" i="61"/>
  <c r="G10" i="61"/>
  <c r="H10" i="61"/>
  <c r="J10" i="61"/>
  <c r="I10" i="61"/>
  <c r="D10" i="61"/>
  <c r="I3" i="61"/>
  <c r="J25" i="8" s="1"/>
  <c r="H3" i="61"/>
  <c r="J24" i="8" s="1"/>
  <c r="G3" i="61"/>
  <c r="J23" i="8" s="1"/>
  <c r="E3" i="61"/>
  <c r="J22" i="8" s="1"/>
  <c r="K22" i="8" s="1"/>
  <c r="D3" i="61"/>
  <c r="I7" i="8"/>
  <c r="AA48" i="82"/>
  <c r="AA39" i="82"/>
  <c r="AA17" i="82"/>
  <c r="AC18" i="82" s="1"/>
  <c r="AA53" i="82" s="1"/>
  <c r="B10" i="48"/>
  <c r="Z24" i="81"/>
  <c r="AA48" i="81"/>
  <c r="AA39" i="81"/>
  <c r="D10" i="79"/>
  <c r="G11" i="79"/>
  <c r="G8" i="79"/>
  <c r="G7" i="79"/>
  <c r="G6" i="79"/>
  <c r="G5" i="79"/>
  <c r="G10" i="79" s="1"/>
  <c r="H10" i="79" s="1"/>
  <c r="G4" i="79"/>
  <c r="F11" i="79"/>
  <c r="F8" i="79"/>
  <c r="F7" i="79"/>
  <c r="F6" i="79"/>
  <c r="F5" i="79"/>
  <c r="F4" i="79"/>
  <c r="F9" i="79" s="1"/>
  <c r="E11" i="79"/>
  <c r="E8" i="79"/>
  <c r="E7" i="79"/>
  <c r="E6" i="79"/>
  <c r="E5" i="79"/>
  <c r="E4" i="79"/>
  <c r="E9" i="79" s="1"/>
  <c r="D11" i="79"/>
  <c r="H11" i="79" s="1"/>
  <c r="D8" i="79"/>
  <c r="H8" i="79" s="1"/>
  <c r="H7" i="79"/>
  <c r="H6" i="79"/>
  <c r="D5" i="79"/>
  <c r="H5" i="79" s="1"/>
  <c r="D4" i="79"/>
  <c r="D9" i="79" s="1"/>
  <c r="AA48" i="78"/>
  <c r="AA39" i="78"/>
  <c r="Y10" i="78"/>
  <c r="Y9" i="78"/>
  <c r="Y8" i="78"/>
  <c r="AA25" i="73"/>
  <c r="AA48" i="73"/>
  <c r="AA39" i="73"/>
  <c r="Y10" i="73"/>
  <c r="I22" i="60"/>
  <c r="Y7" i="78" s="1"/>
  <c r="AA17" i="78" s="1"/>
  <c r="AC18" i="78" s="1"/>
  <c r="AA53" i="78" s="1"/>
  <c r="I18" i="60"/>
  <c r="I15" i="60"/>
  <c r="AA17" i="81" s="1"/>
  <c r="AC18" i="81" s="1"/>
  <c r="AA53" i="81" s="1"/>
  <c r="I3" i="60"/>
  <c r="L22" i="60"/>
  <c r="Y5" i="78" s="1"/>
  <c r="L18" i="60"/>
  <c r="Y5" i="73" s="1"/>
  <c r="P9" i="48" s="1"/>
  <c r="L15" i="60"/>
  <c r="Y5" i="81" s="1"/>
  <c r="L8" i="60"/>
  <c r="Y5" i="82" s="1"/>
  <c r="L3" i="60"/>
  <c r="Y5" i="59" s="1"/>
  <c r="J7" i="8" l="1"/>
  <c r="J6" i="8"/>
  <c r="J20" i="8"/>
  <c r="B11" i="48"/>
  <c r="V10" i="48"/>
  <c r="U10" i="48" s="1"/>
  <c r="W10" i="48" s="1"/>
  <c r="J10" i="48"/>
  <c r="I10" i="48" s="1"/>
  <c r="K10" i="48" s="1"/>
  <c r="P10" i="48"/>
  <c r="D9" i="48"/>
  <c r="G9" i="79"/>
  <c r="B7" i="82"/>
  <c r="G10" i="48"/>
  <c r="G11" i="48"/>
  <c r="G9" i="48"/>
  <c r="F9" i="48" s="1"/>
  <c r="H9" i="48" s="1"/>
  <c r="D4" i="61"/>
  <c r="F4" i="61"/>
  <c r="K21" i="8"/>
  <c r="E4" i="61"/>
  <c r="K23" i="8"/>
  <c r="G4" i="61"/>
  <c r="K24" i="8"/>
  <c r="H4" i="61"/>
  <c r="J4" i="61"/>
  <c r="K25" i="8"/>
  <c r="I4" i="61"/>
  <c r="D10" i="48"/>
  <c r="C10" i="48" s="1"/>
  <c r="E10" i="48" s="1"/>
  <c r="B7" i="81"/>
  <c r="M9" i="48"/>
  <c r="L9" i="48" s="1"/>
  <c r="N9" i="48" s="1"/>
  <c r="B7" i="73"/>
  <c r="O9" i="48"/>
  <c r="Q9" i="48" s="1"/>
  <c r="AB24" i="73"/>
  <c r="AA24" i="73"/>
  <c r="B7" i="78"/>
  <c r="S9" i="48"/>
  <c r="I8" i="8"/>
  <c r="J8" i="8" s="1"/>
  <c r="D11" i="48"/>
  <c r="B8" i="82"/>
  <c r="AB18" i="82"/>
  <c r="Z35" i="82"/>
  <c r="Z34" i="82"/>
  <c r="AC19" i="82"/>
  <c r="AA52" i="82" s="1"/>
  <c r="AB19" i="82"/>
  <c r="AB24" i="82"/>
  <c r="AC24" i="82" s="1"/>
  <c r="AA24" i="82"/>
  <c r="AD24" i="82" s="1"/>
  <c r="AC25" i="82"/>
  <c r="AA25" i="82"/>
  <c r="AD25" i="82" s="1"/>
  <c r="S11" i="48"/>
  <c r="M11" i="48"/>
  <c r="S10" i="48"/>
  <c r="M10" i="48"/>
  <c r="B8" i="81"/>
  <c r="Z30" i="81"/>
  <c r="Z29" i="81"/>
  <c r="AB18" i="81"/>
  <c r="Z35" i="81"/>
  <c r="Z34" i="81"/>
  <c r="AC19" i="81"/>
  <c r="AA52" i="81" s="1"/>
  <c r="AB19" i="81"/>
  <c r="AB24" i="81"/>
  <c r="AC24" i="81" s="1"/>
  <c r="AA24" i="81"/>
  <c r="AD24" i="81" s="1"/>
  <c r="AC25" i="81"/>
  <c r="AA25" i="81"/>
  <c r="AD25" i="81" s="1"/>
  <c r="H4" i="79"/>
  <c r="H9" i="79" s="1"/>
  <c r="Z30" i="78"/>
  <c r="Z29" i="78"/>
  <c r="AB18" i="78"/>
  <c r="Z35" i="78"/>
  <c r="Z34" i="78"/>
  <c r="AC19" i="78"/>
  <c r="AA52" i="78" s="1"/>
  <c r="AB19" i="78"/>
  <c r="AB24" i="78"/>
  <c r="AC24" i="78" s="1"/>
  <c r="AA24" i="78"/>
  <c r="AD24" i="78" s="1"/>
  <c r="AC25" i="78"/>
  <c r="AA25" i="78"/>
  <c r="AD25" i="78" s="1"/>
  <c r="AA17" i="73"/>
  <c r="AC18" i="73" s="1"/>
  <c r="AA53" i="73" s="1"/>
  <c r="Z29" i="73"/>
  <c r="AA29" i="73"/>
  <c r="AD29" i="73" s="1"/>
  <c r="Z30" i="73"/>
  <c r="AB18" i="73"/>
  <c r="Z35" i="73"/>
  <c r="AA35" i="73" s="1"/>
  <c r="Z34" i="73"/>
  <c r="AC19" i="73"/>
  <c r="AA52" i="73" s="1"/>
  <c r="AB19" i="73"/>
  <c r="AC24" i="73"/>
  <c r="AD24" i="73"/>
  <c r="AC25" i="73"/>
  <c r="AD25" i="73"/>
  <c r="B7" i="59"/>
  <c r="R9" i="48" l="1"/>
  <c r="C9" i="48"/>
  <c r="E9" i="48" s="1"/>
  <c r="B12" i="48"/>
  <c r="V11" i="48"/>
  <c r="U11" i="48" s="1"/>
  <c r="W11" i="48" s="1"/>
  <c r="J11" i="48"/>
  <c r="I11" i="48" s="1"/>
  <c r="K11" i="48" s="1"/>
  <c r="P11" i="48"/>
  <c r="J14" i="8"/>
  <c r="L22" i="8" s="1"/>
  <c r="N22" i="8" s="1"/>
  <c r="F10" i="48"/>
  <c r="H10" i="48" s="1"/>
  <c r="L26" i="8"/>
  <c r="N26" i="8" s="1"/>
  <c r="K20" i="8"/>
  <c r="E7" i="8" s="1"/>
  <c r="F11" i="48"/>
  <c r="H11" i="48" s="1"/>
  <c r="B8" i="78"/>
  <c r="B8" i="73"/>
  <c r="O10" i="48"/>
  <c r="Q10" i="48" s="1"/>
  <c r="C11" i="48"/>
  <c r="E11" i="48" s="1"/>
  <c r="K6" i="8"/>
  <c r="K7" i="8"/>
  <c r="I9" i="8"/>
  <c r="J9" i="8" s="1"/>
  <c r="K8" i="8"/>
  <c r="O11" i="48"/>
  <c r="AB34" i="82"/>
  <c r="AA34" i="82"/>
  <c r="AD34" i="82" s="1"/>
  <c r="AC35" i="82"/>
  <c r="AA35" i="82"/>
  <c r="AD35" i="82" s="1"/>
  <c r="AC30" i="82"/>
  <c r="AB29" i="82"/>
  <c r="AA29" i="82"/>
  <c r="AD29" i="82" s="1"/>
  <c r="AA30" i="82"/>
  <c r="AD30" i="82" s="1"/>
  <c r="B9" i="82"/>
  <c r="L10" i="48"/>
  <c r="AB34" i="81"/>
  <c r="AA34" i="81"/>
  <c r="AD34" i="81" s="1"/>
  <c r="AC35" i="81"/>
  <c r="AA35" i="81"/>
  <c r="AD35" i="81" s="1"/>
  <c r="AC30" i="81"/>
  <c r="AB29" i="81"/>
  <c r="AA29" i="81"/>
  <c r="AD29" i="81" s="1"/>
  <c r="AA30" i="81"/>
  <c r="AD30" i="81" s="1"/>
  <c r="B9" i="81"/>
  <c r="AB34" i="78"/>
  <c r="AA34" i="78"/>
  <c r="AD34" i="78" s="1"/>
  <c r="AC35" i="78"/>
  <c r="AA35" i="78"/>
  <c r="AD35" i="78" s="1"/>
  <c r="AB29" i="78"/>
  <c r="AA29" i="78"/>
  <c r="AD29" i="78" s="1"/>
  <c r="AC30" i="78"/>
  <c r="AA30" i="78"/>
  <c r="AD30" i="78" s="1"/>
  <c r="B9" i="78"/>
  <c r="AA30" i="73"/>
  <c r="AD30" i="73" s="1"/>
  <c r="AB29" i="73"/>
  <c r="AB34" i="73"/>
  <c r="AA34" i="73"/>
  <c r="AD34" i="73" s="1"/>
  <c r="AC35" i="73"/>
  <c r="AD35" i="73"/>
  <c r="AC30" i="73"/>
  <c r="B9" i="73"/>
  <c r="Y10" i="59"/>
  <c r="Y7" i="59"/>
  <c r="AA25" i="59"/>
  <c r="AD25" i="59" s="1"/>
  <c r="AA24" i="59"/>
  <c r="AD24" i="59" s="1"/>
  <c r="AA48" i="59"/>
  <c r="T9" i="48" l="1"/>
  <c r="X9" i="48" s="1"/>
  <c r="Y9" i="48" s="1"/>
  <c r="R10" i="48"/>
  <c r="C7" i="82"/>
  <c r="C8" i="82"/>
  <c r="C9" i="82"/>
  <c r="D7" i="82"/>
  <c r="D8" i="82"/>
  <c r="D9" i="82"/>
  <c r="B13" i="48"/>
  <c r="V12" i="48"/>
  <c r="U12" i="48" s="1"/>
  <c r="W12" i="48" s="1"/>
  <c r="J12" i="48"/>
  <c r="I12" i="48" s="1"/>
  <c r="K12" i="48" s="1"/>
  <c r="P12" i="48"/>
  <c r="G12" i="48"/>
  <c r="D12" i="48"/>
  <c r="C12" i="48" s="1"/>
  <c r="E12" i="48" s="1"/>
  <c r="S12" i="48"/>
  <c r="M12" i="48"/>
  <c r="N10" i="48"/>
  <c r="L11" i="48"/>
  <c r="AA17" i="59"/>
  <c r="Z34" i="59"/>
  <c r="Z30" i="59"/>
  <c r="Z29" i="59"/>
  <c r="L21" i="8"/>
  <c r="N21" i="8" s="1"/>
  <c r="L23" i="8"/>
  <c r="N23" i="8" s="1"/>
  <c r="L24" i="8"/>
  <c r="N24" i="8" s="1"/>
  <c r="L25" i="8"/>
  <c r="N25" i="8" s="1"/>
  <c r="L20" i="8"/>
  <c r="N20" i="8" s="1"/>
  <c r="F12" i="48"/>
  <c r="I10" i="8"/>
  <c r="J10" i="8" s="1"/>
  <c r="K9" i="8"/>
  <c r="O12" i="48"/>
  <c r="Q11" i="48"/>
  <c r="AC34" i="82"/>
  <c r="B10" i="82"/>
  <c r="AC29" i="82"/>
  <c r="AC34" i="81"/>
  <c r="B10" i="81"/>
  <c r="AC29" i="81"/>
  <c r="AB18" i="59"/>
  <c r="B10" i="78"/>
  <c r="AC29" i="78"/>
  <c r="AC34" i="78"/>
  <c r="AC34" i="73"/>
  <c r="B10" i="73"/>
  <c r="AC29" i="73"/>
  <c r="AB19" i="59"/>
  <c r="AC19" i="59"/>
  <c r="C8" i="53"/>
  <c r="AC30" i="59"/>
  <c r="Z35" i="59"/>
  <c r="AA35" i="59" s="1"/>
  <c r="AD35" i="59" s="1"/>
  <c r="AC25" i="59"/>
  <c r="AC24" i="59"/>
  <c r="C10" i="82" l="1"/>
  <c r="D10" i="82"/>
  <c r="R11" i="48"/>
  <c r="T10" i="48"/>
  <c r="X10" i="48" s="1"/>
  <c r="Y10" i="48" s="1"/>
  <c r="E7" i="82"/>
  <c r="E8" i="82"/>
  <c r="E9" i="82"/>
  <c r="E10" i="82"/>
  <c r="V13" i="48"/>
  <c r="U13" i="48" s="1"/>
  <c r="W13" i="48" s="1"/>
  <c r="J13" i="48"/>
  <c r="I13" i="48" s="1"/>
  <c r="K13" i="48" s="1"/>
  <c r="P13" i="48"/>
  <c r="G13" i="48"/>
  <c r="D13" i="48"/>
  <c r="C13" i="48" s="1"/>
  <c r="E13" i="48" s="1"/>
  <c r="S13" i="48"/>
  <c r="M13" i="48"/>
  <c r="N11" i="48"/>
  <c r="L12" i="48"/>
  <c r="H12" i="48"/>
  <c r="F13" i="48"/>
  <c r="H13" i="48" s="1"/>
  <c r="G8" i="81"/>
  <c r="C8" i="81"/>
  <c r="I8" i="81" s="1"/>
  <c r="F8" i="81"/>
  <c r="G8" i="82"/>
  <c r="I8" i="82"/>
  <c r="F8" i="82"/>
  <c r="E7" i="78"/>
  <c r="H7" i="78"/>
  <c r="D7" i="78"/>
  <c r="G7" i="73"/>
  <c r="C7" i="73"/>
  <c r="I7" i="73" s="1"/>
  <c r="F7" i="73"/>
  <c r="G7" i="81"/>
  <c r="C7" i="81"/>
  <c r="I7" i="81" s="1"/>
  <c r="F7" i="81"/>
  <c r="H7" i="82"/>
  <c r="G7" i="82"/>
  <c r="F7" i="82"/>
  <c r="F7" i="59"/>
  <c r="E8" i="81"/>
  <c r="H8" i="81"/>
  <c r="D8" i="81"/>
  <c r="H8" i="82"/>
  <c r="G7" i="78"/>
  <c r="C7" i="78"/>
  <c r="I7" i="78" s="1"/>
  <c r="F7" i="78"/>
  <c r="E7" i="73"/>
  <c r="H7" i="73"/>
  <c r="D7" i="73"/>
  <c r="E7" i="81"/>
  <c r="H7" i="81"/>
  <c r="D7" i="81"/>
  <c r="I7" i="82"/>
  <c r="D8" i="78"/>
  <c r="H8" i="78"/>
  <c r="E8" i="78"/>
  <c r="F9" i="81"/>
  <c r="C9" i="81"/>
  <c r="G9" i="81"/>
  <c r="F9" i="78"/>
  <c r="C9" i="78"/>
  <c r="G9" i="78"/>
  <c r="F9" i="73"/>
  <c r="E9" i="73"/>
  <c r="L9" i="73" s="1"/>
  <c r="H9" i="73"/>
  <c r="F9" i="82"/>
  <c r="G9" i="82"/>
  <c r="F8" i="73"/>
  <c r="C8" i="73"/>
  <c r="I8" i="73" s="1"/>
  <c r="G8" i="73"/>
  <c r="F8" i="78"/>
  <c r="C8" i="78"/>
  <c r="I8" i="78" s="1"/>
  <c r="G8" i="78"/>
  <c r="D9" i="81"/>
  <c r="H9" i="81"/>
  <c r="E9" i="81"/>
  <c r="L9" i="81" s="1"/>
  <c r="D9" i="78"/>
  <c r="H9" i="78"/>
  <c r="E9" i="78"/>
  <c r="D9" i="73"/>
  <c r="C9" i="73"/>
  <c r="G9" i="73"/>
  <c r="H9" i="82"/>
  <c r="L9" i="82"/>
  <c r="D8" i="73"/>
  <c r="H8" i="73"/>
  <c r="E8" i="73"/>
  <c r="G10" i="78"/>
  <c r="E10" i="78"/>
  <c r="C10" i="78"/>
  <c r="H10" i="78"/>
  <c r="F10" i="78"/>
  <c r="D10" i="78"/>
  <c r="H10" i="73"/>
  <c r="F10" i="73"/>
  <c r="D10" i="73"/>
  <c r="E10" i="73"/>
  <c r="G10" i="73"/>
  <c r="C10" i="73"/>
  <c r="G10" i="81"/>
  <c r="E10" i="81"/>
  <c r="C10" i="81"/>
  <c r="H10" i="81"/>
  <c r="F10" i="81"/>
  <c r="D10" i="81"/>
  <c r="G10" i="82"/>
  <c r="T10" i="82" s="1"/>
  <c r="H10" i="82"/>
  <c r="F10" i="82"/>
  <c r="O10" i="82" s="1"/>
  <c r="AA30" i="59"/>
  <c r="AD30" i="59" s="1"/>
  <c r="A9" i="73"/>
  <c r="A9" i="78"/>
  <c r="A7" i="81"/>
  <c r="A9" i="81"/>
  <c r="A7" i="82"/>
  <c r="A9" i="82"/>
  <c r="A7" i="78"/>
  <c r="A7" i="73"/>
  <c r="I11" i="8"/>
  <c r="J11" i="8" s="1"/>
  <c r="J12" i="8" s="1"/>
  <c r="K10" i="8"/>
  <c r="O13" i="48"/>
  <c r="Q13" i="48" s="1"/>
  <c r="Q12" i="48"/>
  <c r="N7" i="82"/>
  <c r="J7" i="82"/>
  <c r="R10" i="82"/>
  <c r="R9" i="82"/>
  <c r="R8" i="82"/>
  <c r="R7" i="82"/>
  <c r="T7" i="82"/>
  <c r="S7" i="82"/>
  <c r="P7" i="82"/>
  <c r="T8" i="82"/>
  <c r="S8" i="82"/>
  <c r="P8" i="82"/>
  <c r="T9" i="82"/>
  <c r="S9" i="82"/>
  <c r="P9" i="82"/>
  <c r="O7" i="82"/>
  <c r="O8" i="82"/>
  <c r="O9" i="82"/>
  <c r="K9" i="82"/>
  <c r="I9" i="82"/>
  <c r="N9" i="82"/>
  <c r="M9" i="82"/>
  <c r="J9" i="82"/>
  <c r="B11" i="82"/>
  <c r="L10" i="82"/>
  <c r="N7" i="81"/>
  <c r="J7" i="81"/>
  <c r="R10" i="81"/>
  <c r="R9" i="81"/>
  <c r="R8" i="81"/>
  <c r="R7" i="81"/>
  <c r="T7" i="81"/>
  <c r="S7" i="81"/>
  <c r="P7" i="81"/>
  <c r="T8" i="81"/>
  <c r="S8" i="81"/>
  <c r="P8" i="81"/>
  <c r="T9" i="81"/>
  <c r="S9" i="81"/>
  <c r="P9" i="81"/>
  <c r="T10" i="81"/>
  <c r="S10" i="81"/>
  <c r="P10" i="81"/>
  <c r="O7" i="81"/>
  <c r="O8" i="81"/>
  <c r="O9" i="81"/>
  <c r="O10" i="81"/>
  <c r="K9" i="81"/>
  <c r="I9" i="81"/>
  <c r="N9" i="81"/>
  <c r="M9" i="81"/>
  <c r="J9" i="81"/>
  <c r="B11" i="81"/>
  <c r="L10" i="81"/>
  <c r="A10" i="81"/>
  <c r="L7" i="78"/>
  <c r="L9" i="78"/>
  <c r="N7" i="78"/>
  <c r="M7" i="78"/>
  <c r="J7" i="78"/>
  <c r="K7" i="78"/>
  <c r="R10" i="78"/>
  <c r="R9" i="78"/>
  <c r="R8" i="78"/>
  <c r="R7" i="78"/>
  <c r="T7" i="78"/>
  <c r="S7" i="78"/>
  <c r="P7" i="78"/>
  <c r="T8" i="78"/>
  <c r="S8" i="78"/>
  <c r="P8" i="78"/>
  <c r="T9" i="78"/>
  <c r="S9" i="78"/>
  <c r="P9" i="78"/>
  <c r="T10" i="78"/>
  <c r="S10" i="78"/>
  <c r="P10" i="78"/>
  <c r="O7" i="78"/>
  <c r="O8" i="78"/>
  <c r="O9" i="78"/>
  <c r="O10" i="78"/>
  <c r="I9" i="78"/>
  <c r="N9" i="78"/>
  <c r="J9" i="78"/>
  <c r="B11" i="78"/>
  <c r="L10" i="78"/>
  <c r="A10" i="78"/>
  <c r="N7" i="73"/>
  <c r="J7" i="73"/>
  <c r="R10" i="73"/>
  <c r="R9" i="73"/>
  <c r="R8" i="73"/>
  <c r="R7" i="73"/>
  <c r="T7" i="73"/>
  <c r="P7" i="73"/>
  <c r="T8" i="73"/>
  <c r="P8" i="73"/>
  <c r="T9" i="73"/>
  <c r="S9" i="73"/>
  <c r="P9" i="73"/>
  <c r="T10" i="73"/>
  <c r="P10" i="73"/>
  <c r="O7" i="73"/>
  <c r="Q8" i="73"/>
  <c r="O8" i="73"/>
  <c r="O9" i="73"/>
  <c r="O10" i="73"/>
  <c r="K9" i="73"/>
  <c r="I9" i="73"/>
  <c r="N9" i="73"/>
  <c r="M9" i="73"/>
  <c r="J9" i="73"/>
  <c r="B11" i="73"/>
  <c r="L10" i="73"/>
  <c r="A10" i="73"/>
  <c r="AA52" i="59"/>
  <c r="AC18" i="59"/>
  <c r="AA53" i="59" s="1"/>
  <c r="AC35" i="59"/>
  <c r="C7" i="59" s="1"/>
  <c r="AB29" i="59"/>
  <c r="G7" i="59" s="1"/>
  <c r="AA29" i="59"/>
  <c r="AD29" i="59" s="1"/>
  <c r="AB34" i="59"/>
  <c r="D7" i="59" s="1"/>
  <c r="AA34" i="59"/>
  <c r="AD34" i="59" s="1"/>
  <c r="C11" i="82" l="1"/>
  <c r="D11" i="82"/>
  <c r="E11" i="82"/>
  <c r="R12" i="48"/>
  <c r="T11" i="48"/>
  <c r="X11" i="48" s="1"/>
  <c r="Y11" i="48" s="1"/>
  <c r="N12" i="48"/>
  <c r="L13" i="48"/>
  <c r="N13" i="48" s="1"/>
  <c r="A8" i="78"/>
  <c r="J8" i="73"/>
  <c r="N8" i="73"/>
  <c r="J8" i="81"/>
  <c r="N8" i="81"/>
  <c r="A8" i="82"/>
  <c r="A8" i="73"/>
  <c r="J8" i="78"/>
  <c r="N8" i="78"/>
  <c r="N8" i="82"/>
  <c r="J8" i="82"/>
  <c r="A8" i="81"/>
  <c r="S10" i="82"/>
  <c r="A10" i="82"/>
  <c r="P10" i="82"/>
  <c r="H11" i="73"/>
  <c r="F11" i="73"/>
  <c r="D11" i="73"/>
  <c r="G11" i="73"/>
  <c r="C11" i="73"/>
  <c r="E11" i="73"/>
  <c r="G11" i="78"/>
  <c r="E11" i="78"/>
  <c r="C11" i="78"/>
  <c r="H11" i="78"/>
  <c r="F11" i="78"/>
  <c r="D11" i="78"/>
  <c r="G11" i="81"/>
  <c r="E11" i="81"/>
  <c r="C11" i="81"/>
  <c r="H11" i="81"/>
  <c r="F11" i="81"/>
  <c r="D11" i="81"/>
  <c r="G11" i="82"/>
  <c r="H11" i="82"/>
  <c r="F11" i="82"/>
  <c r="C7" i="8"/>
  <c r="D7" i="8" s="1"/>
  <c r="Q10" i="73"/>
  <c r="Q9" i="82"/>
  <c r="S10" i="73"/>
  <c r="S8" i="73"/>
  <c r="S7" i="73"/>
  <c r="Q10" i="81"/>
  <c r="Q10" i="78"/>
  <c r="Q9" i="73"/>
  <c r="Q7" i="73"/>
  <c r="Q8" i="78"/>
  <c r="Q8" i="81"/>
  <c r="Q10" i="82"/>
  <c r="Q8" i="82"/>
  <c r="Q9" i="78"/>
  <c r="Q7" i="78"/>
  <c r="Q9" i="81"/>
  <c r="U9" i="81" s="1"/>
  <c r="V9" i="81" s="1"/>
  <c r="Q7" i="81"/>
  <c r="Q7" i="82"/>
  <c r="M9" i="78"/>
  <c r="K9" i="78"/>
  <c r="K11" i="8"/>
  <c r="L8" i="82"/>
  <c r="K8" i="82"/>
  <c r="M8" i="82"/>
  <c r="L7" i="82"/>
  <c r="K7" i="82"/>
  <c r="M7" i="82"/>
  <c r="K10" i="82"/>
  <c r="I10" i="82"/>
  <c r="N10" i="82"/>
  <c r="M10" i="82"/>
  <c r="J10" i="82"/>
  <c r="B12" i="82"/>
  <c r="L11" i="82"/>
  <c r="R11" i="82"/>
  <c r="U9" i="82"/>
  <c r="V9" i="82" s="1"/>
  <c r="L8" i="81"/>
  <c r="K8" i="81"/>
  <c r="M8" i="81"/>
  <c r="L7" i="81"/>
  <c r="K7" i="81"/>
  <c r="M7" i="81"/>
  <c r="K10" i="81"/>
  <c r="I10" i="81"/>
  <c r="N10" i="81"/>
  <c r="M10" i="81"/>
  <c r="J10" i="81"/>
  <c r="B12" i="81"/>
  <c r="L11" i="81"/>
  <c r="R11" i="81"/>
  <c r="K10" i="78"/>
  <c r="I10" i="78"/>
  <c r="N10" i="78"/>
  <c r="M10" i="78"/>
  <c r="J10" i="78"/>
  <c r="B12" i="78"/>
  <c r="L11" i="78"/>
  <c r="R11" i="78"/>
  <c r="U7" i="78"/>
  <c r="L8" i="78"/>
  <c r="K8" i="78"/>
  <c r="M8" i="78"/>
  <c r="L8" i="73"/>
  <c r="K8" i="73"/>
  <c r="M8" i="73"/>
  <c r="L7" i="73"/>
  <c r="K7" i="73"/>
  <c r="M7" i="73"/>
  <c r="K10" i="73"/>
  <c r="I10" i="73"/>
  <c r="N10" i="73"/>
  <c r="M10" i="73"/>
  <c r="J10" i="73"/>
  <c r="B12" i="73"/>
  <c r="L11" i="73"/>
  <c r="R11" i="73"/>
  <c r="U9" i="73"/>
  <c r="V9" i="73" s="1"/>
  <c r="O7" i="59"/>
  <c r="AC34" i="59"/>
  <c r="E7" i="59" s="1"/>
  <c r="N7" i="59"/>
  <c r="AC29" i="59"/>
  <c r="H7" i="59" s="1"/>
  <c r="A7" i="59"/>
  <c r="C12" i="82" l="1"/>
  <c r="D12" i="82"/>
  <c r="E12" i="82"/>
  <c r="R13" i="48"/>
  <c r="T13" i="48" s="1"/>
  <c r="X13" i="48" s="1"/>
  <c r="T12" i="48"/>
  <c r="X12" i="48" s="1"/>
  <c r="Y12" i="48" s="1"/>
  <c r="Y13" i="48"/>
  <c r="G12" i="82"/>
  <c r="H12" i="82"/>
  <c r="F12" i="82"/>
  <c r="H12" i="73"/>
  <c r="F12" i="73"/>
  <c r="D12" i="73"/>
  <c r="E12" i="73"/>
  <c r="G12" i="73"/>
  <c r="C12" i="73"/>
  <c r="G12" i="78"/>
  <c r="E12" i="78"/>
  <c r="C12" i="78"/>
  <c r="H12" i="78"/>
  <c r="R12" i="78" s="1"/>
  <c r="F12" i="78"/>
  <c r="D12" i="78"/>
  <c r="G12" i="81"/>
  <c r="E12" i="81"/>
  <c r="C12" i="81"/>
  <c r="H12" i="81"/>
  <c r="R12" i="81" s="1"/>
  <c r="F12" i="81"/>
  <c r="D12" i="81"/>
  <c r="U7" i="82"/>
  <c r="U9" i="78"/>
  <c r="V9" i="78" s="1"/>
  <c r="U7" i="81"/>
  <c r="A11" i="73"/>
  <c r="U7" i="73"/>
  <c r="V7" i="73" s="1"/>
  <c r="A11" i="78"/>
  <c r="A11" i="81"/>
  <c r="A11" i="82"/>
  <c r="U8" i="82"/>
  <c r="V7" i="82"/>
  <c r="T11" i="82"/>
  <c r="S11" i="82"/>
  <c r="P11" i="82"/>
  <c r="Q11" i="82"/>
  <c r="O11" i="82"/>
  <c r="K11" i="82"/>
  <c r="I11" i="82"/>
  <c r="N11" i="82"/>
  <c r="M11" i="82"/>
  <c r="J11" i="82"/>
  <c r="B13" i="82"/>
  <c r="L12" i="82"/>
  <c r="R12" i="82"/>
  <c r="U10" i="82"/>
  <c r="U8" i="81"/>
  <c r="V7" i="81"/>
  <c r="T11" i="81"/>
  <c r="S11" i="81"/>
  <c r="P11" i="81"/>
  <c r="Q11" i="81"/>
  <c r="O11" i="81"/>
  <c r="K11" i="81"/>
  <c r="I11" i="81"/>
  <c r="N11" i="81"/>
  <c r="M11" i="81"/>
  <c r="J11" i="81"/>
  <c r="B13" i="81"/>
  <c r="L12" i="81"/>
  <c r="U10" i="81"/>
  <c r="U8" i="78"/>
  <c r="V7" i="78"/>
  <c r="T11" i="78"/>
  <c r="S11" i="78"/>
  <c r="P11" i="78"/>
  <c r="Q11" i="78"/>
  <c r="O11" i="78"/>
  <c r="K11" i="78"/>
  <c r="I11" i="78"/>
  <c r="N11" i="78"/>
  <c r="M11" i="78"/>
  <c r="J11" i="78"/>
  <c r="B13" i="78"/>
  <c r="L12" i="78"/>
  <c r="U10" i="78"/>
  <c r="U8" i="73"/>
  <c r="T11" i="73"/>
  <c r="S11" i="73"/>
  <c r="P11" i="73"/>
  <c r="Q11" i="73"/>
  <c r="O11" i="73"/>
  <c r="K11" i="73"/>
  <c r="I11" i="73"/>
  <c r="N11" i="73"/>
  <c r="M11" i="73"/>
  <c r="J11" i="73"/>
  <c r="B13" i="73"/>
  <c r="L12" i="73"/>
  <c r="R12" i="73"/>
  <c r="U10" i="73"/>
  <c r="T7" i="59"/>
  <c r="I7" i="59"/>
  <c r="R7" i="59"/>
  <c r="L7" i="59"/>
  <c r="C13" i="82" l="1"/>
  <c r="D13" i="82"/>
  <c r="E13" i="82"/>
  <c r="H13" i="73"/>
  <c r="F13" i="73"/>
  <c r="D13" i="73"/>
  <c r="G13" i="73"/>
  <c r="C13" i="73"/>
  <c r="E13" i="73"/>
  <c r="G13" i="78"/>
  <c r="E13" i="78"/>
  <c r="C13" i="78"/>
  <c r="H13" i="78"/>
  <c r="F13" i="78"/>
  <c r="D13" i="78"/>
  <c r="G13" i="81"/>
  <c r="E13" i="81"/>
  <c r="C13" i="81"/>
  <c r="H13" i="81"/>
  <c r="F13" i="81"/>
  <c r="D13" i="81"/>
  <c r="G13" i="82"/>
  <c r="L13" i="82"/>
  <c r="H13" i="82"/>
  <c r="F13" i="82"/>
  <c r="A12" i="73"/>
  <c r="A12" i="78"/>
  <c r="A12" i="81"/>
  <c r="A12" i="82"/>
  <c r="V8" i="73"/>
  <c r="V8" i="78"/>
  <c r="V8" i="81"/>
  <c r="V8" i="82"/>
  <c r="V10" i="82"/>
  <c r="T12" i="82"/>
  <c r="S12" i="82"/>
  <c r="P12" i="82"/>
  <c r="Q12" i="82"/>
  <c r="O12" i="82"/>
  <c r="K12" i="82"/>
  <c r="I12" i="82"/>
  <c r="N12" i="82"/>
  <c r="M12" i="82"/>
  <c r="J12" i="82"/>
  <c r="B14" i="82"/>
  <c r="R13" i="82"/>
  <c r="U11" i="82"/>
  <c r="V10" i="81"/>
  <c r="T12" i="81"/>
  <c r="S12" i="81"/>
  <c r="P12" i="81"/>
  <c r="Q12" i="81"/>
  <c r="O12" i="81"/>
  <c r="K12" i="81"/>
  <c r="I12" i="81"/>
  <c r="N12" i="81"/>
  <c r="M12" i="81"/>
  <c r="J12" i="81"/>
  <c r="B14" i="81"/>
  <c r="L13" i="81"/>
  <c r="R13" i="81"/>
  <c r="U11" i="81"/>
  <c r="V10" i="78"/>
  <c r="T12" i="78"/>
  <c r="S12" i="78"/>
  <c r="P12" i="78"/>
  <c r="Q12" i="78"/>
  <c r="O12" i="78"/>
  <c r="K12" i="78"/>
  <c r="I12" i="78"/>
  <c r="N12" i="78"/>
  <c r="M12" i="78"/>
  <c r="J12" i="78"/>
  <c r="B14" i="78"/>
  <c r="L13" i="78"/>
  <c r="R13" i="78"/>
  <c r="U11" i="78"/>
  <c r="V10" i="73"/>
  <c r="T12" i="73"/>
  <c r="S12" i="73"/>
  <c r="P12" i="73"/>
  <c r="Q12" i="73"/>
  <c r="O12" i="73"/>
  <c r="K12" i="73"/>
  <c r="I12" i="73"/>
  <c r="N12" i="73"/>
  <c r="M12" i="73"/>
  <c r="J12" i="73"/>
  <c r="B14" i="73"/>
  <c r="L13" i="73"/>
  <c r="R13" i="73"/>
  <c r="U11" i="73"/>
  <c r="Q7" i="59"/>
  <c r="K7" i="59"/>
  <c r="S7" i="59"/>
  <c r="M7" i="59"/>
  <c r="C14" i="82" l="1"/>
  <c r="D14" i="82"/>
  <c r="E14" i="82"/>
  <c r="H14" i="73"/>
  <c r="F14" i="73"/>
  <c r="D14" i="73"/>
  <c r="E14" i="73"/>
  <c r="G14" i="73"/>
  <c r="C14" i="73"/>
  <c r="G14" i="82"/>
  <c r="L14" i="82"/>
  <c r="H14" i="82"/>
  <c r="F14" i="82"/>
  <c r="G14" i="78"/>
  <c r="E14" i="78"/>
  <c r="L14" i="78" s="1"/>
  <c r="C14" i="78"/>
  <c r="H14" i="78"/>
  <c r="R14" i="78" s="1"/>
  <c r="F14" i="78"/>
  <c r="D14" i="78"/>
  <c r="G14" i="81"/>
  <c r="E14" i="81"/>
  <c r="C14" i="81"/>
  <c r="H14" i="81"/>
  <c r="R14" i="81" s="1"/>
  <c r="F14" i="81"/>
  <c r="D14" i="81"/>
  <c r="A13" i="73"/>
  <c r="A13" i="78"/>
  <c r="A13" i="81"/>
  <c r="A13" i="82"/>
  <c r="V11" i="82"/>
  <c r="T13" i="82"/>
  <c r="S13" i="82"/>
  <c r="P13" i="82"/>
  <c r="Q13" i="82"/>
  <c r="O13" i="82"/>
  <c r="K13" i="82"/>
  <c r="I13" i="82"/>
  <c r="N13" i="82"/>
  <c r="M13" i="82"/>
  <c r="J13" i="82"/>
  <c r="B15" i="82"/>
  <c r="R14" i="82"/>
  <c r="U12" i="82"/>
  <c r="V11" i="81"/>
  <c r="T13" i="81"/>
  <c r="S13" i="81"/>
  <c r="P13" i="81"/>
  <c r="Q13" i="81"/>
  <c r="O13" i="81"/>
  <c r="K13" i="81"/>
  <c r="I13" i="81"/>
  <c r="N13" i="81"/>
  <c r="M13" i="81"/>
  <c r="J13" i="81"/>
  <c r="B15" i="81"/>
  <c r="L14" i="81"/>
  <c r="U12" i="81"/>
  <c r="V11" i="78"/>
  <c r="T13" i="78"/>
  <c r="S13" i="78"/>
  <c r="P13" i="78"/>
  <c r="Q13" i="78"/>
  <c r="O13" i="78"/>
  <c r="K13" i="78"/>
  <c r="I13" i="78"/>
  <c r="N13" i="78"/>
  <c r="M13" i="78"/>
  <c r="J13" i="78"/>
  <c r="B15" i="78"/>
  <c r="U12" i="78"/>
  <c r="V11" i="73"/>
  <c r="T13" i="73"/>
  <c r="S13" i="73"/>
  <c r="P13" i="73"/>
  <c r="Q13" i="73"/>
  <c r="O13" i="73"/>
  <c r="K13" i="73"/>
  <c r="I13" i="73"/>
  <c r="N13" i="73"/>
  <c r="M13" i="73"/>
  <c r="J13" i="73"/>
  <c r="B15" i="73"/>
  <c r="L14" i="73"/>
  <c r="R14" i="73"/>
  <c r="U12" i="73"/>
  <c r="C15" i="82" l="1"/>
  <c r="D15" i="82"/>
  <c r="E15" i="82"/>
  <c r="H15" i="73"/>
  <c r="R15" i="73" s="1"/>
  <c r="F15" i="73"/>
  <c r="D15" i="73"/>
  <c r="G15" i="73"/>
  <c r="C15" i="73"/>
  <c r="E15" i="73"/>
  <c r="G15" i="82"/>
  <c r="H15" i="82"/>
  <c r="F15" i="82"/>
  <c r="G15" i="78"/>
  <c r="E15" i="78"/>
  <c r="C15" i="78"/>
  <c r="H15" i="78"/>
  <c r="F15" i="78"/>
  <c r="D15" i="78"/>
  <c r="G15" i="81"/>
  <c r="E15" i="81"/>
  <c r="L15" i="81" s="1"/>
  <c r="C15" i="81"/>
  <c r="H15" i="81"/>
  <c r="F15" i="81"/>
  <c r="D15" i="81"/>
  <c r="A14" i="82"/>
  <c r="A14" i="73"/>
  <c r="A14" i="78"/>
  <c r="A14" i="81"/>
  <c r="V12" i="82"/>
  <c r="T14" i="82"/>
  <c r="S14" i="82"/>
  <c r="P14" i="82"/>
  <c r="Q14" i="82"/>
  <c r="O14" i="82"/>
  <c r="K14" i="82"/>
  <c r="I14" i="82"/>
  <c r="N14" i="82"/>
  <c r="M14" i="82"/>
  <c r="J14" i="82"/>
  <c r="B16" i="82"/>
  <c r="L15" i="82"/>
  <c r="R15" i="82"/>
  <c r="U13" i="82"/>
  <c r="V12" i="81"/>
  <c r="T14" i="81"/>
  <c r="S14" i="81"/>
  <c r="P14" i="81"/>
  <c r="Q14" i="81"/>
  <c r="O14" i="81"/>
  <c r="K14" i="81"/>
  <c r="I14" i="81"/>
  <c r="N14" i="81"/>
  <c r="M14" i="81"/>
  <c r="J14" i="81"/>
  <c r="B16" i="81"/>
  <c r="R15" i="81"/>
  <c r="U13" i="81"/>
  <c r="V12" i="78"/>
  <c r="T14" i="78"/>
  <c r="S14" i="78"/>
  <c r="P14" i="78"/>
  <c r="Q14" i="78"/>
  <c r="O14" i="78"/>
  <c r="K14" i="78"/>
  <c r="I14" i="78"/>
  <c r="N14" i="78"/>
  <c r="M14" i="78"/>
  <c r="J14" i="78"/>
  <c r="B16" i="78"/>
  <c r="L15" i="78"/>
  <c r="R15" i="78"/>
  <c r="U13" i="78"/>
  <c r="V12" i="73"/>
  <c r="T14" i="73"/>
  <c r="S14" i="73"/>
  <c r="P14" i="73"/>
  <c r="Q14" i="73"/>
  <c r="O14" i="73"/>
  <c r="K14" i="73"/>
  <c r="I14" i="73"/>
  <c r="N14" i="73"/>
  <c r="M14" i="73"/>
  <c r="J14" i="73"/>
  <c r="B16" i="73"/>
  <c r="L15" i="73"/>
  <c r="U13" i="73"/>
  <c r="C16" i="82" l="1"/>
  <c r="D16" i="82"/>
  <c r="E16" i="82"/>
  <c r="G16" i="78"/>
  <c r="E16" i="78"/>
  <c r="C16" i="78"/>
  <c r="H16" i="78"/>
  <c r="F16" i="78"/>
  <c r="D16" i="78"/>
  <c r="G16" i="81"/>
  <c r="E16" i="81"/>
  <c r="C16" i="81"/>
  <c r="H16" i="81"/>
  <c r="R16" i="81" s="1"/>
  <c r="F16" i="81"/>
  <c r="D16" i="81"/>
  <c r="H16" i="73"/>
  <c r="F16" i="73"/>
  <c r="D16" i="73"/>
  <c r="E16" i="73"/>
  <c r="G16" i="73"/>
  <c r="C16" i="73"/>
  <c r="G16" i="82"/>
  <c r="H16" i="82"/>
  <c r="R16" i="82" s="1"/>
  <c r="F16" i="82"/>
  <c r="A15" i="82"/>
  <c r="A15" i="73"/>
  <c r="A15" i="78"/>
  <c r="A15" i="81"/>
  <c r="K12" i="8"/>
  <c r="V13" i="82"/>
  <c r="T15" i="82"/>
  <c r="S15" i="82"/>
  <c r="P15" i="82"/>
  <c r="Q15" i="82"/>
  <c r="O15" i="82"/>
  <c r="K15" i="82"/>
  <c r="I15" i="82"/>
  <c r="N15" i="82"/>
  <c r="M15" i="82"/>
  <c r="J15" i="82"/>
  <c r="B17" i="82"/>
  <c r="L16" i="82"/>
  <c r="U14" i="82"/>
  <c r="V13" i="81"/>
  <c r="T15" i="81"/>
  <c r="S15" i="81"/>
  <c r="P15" i="81"/>
  <c r="Q15" i="81"/>
  <c r="O15" i="81"/>
  <c r="K15" i="81"/>
  <c r="I15" i="81"/>
  <c r="N15" i="81"/>
  <c r="M15" i="81"/>
  <c r="J15" i="81"/>
  <c r="B17" i="81"/>
  <c r="L16" i="81"/>
  <c r="U14" i="81"/>
  <c r="V13" i="78"/>
  <c r="T15" i="78"/>
  <c r="S15" i="78"/>
  <c r="P15" i="78"/>
  <c r="Q15" i="78"/>
  <c r="O15" i="78"/>
  <c r="K15" i="78"/>
  <c r="I15" i="78"/>
  <c r="N15" i="78"/>
  <c r="M15" i="78"/>
  <c r="J15" i="78"/>
  <c r="B17" i="78"/>
  <c r="L16" i="78"/>
  <c r="R16" i="78"/>
  <c r="U14" i="78"/>
  <c r="V13" i="73"/>
  <c r="T15" i="73"/>
  <c r="S15" i="73"/>
  <c r="P15" i="73"/>
  <c r="Q15" i="73"/>
  <c r="O15" i="73"/>
  <c r="K15" i="73"/>
  <c r="I15" i="73"/>
  <c r="N15" i="73"/>
  <c r="M15" i="73"/>
  <c r="J15" i="73"/>
  <c r="B17" i="73"/>
  <c r="L16" i="73"/>
  <c r="R16" i="73"/>
  <c r="U14" i="73"/>
  <c r="C17" i="82" l="1"/>
  <c r="D17" i="82"/>
  <c r="E17" i="82"/>
  <c r="G17" i="78"/>
  <c r="E17" i="78"/>
  <c r="C17" i="78"/>
  <c r="H17" i="78"/>
  <c r="F17" i="78"/>
  <c r="D17" i="78"/>
  <c r="G17" i="81"/>
  <c r="E17" i="81"/>
  <c r="C17" i="81"/>
  <c r="H17" i="81"/>
  <c r="F17" i="81"/>
  <c r="D17" i="81"/>
  <c r="H17" i="73"/>
  <c r="F17" i="73"/>
  <c r="D17" i="73"/>
  <c r="G17" i="73"/>
  <c r="C17" i="73"/>
  <c r="E17" i="73"/>
  <c r="G17" i="82"/>
  <c r="L17" i="82"/>
  <c r="H17" i="82"/>
  <c r="R17" i="82" s="1"/>
  <c r="F17" i="82"/>
  <c r="A16" i="73"/>
  <c r="A16" i="78"/>
  <c r="A16" i="81"/>
  <c r="A16" i="82"/>
  <c r="V14" i="82"/>
  <c r="T16" i="82"/>
  <c r="S16" i="82"/>
  <c r="P16" i="82"/>
  <c r="Q16" i="82"/>
  <c r="O16" i="82"/>
  <c r="K16" i="82"/>
  <c r="I16" i="82"/>
  <c r="N16" i="82"/>
  <c r="M16" i="82"/>
  <c r="J16" i="82"/>
  <c r="B18" i="82"/>
  <c r="U15" i="82"/>
  <c r="V14" i="81"/>
  <c r="T16" i="81"/>
  <c r="S16" i="81"/>
  <c r="P16" i="81"/>
  <c r="Q16" i="81"/>
  <c r="O16" i="81"/>
  <c r="K16" i="81"/>
  <c r="I16" i="81"/>
  <c r="N16" i="81"/>
  <c r="M16" i="81"/>
  <c r="J16" i="81"/>
  <c r="B18" i="81"/>
  <c r="L17" i="81"/>
  <c r="R17" i="81"/>
  <c r="U15" i="81"/>
  <c r="V14" i="78"/>
  <c r="T16" i="78"/>
  <c r="S16" i="78"/>
  <c r="P16" i="78"/>
  <c r="Q16" i="78"/>
  <c r="O16" i="78"/>
  <c r="K16" i="78"/>
  <c r="I16" i="78"/>
  <c r="N16" i="78"/>
  <c r="M16" i="78"/>
  <c r="J16" i="78"/>
  <c r="B18" i="78"/>
  <c r="L17" i="78"/>
  <c r="R17" i="78"/>
  <c r="U15" i="78"/>
  <c r="V14" i="73"/>
  <c r="T16" i="73"/>
  <c r="S16" i="73"/>
  <c r="P16" i="73"/>
  <c r="Q16" i="73"/>
  <c r="O16" i="73"/>
  <c r="K16" i="73"/>
  <c r="I16" i="73"/>
  <c r="N16" i="73"/>
  <c r="M16" i="73"/>
  <c r="J16" i="73"/>
  <c r="B18" i="73"/>
  <c r="L17" i="73"/>
  <c r="R17" i="73"/>
  <c r="U15" i="73"/>
  <c r="C18" i="82" l="1"/>
  <c r="D18" i="82"/>
  <c r="E18" i="82"/>
  <c r="H18" i="73"/>
  <c r="F18" i="73"/>
  <c r="D18" i="73"/>
  <c r="E18" i="73"/>
  <c r="G18" i="73"/>
  <c r="C18" i="73"/>
  <c r="G18" i="82"/>
  <c r="H18" i="82"/>
  <c r="F18" i="82"/>
  <c r="G18" i="78"/>
  <c r="E18" i="78"/>
  <c r="C18" i="78"/>
  <c r="H18" i="78"/>
  <c r="R18" i="78" s="1"/>
  <c r="F18" i="78"/>
  <c r="D18" i="78"/>
  <c r="G18" i="81"/>
  <c r="E18" i="81"/>
  <c r="L18" i="81" s="1"/>
  <c r="C18" i="81"/>
  <c r="H18" i="81"/>
  <c r="R18" i="81" s="1"/>
  <c r="F18" i="81"/>
  <c r="D18" i="81"/>
  <c r="A17" i="73"/>
  <c r="A17" i="78"/>
  <c r="A17" i="81"/>
  <c r="A17" i="82"/>
  <c r="V15" i="82"/>
  <c r="T17" i="82"/>
  <c r="S17" i="82"/>
  <c r="P17" i="82"/>
  <c r="Q17" i="82"/>
  <c r="O17" i="82"/>
  <c r="K17" i="82"/>
  <c r="I17" i="82"/>
  <c r="N17" i="82"/>
  <c r="M17" i="82"/>
  <c r="J17" i="82"/>
  <c r="B19" i="82"/>
  <c r="L18" i="82"/>
  <c r="R18" i="82"/>
  <c r="U16" i="82"/>
  <c r="V15" i="81"/>
  <c r="T17" i="81"/>
  <c r="S17" i="81"/>
  <c r="P17" i="81"/>
  <c r="Q17" i="81"/>
  <c r="O17" i="81"/>
  <c r="K17" i="81"/>
  <c r="I17" i="81"/>
  <c r="N17" i="81"/>
  <c r="M17" i="81"/>
  <c r="J17" i="81"/>
  <c r="B19" i="81"/>
  <c r="U16" i="81"/>
  <c r="V15" i="78"/>
  <c r="T17" i="78"/>
  <c r="S17" i="78"/>
  <c r="P17" i="78"/>
  <c r="Q17" i="78"/>
  <c r="O17" i="78"/>
  <c r="K17" i="78"/>
  <c r="I17" i="78"/>
  <c r="N17" i="78"/>
  <c r="M17" i="78"/>
  <c r="J17" i="78"/>
  <c r="B19" i="78"/>
  <c r="L18" i="78"/>
  <c r="U16" i="78"/>
  <c r="V15" i="73"/>
  <c r="T17" i="73"/>
  <c r="S17" i="73"/>
  <c r="P17" i="73"/>
  <c r="Q17" i="73"/>
  <c r="O17" i="73"/>
  <c r="K17" i="73"/>
  <c r="I17" i="73"/>
  <c r="N17" i="73"/>
  <c r="M17" i="73"/>
  <c r="J17" i="73"/>
  <c r="B19" i="73"/>
  <c r="L18" i="73"/>
  <c r="R18" i="73"/>
  <c r="U16" i="73"/>
  <c r="C19" i="82" l="1"/>
  <c r="D19" i="82"/>
  <c r="E19" i="82"/>
  <c r="G19" i="78"/>
  <c r="E19" i="78"/>
  <c r="C19" i="78"/>
  <c r="H19" i="78"/>
  <c r="F19" i="78"/>
  <c r="D19" i="78"/>
  <c r="G19" i="81"/>
  <c r="E19" i="81"/>
  <c r="C19" i="81"/>
  <c r="H19" i="81"/>
  <c r="F19" i="81"/>
  <c r="D19" i="81"/>
  <c r="H19" i="73"/>
  <c r="F19" i="73"/>
  <c r="D19" i="73"/>
  <c r="G19" i="73"/>
  <c r="C19" i="73"/>
  <c r="E19" i="73"/>
  <c r="G19" i="82"/>
  <c r="L19" i="82"/>
  <c r="H19" i="82"/>
  <c r="R19" i="82" s="1"/>
  <c r="F19" i="82"/>
  <c r="A18" i="73"/>
  <c r="A18" i="78"/>
  <c r="A18" i="81"/>
  <c r="A18" i="82"/>
  <c r="V16" i="82"/>
  <c r="T18" i="82"/>
  <c r="S18" i="82"/>
  <c r="P18" i="82"/>
  <c r="Q18" i="82"/>
  <c r="O18" i="82"/>
  <c r="K18" i="82"/>
  <c r="I18" i="82"/>
  <c r="N18" i="82"/>
  <c r="M18" i="82"/>
  <c r="J18" i="82"/>
  <c r="B20" i="82"/>
  <c r="U17" i="82"/>
  <c r="V16" i="81"/>
  <c r="T18" i="81"/>
  <c r="S18" i="81"/>
  <c r="P18" i="81"/>
  <c r="Q18" i="81"/>
  <c r="O18" i="81"/>
  <c r="K18" i="81"/>
  <c r="I18" i="81"/>
  <c r="N18" i="81"/>
  <c r="M18" i="81"/>
  <c r="J18" i="81"/>
  <c r="B20" i="81"/>
  <c r="L19" i="81"/>
  <c r="R19" i="81"/>
  <c r="U17" i="81"/>
  <c r="V16" i="78"/>
  <c r="T18" i="78"/>
  <c r="S18" i="78"/>
  <c r="P18" i="78"/>
  <c r="Q18" i="78"/>
  <c r="O18" i="78"/>
  <c r="K18" i="78"/>
  <c r="I18" i="78"/>
  <c r="N18" i="78"/>
  <c r="M18" i="78"/>
  <c r="J18" i="78"/>
  <c r="B20" i="78"/>
  <c r="L19" i="78"/>
  <c r="R19" i="78"/>
  <c r="U17" i="78"/>
  <c r="V16" i="73"/>
  <c r="T18" i="73"/>
  <c r="S18" i="73"/>
  <c r="P18" i="73"/>
  <c r="Q18" i="73"/>
  <c r="O18" i="73"/>
  <c r="K18" i="73"/>
  <c r="I18" i="73"/>
  <c r="N18" i="73"/>
  <c r="M18" i="73"/>
  <c r="J18" i="73"/>
  <c r="B20" i="73"/>
  <c r="L19" i="73"/>
  <c r="R19" i="73"/>
  <c r="U17" i="73"/>
  <c r="AA39" i="59"/>
  <c r="B8" i="59"/>
  <c r="C20" i="82" l="1"/>
  <c r="D20" i="82"/>
  <c r="E20" i="82"/>
  <c r="H20" i="73"/>
  <c r="F20" i="73"/>
  <c r="D20" i="73"/>
  <c r="E20" i="73"/>
  <c r="G20" i="73"/>
  <c r="C20" i="73"/>
  <c r="G20" i="82"/>
  <c r="H20" i="82"/>
  <c r="F20" i="82"/>
  <c r="F8" i="59"/>
  <c r="H8" i="59"/>
  <c r="E8" i="59"/>
  <c r="L8" i="59" s="1"/>
  <c r="C8" i="59"/>
  <c r="D8" i="59"/>
  <c r="G8" i="59"/>
  <c r="G20" i="78"/>
  <c r="E20" i="78"/>
  <c r="C20" i="78"/>
  <c r="H20" i="78"/>
  <c r="R20" i="78" s="1"/>
  <c r="F20" i="78"/>
  <c r="D20" i="78"/>
  <c r="G20" i="81"/>
  <c r="E20" i="81"/>
  <c r="L20" i="81" s="1"/>
  <c r="C20" i="81"/>
  <c r="H20" i="81"/>
  <c r="R20" i="81" s="1"/>
  <c r="F20" i="81"/>
  <c r="D20" i="81"/>
  <c r="A19" i="82"/>
  <c r="A19" i="73"/>
  <c r="A19" i="78"/>
  <c r="A19" i="81"/>
  <c r="V17" i="82"/>
  <c r="T19" i="82"/>
  <c r="S19" i="82"/>
  <c r="P19" i="82"/>
  <c r="Q19" i="82"/>
  <c r="O19" i="82"/>
  <c r="K19" i="82"/>
  <c r="I19" i="82"/>
  <c r="N19" i="82"/>
  <c r="M19" i="82"/>
  <c r="J19" i="82"/>
  <c r="B21" i="82"/>
  <c r="L20" i="82"/>
  <c r="R20" i="82"/>
  <c r="U18" i="82"/>
  <c r="V17" i="81"/>
  <c r="T19" i="81"/>
  <c r="S19" i="81"/>
  <c r="P19" i="81"/>
  <c r="Q19" i="81"/>
  <c r="O19" i="81"/>
  <c r="K19" i="81"/>
  <c r="I19" i="81"/>
  <c r="N19" i="81"/>
  <c r="M19" i="81"/>
  <c r="J19" i="81"/>
  <c r="B21" i="81"/>
  <c r="U18" i="81"/>
  <c r="V17" i="78"/>
  <c r="T19" i="78"/>
  <c r="S19" i="78"/>
  <c r="P19" i="78"/>
  <c r="Q19" i="78"/>
  <c r="O19" i="78"/>
  <c r="K19" i="78"/>
  <c r="I19" i="78"/>
  <c r="N19" i="78"/>
  <c r="M19" i="78"/>
  <c r="J19" i="78"/>
  <c r="B21" i="78"/>
  <c r="L20" i="78"/>
  <c r="U18" i="78"/>
  <c r="V17" i="73"/>
  <c r="T19" i="73"/>
  <c r="S19" i="73"/>
  <c r="P19" i="73"/>
  <c r="Q19" i="73"/>
  <c r="O19" i="73"/>
  <c r="K19" i="73"/>
  <c r="I19" i="73"/>
  <c r="N19" i="73"/>
  <c r="M19" i="73"/>
  <c r="J19" i="73"/>
  <c r="B21" i="73"/>
  <c r="L20" i="73"/>
  <c r="R20" i="73"/>
  <c r="U18" i="73"/>
  <c r="J8" i="59"/>
  <c r="J7" i="59"/>
  <c r="P7" i="59"/>
  <c r="R8" i="59"/>
  <c r="B9" i="59"/>
  <c r="C21" i="82" l="1"/>
  <c r="D21" i="82"/>
  <c r="E21" i="82"/>
  <c r="H21" i="73"/>
  <c r="F21" i="73"/>
  <c r="D21" i="73"/>
  <c r="G21" i="73"/>
  <c r="E21" i="73"/>
  <c r="C21" i="73"/>
  <c r="G21" i="82"/>
  <c r="H21" i="82"/>
  <c r="R21" i="82" s="1"/>
  <c r="F21" i="82"/>
  <c r="G9" i="59"/>
  <c r="D9" i="59"/>
  <c r="C9" i="59"/>
  <c r="F9" i="59"/>
  <c r="H9" i="59"/>
  <c r="E9" i="59"/>
  <c r="G21" i="78"/>
  <c r="E21" i="78"/>
  <c r="C21" i="78"/>
  <c r="H21" i="78"/>
  <c r="R21" i="78" s="1"/>
  <c r="F21" i="78"/>
  <c r="D21" i="78"/>
  <c r="G21" i="81"/>
  <c r="E21" i="81"/>
  <c r="L21" i="81" s="1"/>
  <c r="C21" i="81"/>
  <c r="H21" i="81"/>
  <c r="R21" i="81" s="1"/>
  <c r="F21" i="81"/>
  <c r="D21" i="81"/>
  <c r="A8" i="59"/>
  <c r="N8" i="59"/>
  <c r="A20" i="82"/>
  <c r="A20" i="73"/>
  <c r="A20" i="78"/>
  <c r="A20" i="81"/>
  <c r="Q8" i="59"/>
  <c r="V18" i="82"/>
  <c r="T20" i="82"/>
  <c r="S20" i="82"/>
  <c r="P20" i="82"/>
  <c r="Q20" i="82"/>
  <c r="O20" i="82"/>
  <c r="K20" i="82"/>
  <c r="I20" i="82"/>
  <c r="N20" i="82"/>
  <c r="M20" i="82"/>
  <c r="J20" i="82"/>
  <c r="B22" i="82"/>
  <c r="L21" i="82"/>
  <c r="U19" i="82"/>
  <c r="V18" i="81"/>
  <c r="T20" i="81"/>
  <c r="S20" i="81"/>
  <c r="P20" i="81"/>
  <c r="Q20" i="81"/>
  <c r="O20" i="81"/>
  <c r="K20" i="81"/>
  <c r="I20" i="81"/>
  <c r="N20" i="81"/>
  <c r="M20" i="81"/>
  <c r="J20" i="81"/>
  <c r="B22" i="81"/>
  <c r="U19" i="81"/>
  <c r="V18" i="78"/>
  <c r="T20" i="78"/>
  <c r="S20" i="78"/>
  <c r="P20" i="78"/>
  <c r="Q20" i="78"/>
  <c r="O20" i="78"/>
  <c r="K20" i="78"/>
  <c r="I20" i="78"/>
  <c r="N20" i="78"/>
  <c r="M20" i="78"/>
  <c r="J20" i="78"/>
  <c r="B22" i="78"/>
  <c r="L21" i="78"/>
  <c r="U19" i="78"/>
  <c r="V18" i="73"/>
  <c r="T20" i="73"/>
  <c r="S20" i="73"/>
  <c r="P20" i="73"/>
  <c r="Q20" i="73"/>
  <c r="O20" i="73"/>
  <c r="K20" i="73"/>
  <c r="I20" i="73"/>
  <c r="N20" i="73"/>
  <c r="M20" i="73"/>
  <c r="J20" i="73"/>
  <c r="B22" i="73"/>
  <c r="L21" i="73"/>
  <c r="R21" i="73"/>
  <c r="U19" i="73"/>
  <c r="J9" i="59"/>
  <c r="L9" i="59"/>
  <c r="U7" i="59"/>
  <c r="P8" i="59"/>
  <c r="T8" i="59"/>
  <c r="S8" i="59"/>
  <c r="O8" i="59"/>
  <c r="K8" i="59"/>
  <c r="M8" i="59"/>
  <c r="I8" i="59"/>
  <c r="R9" i="59"/>
  <c r="B10" i="59"/>
  <c r="C22" i="82" l="1"/>
  <c r="D22" i="82"/>
  <c r="E22" i="82"/>
  <c r="F10" i="59"/>
  <c r="H10" i="59"/>
  <c r="E10" i="59"/>
  <c r="C10" i="59"/>
  <c r="D10" i="59"/>
  <c r="G10" i="59"/>
  <c r="G22" i="78"/>
  <c r="E22" i="78"/>
  <c r="C22" i="78"/>
  <c r="H22" i="78"/>
  <c r="F22" i="78"/>
  <c r="D22" i="78"/>
  <c r="G22" i="81"/>
  <c r="E22" i="81"/>
  <c r="C22" i="81"/>
  <c r="H22" i="81"/>
  <c r="F22" i="81"/>
  <c r="D22" i="81"/>
  <c r="H22" i="73"/>
  <c r="F22" i="73"/>
  <c r="D22" i="73"/>
  <c r="G22" i="73"/>
  <c r="E22" i="73"/>
  <c r="C22" i="73"/>
  <c r="G22" i="82"/>
  <c r="L22" i="82"/>
  <c r="H22" i="82"/>
  <c r="R22" i="82" s="1"/>
  <c r="F22" i="82"/>
  <c r="A9" i="59"/>
  <c r="N9" i="59"/>
  <c r="A21" i="82"/>
  <c r="A21" i="73"/>
  <c r="A21" i="78"/>
  <c r="A21" i="81"/>
  <c r="V19" i="82"/>
  <c r="T21" i="82"/>
  <c r="S21" i="82"/>
  <c r="P21" i="82"/>
  <c r="Q21" i="82"/>
  <c r="O21" i="82"/>
  <c r="K21" i="82"/>
  <c r="I21" i="82"/>
  <c r="N21" i="82"/>
  <c r="M21" i="82"/>
  <c r="J21" i="82"/>
  <c r="B23" i="82"/>
  <c r="U20" i="82"/>
  <c r="V19" i="81"/>
  <c r="T21" i="81"/>
  <c r="S21" i="81"/>
  <c r="P21" i="81"/>
  <c r="Q21" i="81"/>
  <c r="O21" i="81"/>
  <c r="K21" i="81"/>
  <c r="I21" i="81"/>
  <c r="N21" i="81"/>
  <c r="M21" i="81"/>
  <c r="J21" i="81"/>
  <c r="B23" i="81"/>
  <c r="L22" i="81"/>
  <c r="R22" i="81"/>
  <c r="U20" i="81"/>
  <c r="V19" i="78"/>
  <c r="T21" i="78"/>
  <c r="S21" i="78"/>
  <c r="P21" i="78"/>
  <c r="Q21" i="78"/>
  <c r="O21" i="78"/>
  <c r="K21" i="78"/>
  <c r="I21" i="78"/>
  <c r="N21" i="78"/>
  <c r="M21" i="78"/>
  <c r="J21" i="78"/>
  <c r="B23" i="78"/>
  <c r="L22" i="78"/>
  <c r="R22" i="78"/>
  <c r="U20" i="78"/>
  <c r="V19" i="73"/>
  <c r="T21" i="73"/>
  <c r="S21" i="73"/>
  <c r="P21" i="73"/>
  <c r="Q21" i="73"/>
  <c r="O21" i="73"/>
  <c r="K21" i="73"/>
  <c r="I21" i="73"/>
  <c r="N21" i="73"/>
  <c r="M21" i="73"/>
  <c r="J21" i="73"/>
  <c r="B23" i="73"/>
  <c r="L22" i="73"/>
  <c r="R22" i="73"/>
  <c r="U20" i="73"/>
  <c r="J10" i="59"/>
  <c r="L10" i="59"/>
  <c r="P9" i="59"/>
  <c r="T9" i="59"/>
  <c r="S9" i="59"/>
  <c r="O9" i="59"/>
  <c r="Q9" i="59"/>
  <c r="U8" i="59"/>
  <c r="K9" i="59"/>
  <c r="M9" i="59"/>
  <c r="I9" i="59"/>
  <c r="R10" i="59"/>
  <c r="B11" i="59"/>
  <c r="C23" i="82" l="1"/>
  <c r="D23" i="82"/>
  <c r="E23" i="82"/>
  <c r="G23" i="78"/>
  <c r="E23" i="78"/>
  <c r="C23" i="78"/>
  <c r="H23" i="78"/>
  <c r="F23" i="78"/>
  <c r="D23" i="78"/>
  <c r="G23" i="81"/>
  <c r="E23" i="81"/>
  <c r="C23" i="81"/>
  <c r="H23" i="81"/>
  <c r="F23" i="81"/>
  <c r="D23" i="81"/>
  <c r="G11" i="59"/>
  <c r="D11" i="59"/>
  <c r="C11" i="59"/>
  <c r="F11" i="59"/>
  <c r="H11" i="59"/>
  <c r="E11" i="59"/>
  <c r="H23" i="73"/>
  <c r="F23" i="73"/>
  <c r="D23" i="73"/>
  <c r="G23" i="73"/>
  <c r="E23" i="73"/>
  <c r="C23" i="73"/>
  <c r="G23" i="82"/>
  <c r="L23" i="82"/>
  <c r="H23" i="82"/>
  <c r="F23" i="82"/>
  <c r="A22" i="82"/>
  <c r="A10" i="59"/>
  <c r="N10" i="59"/>
  <c r="A22" i="73"/>
  <c r="A22" i="78"/>
  <c r="A22" i="81"/>
  <c r="V20" i="82"/>
  <c r="T22" i="82"/>
  <c r="S22" i="82"/>
  <c r="P22" i="82"/>
  <c r="Q22" i="82"/>
  <c r="O22" i="82"/>
  <c r="K22" i="82"/>
  <c r="I22" i="82"/>
  <c r="N22" i="82"/>
  <c r="M22" i="82"/>
  <c r="J22" i="82"/>
  <c r="B24" i="82"/>
  <c r="R23" i="82"/>
  <c r="U21" i="82"/>
  <c r="V20" i="81"/>
  <c r="T22" i="81"/>
  <c r="S22" i="81"/>
  <c r="P22" i="81"/>
  <c r="Q22" i="81"/>
  <c r="O22" i="81"/>
  <c r="K22" i="81"/>
  <c r="I22" i="81"/>
  <c r="N22" i="81"/>
  <c r="M22" i="81"/>
  <c r="J22" i="81"/>
  <c r="B24" i="81"/>
  <c r="L23" i="81"/>
  <c r="R23" i="81"/>
  <c r="U21" i="81"/>
  <c r="V20" i="78"/>
  <c r="T22" i="78"/>
  <c r="S22" i="78"/>
  <c r="P22" i="78"/>
  <c r="Q22" i="78"/>
  <c r="O22" i="78"/>
  <c r="K22" i="78"/>
  <c r="I22" i="78"/>
  <c r="N22" i="78"/>
  <c r="M22" i="78"/>
  <c r="J22" i="78"/>
  <c r="B24" i="78"/>
  <c r="L23" i="78"/>
  <c r="R23" i="78"/>
  <c r="U21" i="78"/>
  <c r="V20" i="73"/>
  <c r="T22" i="73"/>
  <c r="S22" i="73"/>
  <c r="P22" i="73"/>
  <c r="Q22" i="73"/>
  <c r="O22" i="73"/>
  <c r="K22" i="73"/>
  <c r="I22" i="73"/>
  <c r="N22" i="73"/>
  <c r="M22" i="73"/>
  <c r="J22" i="73"/>
  <c r="B24" i="73"/>
  <c r="L23" i="73"/>
  <c r="R23" i="73"/>
  <c r="U21" i="73"/>
  <c r="J11" i="59"/>
  <c r="L11" i="59"/>
  <c r="U9" i="59"/>
  <c r="O10" i="59"/>
  <c r="Q10" i="59"/>
  <c r="P10" i="59"/>
  <c r="T10" i="59"/>
  <c r="S10" i="59"/>
  <c r="K10" i="59"/>
  <c r="M10" i="59"/>
  <c r="I10" i="59"/>
  <c r="R11" i="59"/>
  <c r="B12" i="59"/>
  <c r="C24" i="82" l="1"/>
  <c r="D24" i="82"/>
  <c r="E24" i="82"/>
  <c r="F12" i="59"/>
  <c r="H12" i="59"/>
  <c r="E12" i="59"/>
  <c r="C12" i="59"/>
  <c r="D12" i="59"/>
  <c r="G12" i="59"/>
  <c r="H24" i="73"/>
  <c r="F24" i="73"/>
  <c r="D24" i="73"/>
  <c r="G24" i="73"/>
  <c r="E24" i="73"/>
  <c r="C24" i="73"/>
  <c r="G24" i="82"/>
  <c r="L24" i="82"/>
  <c r="H24" i="82"/>
  <c r="R24" i="82" s="1"/>
  <c r="F24" i="82"/>
  <c r="G24" i="78"/>
  <c r="E24" i="78"/>
  <c r="C24" i="78"/>
  <c r="H24" i="78"/>
  <c r="R24" i="78" s="1"/>
  <c r="F24" i="78"/>
  <c r="D24" i="78"/>
  <c r="G24" i="81"/>
  <c r="E24" i="81"/>
  <c r="L24" i="81" s="1"/>
  <c r="C24" i="81"/>
  <c r="H24" i="81"/>
  <c r="R24" i="81" s="1"/>
  <c r="F24" i="81"/>
  <c r="D24" i="81"/>
  <c r="A11" i="59"/>
  <c r="N11" i="59"/>
  <c r="A23" i="73"/>
  <c r="A23" i="78"/>
  <c r="A23" i="81"/>
  <c r="A23" i="82"/>
  <c r="V21" i="82"/>
  <c r="T23" i="82"/>
  <c r="S23" i="82"/>
  <c r="P23" i="82"/>
  <c r="Q23" i="82"/>
  <c r="O23" i="82"/>
  <c r="K23" i="82"/>
  <c r="I23" i="82"/>
  <c r="N23" i="82"/>
  <c r="M23" i="82"/>
  <c r="J23" i="82"/>
  <c r="B25" i="82"/>
  <c r="U22" i="82"/>
  <c r="V21" i="81"/>
  <c r="T23" i="81"/>
  <c r="S23" i="81"/>
  <c r="P23" i="81"/>
  <c r="Q23" i="81"/>
  <c r="O23" i="81"/>
  <c r="K23" i="81"/>
  <c r="I23" i="81"/>
  <c r="N23" i="81"/>
  <c r="M23" i="81"/>
  <c r="J23" i="81"/>
  <c r="B25" i="81"/>
  <c r="U22" i="81"/>
  <c r="V21" i="78"/>
  <c r="T23" i="78"/>
  <c r="S23" i="78"/>
  <c r="P23" i="78"/>
  <c r="Q23" i="78"/>
  <c r="O23" i="78"/>
  <c r="K23" i="78"/>
  <c r="I23" i="78"/>
  <c r="N23" i="78"/>
  <c r="M23" i="78"/>
  <c r="J23" i="78"/>
  <c r="B25" i="78"/>
  <c r="L24" i="78"/>
  <c r="U22" i="78"/>
  <c r="V21" i="73"/>
  <c r="T23" i="73"/>
  <c r="S23" i="73"/>
  <c r="P23" i="73"/>
  <c r="Q23" i="73"/>
  <c r="O23" i="73"/>
  <c r="K23" i="73"/>
  <c r="I23" i="73"/>
  <c r="N23" i="73"/>
  <c r="M23" i="73"/>
  <c r="J23" i="73"/>
  <c r="B25" i="73"/>
  <c r="L24" i="73"/>
  <c r="R24" i="73"/>
  <c r="U22" i="73"/>
  <c r="J12" i="59"/>
  <c r="U10" i="59"/>
  <c r="P11" i="59"/>
  <c r="T11" i="59"/>
  <c r="S11" i="59"/>
  <c r="O11" i="59"/>
  <c r="Q11" i="59"/>
  <c r="K11" i="59"/>
  <c r="M11" i="59"/>
  <c r="I11" i="59"/>
  <c r="N12" i="59"/>
  <c r="R12" i="59"/>
  <c r="L12" i="59"/>
  <c r="B13" i="59"/>
  <c r="C25" i="82" l="1"/>
  <c r="D25" i="82"/>
  <c r="E25" i="82"/>
  <c r="G13" i="59"/>
  <c r="D13" i="59"/>
  <c r="E13" i="59"/>
  <c r="C13" i="59"/>
  <c r="F13" i="59"/>
  <c r="H13" i="59"/>
  <c r="G25" i="81"/>
  <c r="E25" i="81"/>
  <c r="C25" i="81"/>
  <c r="H25" i="81"/>
  <c r="F25" i="81"/>
  <c r="D25" i="81"/>
  <c r="G25" i="78"/>
  <c r="E25" i="78"/>
  <c r="C25" i="78"/>
  <c r="H25" i="78"/>
  <c r="F25" i="78"/>
  <c r="D25" i="78"/>
  <c r="H25" i="73"/>
  <c r="F25" i="73"/>
  <c r="D25" i="73"/>
  <c r="G25" i="73"/>
  <c r="E25" i="73"/>
  <c r="C25" i="73"/>
  <c r="G25" i="82"/>
  <c r="H25" i="82"/>
  <c r="R25" i="82" s="1"/>
  <c r="F25" i="82"/>
  <c r="A24" i="82"/>
  <c r="A12" i="59"/>
  <c r="A24" i="73"/>
  <c r="A24" i="78"/>
  <c r="A24" i="81"/>
  <c r="F7" i="8"/>
  <c r="V22" i="82"/>
  <c r="T24" i="82"/>
  <c r="S24" i="82"/>
  <c r="P24" i="82"/>
  <c r="Q24" i="82"/>
  <c r="O24" i="82"/>
  <c r="K24" i="82"/>
  <c r="I24" i="82"/>
  <c r="N24" i="82"/>
  <c r="M24" i="82"/>
  <c r="J24" i="82"/>
  <c r="B26" i="82"/>
  <c r="L25" i="82"/>
  <c r="U23" i="82"/>
  <c r="V22" i="81"/>
  <c r="T24" i="81"/>
  <c r="S24" i="81"/>
  <c r="P24" i="81"/>
  <c r="Q24" i="81"/>
  <c r="O24" i="81"/>
  <c r="K24" i="81"/>
  <c r="I24" i="81"/>
  <c r="N24" i="81"/>
  <c r="M24" i="81"/>
  <c r="J24" i="81"/>
  <c r="B26" i="81"/>
  <c r="L25" i="81"/>
  <c r="R25" i="81"/>
  <c r="U23" i="81"/>
  <c r="V22" i="78"/>
  <c r="T24" i="78"/>
  <c r="S24" i="78"/>
  <c r="P24" i="78"/>
  <c r="Q24" i="78"/>
  <c r="O24" i="78"/>
  <c r="K24" i="78"/>
  <c r="I24" i="78"/>
  <c r="N24" i="78"/>
  <c r="M24" i="78"/>
  <c r="J24" i="78"/>
  <c r="B26" i="78"/>
  <c r="L25" i="78"/>
  <c r="R25" i="78"/>
  <c r="U23" i="78"/>
  <c r="V22" i="73"/>
  <c r="T24" i="73"/>
  <c r="S24" i="73"/>
  <c r="P24" i="73"/>
  <c r="Q24" i="73"/>
  <c r="O24" i="73"/>
  <c r="K24" i="73"/>
  <c r="I24" i="73"/>
  <c r="N24" i="73"/>
  <c r="M24" i="73"/>
  <c r="J24" i="73"/>
  <c r="B26" i="73"/>
  <c r="L25" i="73"/>
  <c r="R25" i="73"/>
  <c r="U23" i="73"/>
  <c r="J13" i="59"/>
  <c r="L13" i="59"/>
  <c r="K12" i="59"/>
  <c r="U11" i="59"/>
  <c r="V11" i="59" s="1"/>
  <c r="O12" i="59"/>
  <c r="Q12" i="59"/>
  <c r="P12" i="59"/>
  <c r="T12" i="59"/>
  <c r="S12" i="59"/>
  <c r="M12" i="59"/>
  <c r="I12" i="59"/>
  <c r="R13" i="59"/>
  <c r="B14" i="59"/>
  <c r="C26" i="82" l="1"/>
  <c r="D26" i="82"/>
  <c r="E26" i="82"/>
  <c r="G26" i="81"/>
  <c r="E26" i="81"/>
  <c r="C26" i="81"/>
  <c r="H26" i="81"/>
  <c r="F26" i="81"/>
  <c r="D26" i="81"/>
  <c r="G26" i="78"/>
  <c r="E26" i="78"/>
  <c r="C26" i="78"/>
  <c r="H26" i="78"/>
  <c r="F26" i="78"/>
  <c r="D26" i="78"/>
  <c r="F14" i="59"/>
  <c r="H14" i="59"/>
  <c r="E14" i="59"/>
  <c r="C14" i="59"/>
  <c r="G14" i="59"/>
  <c r="D14" i="59"/>
  <c r="H26" i="73"/>
  <c r="F26" i="73"/>
  <c r="D26" i="73"/>
  <c r="G26" i="73"/>
  <c r="E26" i="73"/>
  <c r="C26" i="73"/>
  <c r="G26" i="82"/>
  <c r="H26" i="82"/>
  <c r="R26" i="82" s="1"/>
  <c r="F26" i="82"/>
  <c r="A25" i="82"/>
  <c r="A13" i="59"/>
  <c r="N13" i="59"/>
  <c r="A25" i="73"/>
  <c r="A25" i="78"/>
  <c r="A25" i="81"/>
  <c r="B27" i="73"/>
  <c r="B27" i="78"/>
  <c r="B27" i="81"/>
  <c r="B27" i="82"/>
  <c r="V23" i="82"/>
  <c r="T25" i="82"/>
  <c r="S25" i="82"/>
  <c r="P25" i="82"/>
  <c r="Q25" i="82"/>
  <c r="O25" i="82"/>
  <c r="K25" i="82"/>
  <c r="I25" i="82"/>
  <c r="N25" i="82"/>
  <c r="M25" i="82"/>
  <c r="J25" i="82"/>
  <c r="L26" i="82"/>
  <c r="U24" i="82"/>
  <c r="V23" i="81"/>
  <c r="T25" i="81"/>
  <c r="S25" i="81"/>
  <c r="P25" i="81"/>
  <c r="Q25" i="81"/>
  <c r="O25" i="81"/>
  <c r="K25" i="81"/>
  <c r="I25" i="81"/>
  <c r="N25" i="81"/>
  <c r="M25" i="81"/>
  <c r="J25" i="81"/>
  <c r="L26" i="81"/>
  <c r="R26" i="81"/>
  <c r="U24" i="81"/>
  <c r="V23" i="78"/>
  <c r="T25" i="78"/>
  <c r="S25" i="78"/>
  <c r="P25" i="78"/>
  <c r="Q25" i="78"/>
  <c r="O25" i="78"/>
  <c r="K25" i="78"/>
  <c r="I25" i="78"/>
  <c r="N25" i="78"/>
  <c r="M25" i="78"/>
  <c r="J25" i="78"/>
  <c r="L26" i="78"/>
  <c r="R26" i="78"/>
  <c r="U24" i="78"/>
  <c r="V23" i="73"/>
  <c r="T25" i="73"/>
  <c r="S25" i="73"/>
  <c r="P25" i="73"/>
  <c r="Q25" i="73"/>
  <c r="O25" i="73"/>
  <c r="K25" i="73"/>
  <c r="I25" i="73"/>
  <c r="N25" i="73"/>
  <c r="M25" i="73"/>
  <c r="J25" i="73"/>
  <c r="L26" i="73"/>
  <c r="R26" i="73"/>
  <c r="U24" i="73"/>
  <c r="J14" i="59"/>
  <c r="U12" i="59"/>
  <c r="P13" i="59"/>
  <c r="T13" i="59"/>
  <c r="S13" i="59"/>
  <c r="O13" i="59"/>
  <c r="Q13" i="59"/>
  <c r="K13" i="59"/>
  <c r="M13" i="59"/>
  <c r="I13" i="59"/>
  <c r="A14" i="59"/>
  <c r="L14" i="59"/>
  <c r="R14" i="59"/>
  <c r="V8" i="59"/>
  <c r="V7" i="59"/>
  <c r="V9" i="59"/>
  <c r="V10" i="59"/>
  <c r="F14" i="85" l="1"/>
  <c r="F15" i="85"/>
  <c r="F16" i="85"/>
  <c r="F17" i="85"/>
  <c r="F18" i="85"/>
  <c r="F19" i="85"/>
  <c r="F20" i="85"/>
  <c r="F21" i="85"/>
  <c r="F22" i="85"/>
  <c r="F23" i="85"/>
  <c r="F24" i="85"/>
  <c r="F25" i="85"/>
  <c r="F26" i="85"/>
  <c r="F7" i="85"/>
  <c r="G27" i="81"/>
  <c r="E27" i="81"/>
  <c r="C27" i="81"/>
  <c r="H27" i="81"/>
  <c r="F27" i="81"/>
  <c r="D27" i="81"/>
  <c r="G27" i="78"/>
  <c r="E27" i="78"/>
  <c r="C27" i="78"/>
  <c r="H27" i="78"/>
  <c r="F27" i="78"/>
  <c r="D27" i="78"/>
  <c r="H27" i="73"/>
  <c r="F27" i="73"/>
  <c r="D27" i="73"/>
  <c r="G27" i="73"/>
  <c r="E27" i="73"/>
  <c r="C27" i="73"/>
  <c r="G27" i="82"/>
  <c r="E27" i="82"/>
  <c r="C27" i="82"/>
  <c r="H27" i="82"/>
  <c r="F27" i="82"/>
  <c r="D27" i="82"/>
  <c r="A27" i="73"/>
  <c r="B28" i="73"/>
  <c r="R27" i="73"/>
  <c r="L27" i="73"/>
  <c r="F12" i="85"/>
  <c r="F10" i="85"/>
  <c r="F13" i="85"/>
  <c r="F11" i="85"/>
  <c r="F8" i="85"/>
  <c r="F9" i="85"/>
  <c r="A26" i="73"/>
  <c r="A26" i="78"/>
  <c r="A26" i="81"/>
  <c r="F27" i="85" s="1"/>
  <c r="A26" i="82"/>
  <c r="B28" i="82"/>
  <c r="L27" i="82"/>
  <c r="R27" i="82"/>
  <c r="L27" i="81"/>
  <c r="L28" i="81" s="1"/>
  <c r="R27" i="81"/>
  <c r="R28" i="81" s="1"/>
  <c r="B28" i="78"/>
  <c r="L27" i="78"/>
  <c r="R27" i="78"/>
  <c r="V12" i="59"/>
  <c r="P27" i="73"/>
  <c r="S27" i="73"/>
  <c r="T27" i="73"/>
  <c r="O27" i="73"/>
  <c r="Q27" i="73"/>
  <c r="B29" i="73"/>
  <c r="J27" i="73"/>
  <c r="M27" i="73"/>
  <c r="N27" i="73"/>
  <c r="I27" i="73"/>
  <c r="K27" i="73"/>
  <c r="V24" i="82"/>
  <c r="T26" i="82"/>
  <c r="S26" i="82"/>
  <c r="P26" i="82"/>
  <c r="Q26" i="82"/>
  <c r="O26" i="82"/>
  <c r="K26" i="82"/>
  <c r="I26" i="82"/>
  <c r="N26" i="82"/>
  <c r="M26" i="82"/>
  <c r="J26" i="82"/>
  <c r="U25" i="82"/>
  <c r="V24" i="81"/>
  <c r="T26" i="81"/>
  <c r="S26" i="81"/>
  <c r="P26" i="81"/>
  <c r="Q26" i="81"/>
  <c r="O26" i="81"/>
  <c r="K26" i="81"/>
  <c r="I26" i="81"/>
  <c r="N26" i="81"/>
  <c r="M26" i="81"/>
  <c r="J26" i="81"/>
  <c r="U25" i="81"/>
  <c r="V24" i="78"/>
  <c r="T26" i="78"/>
  <c r="S26" i="78"/>
  <c r="P26" i="78"/>
  <c r="Q26" i="78"/>
  <c r="O26" i="78"/>
  <c r="K26" i="78"/>
  <c r="I26" i="78"/>
  <c r="N26" i="78"/>
  <c r="M26" i="78"/>
  <c r="J26" i="78"/>
  <c r="U25" i="78"/>
  <c r="V24" i="73"/>
  <c r="T26" i="73"/>
  <c r="S26" i="73"/>
  <c r="P26" i="73"/>
  <c r="Q26" i="73"/>
  <c r="O26" i="73"/>
  <c r="K26" i="73"/>
  <c r="I26" i="73"/>
  <c r="N26" i="73"/>
  <c r="M26" i="73"/>
  <c r="J26" i="73"/>
  <c r="U25" i="73"/>
  <c r="U13" i="59"/>
  <c r="P14" i="59"/>
  <c r="T14" i="59"/>
  <c r="S14" i="59"/>
  <c r="O14" i="59"/>
  <c r="Q14" i="59"/>
  <c r="K14" i="59"/>
  <c r="M14" i="59"/>
  <c r="N14" i="59"/>
  <c r="I14" i="59"/>
  <c r="D13" i="85" l="1"/>
  <c r="D14" i="85"/>
  <c r="D15" i="85"/>
  <c r="D16" i="85"/>
  <c r="D17" i="85"/>
  <c r="D18" i="85"/>
  <c r="D19" i="85"/>
  <c r="D20" i="85"/>
  <c r="D21" i="85"/>
  <c r="D22" i="85"/>
  <c r="D23" i="85"/>
  <c r="D24" i="85"/>
  <c r="D25" i="85"/>
  <c r="D26" i="85"/>
  <c r="D27" i="85"/>
  <c r="D28" i="85"/>
  <c r="G28" i="82"/>
  <c r="E28" i="82"/>
  <c r="C28" i="82"/>
  <c r="H28" i="82"/>
  <c r="F28" i="82"/>
  <c r="D28" i="82"/>
  <c r="H29" i="73"/>
  <c r="F29" i="73"/>
  <c r="D29" i="73"/>
  <c r="G29" i="73"/>
  <c r="E29" i="73"/>
  <c r="C29" i="73"/>
  <c r="G28" i="78"/>
  <c r="E28" i="78"/>
  <c r="C28" i="78"/>
  <c r="H28" i="78"/>
  <c r="F28" i="78"/>
  <c r="D28" i="78"/>
  <c r="H28" i="73"/>
  <c r="R28" i="73" s="1"/>
  <c r="F28" i="73"/>
  <c r="D28" i="73"/>
  <c r="G28" i="73"/>
  <c r="E28" i="73"/>
  <c r="L28" i="73" s="1"/>
  <c r="C28" i="73"/>
  <c r="F32" i="85"/>
  <c r="B30" i="73"/>
  <c r="A27" i="78"/>
  <c r="P27" i="78"/>
  <c r="S27" i="78"/>
  <c r="T27" i="78"/>
  <c r="O27" i="78"/>
  <c r="Q27" i="78"/>
  <c r="J27" i="78"/>
  <c r="M27" i="78"/>
  <c r="N27" i="78"/>
  <c r="I27" i="78"/>
  <c r="K27" i="78"/>
  <c r="B29" i="78"/>
  <c r="L28" i="78"/>
  <c r="R28" i="78"/>
  <c r="A27" i="81"/>
  <c r="F29" i="85" s="1"/>
  <c r="P27" i="81"/>
  <c r="P28" i="81" s="1"/>
  <c r="S27" i="81"/>
  <c r="S28" i="81" s="1"/>
  <c r="T27" i="81"/>
  <c r="T28" i="81" s="1"/>
  <c r="O27" i="81"/>
  <c r="O28" i="81" s="1"/>
  <c r="Q27" i="81"/>
  <c r="Q28" i="81" s="1"/>
  <c r="J27" i="81"/>
  <c r="J28" i="81" s="1"/>
  <c r="M27" i="81"/>
  <c r="M28" i="81" s="1"/>
  <c r="N27" i="81"/>
  <c r="N28" i="81" s="1"/>
  <c r="I27" i="81"/>
  <c r="K27" i="81"/>
  <c r="K28" i="81" s="1"/>
  <c r="A27" i="82"/>
  <c r="P27" i="82"/>
  <c r="S27" i="82"/>
  <c r="T27" i="82"/>
  <c r="O27" i="82"/>
  <c r="Q27" i="82"/>
  <c r="J27" i="82"/>
  <c r="M27" i="82"/>
  <c r="N27" i="82"/>
  <c r="I27" i="82"/>
  <c r="K27" i="82"/>
  <c r="L28" i="82"/>
  <c r="L29" i="82" s="1"/>
  <c r="R28" i="82"/>
  <c r="R29" i="82" s="1"/>
  <c r="D7" i="85"/>
  <c r="D8" i="85"/>
  <c r="D9" i="85"/>
  <c r="D10" i="85"/>
  <c r="D11" i="85"/>
  <c r="D12" i="85"/>
  <c r="U27" i="73"/>
  <c r="V27" i="73" s="1"/>
  <c r="P28" i="73"/>
  <c r="S28" i="73"/>
  <c r="T28" i="73"/>
  <c r="O28" i="73"/>
  <c r="Q28" i="73"/>
  <c r="L29" i="73"/>
  <c r="R29" i="73"/>
  <c r="J28" i="73"/>
  <c r="M28" i="73"/>
  <c r="N28" i="73"/>
  <c r="I28" i="73"/>
  <c r="K28" i="73"/>
  <c r="V25" i="82"/>
  <c r="U26" i="82"/>
  <c r="V25" i="81"/>
  <c r="U26" i="81"/>
  <c r="V25" i="78"/>
  <c r="U26" i="78"/>
  <c r="V25" i="73"/>
  <c r="U26" i="73"/>
  <c r="U14" i="59"/>
  <c r="V13" i="59"/>
  <c r="B15" i="59"/>
  <c r="H12" i="85" l="1"/>
  <c r="H13" i="85"/>
  <c r="H14" i="85"/>
  <c r="H15" i="85"/>
  <c r="H16" i="85"/>
  <c r="H17" i="85"/>
  <c r="H18" i="85"/>
  <c r="H19" i="85"/>
  <c r="H20" i="85"/>
  <c r="H21" i="85"/>
  <c r="H22" i="85"/>
  <c r="H23" i="85"/>
  <c r="H24" i="85"/>
  <c r="H25" i="85"/>
  <c r="H26" i="85"/>
  <c r="H27" i="85"/>
  <c r="G27" i="85"/>
  <c r="G12" i="85"/>
  <c r="G13" i="85"/>
  <c r="G14" i="85"/>
  <c r="G15" i="85"/>
  <c r="G16" i="85"/>
  <c r="G17" i="85"/>
  <c r="G18" i="85"/>
  <c r="G19" i="85"/>
  <c r="G20" i="85"/>
  <c r="G21" i="85"/>
  <c r="G22" i="85"/>
  <c r="G23" i="85"/>
  <c r="G24" i="85"/>
  <c r="G25" i="85"/>
  <c r="G26" i="85"/>
  <c r="G28" i="85"/>
  <c r="F30" i="85"/>
  <c r="F28" i="85"/>
  <c r="A28" i="73"/>
  <c r="D29" i="85"/>
  <c r="H7" i="85"/>
  <c r="G29" i="78"/>
  <c r="E29" i="78"/>
  <c r="C29" i="78"/>
  <c r="H29" i="78"/>
  <c r="R29" i="78" s="1"/>
  <c r="R30" i="78" s="1"/>
  <c r="F29" i="78"/>
  <c r="D29" i="78"/>
  <c r="H30" i="73"/>
  <c r="F30" i="73"/>
  <c r="D30" i="73"/>
  <c r="G30" i="73"/>
  <c r="E30" i="73"/>
  <c r="C30" i="73"/>
  <c r="G15" i="59"/>
  <c r="D15" i="59"/>
  <c r="E15" i="59"/>
  <c r="C15" i="59"/>
  <c r="F15" i="59"/>
  <c r="H15" i="59"/>
  <c r="F34" i="85"/>
  <c r="F31" i="85"/>
  <c r="G7" i="85"/>
  <c r="G11" i="85"/>
  <c r="G10" i="85"/>
  <c r="H10" i="85"/>
  <c r="H8" i="85"/>
  <c r="G8" i="85"/>
  <c r="F33" i="85"/>
  <c r="D32" i="85"/>
  <c r="G9" i="85"/>
  <c r="H11" i="85"/>
  <c r="H9" i="85"/>
  <c r="A29" i="73"/>
  <c r="A28" i="82"/>
  <c r="D30" i="85" s="1"/>
  <c r="P28" i="82"/>
  <c r="P29" i="82" s="1"/>
  <c r="S28" i="82"/>
  <c r="S29" i="82" s="1"/>
  <c r="T28" i="82"/>
  <c r="T29" i="82" s="1"/>
  <c r="O28" i="82"/>
  <c r="O29" i="82" s="1"/>
  <c r="Q28" i="82"/>
  <c r="Q29" i="82" s="1"/>
  <c r="J28" i="82"/>
  <c r="J29" i="82" s="1"/>
  <c r="M28" i="82"/>
  <c r="M29" i="82" s="1"/>
  <c r="N28" i="82"/>
  <c r="N29" i="82" s="1"/>
  <c r="I28" i="82"/>
  <c r="I29" i="82" s="1"/>
  <c r="K28" i="82"/>
  <c r="K29" i="82" s="1"/>
  <c r="U27" i="82"/>
  <c r="U27" i="81"/>
  <c r="I28" i="81"/>
  <c r="A28" i="78"/>
  <c r="H28" i="85" s="1"/>
  <c r="P28" i="78"/>
  <c r="S28" i="78"/>
  <c r="T28" i="78"/>
  <c r="O28" i="78"/>
  <c r="Q28" i="78"/>
  <c r="J28" i="78"/>
  <c r="M28" i="78"/>
  <c r="N28" i="78"/>
  <c r="I28" i="78"/>
  <c r="K28" i="78"/>
  <c r="L29" i="78"/>
  <c r="L30" i="78" s="1"/>
  <c r="U27" i="78"/>
  <c r="L30" i="73"/>
  <c r="L31" i="73" s="1"/>
  <c r="R30" i="73"/>
  <c r="R31" i="73" s="1"/>
  <c r="U28" i="73"/>
  <c r="P29" i="73"/>
  <c r="S29" i="73"/>
  <c r="T29" i="73"/>
  <c r="O29" i="73"/>
  <c r="Q29" i="73"/>
  <c r="J29" i="73"/>
  <c r="M29" i="73"/>
  <c r="N29" i="73"/>
  <c r="I29" i="73"/>
  <c r="K29" i="73"/>
  <c r="V26" i="82"/>
  <c r="V26" i="81"/>
  <c r="V26" i="78"/>
  <c r="V26" i="73"/>
  <c r="J15" i="59"/>
  <c r="L15" i="59"/>
  <c r="R15" i="59"/>
  <c r="B16" i="59"/>
  <c r="G30" i="85" l="1"/>
  <c r="G29" i="85"/>
  <c r="F16" i="59"/>
  <c r="H16" i="59"/>
  <c r="E16" i="59"/>
  <c r="C16" i="59"/>
  <c r="D16" i="59"/>
  <c r="G16" i="59"/>
  <c r="D34" i="85"/>
  <c r="D31" i="85"/>
  <c r="H32" i="85"/>
  <c r="D33" i="85"/>
  <c r="N15" i="59"/>
  <c r="A15" i="59"/>
  <c r="A30" i="73"/>
  <c r="G34" i="85" s="1"/>
  <c r="P30" i="73"/>
  <c r="P31" i="73" s="1"/>
  <c r="S30" i="73"/>
  <c r="S31" i="73" s="1"/>
  <c r="T30" i="73"/>
  <c r="T31" i="73" s="1"/>
  <c r="O30" i="73"/>
  <c r="O31" i="73" s="1"/>
  <c r="Q30" i="73"/>
  <c r="Q31" i="73" s="1"/>
  <c r="J30" i="73"/>
  <c r="J31" i="73" s="1"/>
  <c r="M30" i="73"/>
  <c r="M31" i="73" s="1"/>
  <c r="N30" i="73"/>
  <c r="N31" i="73" s="1"/>
  <c r="I30" i="73"/>
  <c r="K30" i="73"/>
  <c r="K31" i="73" s="1"/>
  <c r="V27" i="78"/>
  <c r="A29" i="78"/>
  <c r="P29" i="78"/>
  <c r="P30" i="78" s="1"/>
  <c r="S29" i="78"/>
  <c r="S30" i="78" s="1"/>
  <c r="T29" i="78"/>
  <c r="T30" i="78" s="1"/>
  <c r="O29" i="78"/>
  <c r="O30" i="78" s="1"/>
  <c r="Q29" i="78"/>
  <c r="Q30" i="78" s="1"/>
  <c r="J29" i="78"/>
  <c r="J30" i="78" s="1"/>
  <c r="M29" i="78"/>
  <c r="M30" i="78" s="1"/>
  <c r="N29" i="78"/>
  <c r="N30" i="78" s="1"/>
  <c r="I29" i="78"/>
  <c r="K29" i="78"/>
  <c r="K30" i="78" s="1"/>
  <c r="U28" i="78"/>
  <c r="V27" i="81"/>
  <c r="V28" i="81" s="1"/>
  <c r="U28" i="81"/>
  <c r="V27" i="82"/>
  <c r="U28" i="82"/>
  <c r="V28" i="73"/>
  <c r="U29" i="73"/>
  <c r="J16" i="59"/>
  <c r="L16" i="59"/>
  <c r="K15" i="59"/>
  <c r="P15" i="59"/>
  <c r="T15" i="59"/>
  <c r="S15" i="59"/>
  <c r="O15" i="59"/>
  <c r="Q15" i="59"/>
  <c r="M15" i="59"/>
  <c r="I15" i="59"/>
  <c r="A16" i="59"/>
  <c r="R16" i="59"/>
  <c r="V14" i="59"/>
  <c r="B17" i="59"/>
  <c r="B38" i="12"/>
  <c r="B7" i="12"/>
  <c r="E7" i="12" s="1"/>
  <c r="H30" i="85" l="1"/>
  <c r="H29" i="85"/>
  <c r="G31" i="85"/>
  <c r="G32" i="85"/>
  <c r="G17" i="59"/>
  <c r="D17" i="59"/>
  <c r="J17" i="59" s="1"/>
  <c r="E17" i="59"/>
  <c r="F17" i="59"/>
  <c r="H17" i="59"/>
  <c r="C17" i="59"/>
  <c r="H34" i="85"/>
  <c r="H31" i="85"/>
  <c r="G33" i="85"/>
  <c r="H33" i="85"/>
  <c r="N16" i="59"/>
  <c r="V28" i="82"/>
  <c r="U29" i="82"/>
  <c r="V29" i="82"/>
  <c r="V28" i="78"/>
  <c r="U29" i="78"/>
  <c r="I30" i="78"/>
  <c r="U30" i="73"/>
  <c r="V30" i="73" s="1"/>
  <c r="I31" i="73"/>
  <c r="V29" i="73"/>
  <c r="H7" i="12"/>
  <c r="G7" i="12"/>
  <c r="F7" i="12"/>
  <c r="D7" i="12"/>
  <c r="L17" i="59"/>
  <c r="K16" i="59"/>
  <c r="U15" i="59"/>
  <c r="O16" i="59"/>
  <c r="Q16" i="59"/>
  <c r="P16" i="59"/>
  <c r="T16" i="59"/>
  <c r="S16" i="59"/>
  <c r="M16" i="59"/>
  <c r="I16" i="59"/>
  <c r="R17" i="59"/>
  <c r="B18" i="59"/>
  <c r="F18" i="59" l="1"/>
  <c r="H18" i="59"/>
  <c r="E18" i="59"/>
  <c r="C18" i="59"/>
  <c r="D18" i="59"/>
  <c r="G18" i="59"/>
  <c r="V31" i="73"/>
  <c r="U31" i="73"/>
  <c r="A17" i="59"/>
  <c r="N17" i="59"/>
  <c r="V29" i="78"/>
  <c r="V30" i="78" s="1"/>
  <c r="U30" i="78"/>
  <c r="V15" i="59"/>
  <c r="J18" i="59"/>
  <c r="U16" i="59"/>
  <c r="P17" i="59"/>
  <c r="T17" i="59"/>
  <c r="S17" i="59"/>
  <c r="O17" i="59"/>
  <c r="Q17" i="59"/>
  <c r="K17" i="59"/>
  <c r="M17" i="59"/>
  <c r="I17" i="59"/>
  <c r="L18" i="59"/>
  <c r="R18" i="59"/>
  <c r="B19" i="59"/>
  <c r="G19" i="59" l="1"/>
  <c r="D19" i="59"/>
  <c r="E19" i="59"/>
  <c r="F19" i="59"/>
  <c r="H19" i="59"/>
  <c r="C19" i="59"/>
  <c r="V16" i="59"/>
  <c r="A18" i="59"/>
  <c r="J19" i="59"/>
  <c r="L19" i="59"/>
  <c r="P18" i="59"/>
  <c r="T18" i="59"/>
  <c r="S18" i="59"/>
  <c r="U17" i="59"/>
  <c r="O18" i="59"/>
  <c r="Q18" i="59"/>
  <c r="K18" i="59"/>
  <c r="M18" i="59"/>
  <c r="N18" i="59"/>
  <c r="I18" i="59"/>
  <c r="A19" i="59"/>
  <c r="R19" i="59"/>
  <c r="B20" i="59"/>
  <c r="F20" i="59" l="1"/>
  <c r="H20" i="59"/>
  <c r="R20" i="59" s="1"/>
  <c r="E20" i="59"/>
  <c r="C20" i="59"/>
  <c r="D20" i="59"/>
  <c r="J20" i="59" s="1"/>
  <c r="G20" i="59"/>
  <c r="V17" i="59"/>
  <c r="L20" i="59"/>
  <c r="U18" i="59"/>
  <c r="O19" i="59"/>
  <c r="Q19" i="59"/>
  <c r="P19" i="59"/>
  <c r="T19" i="59"/>
  <c r="S19" i="59"/>
  <c r="K19" i="59"/>
  <c r="M19" i="59"/>
  <c r="N19" i="59"/>
  <c r="I19" i="59"/>
  <c r="B21" i="59"/>
  <c r="A20" i="59" l="1"/>
  <c r="G21" i="59"/>
  <c r="D21" i="59"/>
  <c r="J21" i="59" s="1"/>
  <c r="C21" i="59"/>
  <c r="F21" i="59"/>
  <c r="H21" i="59"/>
  <c r="E21" i="59"/>
  <c r="L21" i="59" s="1"/>
  <c r="V18" i="59"/>
  <c r="N20" i="59"/>
  <c r="O20" i="59"/>
  <c r="Q20" i="59"/>
  <c r="P20" i="59"/>
  <c r="T20" i="59"/>
  <c r="S20" i="59"/>
  <c r="U19" i="59"/>
  <c r="K20" i="59"/>
  <c r="M20" i="59"/>
  <c r="I20" i="59"/>
  <c r="R21" i="59"/>
  <c r="B22" i="59"/>
  <c r="F22" i="59" l="1"/>
  <c r="H22" i="59"/>
  <c r="E22" i="59"/>
  <c r="C22" i="59"/>
  <c r="D22" i="59"/>
  <c r="G22" i="59"/>
  <c r="A21" i="59"/>
  <c r="N21" i="59"/>
  <c r="V19" i="59"/>
  <c r="J22" i="59"/>
  <c r="L22" i="59"/>
  <c r="U20" i="59"/>
  <c r="P21" i="59"/>
  <c r="T21" i="59"/>
  <c r="S21" i="59"/>
  <c r="O21" i="59"/>
  <c r="Q21" i="59"/>
  <c r="K21" i="59"/>
  <c r="M21" i="59"/>
  <c r="I21" i="59"/>
  <c r="R22" i="59"/>
  <c r="V20" i="59"/>
  <c r="B23" i="59"/>
  <c r="G23" i="59" l="1"/>
  <c r="D23" i="59"/>
  <c r="E23" i="59"/>
  <c r="F23" i="59"/>
  <c r="H23" i="59"/>
  <c r="C23" i="59"/>
  <c r="A22" i="59"/>
  <c r="N22" i="59"/>
  <c r="J23" i="59"/>
  <c r="L23" i="59"/>
  <c r="U21" i="59"/>
  <c r="P22" i="59"/>
  <c r="T22" i="59"/>
  <c r="S22" i="59"/>
  <c r="O22" i="59"/>
  <c r="Q22" i="59"/>
  <c r="K22" i="59"/>
  <c r="M22" i="59"/>
  <c r="I22" i="59"/>
  <c r="R23" i="59"/>
  <c r="V21" i="59"/>
  <c r="B24" i="59"/>
  <c r="F24" i="59" l="1"/>
  <c r="H24" i="59"/>
  <c r="R24" i="59" s="1"/>
  <c r="E24" i="59"/>
  <c r="C24" i="59"/>
  <c r="D24" i="59"/>
  <c r="G24" i="59"/>
  <c r="A23" i="59"/>
  <c r="N23" i="59"/>
  <c r="J24" i="59"/>
  <c r="U22" i="59"/>
  <c r="V22" i="59" s="1"/>
  <c r="P23" i="59"/>
  <c r="T23" i="59"/>
  <c r="S23" i="59"/>
  <c r="O23" i="59"/>
  <c r="Q23" i="59"/>
  <c r="K23" i="59"/>
  <c r="M23" i="59"/>
  <c r="I23" i="59"/>
  <c r="N24" i="59"/>
  <c r="L24" i="59"/>
  <c r="B25" i="59"/>
  <c r="G25" i="59" l="1"/>
  <c r="D25" i="59"/>
  <c r="C25" i="59"/>
  <c r="F25" i="59"/>
  <c r="H25" i="59"/>
  <c r="E25" i="59"/>
  <c r="L25" i="59" s="1"/>
  <c r="A24" i="59"/>
  <c r="J25" i="59"/>
  <c r="K24" i="59"/>
  <c r="O24" i="59"/>
  <c r="Q24" i="59"/>
  <c r="U23" i="59"/>
  <c r="P24" i="59"/>
  <c r="T24" i="59"/>
  <c r="S24" i="59"/>
  <c r="M24" i="59"/>
  <c r="I24" i="59"/>
  <c r="R25" i="59"/>
  <c r="B26" i="59"/>
  <c r="F26" i="59" l="1"/>
  <c r="H26" i="59"/>
  <c r="R26" i="59" s="1"/>
  <c r="E26" i="59"/>
  <c r="C26" i="59"/>
  <c r="D26" i="59"/>
  <c r="G26" i="59"/>
  <c r="A25" i="59"/>
  <c r="N25" i="59"/>
  <c r="B27" i="59"/>
  <c r="V23" i="59"/>
  <c r="J26" i="59"/>
  <c r="P25" i="59"/>
  <c r="T25" i="59"/>
  <c r="S25" i="59"/>
  <c r="O25" i="59"/>
  <c r="Q25" i="59"/>
  <c r="K25" i="59"/>
  <c r="U24" i="59"/>
  <c r="V24" i="59" s="1"/>
  <c r="M25" i="59"/>
  <c r="I25" i="59"/>
  <c r="L26" i="59"/>
  <c r="G27" i="59" l="1"/>
  <c r="D27" i="59"/>
  <c r="A27" i="59" s="1"/>
  <c r="C27" i="59"/>
  <c r="F27" i="59"/>
  <c r="H27" i="59"/>
  <c r="E27" i="59"/>
  <c r="L27" i="59" s="1"/>
  <c r="R27" i="59"/>
  <c r="B28" i="59"/>
  <c r="A26" i="59"/>
  <c r="P27" i="59"/>
  <c r="T27" i="59"/>
  <c r="O27" i="59"/>
  <c r="J27" i="59"/>
  <c r="M27" i="59"/>
  <c r="N27" i="59"/>
  <c r="I27" i="59"/>
  <c r="K27" i="59"/>
  <c r="U25" i="59"/>
  <c r="V25" i="59" s="1"/>
  <c r="P26" i="59"/>
  <c r="T26" i="59"/>
  <c r="S26" i="59"/>
  <c r="O26" i="59"/>
  <c r="Q26" i="59"/>
  <c r="K26" i="59"/>
  <c r="M26" i="59"/>
  <c r="N26" i="59"/>
  <c r="I26" i="59"/>
  <c r="F28" i="59" l="1"/>
  <c r="H28" i="59"/>
  <c r="R28" i="59" s="1"/>
  <c r="E28" i="59"/>
  <c r="L28" i="59" s="1"/>
  <c r="C28" i="59"/>
  <c r="I28" i="59" s="1"/>
  <c r="D28" i="59"/>
  <c r="G28" i="59"/>
  <c r="P28" i="59" s="1"/>
  <c r="B29" i="59"/>
  <c r="Q27" i="59"/>
  <c r="S27" i="59"/>
  <c r="A28" i="59"/>
  <c r="O28" i="59"/>
  <c r="J28" i="59"/>
  <c r="M28" i="59"/>
  <c r="N28" i="59"/>
  <c r="U26" i="59"/>
  <c r="B39" i="12"/>
  <c r="B8" i="12"/>
  <c r="E8" i="12" s="1"/>
  <c r="K28" i="59" l="1"/>
  <c r="S28" i="59"/>
  <c r="U27" i="59"/>
  <c r="V27" i="59" s="1"/>
  <c r="Q28" i="59"/>
  <c r="T28" i="59"/>
  <c r="G29" i="59"/>
  <c r="D29" i="59"/>
  <c r="C29" i="59"/>
  <c r="F29" i="59"/>
  <c r="H29" i="59"/>
  <c r="R29" i="59" s="1"/>
  <c r="E29" i="59"/>
  <c r="L29" i="59" s="1"/>
  <c r="B30" i="59"/>
  <c r="H8" i="12"/>
  <c r="G8" i="12"/>
  <c r="F8" i="12"/>
  <c r="D8" i="12"/>
  <c r="B9" i="12"/>
  <c r="E9" i="12" s="1"/>
  <c r="U28" i="59"/>
  <c r="P29" i="59"/>
  <c r="S29" i="59"/>
  <c r="T29" i="59"/>
  <c r="O29" i="59"/>
  <c r="Q29" i="59"/>
  <c r="J29" i="59"/>
  <c r="M29" i="59"/>
  <c r="N29" i="59"/>
  <c r="I29" i="59"/>
  <c r="K29" i="59"/>
  <c r="V26" i="59"/>
  <c r="B40" i="12"/>
  <c r="B10" i="12"/>
  <c r="E10" i="12" s="1"/>
  <c r="B31" i="59" l="1"/>
  <c r="C28" i="85"/>
  <c r="J28" i="85" s="1"/>
  <c r="F29" i="83" s="1"/>
  <c r="H29" i="83" s="1"/>
  <c r="K29" i="83" s="1"/>
  <c r="C29" i="85"/>
  <c r="J29" i="85" s="1"/>
  <c r="F30" i="83" s="1"/>
  <c r="C27" i="85"/>
  <c r="J27" i="85" s="1"/>
  <c r="F28" i="83" s="1"/>
  <c r="C12" i="85"/>
  <c r="J12" i="85" s="1"/>
  <c r="C13" i="85"/>
  <c r="J13" i="85" s="1"/>
  <c r="C14" i="85"/>
  <c r="J14" i="85" s="1"/>
  <c r="C15" i="85"/>
  <c r="J15" i="85" s="1"/>
  <c r="C16" i="85"/>
  <c r="J16" i="85" s="1"/>
  <c r="C17" i="85"/>
  <c r="J17" i="85" s="1"/>
  <c r="C18" i="85"/>
  <c r="J18" i="85" s="1"/>
  <c r="C19" i="85"/>
  <c r="J19" i="85" s="1"/>
  <c r="C20" i="85"/>
  <c r="J20" i="85" s="1"/>
  <c r="C21" i="85"/>
  <c r="J21" i="85" s="1"/>
  <c r="C22" i="85"/>
  <c r="J22" i="85" s="1"/>
  <c r="C23" i="85"/>
  <c r="J23" i="85" s="1"/>
  <c r="C24" i="85"/>
  <c r="J24" i="85" s="1"/>
  <c r="C25" i="85"/>
  <c r="J25" i="85" s="1"/>
  <c r="C26" i="85"/>
  <c r="J26" i="85" s="1"/>
  <c r="A29" i="59"/>
  <c r="C30" i="85" s="1"/>
  <c r="F30" i="59"/>
  <c r="H30" i="59"/>
  <c r="R30" i="59" s="1"/>
  <c r="E30" i="59"/>
  <c r="L30" i="59" s="1"/>
  <c r="C30" i="59"/>
  <c r="D30" i="59"/>
  <c r="G30" i="59"/>
  <c r="S30" i="59" s="1"/>
  <c r="C9" i="85"/>
  <c r="J9" i="85" s="1"/>
  <c r="G31" i="59"/>
  <c r="D31" i="59"/>
  <c r="H31" i="59"/>
  <c r="C31" i="59"/>
  <c r="F31" i="59"/>
  <c r="E31" i="59"/>
  <c r="C8" i="12"/>
  <c r="C7" i="12"/>
  <c r="J7" i="12" s="1"/>
  <c r="G29" i="83"/>
  <c r="J29" i="83" s="1"/>
  <c r="C7" i="85"/>
  <c r="C10" i="85"/>
  <c r="J10" i="85" s="1"/>
  <c r="C11" i="85"/>
  <c r="J11" i="85" s="1"/>
  <c r="C29" i="83"/>
  <c r="D29" i="83" s="1"/>
  <c r="E29" i="83" s="1"/>
  <c r="C8" i="85"/>
  <c r="J8" i="85" s="1"/>
  <c r="I29" i="83"/>
  <c r="L29" i="83" s="1"/>
  <c r="C28" i="86"/>
  <c r="D28" i="86" s="1"/>
  <c r="E28" i="86" s="1"/>
  <c r="A30" i="59"/>
  <c r="C31" i="85" s="1"/>
  <c r="J31" i="85" s="1"/>
  <c r="C7" i="86"/>
  <c r="D7" i="86" s="1"/>
  <c r="E7" i="86" s="1"/>
  <c r="L31" i="59"/>
  <c r="L32" i="59" s="1"/>
  <c r="R31" i="59"/>
  <c r="R32" i="59" s="1"/>
  <c r="N10" i="12"/>
  <c r="N9" i="12"/>
  <c r="V28" i="59"/>
  <c r="C10" i="12"/>
  <c r="H10" i="12"/>
  <c r="G10" i="12"/>
  <c r="F10" i="12"/>
  <c r="D10" i="12"/>
  <c r="C9" i="12"/>
  <c r="H9" i="12"/>
  <c r="G9" i="12"/>
  <c r="F9" i="12"/>
  <c r="D9" i="12"/>
  <c r="J8" i="12"/>
  <c r="U29" i="59"/>
  <c r="P30" i="59"/>
  <c r="T30" i="59"/>
  <c r="O30" i="59"/>
  <c r="Q30" i="59"/>
  <c r="J30" i="59"/>
  <c r="M30" i="59"/>
  <c r="N30" i="59"/>
  <c r="I30" i="59"/>
  <c r="B11" i="12"/>
  <c r="E11" i="12" s="1"/>
  <c r="B41" i="12"/>
  <c r="F27" i="83" l="1"/>
  <c r="C27" i="86"/>
  <c r="D27" i="86" s="1"/>
  <c r="E27" i="86" s="1"/>
  <c r="F26" i="83"/>
  <c r="C26" i="86"/>
  <c r="D26" i="86" s="1"/>
  <c r="E26" i="86" s="1"/>
  <c r="F25" i="83"/>
  <c r="C25" i="86"/>
  <c r="D25" i="86" s="1"/>
  <c r="E25" i="86" s="1"/>
  <c r="F24" i="83"/>
  <c r="C24" i="86"/>
  <c r="D24" i="86" s="1"/>
  <c r="E24" i="86" s="1"/>
  <c r="F23" i="83"/>
  <c r="C23" i="86"/>
  <c r="D23" i="86" s="1"/>
  <c r="E23" i="86" s="1"/>
  <c r="F22" i="83"/>
  <c r="C22" i="86"/>
  <c r="D22" i="86" s="1"/>
  <c r="E22" i="86" s="1"/>
  <c r="F21" i="83"/>
  <c r="C21" i="86"/>
  <c r="D21" i="86" s="1"/>
  <c r="E21" i="86" s="1"/>
  <c r="F20" i="83"/>
  <c r="C20" i="86"/>
  <c r="D20" i="86" s="1"/>
  <c r="E20" i="86" s="1"/>
  <c r="F19" i="83"/>
  <c r="C19" i="86"/>
  <c r="D19" i="86" s="1"/>
  <c r="E19" i="86" s="1"/>
  <c r="F18" i="83"/>
  <c r="C18" i="86"/>
  <c r="D18" i="86" s="1"/>
  <c r="E18" i="86" s="1"/>
  <c r="F17" i="83"/>
  <c r="C17" i="86"/>
  <c r="D17" i="86" s="1"/>
  <c r="E17" i="86" s="1"/>
  <c r="F16" i="83"/>
  <c r="C16" i="86"/>
  <c r="D16" i="86" s="1"/>
  <c r="E16" i="86" s="1"/>
  <c r="F15" i="83"/>
  <c r="C15" i="86"/>
  <c r="D15" i="86" s="1"/>
  <c r="E15" i="86" s="1"/>
  <c r="F14" i="83"/>
  <c r="C14" i="86"/>
  <c r="D14" i="86" s="1"/>
  <c r="E14" i="86" s="1"/>
  <c r="C13" i="86"/>
  <c r="D13" i="86" s="1"/>
  <c r="E13" i="86" s="1"/>
  <c r="F13" i="83"/>
  <c r="J7" i="85"/>
  <c r="F8" i="83" s="1"/>
  <c r="J30" i="85"/>
  <c r="F31" i="83" s="1"/>
  <c r="M29" i="83"/>
  <c r="N29" i="83" s="1"/>
  <c r="P29" i="83" s="1"/>
  <c r="K30" i="59"/>
  <c r="C29" i="86"/>
  <c r="D29" i="86" s="1"/>
  <c r="E29" i="86" s="1"/>
  <c r="F32" i="83"/>
  <c r="C6" i="86"/>
  <c r="D6" i="86" s="1"/>
  <c r="F9" i="83"/>
  <c r="C12" i="86"/>
  <c r="D12" i="86" s="1"/>
  <c r="E12" i="86" s="1"/>
  <c r="F12" i="83"/>
  <c r="C11" i="86"/>
  <c r="D11" i="86" s="1"/>
  <c r="E11" i="86" s="1"/>
  <c r="F11" i="83"/>
  <c r="C10" i="86"/>
  <c r="D10" i="86" s="1"/>
  <c r="F10" i="83"/>
  <c r="C9" i="86"/>
  <c r="D9" i="86" s="1"/>
  <c r="E9" i="86" s="1"/>
  <c r="C8" i="86"/>
  <c r="D8" i="86" s="1"/>
  <c r="K7" i="12" s="1"/>
  <c r="I28" i="83"/>
  <c r="L28" i="83" s="1"/>
  <c r="C28" i="83"/>
  <c r="D28" i="83" s="1"/>
  <c r="E28" i="83" s="1"/>
  <c r="G28" i="83"/>
  <c r="J28" i="83" s="1"/>
  <c r="H28" i="83"/>
  <c r="K28" i="83" s="1"/>
  <c r="I6" i="83"/>
  <c r="G6" i="83"/>
  <c r="J6" i="83" s="1"/>
  <c r="C6" i="83"/>
  <c r="D6" i="83" s="1"/>
  <c r="E6" i="83" s="1"/>
  <c r="H6" i="83"/>
  <c r="H7" i="83"/>
  <c r="K7" i="83" s="1"/>
  <c r="I7" i="83"/>
  <c r="L7" i="83" s="1"/>
  <c r="G7" i="83"/>
  <c r="J7" i="83" s="1"/>
  <c r="C7" i="83"/>
  <c r="D7" i="83" s="1"/>
  <c r="E7" i="83" s="1"/>
  <c r="I5" i="83"/>
  <c r="C5" i="83"/>
  <c r="H5" i="83"/>
  <c r="G5" i="83"/>
  <c r="O29" i="83"/>
  <c r="A31" i="59"/>
  <c r="C34" i="85" s="1"/>
  <c r="J34" i="85" s="1"/>
  <c r="P31" i="59"/>
  <c r="P32" i="59" s="1"/>
  <c r="S31" i="59"/>
  <c r="S32" i="59" s="1"/>
  <c r="T31" i="59"/>
  <c r="T32" i="59" s="1"/>
  <c r="O31" i="59"/>
  <c r="O32" i="59" s="1"/>
  <c r="Q31" i="59"/>
  <c r="Q32" i="59" s="1"/>
  <c r="J31" i="59"/>
  <c r="J32" i="59" s="1"/>
  <c r="M31" i="59"/>
  <c r="M32" i="59" s="1"/>
  <c r="N31" i="59"/>
  <c r="N32" i="59" s="1"/>
  <c r="I31" i="59"/>
  <c r="K31" i="59"/>
  <c r="K32" i="59" s="1"/>
  <c r="L6" i="83"/>
  <c r="K6" i="83"/>
  <c r="E6" i="86"/>
  <c r="K8" i="12"/>
  <c r="K11" i="12"/>
  <c r="V29" i="59"/>
  <c r="C11" i="12"/>
  <c r="H11" i="12"/>
  <c r="G11" i="12"/>
  <c r="F11" i="12"/>
  <c r="D11" i="12"/>
  <c r="J9" i="12"/>
  <c r="J10" i="12"/>
  <c r="U30" i="59"/>
  <c r="B12" i="12"/>
  <c r="E12" i="12" s="1"/>
  <c r="B42" i="12"/>
  <c r="H13" i="83" l="1"/>
  <c r="K13" i="83" s="1"/>
  <c r="I13" i="83"/>
  <c r="L13" i="83" s="1"/>
  <c r="G13" i="83"/>
  <c r="J13" i="83" s="1"/>
  <c r="M13" i="83" s="1"/>
  <c r="C13" i="83"/>
  <c r="D13" i="83" s="1"/>
  <c r="E13" i="83" s="1"/>
  <c r="M12" i="12" s="1"/>
  <c r="I14" i="83"/>
  <c r="L14" i="83" s="1"/>
  <c r="G14" i="83"/>
  <c r="J14" i="83" s="1"/>
  <c r="H14" i="83"/>
  <c r="K14" i="83" s="1"/>
  <c r="C14" i="83"/>
  <c r="D14" i="83" s="1"/>
  <c r="E14" i="83" s="1"/>
  <c r="C15" i="83"/>
  <c r="D15" i="83" s="1"/>
  <c r="E15" i="83" s="1"/>
  <c r="G15" i="83"/>
  <c r="J15" i="83" s="1"/>
  <c r="H15" i="83"/>
  <c r="K15" i="83" s="1"/>
  <c r="I15" i="83"/>
  <c r="L15" i="83" s="1"/>
  <c r="I16" i="83"/>
  <c r="L16" i="83" s="1"/>
  <c r="G16" i="83"/>
  <c r="J16" i="83" s="1"/>
  <c r="C16" i="83"/>
  <c r="D16" i="83" s="1"/>
  <c r="E16" i="83" s="1"/>
  <c r="H16" i="83"/>
  <c r="K16" i="83" s="1"/>
  <c r="H17" i="83"/>
  <c r="K17" i="83" s="1"/>
  <c r="I17" i="83"/>
  <c r="L17" i="83" s="1"/>
  <c r="C17" i="83"/>
  <c r="D17" i="83" s="1"/>
  <c r="E17" i="83" s="1"/>
  <c r="G17" i="83"/>
  <c r="J17" i="83" s="1"/>
  <c r="M17" i="83" s="1"/>
  <c r="I18" i="83"/>
  <c r="L18" i="83" s="1"/>
  <c r="C18" i="83"/>
  <c r="D18" i="83" s="1"/>
  <c r="E18" i="83" s="1"/>
  <c r="G18" i="83"/>
  <c r="J18" i="83" s="1"/>
  <c r="H18" i="83"/>
  <c r="K18" i="83" s="1"/>
  <c r="I19" i="83"/>
  <c r="L19" i="83" s="1"/>
  <c r="C19" i="83"/>
  <c r="D19" i="83" s="1"/>
  <c r="E19" i="83" s="1"/>
  <c r="H19" i="83"/>
  <c r="K19" i="83" s="1"/>
  <c r="G19" i="83"/>
  <c r="J19" i="83" s="1"/>
  <c r="M19" i="83" s="1"/>
  <c r="G20" i="83"/>
  <c r="J20" i="83" s="1"/>
  <c r="H20" i="83"/>
  <c r="K20" i="83" s="1"/>
  <c r="I20" i="83"/>
  <c r="L20" i="83" s="1"/>
  <c r="C20" i="83"/>
  <c r="D20" i="83" s="1"/>
  <c r="E20" i="83" s="1"/>
  <c r="H21" i="83"/>
  <c r="K21" i="83" s="1"/>
  <c r="I21" i="83"/>
  <c r="L21" i="83" s="1"/>
  <c r="C21" i="83"/>
  <c r="D21" i="83" s="1"/>
  <c r="E21" i="83" s="1"/>
  <c r="G21" i="83"/>
  <c r="J21" i="83" s="1"/>
  <c r="M21" i="83" s="1"/>
  <c r="I22" i="83"/>
  <c r="L22" i="83" s="1"/>
  <c r="C22" i="83"/>
  <c r="D22" i="83" s="1"/>
  <c r="E22" i="83" s="1"/>
  <c r="G22" i="83"/>
  <c r="J22" i="83" s="1"/>
  <c r="H22" i="83"/>
  <c r="K22" i="83" s="1"/>
  <c r="H23" i="83"/>
  <c r="K23" i="83" s="1"/>
  <c r="I23" i="83"/>
  <c r="L23" i="83" s="1"/>
  <c r="C23" i="83"/>
  <c r="D23" i="83" s="1"/>
  <c r="E23" i="83" s="1"/>
  <c r="G23" i="83"/>
  <c r="J23" i="83" s="1"/>
  <c r="M23" i="83" s="1"/>
  <c r="G24" i="83"/>
  <c r="J24" i="83" s="1"/>
  <c r="H24" i="83"/>
  <c r="K24" i="83" s="1"/>
  <c r="I24" i="83"/>
  <c r="L24" i="83" s="1"/>
  <c r="C24" i="83"/>
  <c r="D24" i="83" s="1"/>
  <c r="E24" i="83" s="1"/>
  <c r="C25" i="83"/>
  <c r="D25" i="83" s="1"/>
  <c r="E25" i="83" s="1"/>
  <c r="G25" i="83"/>
  <c r="J25" i="83" s="1"/>
  <c r="H25" i="83"/>
  <c r="K25" i="83" s="1"/>
  <c r="I25" i="83"/>
  <c r="L25" i="83" s="1"/>
  <c r="I26" i="83"/>
  <c r="L26" i="83" s="1"/>
  <c r="H26" i="83"/>
  <c r="K26" i="83" s="1"/>
  <c r="G26" i="83"/>
  <c r="J26" i="83" s="1"/>
  <c r="M26" i="83" s="1"/>
  <c r="C26" i="83"/>
  <c r="D26" i="83" s="1"/>
  <c r="E26" i="83" s="1"/>
  <c r="H27" i="83"/>
  <c r="K27" i="83" s="1"/>
  <c r="I27" i="83"/>
  <c r="L27" i="83" s="1"/>
  <c r="G27" i="83"/>
  <c r="J27" i="83" s="1"/>
  <c r="M27" i="83" s="1"/>
  <c r="C27" i="83"/>
  <c r="D27" i="83" s="1"/>
  <c r="E27" i="83" s="1"/>
  <c r="N26" i="83"/>
  <c r="P26" i="83" s="1"/>
  <c r="G10" i="83"/>
  <c r="J10" i="83" s="1"/>
  <c r="H10" i="83"/>
  <c r="K10" i="83" s="1"/>
  <c r="I10" i="83"/>
  <c r="L10" i="83" s="1"/>
  <c r="C10" i="83"/>
  <c r="D10" i="83" s="1"/>
  <c r="E10" i="83" s="1"/>
  <c r="M9" i="12" s="1"/>
  <c r="H11" i="83"/>
  <c r="K11" i="83" s="1"/>
  <c r="I11" i="83"/>
  <c r="L11" i="83" s="1"/>
  <c r="G11" i="83"/>
  <c r="J11" i="83" s="1"/>
  <c r="C11" i="83"/>
  <c r="D11" i="83" s="1"/>
  <c r="E11" i="83" s="1"/>
  <c r="G12" i="83"/>
  <c r="J12" i="83" s="1"/>
  <c r="I12" i="83"/>
  <c r="L12" i="83" s="1"/>
  <c r="H12" i="83"/>
  <c r="K12" i="83" s="1"/>
  <c r="C12" i="83"/>
  <c r="D12" i="83" s="1"/>
  <c r="E12" i="83" s="1"/>
  <c r="C32" i="85"/>
  <c r="J32" i="85" s="1"/>
  <c r="E10" i="86"/>
  <c r="K9" i="12"/>
  <c r="G8" i="83"/>
  <c r="H8" i="83"/>
  <c r="I8" i="83"/>
  <c r="C8" i="83"/>
  <c r="C9" i="83"/>
  <c r="D9" i="83" s="1"/>
  <c r="E9" i="83" s="1"/>
  <c r="M11" i="12" s="1"/>
  <c r="H9" i="83"/>
  <c r="K9" i="83" s="1"/>
  <c r="I9" i="83"/>
  <c r="L9" i="83" s="1"/>
  <c r="G9" i="83"/>
  <c r="J9" i="83" s="1"/>
  <c r="E8" i="86"/>
  <c r="K10" i="12"/>
  <c r="M28" i="83"/>
  <c r="O28" i="83" s="1"/>
  <c r="C30" i="86"/>
  <c r="D30" i="86" s="1"/>
  <c r="E30" i="86" s="1"/>
  <c r="C33" i="85"/>
  <c r="J33" i="85" s="1"/>
  <c r="M6" i="83"/>
  <c r="N6" i="83" s="1"/>
  <c r="P6" i="83" s="1"/>
  <c r="M7" i="83"/>
  <c r="N7" i="83" s="1"/>
  <c r="P7" i="83" s="1"/>
  <c r="D5" i="83"/>
  <c r="E5" i="83" s="1"/>
  <c r="J5" i="83"/>
  <c r="K5" i="83"/>
  <c r="L5" i="83"/>
  <c r="U31" i="59"/>
  <c r="V31" i="59" s="1"/>
  <c r="I32" i="59"/>
  <c r="C32" i="86"/>
  <c r="D32" i="86" s="1"/>
  <c r="L12" i="12"/>
  <c r="K12" i="12"/>
  <c r="V30" i="59"/>
  <c r="C12" i="12"/>
  <c r="H12" i="12"/>
  <c r="G12" i="12"/>
  <c r="F12" i="12"/>
  <c r="D12" i="12"/>
  <c r="J11" i="12"/>
  <c r="B13" i="12"/>
  <c r="B43" i="12"/>
  <c r="B14" i="48"/>
  <c r="D8" i="83" l="1"/>
  <c r="E8" i="83" s="1"/>
  <c r="M10" i="12" s="1"/>
  <c r="L8" i="83"/>
  <c r="K8" i="83"/>
  <c r="J8" i="83"/>
  <c r="M13" i="12"/>
  <c r="E13" i="12"/>
  <c r="V14" i="48"/>
  <c r="U14" i="48" s="1"/>
  <c r="W14" i="48" s="1"/>
  <c r="J14" i="48"/>
  <c r="I14" i="48" s="1"/>
  <c r="K14" i="48" s="1"/>
  <c r="P14" i="48"/>
  <c r="O27" i="83"/>
  <c r="N27" i="83"/>
  <c r="P27" i="83" s="1"/>
  <c r="O26" i="83"/>
  <c r="M25" i="83"/>
  <c r="M24" i="83"/>
  <c r="N23" i="83"/>
  <c r="P23" i="83" s="1"/>
  <c r="O23" i="83"/>
  <c r="M22" i="83"/>
  <c r="O21" i="83"/>
  <c r="N21" i="83"/>
  <c r="P21" i="83" s="1"/>
  <c r="M20" i="83"/>
  <c r="N19" i="83"/>
  <c r="P19" i="83" s="1"/>
  <c r="O19" i="83"/>
  <c r="M18" i="83"/>
  <c r="O17" i="83"/>
  <c r="N17" i="83"/>
  <c r="P17" i="83" s="1"/>
  <c r="M16" i="83"/>
  <c r="M15" i="83"/>
  <c r="M14" i="83"/>
  <c r="N13" i="83"/>
  <c r="P13" i="83" s="1"/>
  <c r="O13" i="83"/>
  <c r="V32" i="59"/>
  <c r="M11" i="83"/>
  <c r="O11" i="83" s="1"/>
  <c r="M12" i="83"/>
  <c r="N11" i="83"/>
  <c r="P11" i="83" s="1"/>
  <c r="M10" i="83"/>
  <c r="J35" i="85"/>
  <c r="N28" i="83"/>
  <c r="P28" i="83" s="1"/>
  <c r="M8" i="12"/>
  <c r="M9" i="83"/>
  <c r="N9" i="83" s="1"/>
  <c r="P9" i="83" s="1"/>
  <c r="M8" i="83"/>
  <c r="O9" i="83"/>
  <c r="L11" i="12"/>
  <c r="U32" i="59"/>
  <c r="O7" i="83"/>
  <c r="D14" i="48"/>
  <c r="G14" i="48"/>
  <c r="F14" i="48" s="1"/>
  <c r="H14" i="48" s="1"/>
  <c r="F33" i="83"/>
  <c r="C31" i="86"/>
  <c r="D31" i="86" s="1"/>
  <c r="E31" i="86" s="1"/>
  <c r="G30" i="83"/>
  <c r="H30" i="83"/>
  <c r="I30" i="83"/>
  <c r="C30" i="83"/>
  <c r="I32" i="83"/>
  <c r="G32" i="83"/>
  <c r="C32" i="83"/>
  <c r="H32" i="83"/>
  <c r="O6" i="83"/>
  <c r="L8" i="12"/>
  <c r="L9" i="12"/>
  <c r="E32" i="86"/>
  <c r="E33" i="86" s="1"/>
  <c r="M5" i="83"/>
  <c r="M7" i="12"/>
  <c r="L13" i="12"/>
  <c r="K13" i="12"/>
  <c r="C13" i="12"/>
  <c r="H13" i="12"/>
  <c r="G13" i="12"/>
  <c r="F13" i="12"/>
  <c r="D13" i="12"/>
  <c r="J12" i="12"/>
  <c r="C14" i="48"/>
  <c r="E14" i="48" s="1"/>
  <c r="S14" i="48"/>
  <c r="R14" i="48" s="1"/>
  <c r="O14" i="48"/>
  <c r="Q14" i="48" s="1"/>
  <c r="M14" i="48"/>
  <c r="L14" i="48" s="1"/>
  <c r="N14" i="48" s="1"/>
  <c r="B14" i="12"/>
  <c r="B44" i="12"/>
  <c r="B15" i="48"/>
  <c r="D30" i="83" l="1"/>
  <c r="E30" i="83" s="1"/>
  <c r="L30" i="83"/>
  <c r="K30" i="83"/>
  <c r="J30" i="83"/>
  <c r="M14" i="12"/>
  <c r="E14" i="12"/>
  <c r="V15" i="48"/>
  <c r="U15" i="48" s="1"/>
  <c r="W15" i="48" s="1"/>
  <c r="J15" i="48"/>
  <c r="I15" i="48" s="1"/>
  <c r="K15" i="48" s="1"/>
  <c r="P15" i="48"/>
  <c r="O14" i="83"/>
  <c r="N14" i="83"/>
  <c r="P14" i="83" s="1"/>
  <c r="N15" i="83"/>
  <c r="P15" i="83" s="1"/>
  <c r="O15" i="83"/>
  <c r="N16" i="83"/>
  <c r="P16" i="83" s="1"/>
  <c r="O16" i="83"/>
  <c r="N18" i="83"/>
  <c r="P18" i="83" s="1"/>
  <c r="O18" i="83"/>
  <c r="N20" i="83"/>
  <c r="P20" i="83" s="1"/>
  <c r="O20" i="83"/>
  <c r="N22" i="83"/>
  <c r="P22" i="83" s="1"/>
  <c r="O22" i="83"/>
  <c r="O24" i="83"/>
  <c r="N24" i="83"/>
  <c r="P24" i="83" s="1"/>
  <c r="N25" i="83"/>
  <c r="P25" i="83" s="1"/>
  <c r="O25" i="83"/>
  <c r="N10" i="83"/>
  <c r="P10" i="83" s="1"/>
  <c r="O10" i="83"/>
  <c r="D33" i="86"/>
  <c r="N12" i="83"/>
  <c r="P12" i="83" s="1"/>
  <c r="O12" i="83"/>
  <c r="O8" i="83"/>
  <c r="N8" i="83"/>
  <c r="P8" i="83" s="1"/>
  <c r="L10" i="12"/>
  <c r="D15" i="48"/>
  <c r="G15" i="48"/>
  <c r="F15" i="48" s="1"/>
  <c r="H15" i="48" s="1"/>
  <c r="M30" i="83"/>
  <c r="H31" i="83"/>
  <c r="I31" i="83"/>
  <c r="C31" i="83"/>
  <c r="G31" i="83"/>
  <c r="N5" i="83"/>
  <c r="O5" i="83"/>
  <c r="L7" i="12"/>
  <c r="D32" i="83"/>
  <c r="E32" i="83" s="1"/>
  <c r="X58" i="83"/>
  <c r="J32" i="83"/>
  <c r="K32" i="83"/>
  <c r="L32" i="83"/>
  <c r="L14" i="12"/>
  <c r="K14" i="12"/>
  <c r="C14" i="12"/>
  <c r="H14" i="12"/>
  <c r="G14" i="12"/>
  <c r="F14" i="12"/>
  <c r="D14" i="12"/>
  <c r="J13" i="12"/>
  <c r="C15" i="48"/>
  <c r="E15" i="48" s="1"/>
  <c r="T14" i="48"/>
  <c r="X14" i="48" s="1"/>
  <c r="S15" i="48"/>
  <c r="R15" i="48" s="1"/>
  <c r="O15" i="48"/>
  <c r="Q15" i="48" s="1"/>
  <c r="M15" i="48"/>
  <c r="L15" i="48" s="1"/>
  <c r="N15" i="48" s="1"/>
  <c r="B15" i="12"/>
  <c r="B45" i="12"/>
  <c r="B46" i="12" s="1"/>
  <c r="B16" i="48"/>
  <c r="J31" i="83" l="1"/>
  <c r="G33" i="83"/>
  <c r="G34" i="83" s="1"/>
  <c r="E53" i="83" s="1"/>
  <c r="D31" i="83"/>
  <c r="E31" i="83" s="1"/>
  <c r="C33" i="83"/>
  <c r="E52" i="83" s="1"/>
  <c r="L31" i="83"/>
  <c r="I33" i="83"/>
  <c r="I34" i="83" s="1"/>
  <c r="E55" i="83" s="1"/>
  <c r="K31" i="83"/>
  <c r="H33" i="83"/>
  <c r="H34" i="83" s="1"/>
  <c r="E54" i="83" s="1"/>
  <c r="M15" i="12"/>
  <c r="E15" i="12"/>
  <c r="V16" i="48"/>
  <c r="U16" i="48" s="1"/>
  <c r="W16" i="48" s="1"/>
  <c r="J16" i="48"/>
  <c r="I16" i="48" s="1"/>
  <c r="K16" i="48" s="1"/>
  <c r="P16" i="48"/>
  <c r="N11" i="12"/>
  <c r="B47" i="12"/>
  <c r="X61" i="83"/>
  <c r="X59" i="83"/>
  <c r="M31" i="83"/>
  <c r="N31" i="83" s="1"/>
  <c r="P31" i="83" s="1"/>
  <c r="D16" i="48"/>
  <c r="G16" i="48"/>
  <c r="F16" i="48" s="1"/>
  <c r="H16" i="48" s="1"/>
  <c r="O31" i="83"/>
  <c r="N30" i="83"/>
  <c r="P30" i="83" s="1"/>
  <c r="O30" i="83"/>
  <c r="Y14" i="48"/>
  <c r="M32" i="83"/>
  <c r="E33" i="83"/>
  <c r="P5" i="83"/>
  <c r="L15" i="12"/>
  <c r="K15" i="12"/>
  <c r="C15" i="12"/>
  <c r="H15" i="12"/>
  <c r="G15" i="12"/>
  <c r="F15" i="12"/>
  <c r="D15" i="12"/>
  <c r="J14" i="12"/>
  <c r="C16" i="48"/>
  <c r="E16" i="48" s="1"/>
  <c r="T15" i="48"/>
  <c r="X15" i="48" s="1"/>
  <c r="S16" i="48"/>
  <c r="R16" i="48" s="1"/>
  <c r="O16" i="48"/>
  <c r="Q16" i="48" s="1"/>
  <c r="M16" i="48"/>
  <c r="L16" i="48" s="1"/>
  <c r="N16" i="48" s="1"/>
  <c r="B16" i="12"/>
  <c r="E16" i="12" s="1"/>
  <c r="B17" i="48"/>
  <c r="V17" i="48" l="1"/>
  <c r="U17" i="48" s="1"/>
  <c r="W17" i="48" s="1"/>
  <c r="J17" i="48"/>
  <c r="I17" i="48" s="1"/>
  <c r="K17" i="48" s="1"/>
  <c r="P17" i="48"/>
  <c r="N12" i="12"/>
  <c r="M16" i="12"/>
  <c r="B17" i="12"/>
  <c r="E17" i="12" s="1"/>
  <c r="B48" i="12"/>
  <c r="D17" i="48"/>
  <c r="S17" i="48"/>
  <c r="R17" i="48" s="1"/>
  <c r="G17" i="48"/>
  <c r="F17" i="48" s="1"/>
  <c r="H17" i="48" s="1"/>
  <c r="Y15" i="48"/>
  <c r="N32" i="83"/>
  <c r="O32" i="83"/>
  <c r="O33" i="83" s="1"/>
  <c r="L16" i="12"/>
  <c r="K16" i="12"/>
  <c r="C16" i="12"/>
  <c r="H16" i="12"/>
  <c r="G16" i="12"/>
  <c r="F16" i="12"/>
  <c r="D16" i="12"/>
  <c r="J15" i="12"/>
  <c r="C17" i="48"/>
  <c r="E17" i="48" s="1"/>
  <c r="T16" i="48"/>
  <c r="X16" i="48" s="1"/>
  <c r="O17" i="48"/>
  <c r="Q17" i="48" s="1"/>
  <c r="M17" i="48"/>
  <c r="L17" i="48" s="1"/>
  <c r="N17" i="48" s="1"/>
  <c r="B18" i="48"/>
  <c r="V18" i="48" l="1"/>
  <c r="U18" i="48" s="1"/>
  <c r="W18" i="48" s="1"/>
  <c r="J18" i="48"/>
  <c r="I18" i="48" s="1"/>
  <c r="K18" i="48" s="1"/>
  <c r="P18" i="48"/>
  <c r="N13" i="12"/>
  <c r="B18" i="12"/>
  <c r="E18" i="12" s="1"/>
  <c r="F17" i="12"/>
  <c r="D17" i="12"/>
  <c r="G17" i="12"/>
  <c r="H17" i="12"/>
  <c r="C17" i="12"/>
  <c r="J17" i="12" s="1"/>
  <c r="K17" i="12"/>
  <c r="M17" i="12"/>
  <c r="L17" i="12"/>
  <c r="D18" i="48"/>
  <c r="G18" i="48"/>
  <c r="F18" i="48" s="1"/>
  <c r="H18" i="48" s="1"/>
  <c r="S18" i="48"/>
  <c r="Y16" i="48"/>
  <c r="P32" i="83"/>
  <c r="P33" i="83" s="1"/>
  <c r="N33" i="83"/>
  <c r="J16" i="12"/>
  <c r="C18" i="48"/>
  <c r="E18" i="48" s="1"/>
  <c r="T17" i="48"/>
  <c r="X17" i="48" s="1"/>
  <c r="R18" i="48"/>
  <c r="O18" i="48"/>
  <c r="Q18" i="48" s="1"/>
  <c r="M18" i="48"/>
  <c r="L18" i="48" s="1"/>
  <c r="N18" i="48" s="1"/>
  <c r="B19" i="48"/>
  <c r="B20" i="48" l="1"/>
  <c r="V19" i="48"/>
  <c r="U19" i="48" s="1"/>
  <c r="W19" i="48" s="1"/>
  <c r="J19" i="48"/>
  <c r="I19" i="48" s="1"/>
  <c r="K19" i="48" s="1"/>
  <c r="P19" i="48"/>
  <c r="N14" i="12"/>
  <c r="B21" i="48"/>
  <c r="S20" i="48"/>
  <c r="D20" i="48"/>
  <c r="G20" i="48"/>
  <c r="M20" i="48"/>
  <c r="B19" i="12"/>
  <c r="E19" i="12" s="1"/>
  <c r="F18" i="12"/>
  <c r="D18" i="12"/>
  <c r="G18" i="12"/>
  <c r="H18" i="12"/>
  <c r="C18" i="12"/>
  <c r="J18" i="12" s="1"/>
  <c r="K18" i="12"/>
  <c r="M18" i="12"/>
  <c r="L18" i="12"/>
  <c r="D19" i="48"/>
  <c r="S19" i="48"/>
  <c r="G19" i="48"/>
  <c r="F19" i="48" s="1"/>
  <c r="Y17" i="48"/>
  <c r="C19" i="48"/>
  <c r="T18" i="48"/>
  <c r="X18" i="48" s="1"/>
  <c r="R19" i="48"/>
  <c r="R20" i="48" s="1"/>
  <c r="O19" i="48"/>
  <c r="M19" i="48"/>
  <c r="L19" i="48" s="1"/>
  <c r="N15" i="12" l="1"/>
  <c r="V21" i="48"/>
  <c r="J21" i="48"/>
  <c r="P21" i="48"/>
  <c r="V20" i="48"/>
  <c r="U20" i="48" s="1"/>
  <c r="W20" i="48" s="1"/>
  <c r="J20" i="48"/>
  <c r="I20" i="48" s="1"/>
  <c r="K20" i="48" s="1"/>
  <c r="P20" i="48"/>
  <c r="B22" i="48"/>
  <c r="S21" i="48"/>
  <c r="D21" i="48"/>
  <c r="G21" i="48"/>
  <c r="M21" i="48"/>
  <c r="B20" i="12"/>
  <c r="E20" i="12" s="1"/>
  <c r="F19" i="12"/>
  <c r="D19" i="12"/>
  <c r="H19" i="12"/>
  <c r="G19" i="12"/>
  <c r="C19" i="12"/>
  <c r="J19" i="12" s="1"/>
  <c r="K19" i="12"/>
  <c r="M19" i="12"/>
  <c r="L19" i="12"/>
  <c r="N19" i="48"/>
  <c r="L20" i="48"/>
  <c r="Q19" i="48"/>
  <c r="O20" i="48"/>
  <c r="T20" i="48"/>
  <c r="R21" i="48"/>
  <c r="E19" i="48"/>
  <c r="C20" i="48"/>
  <c r="H19" i="48"/>
  <c r="F20" i="48"/>
  <c r="Y18" i="48"/>
  <c r="T19" i="48"/>
  <c r="X19" i="48" l="1"/>
  <c r="N16" i="12"/>
  <c r="V22" i="48"/>
  <c r="J22" i="48"/>
  <c r="P22" i="48"/>
  <c r="I21" i="48"/>
  <c r="K21" i="48" s="1"/>
  <c r="U21" i="48"/>
  <c r="W21" i="48" s="1"/>
  <c r="S22" i="48"/>
  <c r="D22" i="48"/>
  <c r="G22" i="48"/>
  <c r="M22" i="48"/>
  <c r="F20" i="12"/>
  <c r="D20" i="12"/>
  <c r="G20" i="12"/>
  <c r="H20" i="12"/>
  <c r="C20" i="12"/>
  <c r="J20" i="12" s="1"/>
  <c r="K20" i="12"/>
  <c r="M20" i="12"/>
  <c r="L20" i="12"/>
  <c r="H20" i="48"/>
  <c r="F21" i="48"/>
  <c r="E20" i="48"/>
  <c r="C21" i="48"/>
  <c r="T21" i="48"/>
  <c r="R22" i="48"/>
  <c r="T22" i="48" s="1"/>
  <c r="Q20" i="48"/>
  <c r="O21" i="48"/>
  <c r="N20" i="48"/>
  <c r="L21" i="48"/>
  <c r="Y19" i="48"/>
  <c r="X20" i="48" l="1"/>
  <c r="I22" i="48"/>
  <c r="K22" i="48" s="1"/>
  <c r="U22" i="48"/>
  <c r="W22" i="48" s="1"/>
  <c r="Y20" i="48"/>
  <c r="N21" i="48"/>
  <c r="L22" i="48"/>
  <c r="N22" i="48" s="1"/>
  <c r="Q21" i="48"/>
  <c r="O22" i="48"/>
  <c r="Q22" i="48" s="1"/>
  <c r="E21" i="48"/>
  <c r="C22" i="48"/>
  <c r="E22" i="48" s="1"/>
  <c r="H21" i="48"/>
  <c r="F22" i="48"/>
  <c r="H22" i="48" s="1"/>
  <c r="B49" i="12"/>
  <c r="B50" i="12" s="1"/>
  <c r="B51" i="12" s="1"/>
  <c r="B52" i="12" s="1"/>
  <c r="B53" i="12" s="1"/>
  <c r="B54" i="12" s="1"/>
  <c r="B55" i="12" s="1"/>
  <c r="B56" i="12" s="1"/>
  <c r="B57" i="12" s="1"/>
  <c r="B58" i="12" s="1"/>
  <c r="B59" i="12" s="1"/>
  <c r="B60" i="12" s="1"/>
  <c r="B61" i="12" s="1"/>
  <c r="X22" i="48" l="1"/>
  <c r="X21" i="48"/>
  <c r="Y21" i="48"/>
  <c r="Y22" i="48"/>
  <c r="B23" i="48"/>
  <c r="V23" i="48" l="1"/>
  <c r="U23" i="48" s="1"/>
  <c r="W23" i="48" s="1"/>
  <c r="J23" i="48"/>
  <c r="I23" i="48" s="1"/>
  <c r="K23" i="48" s="1"/>
  <c r="P23" i="48"/>
  <c r="D23" i="48"/>
  <c r="C23" i="48" s="1"/>
  <c r="E23" i="48" s="1"/>
  <c r="S23" i="48"/>
  <c r="R23" i="48" s="1"/>
  <c r="G23" i="48"/>
  <c r="F23" i="48" s="1"/>
  <c r="H23" i="48" s="1"/>
  <c r="B21" i="12"/>
  <c r="O23" i="48"/>
  <c r="Q23" i="48" s="1"/>
  <c r="M23" i="48"/>
  <c r="L23" i="48" s="1"/>
  <c r="N23" i="48" s="1"/>
  <c r="B24" i="48"/>
  <c r="M21" i="12" l="1"/>
  <c r="E21" i="12"/>
  <c r="B25" i="48"/>
  <c r="V24" i="48"/>
  <c r="U24" i="48" s="1"/>
  <c r="W24" i="48" s="1"/>
  <c r="J24" i="48"/>
  <c r="I24" i="48" s="1"/>
  <c r="K24" i="48" s="1"/>
  <c r="P24" i="48"/>
  <c r="D24" i="48"/>
  <c r="C24" i="48" s="1"/>
  <c r="E24" i="48" s="1"/>
  <c r="S24" i="48"/>
  <c r="G24" i="48"/>
  <c r="F24" i="48" s="1"/>
  <c r="H24" i="48" s="1"/>
  <c r="L21" i="12"/>
  <c r="K21" i="12"/>
  <c r="C21" i="12"/>
  <c r="H21" i="12"/>
  <c r="G21" i="12"/>
  <c r="F21" i="12"/>
  <c r="D21" i="12"/>
  <c r="B22" i="12"/>
  <c r="T23" i="48"/>
  <c r="X23" i="48" s="1"/>
  <c r="R24" i="48"/>
  <c r="O24" i="48"/>
  <c r="Q24" i="48" s="1"/>
  <c r="M24" i="48"/>
  <c r="L24" i="48" s="1"/>
  <c r="N24" i="48" s="1"/>
  <c r="M22" i="12" l="1"/>
  <c r="E22" i="12"/>
  <c r="B26" i="48"/>
  <c r="V25" i="48"/>
  <c r="U25" i="48" s="1"/>
  <c r="W25" i="48" s="1"/>
  <c r="J25" i="48"/>
  <c r="I25" i="48" s="1"/>
  <c r="K25" i="48" s="1"/>
  <c r="P25" i="48"/>
  <c r="D25" i="48"/>
  <c r="O25" i="48"/>
  <c r="G25" i="48"/>
  <c r="F25" i="48" s="1"/>
  <c r="S25" i="48"/>
  <c r="R25" i="48" s="1"/>
  <c r="Y23" i="48"/>
  <c r="L22" i="12"/>
  <c r="K22" i="12"/>
  <c r="C22" i="12"/>
  <c r="H22" i="12"/>
  <c r="G22" i="12"/>
  <c r="F22" i="12"/>
  <c r="D22" i="12"/>
  <c r="J21" i="12"/>
  <c r="B23" i="12"/>
  <c r="C25" i="48"/>
  <c r="T24" i="48"/>
  <c r="X24" i="48" s="1"/>
  <c r="M25" i="48"/>
  <c r="L25" i="48" s="1"/>
  <c r="M23" i="12" l="1"/>
  <c r="E23" i="12"/>
  <c r="V26" i="48"/>
  <c r="U26" i="48" s="1"/>
  <c r="W26" i="48" s="1"/>
  <c r="J26" i="48"/>
  <c r="I26" i="48" s="1"/>
  <c r="K26" i="48" s="1"/>
  <c r="P26" i="48"/>
  <c r="S26" i="48"/>
  <c r="R26" i="48" s="1"/>
  <c r="B27" i="48"/>
  <c r="M26" i="48"/>
  <c r="G26" i="48"/>
  <c r="D26" i="48"/>
  <c r="Q25" i="48"/>
  <c r="O26" i="48"/>
  <c r="H25" i="48"/>
  <c r="F26" i="48"/>
  <c r="E25" i="48"/>
  <c r="C26" i="48"/>
  <c r="N25" i="48"/>
  <c r="L26" i="48"/>
  <c r="T26" i="48"/>
  <c r="Y24" i="48"/>
  <c r="L23" i="12"/>
  <c r="K23" i="12"/>
  <c r="C23" i="12"/>
  <c r="H23" i="12"/>
  <c r="G23" i="12"/>
  <c r="F23" i="12"/>
  <c r="D23" i="12"/>
  <c r="J22" i="12"/>
  <c r="B24" i="12"/>
  <c r="T25" i="48"/>
  <c r="X25" i="48" l="1"/>
  <c r="M24" i="12"/>
  <c r="E24" i="12"/>
  <c r="V27" i="48"/>
  <c r="U27" i="48" s="1"/>
  <c r="W27" i="48" s="1"/>
  <c r="J27" i="48"/>
  <c r="I27" i="48" s="1"/>
  <c r="K27" i="48" s="1"/>
  <c r="P27" i="48"/>
  <c r="B28" i="48"/>
  <c r="S27" i="48"/>
  <c r="R27" i="48" s="1"/>
  <c r="D27" i="48"/>
  <c r="M27" i="48"/>
  <c r="G27" i="48"/>
  <c r="T27" i="48"/>
  <c r="N26" i="48"/>
  <c r="L27" i="48"/>
  <c r="E26" i="48"/>
  <c r="C27" i="48"/>
  <c r="H26" i="48"/>
  <c r="F27" i="48"/>
  <c r="Q26" i="48"/>
  <c r="X26" i="48" s="1"/>
  <c r="O27" i="48"/>
  <c r="Y25" i="48"/>
  <c r="L24" i="12"/>
  <c r="K24" i="12"/>
  <c r="C24" i="12"/>
  <c r="H24" i="12"/>
  <c r="G24" i="12"/>
  <c r="F24" i="12"/>
  <c r="D24" i="12"/>
  <c r="J23" i="12"/>
  <c r="B25" i="12"/>
  <c r="M25" i="12" l="1"/>
  <c r="E25" i="12"/>
  <c r="V28" i="48"/>
  <c r="U28" i="48" s="1"/>
  <c r="W28" i="48" s="1"/>
  <c r="J28" i="48"/>
  <c r="I28" i="48" s="1"/>
  <c r="K28" i="48" s="1"/>
  <c r="P28" i="48"/>
  <c r="S28" i="48"/>
  <c r="R28" i="48" s="1"/>
  <c r="B29" i="48"/>
  <c r="D28" i="48"/>
  <c r="G28" i="48"/>
  <c r="M28" i="48"/>
  <c r="Q27" i="48"/>
  <c r="O28" i="48"/>
  <c r="H27" i="48"/>
  <c r="F28" i="48"/>
  <c r="E27" i="48"/>
  <c r="C28" i="48"/>
  <c r="N27" i="48"/>
  <c r="L28" i="48"/>
  <c r="T28" i="48"/>
  <c r="Y26" i="48"/>
  <c r="L25" i="12"/>
  <c r="K25" i="12"/>
  <c r="C25" i="12"/>
  <c r="H25" i="12"/>
  <c r="G25" i="12"/>
  <c r="F25" i="12"/>
  <c r="D25" i="12"/>
  <c r="J24" i="12"/>
  <c r="B26" i="12"/>
  <c r="X27" i="48" l="1"/>
  <c r="M26" i="12"/>
  <c r="E26" i="12"/>
  <c r="V29" i="48"/>
  <c r="U29" i="48" s="1"/>
  <c r="W29" i="48" s="1"/>
  <c r="J29" i="48"/>
  <c r="I29" i="48" s="1"/>
  <c r="K29" i="48" s="1"/>
  <c r="P29" i="48"/>
  <c r="S29" i="48"/>
  <c r="R29" i="48" s="1"/>
  <c r="B30" i="48"/>
  <c r="D29" i="48"/>
  <c r="M29" i="48"/>
  <c r="G29" i="48"/>
  <c r="T29" i="48"/>
  <c r="N28" i="48"/>
  <c r="L29" i="48"/>
  <c r="E28" i="48"/>
  <c r="C29" i="48"/>
  <c r="H28" i="48"/>
  <c r="F29" i="48"/>
  <c r="Q28" i="48"/>
  <c r="X28" i="48" s="1"/>
  <c r="O29" i="48"/>
  <c r="Y27" i="48"/>
  <c r="L26" i="12"/>
  <c r="K26" i="12"/>
  <c r="C26" i="12"/>
  <c r="H26" i="12"/>
  <c r="G26" i="12"/>
  <c r="F26" i="12"/>
  <c r="D26" i="12"/>
  <c r="J25" i="12"/>
  <c r="B27" i="12"/>
  <c r="M27" i="12" l="1"/>
  <c r="E27" i="12"/>
  <c r="V30" i="48"/>
  <c r="U30" i="48" s="1"/>
  <c r="W30" i="48" s="1"/>
  <c r="J30" i="48"/>
  <c r="I30" i="48" s="1"/>
  <c r="K30" i="48" s="1"/>
  <c r="P30" i="48"/>
  <c r="S30" i="48"/>
  <c r="R30" i="48" s="1"/>
  <c r="T30" i="48" s="1"/>
  <c r="G30" i="48"/>
  <c r="D30" i="48"/>
  <c r="M30" i="48"/>
  <c r="Q29" i="48"/>
  <c r="O30" i="48"/>
  <c r="Q30" i="48" s="1"/>
  <c r="H29" i="48"/>
  <c r="F30" i="48"/>
  <c r="H30" i="48" s="1"/>
  <c r="E29" i="48"/>
  <c r="C30" i="48"/>
  <c r="E30" i="48" s="1"/>
  <c r="N29" i="48"/>
  <c r="L30" i="48"/>
  <c r="N30" i="48" s="1"/>
  <c r="Y28" i="48"/>
  <c r="L27" i="12"/>
  <c r="K27" i="12"/>
  <c r="C27" i="12"/>
  <c r="H27" i="12"/>
  <c r="G27" i="12"/>
  <c r="F27" i="12"/>
  <c r="D27" i="12"/>
  <c r="J26" i="12"/>
  <c r="B28" i="12"/>
  <c r="X30" i="48" l="1"/>
  <c r="X29" i="48"/>
  <c r="M28" i="12"/>
  <c r="E28" i="12"/>
  <c r="Y30" i="48"/>
  <c r="Y29" i="48"/>
  <c r="B31" i="48"/>
  <c r="L28" i="12"/>
  <c r="K28" i="12"/>
  <c r="C28" i="12"/>
  <c r="H28" i="12"/>
  <c r="G28" i="12"/>
  <c r="F28" i="12"/>
  <c r="D28" i="12"/>
  <c r="J27" i="12"/>
  <c r="B29" i="12"/>
  <c r="M31" i="48"/>
  <c r="B32" i="48"/>
  <c r="B8" i="8"/>
  <c r="E8" i="8" s="1"/>
  <c r="M29" i="12" l="1"/>
  <c r="E29" i="12"/>
  <c r="V32" i="48"/>
  <c r="J32" i="48"/>
  <c r="P32" i="48"/>
  <c r="V31" i="48"/>
  <c r="U31" i="48" s="1"/>
  <c r="W31" i="48" s="1"/>
  <c r="J31" i="48"/>
  <c r="I31" i="48" s="1"/>
  <c r="K31" i="48" s="1"/>
  <c r="P31" i="48"/>
  <c r="N17" i="12"/>
  <c r="N18" i="12"/>
  <c r="N19" i="12"/>
  <c r="N20" i="12"/>
  <c r="D31" i="48"/>
  <c r="N21" i="12"/>
  <c r="N23" i="12"/>
  <c r="N22" i="12"/>
  <c r="N24" i="12"/>
  <c r="N25" i="12"/>
  <c r="N26" i="12"/>
  <c r="N27" i="12"/>
  <c r="S31" i="48"/>
  <c r="R31" i="48" s="1"/>
  <c r="G31" i="48"/>
  <c r="F31" i="48" s="1"/>
  <c r="H31" i="48" s="1"/>
  <c r="O31" i="48"/>
  <c r="Q31" i="48" s="1"/>
  <c r="S32" i="48"/>
  <c r="G32" i="48"/>
  <c r="N7" i="12"/>
  <c r="N8" i="12"/>
  <c r="L29" i="12"/>
  <c r="K29" i="12"/>
  <c r="C29" i="12"/>
  <c r="H29" i="12"/>
  <c r="G29" i="12"/>
  <c r="F29" i="12"/>
  <c r="D29" i="12"/>
  <c r="J28" i="12"/>
  <c r="B30" i="12"/>
  <c r="F8" i="8"/>
  <c r="C8" i="8"/>
  <c r="D8" i="8" s="1"/>
  <c r="D32" i="48"/>
  <c r="C31" i="48"/>
  <c r="E31" i="48" s="1"/>
  <c r="M32" i="48"/>
  <c r="B9" i="8"/>
  <c r="E9" i="8" s="1"/>
  <c r="M30" i="12" l="1"/>
  <c r="E30" i="12"/>
  <c r="I32" i="48"/>
  <c r="K32" i="48" s="1"/>
  <c r="U32" i="48"/>
  <c r="W32" i="48" s="1"/>
  <c r="O32" i="48"/>
  <c r="Q32" i="48" s="1"/>
  <c r="F32" i="48"/>
  <c r="H32" i="48" s="1"/>
  <c r="L30" i="12"/>
  <c r="K30" i="12"/>
  <c r="C30" i="12"/>
  <c r="H30" i="12"/>
  <c r="G30" i="12"/>
  <c r="F30" i="12"/>
  <c r="D30" i="12"/>
  <c r="J29" i="12"/>
  <c r="F9" i="8"/>
  <c r="C9" i="8"/>
  <c r="D9" i="8" s="1"/>
  <c r="L31" i="48"/>
  <c r="N31" i="48" s="1"/>
  <c r="C32" i="48"/>
  <c r="E32" i="48" s="1"/>
  <c r="R32" i="48"/>
  <c r="T32" i="48" s="1"/>
  <c r="T31" i="48"/>
  <c r="X31" i="48" s="1"/>
  <c r="B10" i="8"/>
  <c r="E10" i="8" s="1"/>
  <c r="N28" i="12" l="1"/>
  <c r="B11" i="8"/>
  <c r="E11" i="8" s="1"/>
  <c r="L32" i="48"/>
  <c r="N32" i="48" s="1"/>
  <c r="X32" i="48" s="1"/>
  <c r="Y31" i="48"/>
  <c r="J30" i="12"/>
  <c r="F11" i="8"/>
  <c r="C11" i="8"/>
  <c r="D11" i="8" s="1"/>
  <c r="F10" i="8"/>
  <c r="C10" i="8"/>
  <c r="D10" i="8" s="1"/>
  <c r="N30" i="12"/>
  <c r="B12" i="8"/>
  <c r="E12" i="8" s="1"/>
  <c r="N29" i="12" l="1"/>
  <c r="Y32" i="48"/>
  <c r="F12" i="8"/>
  <c r="C12" i="8"/>
  <c r="B13" i="8"/>
  <c r="E13" i="8" s="1"/>
  <c r="D12" i="8" l="1"/>
  <c r="Y33" i="48"/>
  <c r="F13" i="8"/>
  <c r="C13" i="8"/>
  <c r="B14" i="8"/>
  <c r="E14" i="8" s="1"/>
  <c r="B15" i="8" l="1"/>
  <c r="E15" i="8" s="1"/>
  <c r="D13" i="8"/>
  <c r="F15" i="8"/>
  <c r="C15" i="8"/>
  <c r="F14" i="8"/>
  <c r="C14" i="8"/>
  <c r="D14" i="8" s="1"/>
  <c r="B16" i="8"/>
  <c r="E16" i="8" s="1"/>
  <c r="D15" i="8" l="1"/>
  <c r="F16" i="8"/>
  <c r="C16" i="8"/>
  <c r="B17" i="8"/>
  <c r="E17" i="8" s="1"/>
  <c r="D16" i="8" l="1"/>
  <c r="F17" i="8"/>
  <c r="C17" i="8"/>
  <c r="B18" i="8"/>
  <c r="E18" i="8" s="1"/>
  <c r="D17" i="8" l="1"/>
  <c r="F18" i="8"/>
  <c r="C18" i="8"/>
  <c r="B19" i="8"/>
  <c r="E19" i="8" s="1"/>
  <c r="D18" i="8" l="1"/>
  <c r="F19" i="8"/>
  <c r="C19" i="8"/>
  <c r="B20" i="8"/>
  <c r="E20" i="8" s="1"/>
  <c r="D19" i="8" l="1"/>
  <c r="F20" i="8"/>
  <c r="C20" i="8"/>
  <c r="B21" i="8"/>
  <c r="E21" i="8" s="1"/>
  <c r="D20" i="8" l="1"/>
  <c r="F21" i="8"/>
  <c r="C21" i="8"/>
  <c r="B22" i="8"/>
  <c r="E22" i="8" s="1"/>
  <c r="D21" i="8" l="1"/>
  <c r="F22" i="8"/>
  <c r="C22" i="8"/>
  <c r="B23" i="8"/>
  <c r="E23" i="8" s="1"/>
  <c r="D22" i="8" l="1"/>
  <c r="F23" i="8"/>
  <c r="C23" i="8"/>
  <c r="B24" i="8"/>
  <c r="E24" i="8" s="1"/>
  <c r="D23" i="8" l="1"/>
  <c r="F24" i="8"/>
  <c r="C24" i="8"/>
  <c r="B25" i="8"/>
  <c r="E25" i="8" s="1"/>
  <c r="D24" i="8" l="1"/>
  <c r="F25" i="8"/>
  <c r="C25" i="8"/>
  <c r="B26" i="8"/>
  <c r="E26" i="8" s="1"/>
  <c r="B27" i="8" l="1"/>
  <c r="E27" i="8" s="1"/>
  <c r="D25" i="8"/>
  <c r="F26" i="8"/>
  <c r="C26" i="8"/>
  <c r="B28" i="8" l="1"/>
  <c r="E28" i="8" s="1"/>
  <c r="D26" i="8"/>
  <c r="F27" i="8"/>
  <c r="C27" i="8"/>
  <c r="C28" i="8"/>
  <c r="B29" i="8" l="1"/>
  <c r="E29" i="8" s="1"/>
  <c r="D28" i="8"/>
  <c r="D27" i="8"/>
  <c r="F28" i="8"/>
  <c r="B30" i="8" l="1"/>
  <c r="E30" i="8" s="1"/>
  <c r="C30" i="8"/>
  <c r="C29" i="8"/>
  <c r="F29" i="8" l="1"/>
  <c r="B31" i="8"/>
  <c r="E31" i="8" s="1"/>
  <c r="F30" i="8"/>
  <c r="D29" i="8"/>
  <c r="D30" i="8"/>
  <c r="C31" i="8"/>
  <c r="B32" i="8" l="1"/>
  <c r="E32" i="8" s="1"/>
  <c r="D31" i="8"/>
  <c r="C32" i="8"/>
  <c r="F31" i="8" l="1"/>
  <c r="B33" i="8"/>
  <c r="E33" i="8" s="1"/>
  <c r="F32" i="8"/>
  <c r="D32" i="8"/>
  <c r="C33" i="8"/>
  <c r="B34" i="8" l="1"/>
  <c r="E34" i="8" s="1"/>
  <c r="D33" i="8"/>
  <c r="C34" i="8"/>
  <c r="F33" i="8" l="1"/>
  <c r="B35" i="8"/>
  <c r="E35" i="8" s="1"/>
  <c r="F34" i="8"/>
  <c r="D34" i="8"/>
  <c r="F35" i="8" l="1"/>
  <c r="C35" i="8"/>
  <c r="B36" i="8"/>
  <c r="E36" i="8" s="1"/>
  <c r="F36" i="8" l="1"/>
  <c r="D35" i="8"/>
  <c r="C36" i="8"/>
  <c r="B37" i="8"/>
  <c r="E37" i="8" s="1"/>
  <c r="D36" i="8" l="1"/>
  <c r="F37" i="8"/>
  <c r="C37" i="8"/>
  <c r="B38" i="8"/>
  <c r="E38" i="8" s="1"/>
  <c r="O26" i="12" l="1"/>
  <c r="P26" i="12" s="1"/>
  <c r="Q26" i="12" s="1"/>
  <c r="O27" i="12"/>
  <c r="P27" i="12" s="1"/>
  <c r="Q27" i="12" s="1"/>
  <c r="C57" i="12"/>
  <c r="D57" i="12" s="1"/>
  <c r="E57" i="12" s="1"/>
  <c r="C56" i="12"/>
  <c r="D56" i="12" s="1"/>
  <c r="E56" i="12" s="1"/>
  <c r="O24" i="12"/>
  <c r="P24" i="12" s="1"/>
  <c r="Q24" i="12" s="1"/>
  <c r="C55" i="12"/>
  <c r="D55" i="12" s="1"/>
  <c r="E55" i="12" s="1"/>
  <c r="O22" i="12"/>
  <c r="P22" i="12" s="1"/>
  <c r="Q22" i="12" s="1"/>
  <c r="C54" i="12"/>
  <c r="D54" i="12" s="1"/>
  <c r="E54" i="12" s="1"/>
  <c r="C52" i="12"/>
  <c r="D52" i="12" s="1"/>
  <c r="E52" i="12" s="1"/>
  <c r="C53" i="12"/>
  <c r="D53" i="12" s="1"/>
  <c r="E53" i="12" s="1"/>
  <c r="O20" i="12"/>
  <c r="P20" i="12" s="1"/>
  <c r="Q20" i="12" s="1"/>
  <c r="C51" i="12"/>
  <c r="D51" i="12" s="1"/>
  <c r="E51" i="12" s="1"/>
  <c r="C50" i="12"/>
  <c r="D50" i="12" s="1"/>
  <c r="E50" i="12" s="1"/>
  <c r="C49" i="12"/>
  <c r="D49" i="12" s="1"/>
  <c r="E49" i="12" s="1"/>
  <c r="O19" i="12"/>
  <c r="P19" i="12" s="1"/>
  <c r="Q19" i="12" s="1"/>
  <c r="O18" i="12"/>
  <c r="P18" i="12" s="1"/>
  <c r="Q18" i="12" s="1"/>
  <c r="O7" i="12"/>
  <c r="P7" i="12" s="1"/>
  <c r="Q7" i="12" s="1"/>
  <c r="C38" i="12"/>
  <c r="O8" i="12"/>
  <c r="P8" i="12" s="1"/>
  <c r="Q8" i="12" s="1"/>
  <c r="C39" i="12"/>
  <c r="D39" i="12" s="1"/>
  <c r="E39" i="12" s="1"/>
  <c r="O9" i="12"/>
  <c r="P9" i="12" s="1"/>
  <c r="Q9" i="12" s="1"/>
  <c r="C40" i="12"/>
  <c r="D40" i="12" s="1"/>
  <c r="E40" i="12" s="1"/>
  <c r="O10" i="12"/>
  <c r="P10" i="12" s="1"/>
  <c r="Q10" i="12" s="1"/>
  <c r="C41" i="12"/>
  <c r="D41" i="12" s="1"/>
  <c r="E41" i="12" s="1"/>
  <c r="O11" i="12"/>
  <c r="P11" i="12" s="1"/>
  <c r="Q11" i="12" s="1"/>
  <c r="C42" i="12"/>
  <c r="D42" i="12" s="1"/>
  <c r="E42" i="12" s="1"/>
  <c r="O12" i="12"/>
  <c r="P12" i="12" s="1"/>
  <c r="Q12" i="12" s="1"/>
  <c r="C43" i="12"/>
  <c r="D43" i="12" s="1"/>
  <c r="E43" i="12" s="1"/>
  <c r="O13" i="12"/>
  <c r="P13" i="12" s="1"/>
  <c r="Q13" i="12" s="1"/>
  <c r="C44" i="12"/>
  <c r="D44" i="12" s="1"/>
  <c r="E44" i="12" s="1"/>
  <c r="O14" i="12"/>
  <c r="P14" i="12" s="1"/>
  <c r="Q14" i="12" s="1"/>
  <c r="C45" i="12"/>
  <c r="D45" i="12" s="1"/>
  <c r="E45" i="12" s="1"/>
  <c r="O15" i="12"/>
  <c r="P15" i="12" s="1"/>
  <c r="Q15" i="12" s="1"/>
  <c r="C46" i="12"/>
  <c r="D46" i="12" s="1"/>
  <c r="E46" i="12" s="1"/>
  <c r="O16" i="12"/>
  <c r="P16" i="12" s="1"/>
  <c r="Q16" i="12" s="1"/>
  <c r="C47" i="12"/>
  <c r="D47" i="12" s="1"/>
  <c r="E47" i="12" s="1"/>
  <c r="O17" i="12"/>
  <c r="P17" i="12" s="1"/>
  <c r="Q17" i="12" s="1"/>
  <c r="C48" i="12"/>
  <c r="D48" i="12" s="1"/>
  <c r="E48" i="12" s="1"/>
  <c r="O21" i="12"/>
  <c r="P21" i="12" s="1"/>
  <c r="Q21" i="12" s="1"/>
  <c r="O23" i="12"/>
  <c r="P23" i="12" s="1"/>
  <c r="Q23" i="12" s="1"/>
  <c r="O25" i="12"/>
  <c r="P25" i="12" s="1"/>
  <c r="Q25" i="12" s="1"/>
  <c r="O28" i="12"/>
  <c r="P28" i="12" s="1"/>
  <c r="Q28" i="12" s="1"/>
  <c r="C58" i="12"/>
  <c r="D58" i="12" s="1"/>
  <c r="E58" i="12" s="1"/>
  <c r="C59" i="12"/>
  <c r="D59" i="12" s="1"/>
  <c r="E59" i="12" s="1"/>
  <c r="O29" i="12"/>
  <c r="P29" i="12" s="1"/>
  <c r="Q29" i="12" s="1"/>
  <c r="O30" i="12"/>
  <c r="P30" i="12" s="1"/>
  <c r="Q30" i="12" s="1"/>
  <c r="Q31" i="12" s="1"/>
  <c r="D37" i="8"/>
  <c r="C38" i="8"/>
  <c r="C60" i="12" s="1"/>
  <c r="D60" i="12" s="1"/>
  <c r="E60" i="12" s="1"/>
  <c r="F38" i="8"/>
  <c r="F39" i="8" s="1"/>
  <c r="Q32" i="12" s="1"/>
  <c r="D38" i="8" l="1"/>
  <c r="C61" i="12"/>
  <c r="D61" i="12" s="1"/>
  <c r="E61" i="12" s="1"/>
  <c r="D39" i="8"/>
  <c r="D38" i="12" l="1"/>
  <c r="E38" i="12" s="1"/>
  <c r="E63" i="12"/>
  <c r="C66" i="12" l="1"/>
  <c r="C72" i="12" s="1"/>
  <c r="E62" i="12"/>
  <c r="C67" i="12" s="1"/>
  <c r="C73" i="12" s="1"/>
  <c r="C75" i="12" l="1"/>
  <c r="C74" i="12"/>
  <c r="C68" i="12"/>
  <c r="C69"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tc={2307A4BC-6569-4622-A591-EFCA48732BE2}</author>
  </authors>
  <commentList>
    <comment ref="Z24" authorId="0" shapeId="0" xr:uid="{2307A4BC-6569-4622-A591-EFCA48732BE2}">
      <text>
        <t>[Threaded comment]
Your version of Excel allows you to read this threaded comment; however, any edits to it will get removed if the file is opened in a newer version of Excel. Learn more: https://go.microsoft.com/fwlink/?linkid=870924
Comment:
    District total ratioed to project length</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tc={9F99605B-8162-4468-B719-5650D55CF087}</author>
  </authors>
  <commentList>
    <comment ref="Z24" authorId="0" shapeId="0" xr:uid="{9F99605B-8162-4468-B719-5650D55CF087}">
      <text>
        <t>[Threaded comment]
Your version of Excel allows you to read this threaded comment; however, any edits to it will get removed if the file is opened in a newer version of Excel. Learn more: https://go.microsoft.com/fwlink/?linkid=870924
Comment:
    District total ratioed to project length</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tc={3526A5F4-73BE-4E5D-B234-8E2CE47369D0}</author>
  </authors>
  <commentList>
    <comment ref="Z24" authorId="0" shapeId="0" xr:uid="{3526A5F4-73BE-4E5D-B234-8E2CE47369D0}">
      <text>
        <t>[Threaded comment]
Your version of Excel allows you to read this threaded comment; however, any edits to it will get removed if the file is opened in a newer version of Excel. Learn more: https://go.microsoft.com/fwlink/?linkid=870924
Comment:
    District total ratioed to project length</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Thompson, Tyler</author>
  </authors>
  <commentList>
    <comment ref="B52" authorId="0" shapeId="0" xr:uid="{CDF54B77-9BDB-4C9D-A5C7-AB09F702C000}">
      <text>
        <r>
          <rPr>
            <b/>
            <sz val="9"/>
            <color indexed="81"/>
            <rFont val="Tahoma"/>
            <family val="2"/>
          </rPr>
          <t>Thompson, Tyler:</t>
        </r>
        <r>
          <rPr>
            <sz val="9"/>
            <color indexed="81"/>
            <rFont val="Tahoma"/>
            <family val="2"/>
          </rPr>
          <t xml:space="preserve">
No data for 2014</t>
        </r>
      </text>
    </comment>
  </commentList>
</comments>
</file>

<file path=xl/sharedStrings.xml><?xml version="1.0" encoding="utf-8"?>
<sst xmlns="http://schemas.openxmlformats.org/spreadsheetml/2006/main" count="2463" uniqueCount="697">
  <si>
    <t>Analysis Year</t>
  </si>
  <si>
    <t>7% Discount</t>
  </si>
  <si>
    <t>Total Benefit</t>
  </si>
  <si>
    <t>NOTES:</t>
  </si>
  <si>
    <t>Total Cost</t>
  </si>
  <si>
    <t>N/A</t>
  </si>
  <si>
    <t>BENEFITS</t>
  </si>
  <si>
    <t>COSTS</t>
  </si>
  <si>
    <t>Capital Costs</t>
  </si>
  <si>
    <t>Benefits</t>
  </si>
  <si>
    <t>Costs</t>
  </si>
  <si>
    <t>B/C Ratio</t>
  </si>
  <si>
    <t>ENVIRONMENTAL SUSTAINABILITY - AIR QUALITY</t>
  </si>
  <si>
    <t>Mode</t>
  </si>
  <si>
    <t>SUMMARY</t>
  </si>
  <si>
    <t>n/a</t>
  </si>
  <si>
    <t>Remaining Capital Value</t>
  </si>
  <si>
    <t>2)</t>
  </si>
  <si>
    <t>1)</t>
  </si>
  <si>
    <t>3)</t>
  </si>
  <si>
    <t>4)</t>
  </si>
  <si>
    <t xml:space="preserve">Capital Cost </t>
  </si>
  <si>
    <t>CAPITAL COST AND RESIDUAL PROJECT VALUE</t>
  </si>
  <si>
    <t>Total</t>
  </si>
  <si>
    <t>Years of Construction</t>
  </si>
  <si>
    <t>Construction Year</t>
  </si>
  <si>
    <t>B</t>
  </si>
  <si>
    <t>Remaining Capital Value (7%)</t>
  </si>
  <si>
    <t>Auto Vehicle Operating Cost</t>
  </si>
  <si>
    <t>Truck Vehicle Operating Cost</t>
  </si>
  <si>
    <t>Auto Percentage</t>
  </si>
  <si>
    <t>Truck Percentage</t>
  </si>
  <si>
    <t>Table 3 - Per-mile Operating Cost</t>
  </si>
  <si>
    <t>Aggregate Vehicle Operating Cost</t>
  </si>
  <si>
    <t>Automobile</t>
  </si>
  <si>
    <t>Trucks</t>
  </si>
  <si>
    <t>Travel Time Cost Savings</t>
  </si>
  <si>
    <t>ECONOMIC COMPETITIVENESS - OPERATIONAL BENEFITS</t>
  </si>
  <si>
    <t>STATE OF GOOD REPAIR - OPERATION AND MAINTENANCE COSTS</t>
  </si>
  <si>
    <r>
      <t>Annual Operation and Maintenance Cost ($)</t>
    </r>
    <r>
      <rPr>
        <vertAlign val="superscript"/>
        <sz val="9"/>
        <color theme="1"/>
        <rFont val="Calibri"/>
        <family val="2"/>
        <scheme val="minor"/>
      </rPr>
      <t>1</t>
    </r>
    <r>
      <rPr>
        <sz val="11"/>
        <color theme="1"/>
        <rFont val="Calibri"/>
        <family val="2"/>
        <scheme val="minor"/>
      </rPr>
      <t/>
    </r>
  </si>
  <si>
    <t>Operation and Maintenance Costs</t>
  </si>
  <si>
    <r>
      <t>Base RCV in (7%)</t>
    </r>
    <r>
      <rPr>
        <vertAlign val="superscript"/>
        <sz val="9"/>
        <color theme="1"/>
        <rFont val="Calibri"/>
        <family val="2"/>
        <scheme val="minor"/>
      </rPr>
      <t>2</t>
    </r>
  </si>
  <si>
    <t>SubTotal (7% RCV)</t>
  </si>
  <si>
    <t>Subtotal</t>
  </si>
  <si>
    <t>TOTAL</t>
  </si>
  <si>
    <t>Length (mi)</t>
  </si>
  <si>
    <t>New Daily Walkers - Recreational</t>
  </si>
  <si>
    <t>New Daily Cyclists - Commuter</t>
  </si>
  <si>
    <t>New Daily Cyclists - Recreational</t>
  </si>
  <si>
    <t>Mobility</t>
  </si>
  <si>
    <t>Health Cost Savings</t>
  </si>
  <si>
    <t>Reduced Auto Use (Congestion)</t>
  </si>
  <si>
    <t>Base year</t>
  </si>
  <si>
    <t>Commuters</t>
  </si>
  <si>
    <r>
      <t xml:space="preserve">Willingness to travel (minutes) </t>
    </r>
    <r>
      <rPr>
        <vertAlign val="superscript"/>
        <sz val="11"/>
        <color theme="1"/>
        <rFont val="Calibri"/>
        <family val="2"/>
        <scheme val="minor"/>
      </rPr>
      <t>5</t>
    </r>
  </si>
  <si>
    <t>NCHRP 552 Logit model (page# D-11 Table 24): Facility D to A improvement is worth 21.6 min; B to A: 5.2 min; E to A: 30.5 min; and E to C: 16.4 min.</t>
  </si>
  <si>
    <r>
      <t xml:space="preserve">Mobility adjustment factor </t>
    </r>
    <r>
      <rPr>
        <vertAlign val="superscript"/>
        <sz val="11"/>
        <color theme="1"/>
        <rFont val="Calibri"/>
        <family val="2"/>
        <scheme val="minor"/>
      </rPr>
      <t>8</t>
    </r>
  </si>
  <si>
    <t>5)</t>
  </si>
  <si>
    <t xml:space="preserve">Annual Recreational Days </t>
  </si>
  <si>
    <t>Savings per mile (2006$)</t>
  </si>
  <si>
    <t>New daily walkers</t>
  </si>
  <si>
    <t>Average walk time (hour)</t>
  </si>
  <si>
    <t>9 months out of 12 assumed to be recreational</t>
  </si>
  <si>
    <t>Quality of Life</t>
  </si>
  <si>
    <t>Rpt 552, page# 38</t>
  </si>
  <si>
    <t>Project length or average trip length, whichever is smaller.</t>
  </si>
  <si>
    <t>Rpt 552, page# 39</t>
  </si>
  <si>
    <t>Rpt 552, page# 36</t>
  </si>
  <si>
    <t>Fraction of riders accounted for mobility benefits</t>
  </si>
  <si>
    <t>Rpt 552, page# 39, E-1</t>
  </si>
  <si>
    <t>Rpt 552, page# 39, G-1</t>
  </si>
  <si>
    <t>Page# 39 uses 365 days. 3 months were excluded to acount for the local weather conditions</t>
  </si>
  <si>
    <r>
      <t xml:space="preserve">Page# 39: 3.5₵ </t>
    </r>
    <r>
      <rPr>
        <i/>
        <sz val="9.35"/>
        <color theme="0" tint="-0.499984740745262"/>
        <rFont val="Calibri"/>
        <family val="2"/>
      </rPr>
      <t>for Congestion, 4₵ for pollution, and 3₵ for user cost savings assuming the average between central city and suburban land uses.</t>
    </r>
  </si>
  <si>
    <t>Community Livability</t>
  </si>
  <si>
    <t xml:space="preserve">COMMUNITY LIVABILITY (QUALITY OF LIFE) BENEFITS OF BIKE/PED FACILITIES </t>
  </si>
  <si>
    <t xml:space="preserve"> Convert 2000$ to 2018$</t>
  </si>
  <si>
    <t>Quality of Life Benefits</t>
  </si>
  <si>
    <r>
      <t>Value of time (2018 Dollars per minute)</t>
    </r>
    <r>
      <rPr>
        <vertAlign val="superscript"/>
        <sz val="11"/>
        <color theme="1"/>
        <rFont val="Calibri"/>
        <family val="2"/>
        <scheme val="minor"/>
      </rPr>
      <t>9</t>
    </r>
  </si>
  <si>
    <t>Net Present Value</t>
  </si>
  <si>
    <t>Year</t>
  </si>
  <si>
    <t>BCRT</t>
  </si>
  <si>
    <t>Table 2 - Relevent Population Characteristics</t>
  </si>
  <si>
    <r>
      <t>Project Title</t>
    </r>
    <r>
      <rPr>
        <sz val="11"/>
        <color rgb="FF000000"/>
        <rFont val="Calibri"/>
        <family val="2"/>
      </rPr>
      <t> </t>
    </r>
  </si>
  <si>
    <r>
      <t>Construct New Trail</t>
    </r>
    <r>
      <rPr>
        <sz val="11"/>
        <color rgb="FF000000"/>
        <rFont val="Calibri"/>
        <family val="2"/>
      </rPr>
      <t> </t>
    </r>
  </si>
  <si>
    <r>
      <t>Reconstruct Existing Sidewalk/Trail</t>
    </r>
    <r>
      <rPr>
        <sz val="11"/>
        <color rgb="FF000000"/>
        <rFont val="Calibri"/>
        <family val="2"/>
      </rPr>
      <t> </t>
    </r>
  </si>
  <si>
    <r>
      <t>Improve Existing, Recently Designated Regional Trails</t>
    </r>
    <r>
      <rPr>
        <sz val="11"/>
        <color rgb="FF000000"/>
        <rFont val="Calibri"/>
        <family val="2"/>
      </rPr>
      <t> </t>
    </r>
  </si>
  <si>
    <r>
      <t>Total</t>
    </r>
    <r>
      <rPr>
        <sz val="11"/>
        <color rgb="FF000000"/>
        <rFont val="Calibri"/>
        <family val="2"/>
      </rPr>
      <t> </t>
    </r>
  </si>
  <si>
    <r>
      <t xml:space="preserve">Improved Crossings </t>
    </r>
    <r>
      <rPr>
        <sz val="11"/>
        <color rgb="FF000000"/>
        <rFont val="Calibri"/>
        <family val="2"/>
      </rPr>
      <t> </t>
    </r>
  </si>
  <si>
    <r>
      <t>(note: advanced signage may be needed at all crossings; *may be more challenging)</t>
    </r>
    <r>
      <rPr>
        <sz val="11"/>
        <color rgb="FF000000"/>
        <rFont val="Calibri"/>
        <family val="2"/>
      </rPr>
      <t> </t>
    </r>
  </si>
  <si>
    <t>Bassett Creek Regional Trail: Golden Valley Reconstruction and Expansion  </t>
  </si>
  <si>
    <t>  </t>
  </si>
  <si>
    <t>Bryant Lake Regional Trail Construction </t>
  </si>
  <si>
    <t>CP Rail Regional Trail: Bloomington/Edina Construction  </t>
  </si>
  <si>
    <t>Medicine Lake Regional Trail: Reconstruct 3.75 miles in Plymouth </t>
  </si>
  <si>
    <t>Nine Mile Creek Regional Trail: 11th Avenue Reconstruction </t>
  </si>
  <si>
    <t>Rush Creek Regional Trail: Winnetka Avenue Safe Crossing </t>
  </si>
  <si>
    <t>Shingle Creek Regional Trail – Brooklyn Center Reconstruction and Flooding Mitigation   </t>
  </si>
  <si>
    <t>Shingle Creek Regional Trail: Noble Avenue Reconstruction </t>
  </si>
  <si>
    <t>Questions</t>
  </si>
  <si>
    <t>Avg trip lengths (walking and biking)</t>
  </si>
  <si>
    <t>For reconstructs - years existing trails would be closed if no preservation occurs</t>
  </si>
  <si>
    <t>Life of project (until we have to reconstruct again)</t>
  </si>
  <si>
    <t>Growth rate of trail usage</t>
  </si>
  <si>
    <t>RAISE COSTS</t>
  </si>
  <si>
    <t>Bassett Creek RT</t>
  </si>
  <si>
    <t>Eagle Lake RT</t>
  </si>
  <si>
    <t>Med Lake RT</t>
  </si>
  <si>
    <t>Shingle Creek BC</t>
  </si>
  <si>
    <t>Maintenance for no build and build</t>
  </si>
  <si>
    <t xml:space="preserve">6-8 years </t>
  </si>
  <si>
    <t xml:space="preserve">Microsurfacing </t>
  </si>
  <si>
    <t xml:space="preserve">13-15 years </t>
  </si>
  <si>
    <t xml:space="preserve">20-22 years </t>
  </si>
  <si>
    <t xml:space="preserve">27-30 years </t>
  </si>
  <si>
    <t xml:space="preserve">Total Reconstruction </t>
  </si>
  <si>
    <t xml:space="preserve">Cycling Recreation </t>
  </si>
  <si>
    <t>Value per Cycling Mile</t>
  </si>
  <si>
    <t>regression spreadsheet</t>
  </si>
  <si>
    <t>met council - 3.3 miles for cyclists and 0.8 miles for peds</t>
  </si>
  <si>
    <t>getting year built for each existing project</t>
  </si>
  <si>
    <t>avg cost per mile for maintenance (routine and preventative)</t>
  </si>
  <si>
    <t>costs per mile for microsurfacing/rehab</t>
  </si>
  <si>
    <t>Walking per trip</t>
  </si>
  <si>
    <t>Cycling per trip</t>
  </si>
  <si>
    <t>Annual number of walkers</t>
  </si>
  <si>
    <t>Annual number cyclists</t>
  </si>
  <si>
    <t>Visitation by Activity</t>
  </si>
  <si>
    <t>Bike</t>
  </si>
  <si>
    <t>Hike</t>
  </si>
  <si>
    <t>Run</t>
  </si>
  <si>
    <t>Other</t>
  </si>
  <si>
    <t>Annual Visits</t>
  </si>
  <si>
    <t>Summer Visits/Day</t>
  </si>
  <si>
    <t>Winter Visits/Day</t>
  </si>
  <si>
    <t>Demographics</t>
  </si>
  <si>
    <t>GENDER</t>
  </si>
  <si>
    <t>PERCENT</t>
  </si>
  <si>
    <t>Age</t>
  </si>
  <si>
    <t>under</t>
  </si>
  <si>
    <t xml:space="preserve">on </t>
  </si>
  <si>
    <t>over</t>
  </si>
  <si>
    <t>Male</t>
  </si>
  <si>
    <t>&lt;5</t>
  </si>
  <si>
    <t>x</t>
  </si>
  <si>
    <t>Female</t>
  </si>
  <si>
    <t xml:space="preserve"> 5-9</t>
  </si>
  <si>
    <t>10-17</t>
  </si>
  <si>
    <t>AGE</t>
  </si>
  <si>
    <t>18-24</t>
  </si>
  <si>
    <t>&lt;5 Years</t>
  </si>
  <si>
    <t>25-34</t>
  </si>
  <si>
    <t>5-9 Years</t>
  </si>
  <si>
    <t>35-44</t>
  </si>
  <si>
    <t>10-12 Years</t>
  </si>
  <si>
    <t>45-59</t>
  </si>
  <si>
    <t>13-17 Years</t>
  </si>
  <si>
    <t>60-74</t>
  </si>
  <si>
    <t>18-24 Years</t>
  </si>
  <si>
    <t>75+</t>
  </si>
  <si>
    <t>25-34 Years</t>
  </si>
  <si>
    <t>Gender</t>
  </si>
  <si>
    <t>35-44 Years</t>
  </si>
  <si>
    <t>45-59 Years</t>
  </si>
  <si>
    <t>60-74 Years</t>
  </si>
  <si>
    <t>Race</t>
  </si>
  <si>
    <t>75+ Years</t>
  </si>
  <si>
    <t>White</t>
  </si>
  <si>
    <t>RACE</t>
  </si>
  <si>
    <t>Black</t>
  </si>
  <si>
    <t>needs 84.86 more ADULT Blacks per summer day</t>
  </si>
  <si>
    <t>Black or African American</t>
  </si>
  <si>
    <t>American Indian</t>
  </si>
  <si>
    <t>American Indian/Alaska Native</t>
  </si>
  <si>
    <t>Asian</t>
  </si>
  <si>
    <t>Pacific Islander</t>
  </si>
  <si>
    <t>Ethnicity</t>
  </si>
  <si>
    <t>Not Hispanic</t>
  </si>
  <si>
    <t>needs 31.49 more ADULT non-Hispanics per summer day</t>
  </si>
  <si>
    <t>Multiple</t>
  </si>
  <si>
    <t>Hispanic</t>
  </si>
  <si>
    <t xml:space="preserve">Other </t>
  </si>
  <si>
    <t>Income</t>
  </si>
  <si>
    <t>ETHNICITY</t>
  </si>
  <si>
    <t>&lt;50</t>
  </si>
  <si>
    <t>needs 148 more per summer day</t>
  </si>
  <si>
    <t>50-75</t>
  </si>
  <si>
    <t>&gt;75</t>
  </si>
  <si>
    <t>ANNUAL HOUSEHOLD INCOME</t>
  </si>
  <si>
    <t>&lt;25,000</t>
  </si>
  <si>
    <t>25,000-49,999</t>
  </si>
  <si>
    <t>50,000-74,999</t>
  </si>
  <si>
    <t>75,000-99,999</t>
  </si>
  <si>
    <t>100,000-149,999</t>
  </si>
  <si>
    <t>150,000+</t>
  </si>
  <si>
    <t>Primary Purpose</t>
  </si>
  <si>
    <t>Recreation</t>
  </si>
  <si>
    <t>Commercial Areas</t>
  </si>
  <si>
    <t>Work</t>
  </si>
  <si>
    <t>Family &amp; Friends</t>
  </si>
  <si>
    <t>Any Transportation</t>
  </si>
  <si>
    <t xml:space="preserve">Report Card </t>
  </si>
  <si>
    <t>District</t>
  </si>
  <si>
    <t>Notes</t>
  </si>
  <si>
    <t>Trail Surface</t>
  </si>
  <si>
    <t>B+</t>
  </si>
  <si>
    <t>Trail Design</t>
  </si>
  <si>
    <t>Safety of Road Crossings</t>
  </si>
  <si>
    <t>B-</t>
  </si>
  <si>
    <t>Bridges</t>
  </si>
  <si>
    <t>Sightlines at Road crossings</t>
  </si>
  <si>
    <t>Significantly different from district</t>
  </si>
  <si>
    <t>Significantly different from 2014</t>
  </si>
  <si>
    <t>Top Suggestions to Improve Trail</t>
  </si>
  <si>
    <t>Action</t>
  </si>
  <si>
    <t>Percent</t>
  </si>
  <si>
    <t>Increase drinking fountains</t>
  </si>
  <si>
    <t>Improve Safety at road crossings</t>
  </si>
  <si>
    <t>Repair trail surface</t>
  </si>
  <si>
    <t>Provide more bathrooms</t>
  </si>
  <si>
    <t>Add bike repair stations</t>
  </si>
  <si>
    <t>Top 3 Road Crossings of Concern</t>
  </si>
  <si>
    <t>Ranking</t>
  </si>
  <si>
    <t xml:space="preserve">Percent </t>
  </si>
  <si>
    <t>Douglas Drive N / County Rd 102</t>
  </si>
  <si>
    <t>32nd Ave N</t>
  </si>
  <si>
    <t>Experienced a trail Conflict</t>
  </si>
  <si>
    <t>Significantly Different</t>
  </si>
  <si>
    <t>jn</t>
  </si>
  <si>
    <t xml:space="preserve">Unsafe Road Crossings Reported </t>
  </si>
  <si>
    <t>Percent who felt safe</t>
  </si>
  <si>
    <t>*Note - Not direct comparison from 2014-2019 due to question wording</t>
  </si>
  <si>
    <t>Percent Satisfied</t>
  </si>
  <si>
    <t>Supporting Comment Themes</t>
  </si>
  <si>
    <t>Percent mentioned</t>
  </si>
  <si>
    <t>Build new trails and connecting trails</t>
  </si>
  <si>
    <t>Fix/Repair Trail</t>
  </si>
  <si>
    <t>1, 2</t>
  </si>
  <si>
    <t>Top 5 Suggestions to Improve Trail</t>
  </si>
  <si>
    <t>No</t>
  </si>
  <si>
    <t>Yes</t>
  </si>
  <si>
    <t>Medicine Lake</t>
  </si>
  <si>
    <t>&gt;99%</t>
  </si>
  <si>
    <t>needs 122 more per summer day</t>
  </si>
  <si>
    <t>needs 130 more per summer day</t>
  </si>
  <si>
    <t>needs 192 more per summer day</t>
  </si>
  <si>
    <t>needs 94 more ADULT Blacks per summer day</t>
  </si>
  <si>
    <t>needs 63 more ADULT Hispanics per summer day</t>
  </si>
  <si>
    <t>needs 438 more per summer day</t>
  </si>
  <si>
    <t>needs 150 more per summer day</t>
  </si>
  <si>
    <t xml:space="preserve">B </t>
  </si>
  <si>
    <t>1. Better snow/ice removal (10.1%)</t>
  </si>
  <si>
    <t>2. Repair trail surface (8.9%)</t>
  </si>
  <si>
    <t>3. Increase drinking fountains (8.3%)</t>
  </si>
  <si>
    <t>Don't include on final page (&lt;5%)</t>
  </si>
  <si>
    <t>4. Reduce unsafe bike encounters (4.8%)</t>
  </si>
  <si>
    <t>5. Improve trail navigation signs/maps (4.4%)</t>
  </si>
  <si>
    <t>Top Road Crossing of Concern</t>
  </si>
  <si>
    <t xml:space="preserve">W Fish Lake Rd </t>
  </si>
  <si>
    <t>Fernbrook Lane N, Maple Grove</t>
  </si>
  <si>
    <t>Elm Creek Blvd N</t>
  </si>
  <si>
    <t>36th Ave N, Plymouth</t>
  </si>
  <si>
    <t>Glacier Lane N, Maple Grove (North crossing)</t>
  </si>
  <si>
    <t>Medicine Lake Dr W</t>
  </si>
  <si>
    <t>Highway 169 Vicinity</t>
  </si>
  <si>
    <t>Schmidt Lake Rd, Plymouth</t>
  </si>
  <si>
    <t>42nd Place N, Plymouth</t>
  </si>
  <si>
    <t>Northwest Blvd (Co Rd 61), Plymouth</t>
  </si>
  <si>
    <t>Highway 55 (Luce Line Trail)</t>
  </si>
  <si>
    <t>Golden Valley Road</t>
  </si>
  <si>
    <t>Douglas Drive</t>
  </si>
  <si>
    <t>32nd Ave N, Plymouth</t>
  </si>
  <si>
    <t>County Rd 81, Maple Grove</t>
  </si>
  <si>
    <t>Hazelden Exit Rd (at 36th Ave N)</t>
  </si>
  <si>
    <t>Winnetka Ave N</t>
  </si>
  <si>
    <t>needs 69 more per summer day</t>
  </si>
  <si>
    <t>needs 101 more ADULT Blacks per summer day</t>
  </si>
  <si>
    <t>needs 275 more per summer day</t>
  </si>
  <si>
    <t>1. Repair trail surface (15.5%)</t>
  </si>
  <si>
    <t>2. Eliminate standing water on trail (11.3%)</t>
  </si>
  <si>
    <t>3. Improve etiquette of dog owners (pickup waste, leash dog) (9.3%)</t>
  </si>
  <si>
    <t>4. Increase bathroom availability (provide more, open longer) (7.1%)</t>
  </si>
  <si>
    <t>5. Increase drinking fountains (6.3%)</t>
  </si>
  <si>
    <t>85th Ave N</t>
  </si>
  <si>
    <t>Xerxes Ave N Undetermined</t>
  </si>
  <si>
    <t>69th Ave N</t>
  </si>
  <si>
    <t>Shingle Creek Parkway</t>
  </si>
  <si>
    <t xml:space="preserve">Noble Parkway </t>
  </si>
  <si>
    <t>Brookdale Drive N</t>
  </si>
  <si>
    <t xml:space="preserve">Fix/Repair Trail </t>
  </si>
  <si>
    <t>Percent of Visits</t>
  </si>
  <si>
    <t>Summer Visits/day</t>
  </si>
  <si>
    <t>Winter Visits/day</t>
  </si>
  <si>
    <t>needs 777 more per summer day</t>
  </si>
  <si>
    <t>needs 888 more per summer day</t>
  </si>
  <si>
    <t>&lt;1%</t>
  </si>
  <si>
    <t>needs 1,220 more per summer day</t>
  </si>
  <si>
    <t>needs 466 more per summer day</t>
  </si>
  <si>
    <t>needs 599 more per summer day</t>
  </si>
  <si>
    <t>needs 688 more per summer day</t>
  </si>
  <si>
    <t>needs 798 more ADULT Blacks per summer day</t>
  </si>
  <si>
    <t>needs 479 more ADULT Asians per summer day</t>
  </si>
  <si>
    <t>needs 3,084 more per summer day</t>
  </si>
  <si>
    <t>Top 5 Actions to Increase Use</t>
  </si>
  <si>
    <t xml:space="preserve">Better removal of snow/ice from this trail </t>
  </si>
  <si>
    <t xml:space="preserve">More trail amenities </t>
  </si>
  <si>
    <t xml:space="preserve">More local trail connections to this trail </t>
  </si>
  <si>
    <t xml:space="preserve">Fewer road crossings </t>
  </si>
  <si>
    <t xml:space="preserve">Improved access from this trail to destination </t>
  </si>
  <si>
    <t xml:space="preserve">More/Improved navigational signs/maps </t>
  </si>
  <si>
    <t xml:space="preserve">Bike repair stations </t>
  </si>
  <si>
    <t xml:space="preserve">Additional opportunities to park/store bike </t>
  </si>
  <si>
    <t xml:space="preserve">More trailheads to park vehicles </t>
  </si>
  <si>
    <t xml:space="preserve">More trail connections to mass transit </t>
  </si>
  <si>
    <t>Top Road Crossings of Concern</t>
  </si>
  <si>
    <t>Annual Visits Impacted</t>
  </si>
  <si>
    <t>Trail</t>
  </si>
  <si>
    <t>County Rd 15 / Shoreline Drive, Mound</t>
  </si>
  <si>
    <t>Dakota Rail</t>
  </si>
  <si>
    <t>County Rd 13 / Rolling Acres Rd</t>
  </si>
  <si>
    <t>Lake Minnetonka</t>
  </si>
  <si>
    <t>Rush Creek</t>
  </si>
  <si>
    <t>County Rd 19/Manitou Rd, Shorewood/Tonka Bay</t>
  </si>
  <si>
    <t>Medicine Lake Dr. W</t>
  </si>
  <si>
    <t>Luce Line</t>
  </si>
  <si>
    <t>County Rd 110 (Commerce Blvd), Mound</t>
  </si>
  <si>
    <t>Douglas Drive N/County Rd 102</t>
  </si>
  <si>
    <t>Basset Creek</t>
  </si>
  <si>
    <t>Highest ranking crossings for the trails you requested</t>
  </si>
  <si>
    <t>County Rd 6</t>
  </si>
  <si>
    <t>Lake Independence</t>
  </si>
  <si>
    <t>Hwy 169 Vicinity</t>
  </si>
  <si>
    <t>Nine Mile Creek</t>
  </si>
  <si>
    <t>Vicksburg Lane N/W Fish Lake Rd</t>
  </si>
  <si>
    <t>Shingle Creek</t>
  </si>
  <si>
    <t>Most Frequent Conflicts with Trail Users</t>
  </si>
  <si>
    <t>First Year of Beneift</t>
  </si>
  <si>
    <t>Ages 20-74</t>
  </si>
  <si>
    <t>Existing Trail Length</t>
  </si>
  <si>
    <t>Existing Trail Length (mi)</t>
  </si>
  <si>
    <t>New Trail (mi)</t>
  </si>
  <si>
    <t>Trail improvements (mi)</t>
  </si>
  <si>
    <t>Reconstruct trail (mi)</t>
  </si>
  <si>
    <t>Project:</t>
  </si>
  <si>
    <t>REGIONAL TRAILS</t>
  </si>
  <si>
    <t>Rush Creek Regional Trail</t>
  </si>
  <si>
    <t>Shingle Creek Regional Trail</t>
  </si>
  <si>
    <t xml:space="preserve">Cycling Amenities </t>
  </si>
  <si>
    <t xml:space="preserve">Walk Recreation </t>
  </si>
  <si>
    <t>cycling commute</t>
  </si>
  <si>
    <t>all walk+bike</t>
  </si>
  <si>
    <t>cycling all</t>
  </si>
  <si>
    <t>Existing Cyclists - Recreational</t>
  </si>
  <si>
    <t>Existing Cyclists - Commuter</t>
  </si>
  <si>
    <t>Existing Walkers - Recreational</t>
  </si>
  <si>
    <t>% Ages 20-74</t>
  </si>
  <si>
    <t>Impacted by Improvements/Rehab</t>
  </si>
  <si>
    <t>Induced by New Trail</t>
  </si>
  <si>
    <t>Existing trail lengths</t>
  </si>
  <si>
    <t>Construction schedule for each trail</t>
  </si>
  <si>
    <t>Age of existing trails</t>
  </si>
  <si>
    <t>Value of recreation per trip (2006$)</t>
  </si>
  <si>
    <t>Cost per Cylist for New Trail</t>
  </si>
  <si>
    <t>Cost per Cylist for Improved Trail</t>
  </si>
  <si>
    <t>Trip Length for New Trail Users</t>
  </si>
  <si>
    <t>Trip Length for Improved Trail Users</t>
  </si>
  <si>
    <t>QUALITY OF LIFE BENEFITS - Improved Trail Users</t>
  </si>
  <si>
    <t>Average Trip Length - Walkers (miles)</t>
  </si>
  <si>
    <t>Average Trip Length - Cyclists (miles)</t>
  </si>
  <si>
    <t>Walkers</t>
  </si>
  <si>
    <t>Cyclists</t>
  </si>
  <si>
    <t>Crossing improvement locations and descriptions</t>
  </si>
  <si>
    <t>spreadsheet</t>
  </si>
  <si>
    <t>requested</t>
  </si>
  <si>
    <t>most are ADA</t>
  </si>
  <si>
    <t>some marked crossings</t>
  </si>
  <si>
    <t>QUALITY OF LIFE BENEFITS - New Trail Users</t>
  </si>
  <si>
    <r>
      <t xml:space="preserve">Table 1 - Construction Costs </t>
    </r>
    <r>
      <rPr>
        <b/>
        <vertAlign val="superscript"/>
        <sz val="11"/>
        <color theme="1"/>
        <rFont val="Calibri"/>
        <family val="2"/>
        <scheme val="minor"/>
      </rPr>
      <t>1</t>
    </r>
  </si>
  <si>
    <t>Years</t>
  </si>
  <si>
    <t>Year 2022 Costs</t>
  </si>
  <si>
    <t>Service Life (years)</t>
  </si>
  <si>
    <t>BCA Period (years)</t>
  </si>
  <si>
    <t>Base Year</t>
  </si>
  <si>
    <t>Benefit-Cost Analysis Period</t>
  </si>
  <si>
    <t>Last Year of Benefits</t>
  </si>
  <si>
    <t>REGIONAL TRAIL</t>
  </si>
  <si>
    <t>TRPD-Existing Agreement in Place</t>
  </si>
  <si>
    <t>TRPD, Existing, Local Trail, No Agreement</t>
  </si>
  <si>
    <t>TRPD- Existing Through Park Property</t>
  </si>
  <si>
    <t>Miles through other Impementing Agencies</t>
  </si>
  <si>
    <t>Total Miles in Operation</t>
  </si>
  <si>
    <t>Baker/Carver Regional Trail</t>
  </si>
  <si>
    <t>Bassett Creek Regional Trail</t>
  </si>
  <si>
    <t>-</t>
  </si>
  <si>
    <t>Bryant Lake Regional Trail</t>
  </si>
  <si>
    <t>Cedar Lake LRT Regional Trail</t>
  </si>
  <si>
    <r>
      <t>Crow River Regional Trail (for portions in Hennepin County)</t>
    </r>
    <r>
      <rPr>
        <vertAlign val="superscript"/>
        <sz val="12"/>
        <color theme="1"/>
        <rFont val="Calibri"/>
        <family val="2"/>
        <scheme val="minor"/>
      </rPr>
      <t xml:space="preserve"> </t>
    </r>
  </si>
  <si>
    <t>Crystal Lake Regional Trail</t>
  </si>
  <si>
    <t>Dakota Rail Regional Trail</t>
  </si>
  <si>
    <t>Diagonal Regional Trail</t>
  </si>
  <si>
    <t>Eagle Lake Regional Trail</t>
  </si>
  <si>
    <t>Lake Independence Regional Trail</t>
  </si>
  <si>
    <t>Lake Minnetonka LRT Regional Trail</t>
  </si>
  <si>
    <t>Luce Line Regional Trail</t>
  </si>
  <si>
    <r>
      <t>Medicine Lake Regional Trail (including extension to WMRRT)</t>
    </r>
    <r>
      <rPr>
        <vertAlign val="superscript"/>
        <sz val="12"/>
        <color theme="1"/>
        <rFont val="Calibri"/>
        <family val="2"/>
        <scheme val="minor"/>
      </rPr>
      <t xml:space="preserve"> </t>
    </r>
  </si>
  <si>
    <t>Minnesota River Bluffs LRT Regional Trail</t>
  </si>
  <si>
    <t>Nine Mile Creek Regional Trail</t>
  </si>
  <si>
    <t>Nokomis Minnesota River Regional Trail</t>
  </si>
  <si>
    <t>North Cedar Lake Regional Trail</t>
  </si>
  <si>
    <t>Twin Lakes Regional Trail</t>
  </si>
  <si>
    <t>West Mississippi River Regional Trail</t>
  </si>
  <si>
    <t>TOTALS</t>
  </si>
  <si>
    <t>Project Opening Year</t>
  </si>
  <si>
    <t>No Build Close Year</t>
  </si>
  <si>
    <t>Construction Start Year</t>
  </si>
  <si>
    <t>Construction End Year</t>
  </si>
  <si>
    <t>Opening Year</t>
  </si>
  <si>
    <t>Eagle Lake</t>
  </si>
  <si>
    <t>Eagle Lake Regional Trail: Luce Line Regional Trail to Lake Minnetonka Regional Trail  </t>
  </si>
  <si>
    <t>Med Lake</t>
  </si>
  <si>
    <t>Shingle Crk NAR</t>
  </si>
  <si>
    <t>Length</t>
  </si>
  <si>
    <t>Rehab</t>
  </si>
  <si>
    <t>Rehab = Length X Cost Per Mile</t>
  </si>
  <si>
    <t>Annual Operation = Length X Cost Per mile</t>
  </si>
  <si>
    <t>Annual Operation Cost Per Mile</t>
  </si>
  <si>
    <t xml:space="preserve">Basset </t>
  </si>
  <si>
    <t>Users</t>
  </si>
  <si>
    <t>User/Mile</t>
  </si>
  <si>
    <t>Percent Bike</t>
  </si>
  <si>
    <t>Percent Walk</t>
  </si>
  <si>
    <t>Project Average</t>
  </si>
  <si>
    <t>Project Total</t>
  </si>
  <si>
    <t>Eagle RT</t>
  </si>
  <si>
    <t>Bassett Creek</t>
  </si>
  <si>
    <t>Shingle Creek - NAR</t>
  </si>
  <si>
    <t>Sub Total</t>
  </si>
  <si>
    <t xml:space="preserve">Construction Year 1 </t>
  </si>
  <si>
    <t xml:space="preserve">Construction Year 2 </t>
  </si>
  <si>
    <t>Total Subproject cost per Constr. Year</t>
  </si>
  <si>
    <t>Shingle Creek -NAR</t>
  </si>
  <si>
    <t>Year of Construction</t>
  </si>
  <si>
    <t>Project Cost</t>
  </si>
  <si>
    <t>Remaining Cost</t>
  </si>
  <si>
    <t>Project</t>
  </si>
  <si>
    <t>State of Good Repair</t>
  </si>
  <si>
    <t>CO2 Savings Estimations</t>
  </si>
  <si>
    <t>Other Emissions Cost Savings</t>
  </si>
  <si>
    <t>Total (CO2 + Other Emissions)</t>
  </si>
  <si>
    <r>
      <t>Change in C02</t>
    </r>
    <r>
      <rPr>
        <vertAlign val="superscript"/>
        <sz val="9"/>
        <color theme="1"/>
        <rFont val="Calibri"/>
        <family val="2"/>
        <scheme val="minor"/>
      </rPr>
      <t>3</t>
    </r>
    <r>
      <rPr>
        <sz val="9"/>
        <color theme="1"/>
        <rFont val="Calibri"/>
        <family val="2"/>
        <scheme val="minor"/>
      </rPr>
      <t xml:space="preserve"> (metric tons)</t>
    </r>
  </si>
  <si>
    <r>
      <t xml:space="preserve">Yearly Carbon Emissions Savings in Current Dollars ($) </t>
    </r>
    <r>
      <rPr>
        <vertAlign val="superscript"/>
        <sz val="9"/>
        <color theme="1"/>
        <rFont val="Calibri"/>
        <family val="2"/>
        <scheme val="minor"/>
      </rPr>
      <t>2</t>
    </r>
  </si>
  <si>
    <t>Yearly Carbon Emissions Savings
(3% Discount)</t>
  </si>
  <si>
    <t>Change in Annual Network VMT</t>
  </si>
  <si>
    <r>
      <t>Change in NOx 
(metric tons)</t>
    </r>
    <r>
      <rPr>
        <vertAlign val="superscript"/>
        <sz val="9"/>
        <color theme="1"/>
        <rFont val="Calibri"/>
        <family val="2"/>
        <scheme val="minor"/>
      </rPr>
      <t>1</t>
    </r>
  </si>
  <si>
    <r>
      <t>Change in SO2
(metric tons)</t>
    </r>
    <r>
      <rPr>
        <vertAlign val="superscript"/>
        <sz val="9"/>
        <color theme="1"/>
        <rFont val="Calibri"/>
        <family val="2"/>
        <scheme val="minor"/>
      </rPr>
      <t>1</t>
    </r>
  </si>
  <si>
    <r>
      <t>Change in PM
(metric tons)</t>
    </r>
    <r>
      <rPr>
        <vertAlign val="superscript"/>
        <sz val="9"/>
        <color theme="1"/>
        <rFont val="Calibri"/>
        <family val="2"/>
        <scheme val="minor"/>
      </rPr>
      <t>1</t>
    </r>
  </si>
  <si>
    <t>Change in NOx 
($)(2)</t>
  </si>
  <si>
    <r>
      <t>Change in SO2
($)</t>
    </r>
    <r>
      <rPr>
        <vertAlign val="superscript"/>
        <sz val="9"/>
        <color theme="1"/>
        <rFont val="Calibri"/>
        <family val="2"/>
        <scheme val="minor"/>
      </rPr>
      <t>(2)</t>
    </r>
  </si>
  <si>
    <r>
      <t>Change in PM
($)</t>
    </r>
    <r>
      <rPr>
        <vertAlign val="superscript"/>
        <sz val="9"/>
        <color theme="1"/>
        <rFont val="Calibri"/>
        <family val="2"/>
        <scheme val="minor"/>
      </rPr>
      <t>(2)</t>
    </r>
  </si>
  <si>
    <r>
      <t xml:space="preserve">Yearly Emissions Savings in Current Dollars Non-CO2 Emissions ($) </t>
    </r>
    <r>
      <rPr>
        <vertAlign val="superscript"/>
        <sz val="9"/>
        <color theme="1"/>
        <rFont val="Calibri"/>
        <family val="2"/>
        <scheme val="minor"/>
      </rPr>
      <t>(2)</t>
    </r>
  </si>
  <si>
    <t xml:space="preserve"> 7% Discounted</t>
  </si>
  <si>
    <r>
      <t xml:space="preserve">Table 1 - Pollution Emission by Mode (g/VMT) </t>
    </r>
    <r>
      <rPr>
        <b/>
        <vertAlign val="superscript"/>
        <sz val="11"/>
        <color theme="1"/>
        <rFont val="Calibri"/>
        <family val="2"/>
        <scheme val="minor"/>
      </rPr>
      <t>(1)</t>
    </r>
  </si>
  <si>
    <t>MOVES Model Output (grams per VMT)</t>
  </si>
  <si>
    <t>NOX</t>
  </si>
  <si>
    <t>SO2</t>
  </si>
  <si>
    <t>PM2.5</t>
  </si>
  <si>
    <t>CO2</t>
  </si>
  <si>
    <t>Source Type</t>
  </si>
  <si>
    <t>HPMS Description</t>
  </si>
  <si>
    <t>Auto/Truck</t>
  </si>
  <si>
    <t>Motorcycle</t>
  </si>
  <si>
    <t>Auto</t>
  </si>
  <si>
    <t>Light-Duty Vehicle</t>
  </si>
  <si>
    <r>
      <t xml:space="preserve">Table 2 - Damage Costs for Emissions per metric ton </t>
    </r>
    <r>
      <rPr>
        <b/>
        <vertAlign val="superscript"/>
        <sz val="11"/>
        <color theme="1"/>
        <rFont val="Calibri"/>
        <family val="2"/>
        <scheme val="minor"/>
      </rPr>
      <t>(2)</t>
    </r>
  </si>
  <si>
    <t>Buses</t>
  </si>
  <si>
    <t>Truck</t>
  </si>
  <si>
    <t>Single-Unit Truck</t>
  </si>
  <si>
    <t>Combination Truck</t>
  </si>
  <si>
    <t>Average emission rates per vehicle type were obtained from the Environmental Protection Agency’s Motor Vehicle Emission Simulator (MOVES) version 3. The change in VMT between No Build and Build conditions was obtained from the microsimulation model and applied to emission rates by vehicle type. Similar adjustments to estimate daily VMT from the peak hour analyses discussed in the Operation Benefits section were applied in the Air Quality analysis.</t>
  </si>
  <si>
    <t>Table 3 - Emissions Summary</t>
  </si>
  <si>
    <t>Change in CO2 (metric tons)</t>
  </si>
  <si>
    <t>Change in NOx (kg)</t>
  </si>
  <si>
    <t>Change in SO2 (kg)</t>
  </si>
  <si>
    <t>Change in PM (kg)</t>
  </si>
  <si>
    <t>Base Cost Year</t>
  </si>
  <si>
    <t>Difference in VMT</t>
  </si>
  <si>
    <t>Environmental Sustainability</t>
  </si>
  <si>
    <t>Economic Competitiveness</t>
  </si>
  <si>
    <r>
      <t>Air quality (no CO</t>
    </r>
    <r>
      <rPr>
        <vertAlign val="subscript"/>
        <sz val="9"/>
        <color theme="1"/>
        <rFont val="Calibri"/>
        <family val="2"/>
        <scheme val="minor"/>
      </rPr>
      <t>2</t>
    </r>
    <r>
      <rPr>
        <sz val="9"/>
        <color theme="1"/>
        <rFont val="Calibri"/>
        <family val="2"/>
        <scheme val="minor"/>
      </rPr>
      <t>)</t>
    </r>
  </si>
  <si>
    <r>
      <t>CO</t>
    </r>
    <r>
      <rPr>
        <vertAlign val="subscript"/>
        <sz val="9"/>
        <color theme="1"/>
        <rFont val="Calibri"/>
        <family val="2"/>
        <scheme val="minor"/>
      </rPr>
      <t>2</t>
    </r>
    <r>
      <rPr>
        <sz val="9"/>
        <color theme="1"/>
        <rFont val="Calibri"/>
        <family val="2"/>
        <scheme val="minor"/>
      </rPr>
      <t xml:space="preserve"> Discounted at 3%</t>
    </r>
  </si>
  <si>
    <t>Microsurfacing Cost Per Mile</t>
  </si>
  <si>
    <t>NPV</t>
  </si>
  <si>
    <t xml:space="preserve"> Convert 2000$ to 2020$</t>
  </si>
  <si>
    <t>Results</t>
  </si>
  <si>
    <t>Table 2 - Cost By Project</t>
  </si>
  <si>
    <t>Table 1 - Project Specifications</t>
  </si>
  <si>
    <t>Table 3 - Existing Usage</t>
  </si>
  <si>
    <t>Table 4 - New Trail Usage</t>
  </si>
  <si>
    <t>Table 5 - Improved Trail Usage</t>
  </si>
  <si>
    <t>Table 6 - Mobility Benefit Calculations</t>
  </si>
  <si>
    <t>Table 12 - Walking Assumptions</t>
  </si>
  <si>
    <t>Annual maintenance costs were computed by determining the net lane-miles added to the network under the Build Alternative compared to the No Build. A value of $6,080 per trail mile and $26,000 per trail mile was applied in calculating the yearly operation and maintenance cost and rehabilitiation costs, respectively. Rehabilitiation was assumed to occur every 7 years post construction.</t>
  </si>
  <si>
    <t>Table 1 - Per-mile Operating Cost by Mode</t>
  </si>
  <si>
    <t>Table 2 - Fleet Composition</t>
  </si>
  <si>
    <t>Last Year Built</t>
  </si>
  <si>
    <t>Table 1 - Base Assumptions</t>
  </si>
  <si>
    <t>Rehab Schedule</t>
  </si>
  <si>
    <t>Project Length (mi)</t>
  </si>
  <si>
    <t>Total of New + Reconstructed Trail</t>
  </si>
  <si>
    <t>Last Construction Year</t>
  </si>
  <si>
    <t>Vehicle Operating Cost Savings</t>
  </si>
  <si>
    <t xml:space="preserve">Willingness to travel (minutes) </t>
  </si>
  <si>
    <t>Value of time (2018 Dollars per minute)</t>
  </si>
  <si>
    <t xml:space="preserve">Mobility adjustment factor </t>
  </si>
  <si>
    <t xml:space="preserve">Table 7 - Health Savings Calculations </t>
  </si>
  <si>
    <t xml:space="preserve">Table 8 - Recreation Benefit Calculations </t>
  </si>
  <si>
    <t xml:space="preserve">Table 9 - Amenity Benefit Calculations </t>
  </si>
  <si>
    <t xml:space="preserve">Table 10 - Reduced Auto Use (Congestion) Benefit Calculations </t>
  </si>
  <si>
    <t xml:space="preserve">Table 11 - Inflation Factor </t>
  </si>
  <si>
    <t>Usership growth rate</t>
  </si>
  <si>
    <t>To determine existing user demand, demographic data for the Three Rivers Park District trails was collected and organized to determine the number of existing annual visits, percentage of cyclists, and percentage of hikers/walkers/runners.  In addition, the data provided information on trip purpose, such as the percentage of users who commute to work via the trails. To obtain estimates of project impacts on the trail usage, users per mile of existing trail was calculated using the count and survey data. Some trails did not have more detailed demographic data available. In these instances, the total district trail data was used to determine an average number of users per mile of trail. District values were verified to be reasonable by comparing the total district users per mile to the individual trail users per mile where available, as demonstrated in the “Users per Mile” tab in the workbook.</t>
  </si>
  <si>
    <t>Existing users per mile were applied to the new trail construction length and trail reconstruction length of each project to determine the number of new users induced to the facility and the number of existing users impacted, respectively. Benefits to existing users were only quantified for years in which the existing trail would be closed if maintenance and rehabilitation assumed in the Build Alternative would not occur. Benefits for new trail users were quantified once the new trail is expected to be operational. Furthermore, users were broken down by mode (walkers or cyclists) and purpose (recreational or commuting) based on the survey data.</t>
  </si>
  <si>
    <t>6)</t>
  </si>
  <si>
    <t>Existing usership derived from Three Rivers Park Bassett Creek Demographic Trail Data, as shown in gray tab towards the end of the workbook.</t>
  </si>
  <si>
    <t xml:space="preserve">Recreation benefits and cycling benefits for mobility and reduced auto congestion were based on a methodology described in the National Cooperative Highway Research Program's (NCHRP) Report 552: Guidelines for Analysis of Investments in Bicycle Facilities (2006). (http://onlinepubs.trb.org/onlinepubs/nchrp/nchrp_rpt_552.pdf). </t>
  </si>
  <si>
    <t>7)</t>
  </si>
  <si>
    <t>RAISE 2023 BCA SUMMARY - Three Rivers Park District Regional Trail Network</t>
  </si>
  <si>
    <t>Included in 2023?</t>
  </si>
  <si>
    <t>Changes?</t>
  </si>
  <si>
    <t>Y</t>
  </si>
  <si>
    <t>1.12 miles of trail reconstruction. Add wayfinding to entire trail</t>
  </si>
  <si>
    <t>Reconstruct 1.4 miles. Construct 0.3 miles. Add wayfinding, regulatory signage, and stripping to rest of 1.5 mile RT corridor</t>
  </si>
  <si>
    <t>Reconstruct 2.3 miles of RT</t>
  </si>
  <si>
    <t>Reconstruct 3 miles and add wayfinding to entire 4.7 mile RT segment</t>
  </si>
  <si>
    <t xml:space="preserve"> Convert 2006$ to 2021$</t>
  </si>
  <si>
    <t>CP Rail North</t>
  </si>
  <si>
    <t>CP Rail South</t>
  </si>
  <si>
    <t>Annual Use/Visitation</t>
  </si>
  <si>
    <t xml:space="preserve">Trail </t>
  </si>
  <si>
    <t>2019 TRPD Annual Visitation</t>
  </si>
  <si>
    <t>Visitation Projection When Complete</t>
  </si>
  <si>
    <t>2023: How/When Projection Was Done</t>
  </si>
  <si>
    <r>
      <t>Updated Annual 2040 Projection Use</t>
    </r>
    <r>
      <rPr>
        <vertAlign val="superscript"/>
        <sz val="11"/>
        <color theme="1"/>
        <rFont val="Calibri"/>
        <family val="2"/>
        <scheme val="minor"/>
      </rPr>
      <t>*</t>
    </r>
    <r>
      <rPr>
        <sz val="9"/>
        <color theme="1"/>
        <rFont val="Calibri"/>
        <family val="2"/>
        <scheme val="minor"/>
      </rPr>
      <t xml:space="preserve"> </t>
    </r>
  </si>
  <si>
    <t>Main Activitiy (%)**</t>
  </si>
  <si>
    <t>Percent Transportation**</t>
  </si>
  <si>
    <t>Projected/When Complete Based on Updated Projections</t>
  </si>
  <si>
    <t>Biking</t>
  </si>
  <si>
    <t>Hiking</t>
  </si>
  <si>
    <t>Running</t>
  </si>
  <si>
    <t>Commrcl. Area</t>
  </si>
  <si>
    <t>Friends and Family</t>
  </si>
  <si>
    <t>Total  Transprt.</t>
  </si>
  <si>
    <t xml:space="preserve">Transprt. Percent </t>
  </si>
  <si>
    <t>Annual Transprt. Trips</t>
  </si>
  <si>
    <t>District Total</t>
  </si>
  <si>
    <t xml:space="preserve">Bassett Creek RT </t>
  </si>
  <si>
    <t xml:space="preserve">2023. Based on 50.4% population change in 1.5 mile service area from the existing trail in 2020 to the future trail in 2040. Projected 2040 population derived from % change in TAZ data from 2020-2040 and applied to 2020 Census Population </t>
  </si>
  <si>
    <t xml:space="preserve">Eagle Lake RT </t>
  </si>
  <si>
    <t xml:space="preserve">2023. Based on the actual 50% of visitors service area (1.35 miles) of a comparable trail (Luce Line) to determine visits/resident, and applied to projected 2040 population of the same service area f0r the new/future trail. </t>
  </si>
  <si>
    <t xml:space="preserve">Med Lake RT </t>
  </si>
  <si>
    <t xml:space="preserve">2023. Based on 33.9% population change in 1.5 mile service area from the existing trail in 2020 to the future trail in 2040. Projected 2040 population derived from % change in TAZ data from 2020-2040 and applied to 2020 Census Population </t>
  </si>
  <si>
    <t xml:space="preserve">CP Rail RT North </t>
  </si>
  <si>
    <t xml:space="preserve">2023. Based on the actual 50% of visitors service area (1.35 miles) of a comparable trail (Luce Line) to determine visits/resident, and applied to projected 2040 population of the same service area for the new/future trail. </t>
  </si>
  <si>
    <t xml:space="preserve">CP Rail RT South </t>
  </si>
  <si>
    <t xml:space="preserve">Shingle Creek RT </t>
  </si>
  <si>
    <t xml:space="preserve">2023. Based on 18.8% population change in 1.5 mile service area from the existing trail in 2020 to the future trail in 2040. Projected 2040 population derived from % change in TAZ data from 2020-2040 and applied to 2020 Census Population </t>
  </si>
  <si>
    <t>Twin Lakes RT</t>
  </si>
  <si>
    <t xml:space="preserve">2023. Based on 9.2% population change in 1.5 mile service area from the existing trail in 2020 to the future trail in 2040. Projected 2040 population derived from % change in TAZ data from 2020-2040 and applied to most recent US Census Population </t>
  </si>
  <si>
    <t>* Based on: 2020 Census/2040 Population Projections/50% of use from within 1.5 miles and 75% of use from within 3 miles</t>
  </si>
  <si>
    <t>** From 2019 RT survey findings or projected based on similar trail corridors/communities</t>
  </si>
  <si>
    <t>3-4 @ France Avenu/53rd 
1 @ northpoint crossing 53rd to provide easy local access
4 @ Brooklyn Blvd Lane</t>
  </si>
  <si>
    <t>Shingle Creek Regional Trail - Noble - 0.84 Miles</t>
  </si>
  <si>
    <t>Trail Components</t>
  </si>
  <si>
    <t>Trail Length</t>
  </si>
  <si>
    <t>Cost per LF</t>
  </si>
  <si>
    <t>Estimated Cost</t>
  </si>
  <si>
    <t>Trail Reconstruction - Remove and Replace</t>
  </si>
  <si>
    <t>Up from $225</t>
  </si>
  <si>
    <t>ADA Ramp</t>
  </si>
  <si>
    <t>Kiosks/Wayfinding</t>
  </si>
  <si>
    <t>Lump sum for multiple per TRPD</t>
  </si>
  <si>
    <t>APS Intersection Improvements</t>
  </si>
  <si>
    <t>Includes consulting contingency</t>
  </si>
  <si>
    <t>Trail Counter</t>
  </si>
  <si>
    <t>Total Project Cost</t>
  </si>
  <si>
    <t>Total Construction Cost</t>
  </si>
  <si>
    <t>Consulting Cost (20% Construction Cost)</t>
  </si>
  <si>
    <t>Inflation 5% per year on construction cost</t>
  </si>
  <si>
    <t>4 years</t>
  </si>
  <si>
    <t xml:space="preserve">Twin Lakes Regional Trail </t>
  </si>
  <si>
    <t>Existing Concrete Trail</t>
  </si>
  <si>
    <t>Existing Asphalt Trail</t>
  </si>
  <si>
    <t xml:space="preserve"> </t>
  </si>
  <si>
    <t>Relocate Hydrant and All Related Costs</t>
  </si>
  <si>
    <t>Includes new hydrant, new ADA ramp, C&amp;G, Pavement, &amp; sidewalk</t>
  </si>
  <si>
    <t>5 years</t>
  </si>
  <si>
    <t>Eagle Lake Regional Trail - Zachary Segment Bass Lake Road to 36th Ave - 3.2 Miles</t>
  </si>
  <si>
    <t>Zachary Reconstruction</t>
  </si>
  <si>
    <t>Zachary New Trail</t>
  </si>
  <si>
    <t>Trail Reconstruction - Reclaim</t>
  </si>
  <si>
    <t>36th to 40th</t>
  </si>
  <si>
    <t>Trail along back of curb</t>
  </si>
  <si>
    <t>New Trail</t>
  </si>
  <si>
    <t>North of fishing pier</t>
  </si>
  <si>
    <t>West of Eagle Lake RP</t>
  </si>
  <si>
    <t>Minor Improvements along rest of corridor</t>
  </si>
  <si>
    <t>CP Rail Crossing Improvements</t>
  </si>
  <si>
    <t>Signage upgrade and pavement markings</t>
  </si>
  <si>
    <t>Accessible Bus Stop Landing</t>
  </si>
  <si>
    <t>E-Bike Charger</t>
  </si>
  <si>
    <t>reclaim</t>
  </si>
  <si>
    <t>remove and replace</t>
  </si>
  <si>
    <t>Bassett Creek Regional Trail - East and West of TH 100 - 1.12 Mile</t>
  </si>
  <si>
    <t>Cost per LF/EA</t>
  </si>
  <si>
    <t>West of TH 100 to Welcome Ave</t>
  </si>
  <si>
    <t>East of TH 100 along Unity, not curb and gutter work</t>
  </si>
  <si>
    <t>Existing concrete sidewalk</t>
  </si>
  <si>
    <t>Asphalt in floodplain</t>
  </si>
  <si>
    <t>Wayfinding Signage at TH 100 Ped Bridge</t>
  </si>
  <si>
    <t>Update to smaller signage (2 signs)</t>
  </si>
  <si>
    <t>$300 ea. Per MnDOT</t>
  </si>
  <si>
    <t>TML BOC or Ret. Wall</t>
  </si>
  <si>
    <t>Remove Zachary to French</t>
  </si>
  <si>
    <t>Medicine Lake Regional Trail - Zachary Segment Bass Lake Road to 36th Ave - 2.28 Miles</t>
  </si>
  <si>
    <t>Trail along back of curb or retaining wall</t>
  </si>
  <si>
    <t>Xerces was $170/LF construction in 2020</t>
  </si>
  <si>
    <t>CP Rail Regional Trail North -  4.8 Mile</t>
  </si>
  <si>
    <t>All Kiosks and other items not listed are on the main sheet</t>
  </si>
  <si>
    <t>Stripe Existing Trail</t>
  </si>
  <si>
    <t>Douglas: Golden Valley Road to Medicine Lake Road</t>
  </si>
  <si>
    <t>New Trail Construction</t>
  </si>
  <si>
    <t>Right-of-Way</t>
  </si>
  <si>
    <t>Lump sum per TRPD PLUS $50k for consulting</t>
  </si>
  <si>
    <t>Improvements at 49th Ave/Nevada and Douglas Drive/Olympia</t>
  </si>
  <si>
    <t>Retaining Wall</t>
  </si>
  <si>
    <t>Small block retaining wall</t>
  </si>
  <si>
    <t>Utility Relocation</t>
  </si>
  <si>
    <t>Hydrant Relocation</t>
  </si>
  <si>
    <t>CP Rail Regional Trail South -  4.7 Mile</t>
  </si>
  <si>
    <t>Hyland Lake PR and 500' east side of East Bush Lake Road</t>
  </si>
  <si>
    <t>east side of E. Bush asphalt</t>
  </si>
  <si>
    <t>concrete to ac east side of E. Busk</t>
  </si>
  <si>
    <t>Concrete to asphalt</t>
  </si>
  <si>
    <t>East Bush -78th Intersection</t>
  </si>
  <si>
    <t>Could increase</t>
  </si>
  <si>
    <t>E Bush Lake Rd/Chalet &amp; Dewey Hill Rd/Bush Lake Rd</t>
  </si>
  <si>
    <t>I-494 ADA Ramp</t>
  </si>
  <si>
    <t>North of I-494 bridge</t>
  </si>
  <si>
    <t>SUBTOTAL OF TOTAL PROJECT COST</t>
  </si>
  <si>
    <t>Construction</t>
  </si>
  <si>
    <t>Inflation on Construction</t>
  </si>
  <si>
    <t>20% construction/consulting</t>
  </si>
  <si>
    <t>7.5% predesign consulting</t>
  </si>
  <si>
    <t>$750,000 added</t>
  </si>
  <si>
    <t>(Contsruction + 20% consulting + predesign consulting) Total</t>
  </si>
  <si>
    <t>Eligible RAISE funds</t>
  </si>
  <si>
    <t>Pre RAISE funds</t>
  </si>
  <si>
    <t>CP Rail Regional Trail - South Segment</t>
  </si>
  <si>
    <t>CP Rail Regional Trail - North Segment</t>
  </si>
  <si>
    <t xml:space="preserve">Amundson: (2) new ADA ramps 
Along Cahill: up to (16) new ADA ramps (8 commerical driveways)
Dewey: up to (8) new ADA ramps (4 commerical driveways)
Bush Lake Road: (2) new ADA ramps
Along Bush Lake Road: upto (18) new ADA ramps (9 commerical driveways)
74th:(2) new ADA ramps 
76th:(2) new ADA ramps 
East Bush Lake/Bush Lake: (2) new ADA ramps 
78th: (2) new ADA ramps (due to eliminating right run lane/reconfiguring the interestion and  moving signals)
Along East Bush Lake Road/Commercial Driveways: (2) new ADA ramps or raise driveway
I-494 North Off Ramp: (2) ramps need ADA improvements - (1) is located on MnDOT bridge 
I-494 South on/off Ramps: (2) meet ADA 
American Blvd: (2) ramps need ADA improvements 
84th/East Bush Lake Road/Chalet Road: (7) ramps need ADA improvements - including 1 pork chop reconfiguration    
Add signals/ADA ramps at east bush lake crossing to Bush Lake, assume that we would move the curb in for Bush Lake Rd 6' and keep parking on one side, Dewey Hill - CP rail Crossing, northside/semi traffic </t>
  </si>
  <si>
    <t xml:space="preserve">78th - reconfiguring crossing to eliminate free right/pork chop and moving signal
Bush Lake Road - adding a signal </t>
  </si>
  <si>
    <t>I-494 existing East Bush Lake Road Bridge will need ADA improvements on north and south side 
CP Rail x 2 (1 existing at-grade @ East Bush Lake Rd and 1 NEW at-grade @ Dewey Hill)</t>
  </si>
  <si>
    <t xml:space="preserve">Fairview Ave/Douglas Drive: (4) ramps need ADA updates (2 part of trail)
Florida Ave: (2) ramps need ADA updates
Hampshire: (2) ramps need ADA updates
Jersery Ave: (2) ramps need ADA updates
Louisiana Ave: (3) ramps needs ADA updates (2 part of trail)
Commerical Driveways: (6) ramps need ADA updates
Quebec/49th: (2) ramps need ADA updates
Commercial Driveways (Quebec, north of 42nd): up (44) ADA ramps/driveway crossings (22 crossings)
Sunnyside Park: (1) new ramp/local connection/road crossing
42nd/CSAH 9: (4) ramps need ADA updates (2 part of trail)
Commercial Driveway (Quebec, south of 42nd): up to (20) ADA ramps/driveway crossings (10 crossings)
Quebec/Douglas: (2) ramps need ADA updates (1 part of trail)
Commercial Driveway (Winetka, 2 cemetary/2 businesses): up to (8) ADA ramps/driveway crossings (4 crossings)
Commercial Driveway (Douglas, south of 32nd): up to (8) ADA ramps/driveway crossings (4 crossings)
29th: (2) ramps need ADA improvements </t>
  </si>
  <si>
    <t>Crosses 42nd/CSAH 9 at signal, may need to tweak signal 
Katie reviewed Douglas Srive crossing at Crystal Community Center - no RRFB is needed - but maybe an isald or crossing bump outs make sense?</t>
  </si>
  <si>
    <t>CP Rail x 3 (1 existing at-grade @ Douglas/Olympia, 1 existing grade-separeted @ 36th/Nevada, and 1 NEW at-grade @ 49th Ave)</t>
  </si>
  <si>
    <r>
      <t>CSAH 61: (2) ramps need ADA
Goldenrod Road: (2) ramps need ADA
Balsam Lane: (2) ramps need ADA
Bass Lake Road: (6) ramps needs ADA</t>
    </r>
    <r>
      <rPr>
        <sz val="9"/>
        <color rgb="FFC00000"/>
        <rFont val="Calibri"/>
        <family val="2"/>
        <scheme val="minor"/>
      </rPr>
      <t xml:space="preserve"> including potentially reconfiging one porkchops that the trail passes through.</t>
    </r>
    <r>
      <rPr>
        <sz val="9"/>
        <color theme="1"/>
        <rFont val="Calibri"/>
        <family val="2"/>
        <scheme val="minor"/>
      </rPr>
      <t xml:space="preserve">
56th/townhouse driveway: (2) ramps need ADA
Rockford Road: (8) ramps need ADA </t>
    </r>
    <r>
      <rPr>
        <sz val="9"/>
        <color rgb="FFC00000"/>
        <rFont val="Calibri"/>
        <family val="2"/>
        <scheme val="minor"/>
      </rPr>
      <t>and may need to reconfigure one porkchop and light location</t>
    </r>
    <r>
      <rPr>
        <sz val="9"/>
        <color theme="1"/>
        <rFont val="Calibri"/>
        <family val="2"/>
        <scheme val="minor"/>
      </rPr>
      <t xml:space="preserve">
Commercial Driveway: (2) ramps need ADA
Old Rockford Road: (2) ramps need ADA </t>
    </r>
    <r>
      <rPr>
        <sz val="9"/>
        <color rgb="FFC00000"/>
        <rFont val="Calibri"/>
        <family val="2"/>
        <scheme val="minor"/>
      </rPr>
      <t>and create center refuge with at-grade trail passing through</t>
    </r>
    <r>
      <rPr>
        <sz val="9"/>
        <color theme="1"/>
        <rFont val="Calibri"/>
        <family val="2"/>
        <scheme val="minor"/>
      </rPr>
      <t xml:space="preserve">
Commercial (daycare) Driveway: (2) ramps need ADA
40th: (2) ramps need ADA
Park Driveway: (2) ramps need ADA
39th: (2) ramps need ADA
37, 39th, 46th, 48th, 49th and 50th: (6) new ADA curb cuts - Do we want to add crossing(s) of Zachary and add ADA curb cuts?  Difficult for bikers, bikes  pulling a burle, strollers, wheelchairs, etc. to access trail otherwise. </t>
    </r>
  </si>
  <si>
    <t>Potential new crossings of Zachary to improve access from the adjacent neighborhood at: 37, 39th, 46th, 48th, 49th and 50th.</t>
  </si>
  <si>
    <t xml:space="preserve">1 existing at-grade RR crossing south of 53rd Ave along Zachary, new truncated domes in place  </t>
  </si>
  <si>
    <r>
      <t xml:space="preserve">36th/Zachary: (3) ramps need ADA improvements
Hazelton Entrance: </t>
    </r>
    <r>
      <rPr>
        <sz val="9"/>
        <color rgb="FFC00000"/>
        <rFont val="Calibri"/>
        <family val="2"/>
        <scheme val="minor"/>
      </rPr>
      <t xml:space="preserve">(2) ramps need ADA improvements </t>
    </r>
    <r>
      <rPr>
        <sz val="9"/>
        <color theme="1"/>
        <rFont val="Calibri"/>
        <family val="2"/>
        <scheme val="minor"/>
      </rPr>
      <t xml:space="preserve">
34, 32, Union Terrace, 30th, Revere, 26th, 23rd, Lancaster, unnamed culd-e-sac, and 18th: </t>
    </r>
    <r>
      <rPr>
        <sz val="9"/>
        <color rgb="FFC00000"/>
        <rFont val="Calibri"/>
        <family val="2"/>
        <scheme val="minor"/>
      </rPr>
      <t xml:space="preserve">(10) new ADA curb cuts - Do we want to add crossing(s) of Med Lake Road and add ADA curb cuts?  Difficult for bikers, bikes  pulling a burle, strollers, wheelchairs, etc. to access trail otherwise. </t>
    </r>
    <r>
      <rPr>
        <sz val="9"/>
        <color theme="1"/>
        <rFont val="Calibri"/>
        <family val="2"/>
        <scheme val="minor"/>
      </rPr>
      <t xml:space="preserve">
Medicine Ridge Road: (1) ramp needs ADA improvements    
Nathan Lane: (1) ramp needs ADA improvements
South Shore: (1) ramp needs ADA improvements</t>
    </r>
  </si>
  <si>
    <t>Potential new crossings of East Med Lake Road to improve access from the adjacent neighborhood at: 34, 32, Union Terrace, 30th, Revere, 26th, 23rd, Lancaster, unnamed culd-e-sac, and 18th.</t>
  </si>
  <si>
    <r>
      <t xml:space="preserve">95th Avenue: NE corner is good, (3) other corners need updating.
610 On and Off Ramps, </t>
    </r>
    <r>
      <rPr>
        <sz val="9"/>
        <color rgb="FFC00000"/>
        <rFont val="Calibri"/>
        <family val="2"/>
        <scheme val="minor"/>
      </rPr>
      <t>ADA appears correct but ped push button crossing lights are in middle of trail on southside.  We may look at upgrading to greater width if trail is widen and look at relocating APS push button.</t>
    </r>
    <r>
      <rPr>
        <sz val="9"/>
        <color theme="1"/>
        <rFont val="Calibri"/>
        <family val="2"/>
        <scheme val="minor"/>
      </rPr>
      <t xml:space="preserve">
93rd Ave - ADA appears correct (all 4 corners) </t>
    </r>
    <r>
      <rPr>
        <sz val="9"/>
        <color rgb="FFC00000"/>
        <rFont val="Calibri"/>
        <family val="2"/>
        <scheme val="minor"/>
      </rPr>
      <t xml:space="preserve">but trail width is narrowed between ped push button crossing light and utility box - this will need to be reviewed and potentially improved. </t>
    </r>
    <r>
      <rPr>
        <sz val="9"/>
        <color theme="1"/>
        <rFont val="Calibri"/>
        <family val="2"/>
        <scheme val="minor"/>
      </rPr>
      <t xml:space="preserve">
Edinbrook Crossing -  (2) ramps need ADA improvements (east side only) 
Kilbirnie Terrace - (2) ramps need ADA improvements (east side only)
</t>
    </r>
  </si>
  <si>
    <r>
      <rPr>
        <sz val="9"/>
        <rFont val="Calibri"/>
        <family val="2"/>
        <scheme val="minor"/>
      </rPr>
      <t xml:space="preserve">Add crossing of 95th between the local trail/transit station </t>
    </r>
    <r>
      <rPr>
        <sz val="9"/>
        <color rgb="FFFF0000"/>
        <rFont val="Calibri"/>
        <family val="2"/>
        <scheme val="minor"/>
      </rPr>
      <t xml:space="preserve">
</t>
    </r>
  </si>
  <si>
    <t xml:space="preserve">Hwy 610 existing Noble Ave Bridge - will reconstruct sidewalk connections with paved trail.  </t>
  </si>
  <si>
    <t>Twin Lakes</t>
  </si>
  <si>
    <t>Bassett Creek Regional Trail - East and West of TH 100</t>
  </si>
  <si>
    <t>Eagle Lake Regional Trail - Zachary Segment Bass Lake Road to 36th Ave</t>
  </si>
  <si>
    <t>Medicine Lake Regional Trail - Zachary Segment Bass Lake Road to 36th Ave</t>
  </si>
  <si>
    <t>Year 2021 Costs</t>
  </si>
  <si>
    <t>Inflation Adustment - GDP Deflator</t>
  </si>
  <si>
    <t>Convert year 2022 to 2021</t>
  </si>
  <si>
    <t>Predesign Consulting (7.5% Construction + $750,000)</t>
  </si>
  <si>
    <t>2021 Project Cost (Deflated from 2022 to 2021 dollars)</t>
  </si>
  <si>
    <t>Emission Type</t>
  </si>
  <si>
    <t>Reduction</t>
  </si>
  <si>
    <t>CO2 (metric tons)</t>
  </si>
  <si>
    <t>NOx (kg)</t>
  </si>
  <si>
    <t>SO2 (kg)</t>
  </si>
  <si>
    <t>PM2.5 (kg)</t>
  </si>
  <si>
    <t xml:space="preserve">Shingle Creek Regional Trail: Noble Avenue Reconstruction </t>
  </si>
  <si>
    <t>Remaining Life at end of BCA Period (yrs)</t>
  </si>
  <si>
    <t>Assumes all costs in first year of construction, which is a conservative assumption</t>
  </si>
  <si>
    <t>Vehicle operational cost savings were determined based on the estimated reduction in VMT. Costs per mile were valued in accordance with the Benefit-Cost Analysis Guidance for Discretionary Grant Programs - January 2023. The recommended values for operating costs were provided in year 2021 dollars.</t>
  </si>
  <si>
    <t xml:space="preserve">The analysis assumed that construction of each trail would take between years 2028 and 2030. Construction is expected to be completed in stages with some trail projects occurring before others. </t>
  </si>
  <si>
    <t xml:space="preserve">Each trail is expected to have a service life of 30 years before reconstruction is expected to be required. Since the benefit-cost analysis period extended for 20 years beyond the opening of the last constructed trail, the remaining value of infrastructure was calculated for the years of service remaining beyond year 2050. Each trail was assumed to have a linear depreciation; thus, the remaining capital value for each trail was equivalent to the total trail project cost multiplied by the percentage of useful life remaining (i.e. number of years remaining divided by 30-years of life). This value was expressed in terms of 2021 dollars and was added to other user benefits in accordance with USDOT guidance. </t>
  </si>
  <si>
    <t>Health and amenity benefit calculations were based on guidance from the Benefit Cost Analysis Guidance for Discretionary Grant Programs, dated January 2023; Table A-12: Mortality Reduction Benefits of Induced Active Transportation Values</t>
  </si>
  <si>
    <t>Inflation rates were obtained from the Benefit Cost Analysis Guidance for Discretionary Grant Programs, dated January 2023; Table A-7: Inflation Adjusmtnet Values; Additional inflation rates not provided in the USDOT guidance were obtained from Implicit Price Deflators for Gross Domestic Product (Bureau of Economic Analysis)</t>
  </si>
  <si>
    <t xml:space="preserve">Year 2040 visitation projections were developed by Three Rivers Park District staff. Projected visitation was developed by comparing population data from the 2020 Census and 2040 population projections within the influence area of each project. Additionally, existing use data based on population proximity to each trail project was applied to 2040 population projections by TAZ for use in the 2040 visitation estimates. </t>
  </si>
  <si>
    <t>The value of emissions costs were obtained from the Benefit Cost Analysis Guidance for Discretionary Grant Programs, dated January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</si>
</sst>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_);[Red]\(&quot;$&quot;#,##0\)"/>
    <numFmt numFmtId="44" formatCode="_(&quot;$&quot;* #,##0.00_);_(&quot;$&quot;* \(#,##0.00\);_(&quot;$&quot;* &quot;-&quot;??_);_(@_)"/>
    <numFmt numFmtId="43" formatCode="_(* #,##0.00_);_(* \(#,##0.00\);_(* &quot;-&quot;??_);_(@_)"/>
    <numFmt numFmtId="164" formatCode="&quot;$&quot;#,##0"/>
    <numFmt numFmtId="165" formatCode="_(&quot;$&quot;* #,##0_);_(&quot;$&quot;* \(#,##0\);_(&quot;$&quot;* &quot;-&quot;??_);_(@_)"/>
    <numFmt numFmtId="166" formatCode="&quot;$&quot;#,##0\ ;\(&quot;$&quot;#,##0\)"/>
    <numFmt numFmtId="167" formatCode="_(* #,##0_);_(* \(#,##0\);_(* &quot;-&quot;??_);_(@_)"/>
    <numFmt numFmtId="168" formatCode="0.0%"/>
    <numFmt numFmtId="169" formatCode="&quot;$&quot;#,##0.00"/>
    <numFmt numFmtId="170" formatCode="0.000"/>
    <numFmt numFmtId="171" formatCode="_(* #,##0.0_);_(* \(#,##0.0\);_(* &quot;-&quot;??_);_(@_)"/>
    <numFmt numFmtId="172" formatCode="_(&quot;$&quot;* #,##0.000_);_(&quot;$&quot;* \(#,##0.000\);_(&quot;$&quot;* &quot;-&quot;??_);_(@_)"/>
    <numFmt numFmtId="173" formatCode="0.0"/>
    <numFmt numFmtId="174" formatCode="#,##0.000"/>
    <numFmt numFmtId="175" formatCode="0.0000"/>
    <numFmt numFmtId="176" formatCode="&quot;$&quot;#,##0.0"/>
    <numFmt numFmtId="177" formatCode="_(&quot;$&quot;* #,##0.0_);_(&quot;$&quot;* \(#,##0.0\);_(&quot;$&quot;* &quot;-&quot;?_);_(@_)"/>
  </numFmts>
  <fonts count="51" x14ac:knownFonts="1">
    <font>
      <sz val="11"/>
      <color theme="1"/>
      <name val="Calibri"/>
      <family val="2"/>
      <scheme val="minor"/>
    </font>
    <font>
      <sz val="11"/>
      <color theme="1"/>
      <name val="Calibri"/>
      <family val="2"/>
      <scheme val="minor"/>
    </font>
    <font>
      <sz val="9"/>
      <color theme="1"/>
      <name val="Calibri"/>
      <family val="2"/>
      <scheme val="minor"/>
    </font>
    <font>
      <b/>
      <sz val="9"/>
      <color theme="1"/>
      <name val="Calibri"/>
      <family val="2"/>
      <scheme val="minor"/>
    </font>
    <font>
      <b/>
      <sz val="11"/>
      <color theme="1"/>
      <name val="Calibri"/>
      <family val="2"/>
      <scheme val="minor"/>
    </font>
    <font>
      <vertAlign val="superscript"/>
      <sz val="9"/>
      <color theme="1"/>
      <name val="Calibri"/>
      <family val="2"/>
      <scheme val="minor"/>
    </font>
    <font>
      <sz val="11"/>
      <name val="Calibri"/>
      <family val="2"/>
      <scheme val="minor"/>
    </font>
    <font>
      <sz val="10"/>
      <name val="Arial"/>
      <family val="2"/>
    </font>
    <font>
      <b/>
      <sz val="9"/>
      <name val="Calibri"/>
      <family val="2"/>
      <scheme val="minor"/>
    </font>
    <font>
      <sz val="9"/>
      <name val="Calibri"/>
      <family val="2"/>
      <scheme val="minor"/>
    </font>
    <font>
      <b/>
      <sz val="12"/>
      <color theme="1"/>
      <name val="Calibri"/>
      <family val="2"/>
      <scheme val="minor"/>
    </font>
    <font>
      <sz val="11"/>
      <color theme="0" tint="-0.249977111117893"/>
      <name val="Calibri"/>
      <family val="2"/>
      <scheme val="minor"/>
    </font>
    <font>
      <sz val="9"/>
      <color theme="0" tint="-0.249977111117893"/>
      <name val="Calibri"/>
      <family val="2"/>
      <scheme val="minor"/>
    </font>
    <font>
      <sz val="11"/>
      <name val="Arial Narrow"/>
      <family val="2"/>
    </font>
    <font>
      <b/>
      <sz val="11"/>
      <name val="Calibri"/>
      <family val="2"/>
      <scheme val="minor"/>
    </font>
    <font>
      <b/>
      <sz val="18"/>
      <color theme="1"/>
      <name val="Calibri"/>
      <family val="2"/>
      <scheme val="minor"/>
    </font>
    <font>
      <b/>
      <vertAlign val="superscript"/>
      <sz val="11"/>
      <color theme="1"/>
      <name val="Calibri"/>
      <family val="2"/>
      <scheme val="minor"/>
    </font>
    <font>
      <sz val="11"/>
      <color indexed="8"/>
      <name val="Calibri"/>
      <family val="2"/>
      <scheme val="minor"/>
    </font>
    <font>
      <b/>
      <i/>
      <sz val="11"/>
      <color theme="1"/>
      <name val="Calibri"/>
      <family val="2"/>
      <scheme val="minor"/>
    </font>
    <font>
      <sz val="9"/>
      <color rgb="FF0070C0"/>
      <name val="Calibri"/>
      <family val="2"/>
      <scheme val="minor"/>
    </font>
    <font>
      <b/>
      <sz val="16"/>
      <color theme="1"/>
      <name val="Calibri"/>
      <family val="2"/>
      <scheme val="minor"/>
    </font>
    <font>
      <u/>
      <sz val="11"/>
      <color theme="10"/>
      <name val="Calibri"/>
      <family val="2"/>
      <scheme val="minor"/>
    </font>
    <font>
      <sz val="11"/>
      <color rgb="FFFF0000"/>
      <name val="Calibri"/>
      <family val="2"/>
      <scheme val="minor"/>
    </font>
    <font>
      <sz val="11"/>
      <color theme="1"/>
      <name val="Calibri"/>
      <family val="2"/>
    </font>
    <font>
      <vertAlign val="superscript"/>
      <sz val="11"/>
      <color theme="1"/>
      <name val="Calibri"/>
      <family val="2"/>
      <scheme val="minor"/>
    </font>
    <font>
      <sz val="10"/>
      <color theme="1"/>
      <name val="Calibri"/>
      <family val="2"/>
      <scheme val="minor"/>
    </font>
    <font>
      <i/>
      <sz val="11"/>
      <color theme="0" tint="-0.499984740745262"/>
      <name val="Calibri"/>
      <family val="2"/>
      <scheme val="minor"/>
    </font>
    <font>
      <i/>
      <sz val="9.35"/>
      <color theme="0" tint="-0.499984740745262"/>
      <name val="Calibri"/>
      <family val="2"/>
    </font>
    <font>
      <b/>
      <sz val="11"/>
      <color rgb="FF000000"/>
      <name val="Calibri"/>
      <family val="2"/>
    </font>
    <font>
      <sz val="11"/>
      <color rgb="FF000000"/>
      <name val="Calibri"/>
      <family val="2"/>
    </font>
    <font>
      <sz val="10"/>
      <name val="Arial"/>
      <family val="2"/>
    </font>
    <font>
      <b/>
      <sz val="9"/>
      <color rgb="FFFF0000"/>
      <name val="Calibri"/>
      <family val="2"/>
      <scheme val="minor"/>
    </font>
    <font>
      <sz val="10"/>
      <color theme="1"/>
      <name val="Arial"/>
      <family val="2"/>
    </font>
    <font>
      <b/>
      <sz val="9"/>
      <color indexed="81"/>
      <name val="Tahoma"/>
      <family val="2"/>
    </font>
    <font>
      <sz val="9"/>
      <color indexed="81"/>
      <name val="Tahoma"/>
      <family val="2"/>
    </font>
    <font>
      <sz val="10"/>
      <color rgb="FF000000"/>
      <name val="Verdana"/>
      <family val="2"/>
    </font>
    <font>
      <b/>
      <sz val="10"/>
      <color rgb="FF000000"/>
      <name val="Verdana"/>
      <family val="2"/>
    </font>
    <font>
      <b/>
      <sz val="10"/>
      <color rgb="FF0309ED"/>
      <name val="Verdana"/>
      <family val="2"/>
    </font>
    <font>
      <sz val="12"/>
      <color theme="1"/>
      <name val="Calibri"/>
      <family val="2"/>
      <scheme val="minor"/>
    </font>
    <font>
      <vertAlign val="superscript"/>
      <sz val="12"/>
      <color theme="1"/>
      <name val="Calibri"/>
      <family val="2"/>
      <scheme val="minor"/>
    </font>
    <font>
      <sz val="9"/>
      <color rgb="FFFF0000"/>
      <name val="Calibri"/>
      <family val="2"/>
      <scheme val="minor"/>
    </font>
    <font>
      <sz val="11"/>
      <color theme="0" tint="-0.14999847407452621"/>
      <name val="Calibri"/>
      <family val="2"/>
      <scheme val="minor"/>
    </font>
    <font>
      <sz val="8"/>
      <name val="Calibri"/>
      <family val="2"/>
      <scheme val="minor"/>
    </font>
    <font>
      <vertAlign val="subscript"/>
      <sz val="9"/>
      <color theme="1"/>
      <name val="Calibri"/>
      <family val="2"/>
      <scheme val="minor"/>
    </font>
    <font>
      <b/>
      <sz val="11"/>
      <color indexed="8"/>
      <name val="Calibri"/>
      <family val="2"/>
      <scheme val="minor"/>
    </font>
    <font>
      <sz val="10"/>
      <name val="Verdana"/>
      <family val="2"/>
    </font>
    <font>
      <u/>
      <sz val="11"/>
      <color theme="1"/>
      <name val="Calibri"/>
      <family val="2"/>
      <scheme val="minor"/>
    </font>
    <font>
      <b/>
      <sz val="10"/>
      <color theme="1"/>
      <name val="Calibri"/>
      <family val="2"/>
      <scheme val="minor"/>
    </font>
    <font>
      <b/>
      <sz val="10"/>
      <name val="Verdana"/>
      <family val="2"/>
    </font>
    <font>
      <sz val="10"/>
      <color rgb="FFFF0000"/>
      <name val="Verdana"/>
      <family val="2"/>
    </font>
    <font>
      <sz val="9"/>
      <color rgb="FFC00000"/>
      <name val="Calibri"/>
      <family val="2"/>
      <scheme val="minor"/>
    </font>
  </fonts>
  <fills count="23">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rgb="FFE2EFD9"/>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2"/>
        <bgColor indexed="64"/>
      </patternFill>
    </fill>
    <fill>
      <patternFill patternType="solid">
        <fgColor rgb="FFF2F2F2"/>
        <bgColor rgb="FF000000"/>
      </patternFill>
    </fill>
    <fill>
      <patternFill patternType="solid">
        <fgColor theme="0" tint="-4.9989318521683403E-2"/>
        <bgColor indexed="64"/>
      </patternFill>
    </fill>
    <fill>
      <patternFill patternType="solid">
        <fgColor theme="7" tint="0.79998168889431442"/>
        <bgColor indexed="64"/>
      </patternFill>
    </fill>
    <fill>
      <patternFill patternType="solid">
        <fgColor rgb="FFD9D9D9"/>
        <bgColor indexed="64"/>
      </patternFill>
    </fill>
    <fill>
      <patternFill patternType="solid">
        <fgColor rgb="FF92D050"/>
        <bgColor indexed="64"/>
      </patternFill>
    </fill>
    <fill>
      <patternFill patternType="solid">
        <fgColor rgb="FFBDD7EE"/>
        <bgColor indexed="64"/>
      </patternFill>
    </fill>
    <fill>
      <patternFill patternType="solid">
        <fgColor theme="4" tint="0.79998168889431442"/>
        <bgColor indexed="65"/>
      </patternFill>
    </fill>
    <fill>
      <patternFill patternType="solid">
        <fgColor rgb="FFBDD6EE"/>
        <bgColor indexed="64"/>
      </patternFill>
    </fill>
    <fill>
      <patternFill patternType="solid">
        <fgColor rgb="FFDEEAF6"/>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1"/>
        <bgColor indexed="64"/>
      </patternFill>
    </fill>
    <fill>
      <patternFill patternType="solid">
        <fgColor rgb="FFDDEBF7"/>
        <bgColor indexed="64"/>
      </patternFill>
    </fill>
    <fill>
      <patternFill patternType="solid">
        <fgColor theme="4" tint="0.79998168889431442"/>
        <bgColor indexed="64"/>
      </patternFill>
    </fill>
  </fills>
  <borders count="128">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style="medium">
        <color auto="1"/>
      </right>
      <top/>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double">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dotted">
        <color rgb="FF808080"/>
      </left>
      <right style="dotted">
        <color rgb="FF808080"/>
      </right>
      <top style="dotted">
        <color rgb="FF808080"/>
      </top>
      <bottom/>
      <diagonal/>
    </border>
    <border>
      <left style="dotted">
        <color rgb="FF808080"/>
      </left>
      <right style="dotted">
        <color rgb="FF808080"/>
      </right>
      <top/>
      <bottom style="dotted">
        <color rgb="FF808080"/>
      </bottom>
      <diagonal/>
    </border>
    <border>
      <left/>
      <right style="dotted">
        <color rgb="FF808080"/>
      </right>
      <top style="dotted">
        <color rgb="FF808080"/>
      </top>
      <bottom/>
      <diagonal/>
    </border>
    <border>
      <left/>
      <right style="dotted">
        <color rgb="FF808080"/>
      </right>
      <top/>
      <bottom style="dotted">
        <color rgb="FF808080"/>
      </bottom>
      <diagonal/>
    </border>
    <border>
      <left style="dotted">
        <color rgb="FF808080"/>
      </left>
      <right style="dotted">
        <color rgb="FF808080"/>
      </right>
      <top/>
      <bottom/>
      <diagonal/>
    </border>
    <border>
      <left/>
      <right style="dotted">
        <color rgb="FF808080"/>
      </right>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top/>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right style="medium">
        <color rgb="FFFFFFFF"/>
      </right>
      <top style="medium">
        <color rgb="FFFFFFFF"/>
      </top>
      <bottom style="medium">
        <color rgb="FFFFFFFF"/>
      </bottom>
      <diagonal/>
    </border>
    <border>
      <left/>
      <right style="medium">
        <color rgb="FFFFFFFF"/>
      </right>
      <top/>
      <bottom style="medium">
        <color rgb="FFFFFFFF"/>
      </bottom>
      <diagonal/>
    </border>
    <border>
      <left style="dotted">
        <color rgb="FF808080"/>
      </left>
      <right/>
      <top/>
      <bottom/>
      <diagonal/>
    </border>
    <border>
      <left/>
      <right style="thin">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theme="0" tint="-0.499984740745262"/>
      </left>
      <right style="hair">
        <color theme="0" tint="-0.499984740745262"/>
      </right>
      <top style="thin">
        <color theme="0" tint="-0.499984740745262"/>
      </top>
      <bottom/>
      <diagonal/>
    </border>
    <border>
      <left/>
      <right style="hair">
        <color theme="0" tint="-0.499984740745262"/>
      </right>
      <top style="thin">
        <color theme="0" tint="-0.499984740745262"/>
      </top>
      <bottom/>
      <diagonal/>
    </border>
    <border>
      <left style="hair">
        <color theme="0" tint="-0.499984740745262"/>
      </left>
      <right style="hair">
        <color theme="0" tint="-0.499984740745262"/>
      </right>
      <top style="thin">
        <color theme="0" tint="-0.499984740745262"/>
      </top>
      <bottom/>
      <diagonal/>
    </border>
    <border>
      <left style="hair">
        <color theme="0" tint="-0.499984740745262"/>
      </left>
      <right style="hair">
        <color theme="0" tint="-0.499984740745262"/>
      </right>
      <top style="hair">
        <color theme="0" tint="-0.499984740745262"/>
      </top>
      <bottom/>
      <diagonal/>
    </border>
    <border>
      <left style="hair">
        <color theme="0" tint="-0.499984740745262"/>
      </left>
      <right/>
      <top style="thin">
        <color theme="0" tint="-0.499984740745262"/>
      </top>
      <bottom style="hair">
        <color theme="0" tint="-0.499984740745262"/>
      </bottom>
      <diagonal/>
    </border>
    <border>
      <left/>
      <right/>
      <top style="thin">
        <color theme="0" tint="-0.499984740745262"/>
      </top>
      <bottom style="hair">
        <color theme="0" tint="-0.499984740745262"/>
      </bottom>
      <diagonal/>
    </border>
    <border>
      <left/>
      <right style="hair">
        <color theme="0" tint="-0.499984740745262"/>
      </right>
      <top style="thin">
        <color theme="0" tint="-0.499984740745262"/>
      </top>
      <bottom style="hair">
        <color theme="0" tint="-0.499984740745262"/>
      </bottom>
      <diagonal/>
    </border>
    <border>
      <left/>
      <right style="thin">
        <color theme="0" tint="-0.499984740745262"/>
      </right>
      <top style="thin">
        <color theme="0" tint="-0.499984740745262"/>
      </top>
      <bottom style="hair">
        <color theme="0" tint="-0.499984740745262"/>
      </bottom>
      <diagonal/>
    </border>
    <border>
      <left style="thin">
        <color theme="0" tint="-0.499984740745262"/>
      </left>
      <right style="hair">
        <color theme="0" tint="-0.499984740745262"/>
      </right>
      <top/>
      <bottom style="thin">
        <color theme="0" tint="-0.499984740745262"/>
      </bottom>
      <diagonal/>
    </border>
    <border>
      <left/>
      <right style="hair">
        <color theme="0" tint="-0.499984740745262"/>
      </right>
      <top/>
      <bottom style="thin">
        <color theme="0" tint="-0.499984740745262"/>
      </bottom>
      <diagonal/>
    </border>
    <border>
      <left style="hair">
        <color theme="0" tint="-0.499984740745262"/>
      </left>
      <right style="hair">
        <color theme="0" tint="-0.499984740745262"/>
      </right>
      <top/>
      <bottom style="thin">
        <color theme="0" tint="-0.499984740745262"/>
      </bottom>
      <diagonal/>
    </border>
    <border>
      <left style="hair">
        <color theme="0" tint="-0.499984740745262"/>
      </left>
      <right style="hair">
        <color theme="0" tint="-0.499984740745262"/>
      </right>
      <top style="hair">
        <color theme="0" tint="-0.499984740745262"/>
      </top>
      <bottom style="thin">
        <color theme="0" tint="-0.499984740745262"/>
      </bottom>
      <diagonal/>
    </border>
    <border>
      <left style="hair">
        <color theme="0" tint="-0.499984740745262"/>
      </left>
      <right style="thin">
        <color theme="0" tint="-0.499984740745262"/>
      </right>
      <top style="hair">
        <color theme="0" tint="-0.499984740745262"/>
      </top>
      <bottom style="thin">
        <color theme="0" tint="-0.499984740745262"/>
      </bottom>
      <diagonal/>
    </border>
    <border>
      <left style="thin">
        <color theme="0" tint="-0.499984740745262"/>
      </left>
      <right style="hair">
        <color theme="0" tint="-0.499984740745262"/>
      </right>
      <top/>
      <bottom style="hair">
        <color theme="0" tint="-0.499984740745262"/>
      </bottom>
      <diagonal/>
    </border>
    <border>
      <left/>
      <right style="hair">
        <color theme="0" tint="-0.499984740745262"/>
      </right>
      <top/>
      <bottom style="hair">
        <color theme="0" tint="-0.499984740745262"/>
      </bottom>
      <diagonal/>
    </border>
    <border>
      <left style="hair">
        <color theme="0" tint="-0.499984740745262"/>
      </left>
      <right style="hair">
        <color theme="0" tint="-0.499984740745262"/>
      </right>
      <top/>
      <bottom style="hair">
        <color theme="0" tint="-0.499984740745262"/>
      </bottom>
      <diagonal/>
    </border>
    <border>
      <left style="hair">
        <color theme="0" tint="-0.499984740745262"/>
      </left>
      <right style="hair">
        <color theme="0" tint="-0.499984740745262"/>
      </right>
      <top/>
      <bottom/>
      <diagonal/>
    </border>
    <border>
      <left style="hair">
        <color theme="0" tint="-0.499984740745262"/>
      </left>
      <right style="thin">
        <color theme="0" tint="-0.499984740745262"/>
      </right>
      <top/>
      <bottom/>
      <diagonal/>
    </border>
    <border>
      <left style="hair">
        <color theme="0" tint="-0.499984740745262"/>
      </left>
      <right style="thin">
        <color theme="0" tint="-0.499984740745262"/>
      </right>
      <top/>
      <bottom style="hair">
        <color theme="0" tint="-0.499984740745262"/>
      </bottom>
      <diagonal/>
    </border>
    <border>
      <left style="thin">
        <color theme="0" tint="-0.499984740745262"/>
      </left>
      <right style="hair">
        <color theme="0" tint="-0.499984740745262"/>
      </right>
      <top style="hair">
        <color theme="0" tint="-0.499984740745262"/>
      </top>
      <bottom style="hair">
        <color theme="0" tint="-0.499984740745262"/>
      </bottom>
      <diagonal/>
    </border>
    <border>
      <left/>
      <right style="hair">
        <color theme="0" tint="-0.499984740745262"/>
      </right>
      <top style="hair">
        <color theme="0" tint="-0.499984740745262"/>
      </top>
      <bottom style="hair">
        <color theme="0" tint="-0.499984740745262"/>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style="thin">
        <color theme="0" tint="-0.499984740745262"/>
      </right>
      <top style="hair">
        <color theme="0" tint="-0.499984740745262"/>
      </top>
      <bottom style="hair">
        <color theme="0" tint="-0.499984740745262"/>
      </bottom>
      <diagonal/>
    </border>
    <border>
      <left style="thin">
        <color theme="0" tint="-0.499984740745262"/>
      </left>
      <right style="hair">
        <color theme="0" tint="-0.499984740745262"/>
      </right>
      <top style="hair">
        <color theme="0" tint="-0.499984740745262"/>
      </top>
      <bottom style="thin">
        <color theme="0" tint="-0.499984740745262"/>
      </bottom>
      <diagonal/>
    </border>
    <border>
      <left/>
      <right style="hair">
        <color theme="0" tint="-0.499984740745262"/>
      </right>
      <top style="hair">
        <color theme="0" tint="-0.499984740745262"/>
      </top>
      <bottom style="thin">
        <color theme="0" tint="-0.499984740745262"/>
      </bottom>
      <diagonal/>
    </border>
    <border>
      <left style="thin">
        <color theme="0" tint="-0.499984740745262"/>
      </left>
      <right style="hair">
        <color theme="0" tint="-0.499984740745262"/>
      </right>
      <top/>
      <bottom/>
      <diagonal/>
    </border>
    <border>
      <left style="thin">
        <color theme="0" tint="-0.499984740745262"/>
      </left>
      <right style="hair">
        <color theme="0" tint="-0.499984740745262"/>
      </right>
      <top style="hair">
        <color theme="0" tint="-0.499984740745262"/>
      </top>
      <bottom/>
      <diagonal/>
    </border>
    <border>
      <left/>
      <right style="thin">
        <color indexed="64"/>
      </right>
      <top/>
      <bottom style="thin">
        <color indexed="64"/>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theme="0" tint="-0.499984740745262"/>
      </right>
      <top style="hair">
        <color theme="0" tint="-0.499984740745262"/>
      </top>
      <bottom style="hair">
        <color theme="0" tint="-0.499984740745262"/>
      </bottom>
      <diagonal/>
    </border>
    <border>
      <left/>
      <right style="thin">
        <color theme="0" tint="-0.499984740745262"/>
      </right>
      <top style="hair">
        <color theme="0" tint="-0.499984740745262"/>
      </top>
      <bottom style="thin">
        <color theme="0" tint="-0.499984740745262"/>
      </bottom>
      <diagonal/>
    </border>
    <border>
      <left/>
      <right style="thin">
        <color theme="0" tint="-0.499984740745262"/>
      </right>
      <top style="hair">
        <color theme="0" tint="-0.499984740745262"/>
      </top>
      <bottom/>
      <diagonal/>
    </border>
  </borders>
  <cellStyleXfs count="21">
    <xf numFmtId="0" fontId="0" fillId="0" borderId="0"/>
    <xf numFmtId="44" fontId="1"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43" fontId="7" fillId="0" borderId="0" applyFont="0" applyFill="0" applyBorder="0" applyAlignment="0" applyProtection="0"/>
    <xf numFmtId="3" fontId="7" fillId="0" borderId="0" applyFont="0" applyFill="0" applyBorder="0" applyAlignment="0" applyProtection="0"/>
    <xf numFmtId="166" fontId="7" fillId="0" borderId="0" applyFont="0" applyFill="0" applyBorder="0" applyAlignment="0" applyProtection="0"/>
    <xf numFmtId="0" fontId="7" fillId="0" borderId="0" applyFont="0" applyFill="0" applyBorder="0" applyAlignment="0" applyProtection="0"/>
    <xf numFmtId="2" fontId="7" fillId="0" borderId="0" applyFont="0" applyFill="0" applyBorder="0" applyAlignment="0" applyProtection="0"/>
    <xf numFmtId="0" fontId="1" fillId="0" borderId="0"/>
    <xf numFmtId="0" fontId="13" fillId="0" borderId="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7" fillId="0" borderId="0"/>
    <xf numFmtId="0" fontId="21" fillId="0" borderId="0" applyNumberFormat="0" applyFill="0" applyBorder="0" applyAlignment="0" applyProtection="0"/>
    <xf numFmtId="0" fontId="30" fillId="0" borderId="0"/>
    <xf numFmtId="0" fontId="1" fillId="15" borderId="0" applyNumberFormat="0" applyBorder="0" applyAlignment="0" applyProtection="0"/>
  </cellStyleXfs>
  <cellXfs count="741">
    <xf numFmtId="0" fontId="0" fillId="0" borderId="0" xfId="0"/>
    <xf numFmtId="0" fontId="2" fillId="0" borderId="13" xfId="0" applyFont="1" applyBorder="1" applyAlignment="1">
      <alignment horizontal="center"/>
    </xf>
    <xf numFmtId="0" fontId="2" fillId="0" borderId="14" xfId="0" applyFont="1" applyBorder="1" applyAlignment="1">
      <alignment horizontal="center"/>
    </xf>
    <xf numFmtId="0" fontId="2" fillId="0" borderId="15" xfId="0" applyFont="1" applyBorder="1" applyAlignment="1">
      <alignment horizontal="center"/>
    </xf>
    <xf numFmtId="0" fontId="2" fillId="0" borderId="0" xfId="0" applyFont="1"/>
    <xf numFmtId="164" fontId="2" fillId="0" borderId="0" xfId="0" applyNumberFormat="1" applyFont="1" applyAlignment="1">
      <alignment horizontal="center"/>
    </xf>
    <xf numFmtId="164" fontId="2" fillId="0" borderId="20" xfId="0" applyNumberFormat="1" applyFont="1" applyBorder="1" applyAlignment="1">
      <alignment horizontal="center"/>
    </xf>
    <xf numFmtId="164" fontId="2" fillId="0" borderId="21" xfId="0" applyNumberFormat="1" applyFont="1" applyBorder="1" applyAlignment="1">
      <alignment horizontal="center"/>
    </xf>
    <xf numFmtId="0" fontId="4" fillId="0" borderId="0" xfId="0" applyFont="1"/>
    <xf numFmtId="0" fontId="0" fillId="0" borderId="0" xfId="0" applyAlignment="1">
      <alignment horizontal="right"/>
    </xf>
    <xf numFmtId="164" fontId="2" fillId="0" borderId="8" xfId="0" applyNumberFormat="1" applyFont="1" applyBorder="1" applyAlignment="1">
      <alignment horizontal="center"/>
    </xf>
    <xf numFmtId="165" fontId="2" fillId="0" borderId="0" xfId="0" applyNumberFormat="1" applyFont="1"/>
    <xf numFmtId="165" fontId="2" fillId="0" borderId="0" xfId="0" applyNumberFormat="1" applyFont="1" applyAlignment="1">
      <alignment horizontal="center"/>
    </xf>
    <xf numFmtId="0" fontId="2" fillId="0" borderId="0" xfId="0" applyFont="1" applyAlignment="1">
      <alignment horizontal="center"/>
    </xf>
    <xf numFmtId="1" fontId="2" fillId="0" borderId="0" xfId="0" applyNumberFormat="1" applyFont="1" applyAlignment="1">
      <alignment horizontal="center"/>
    </xf>
    <xf numFmtId="164" fontId="2" fillId="0" borderId="42" xfId="0" applyNumberFormat="1" applyFont="1" applyBorder="1" applyAlignment="1">
      <alignment horizontal="center"/>
    </xf>
    <xf numFmtId="164" fontId="2" fillId="0" borderId="38" xfId="0" applyNumberFormat="1" applyFont="1" applyBorder="1" applyAlignment="1">
      <alignment horizontal="center"/>
    </xf>
    <xf numFmtId="0" fontId="10" fillId="0" borderId="0" xfId="0" applyFont="1" applyAlignment="1">
      <alignment horizontal="center"/>
    </xf>
    <xf numFmtId="0" fontId="11" fillId="0" borderId="0" xfId="0" applyFont="1"/>
    <xf numFmtId="164" fontId="12" fillId="0" borderId="0" xfId="0" applyNumberFormat="1" applyFont="1" applyAlignment="1">
      <alignment horizontal="center"/>
    </xf>
    <xf numFmtId="0" fontId="0" fillId="0" borderId="43" xfId="0" applyBorder="1"/>
    <xf numFmtId="0" fontId="4" fillId="2" borderId="47" xfId="0" applyFont="1" applyFill="1" applyBorder="1"/>
    <xf numFmtId="0" fontId="4" fillId="2" borderId="46" xfId="0" applyFont="1" applyFill="1" applyBorder="1"/>
    <xf numFmtId="0" fontId="0" fillId="0" borderId="0" xfId="0" applyAlignment="1">
      <alignment horizontal="center"/>
    </xf>
    <xf numFmtId="0" fontId="0" fillId="0" borderId="0" xfId="0" applyAlignment="1">
      <alignment vertical="top" wrapText="1"/>
    </xf>
    <xf numFmtId="0" fontId="0" fillId="0" borderId="29" xfId="0" applyBorder="1" applyAlignment="1">
      <alignment horizontal="center"/>
    </xf>
    <xf numFmtId="0" fontId="15" fillId="0" borderId="0" xfId="0" applyFont="1"/>
    <xf numFmtId="165" fontId="0" fillId="0" borderId="0" xfId="1" applyNumberFormat="1" applyFont="1"/>
    <xf numFmtId="0" fontId="0" fillId="0" borderId="35" xfId="0" applyBorder="1"/>
    <xf numFmtId="0" fontId="0" fillId="0" borderId="37" xfId="0" applyBorder="1"/>
    <xf numFmtId="0" fontId="0" fillId="0" borderId="42" xfId="0" applyBorder="1"/>
    <xf numFmtId="167" fontId="4" fillId="0" borderId="0" xfId="15" applyNumberFormat="1" applyFont="1"/>
    <xf numFmtId="164" fontId="3" fillId="0" borderId="4" xfId="0" applyNumberFormat="1" applyFont="1" applyBorder="1"/>
    <xf numFmtId="0" fontId="10" fillId="0" borderId="0" xfId="0" applyFont="1" applyAlignment="1">
      <alignment horizontal="left"/>
    </xf>
    <xf numFmtId="9" fontId="4" fillId="2" borderId="55" xfId="0" applyNumberFormat="1" applyFont="1" applyFill="1" applyBorder="1" applyAlignment="1">
      <alignment horizontal="center"/>
    </xf>
    <xf numFmtId="164" fontId="0" fillId="0" borderId="31" xfId="0" applyNumberFormat="1" applyBorder="1" applyAlignment="1">
      <alignment horizontal="center"/>
    </xf>
    <xf numFmtId="164" fontId="0" fillId="0" borderId="56" xfId="0" applyNumberFormat="1" applyBorder="1" applyAlignment="1">
      <alignment horizontal="center"/>
    </xf>
    <xf numFmtId="164" fontId="0" fillId="0" borderId="35" xfId="0" applyNumberFormat="1" applyBorder="1" applyAlignment="1">
      <alignment horizontal="center"/>
    </xf>
    <xf numFmtId="164" fontId="0" fillId="0" borderId="0" xfId="0" applyNumberFormat="1" applyAlignment="1">
      <alignment horizontal="center"/>
    </xf>
    <xf numFmtId="2" fontId="0" fillId="0" borderId="0" xfId="0" applyNumberFormat="1" applyAlignment="1">
      <alignment horizontal="center"/>
    </xf>
    <xf numFmtId="9" fontId="4" fillId="0" borderId="35" xfId="0" applyNumberFormat="1" applyFont="1" applyBorder="1" applyAlignment="1">
      <alignment horizontal="center"/>
    </xf>
    <xf numFmtId="9" fontId="4" fillId="0" borderId="0" xfId="0" applyNumberFormat="1" applyFont="1" applyAlignment="1">
      <alignment horizontal="center"/>
    </xf>
    <xf numFmtId="0" fontId="0" fillId="0" borderId="0" xfId="0" applyAlignment="1">
      <alignment horizontal="left" vertical="top" wrapText="1"/>
    </xf>
    <xf numFmtId="0" fontId="2" fillId="0" borderId="50" xfId="0" applyFont="1" applyBorder="1" applyAlignment="1">
      <alignment horizontal="center" vertical="center" wrapText="1"/>
    </xf>
    <xf numFmtId="0" fontId="2" fillId="0" borderId="50" xfId="0" applyFont="1" applyBorder="1" applyAlignment="1">
      <alignment horizontal="center"/>
    </xf>
    <xf numFmtId="0" fontId="0" fillId="0" borderId="0" xfId="0" applyAlignment="1">
      <alignment vertical="center"/>
    </xf>
    <xf numFmtId="0" fontId="10" fillId="0" borderId="0" xfId="0" applyFont="1" applyAlignment="1">
      <alignment horizontal="center" vertical="center"/>
    </xf>
    <xf numFmtId="0" fontId="0" fillId="0" borderId="0" xfId="0" applyAlignment="1">
      <alignment horizontal="center" vertical="top" wrapText="1"/>
    </xf>
    <xf numFmtId="0" fontId="0" fillId="0" borderId="0" xfId="0" applyAlignment="1">
      <alignment horizontal="right" vertical="top"/>
    </xf>
    <xf numFmtId="0" fontId="0" fillId="0" borderId="0" xfId="0" applyAlignment="1">
      <alignment vertical="top"/>
    </xf>
    <xf numFmtId="164" fontId="19" fillId="0" borderId="0" xfId="0" applyNumberFormat="1" applyFont="1" applyAlignment="1">
      <alignment horizontal="center"/>
    </xf>
    <xf numFmtId="0" fontId="0" fillId="0" borderId="0" xfId="0" applyAlignment="1">
      <alignment horizontal="center" wrapText="1"/>
    </xf>
    <xf numFmtId="164" fontId="3" fillId="0" borderId="0" xfId="0" applyNumberFormat="1" applyFont="1"/>
    <xf numFmtId="164" fontId="2" fillId="0" borderId="0" xfId="0" applyNumberFormat="1" applyFont="1" applyAlignment="1">
      <alignment horizontal="left"/>
    </xf>
    <xf numFmtId="165" fontId="2" fillId="0" borderId="0" xfId="1" applyNumberFormat="1" applyFont="1" applyBorder="1" applyAlignment="1">
      <alignment horizontal="center"/>
    </xf>
    <xf numFmtId="0" fontId="20" fillId="0" borderId="0" xfId="0" applyFont="1" applyAlignment="1">
      <alignment horizontal="center" vertical="center"/>
    </xf>
    <xf numFmtId="9" fontId="20" fillId="0" borderId="0" xfId="16" applyFont="1" applyBorder="1" applyAlignment="1">
      <alignment horizontal="center" vertical="center"/>
    </xf>
    <xf numFmtId="0" fontId="18" fillId="0" borderId="0" xfId="0" applyFont="1" applyAlignment="1">
      <alignment horizontal="center"/>
    </xf>
    <xf numFmtId="44" fontId="0" fillId="0" borderId="0" xfId="1" applyFont="1" applyFill="1" applyBorder="1"/>
    <xf numFmtId="0" fontId="21" fillId="0" borderId="0" xfId="18" applyFill="1"/>
    <xf numFmtId="0" fontId="2" fillId="0" borderId="7" xfId="0" applyFont="1" applyBorder="1" applyAlignment="1">
      <alignment horizontal="center"/>
    </xf>
    <xf numFmtId="1" fontId="0" fillId="0" borderId="0" xfId="0" applyNumberFormat="1"/>
    <xf numFmtId="0" fontId="4" fillId="0" borderId="0" xfId="0" applyFont="1" applyAlignment="1">
      <alignment horizontal="center"/>
    </xf>
    <xf numFmtId="169" fontId="0" fillId="0" borderId="0" xfId="1" applyNumberFormat="1" applyFont="1" applyFill="1" applyBorder="1" applyAlignment="1">
      <alignment horizontal="center"/>
    </xf>
    <xf numFmtId="168" fontId="0" fillId="0" borderId="29" xfId="16" applyNumberFormat="1" applyFont="1" applyFill="1" applyBorder="1" applyAlignment="1">
      <alignment horizontal="center"/>
    </xf>
    <xf numFmtId="169" fontId="0" fillId="0" borderId="29" xfId="1" applyNumberFormat="1" applyFont="1" applyFill="1" applyBorder="1" applyAlignment="1">
      <alignment horizontal="center"/>
    </xf>
    <xf numFmtId="164" fontId="2" fillId="0" borderId="19" xfId="0" applyNumberFormat="1" applyFont="1" applyBorder="1" applyAlignment="1">
      <alignment horizontal="center" vertical="center"/>
    </xf>
    <xf numFmtId="0" fontId="2" fillId="0" borderId="5" xfId="0" applyFont="1" applyBorder="1" applyAlignment="1">
      <alignment horizontal="center" vertical="center" wrapText="1"/>
    </xf>
    <xf numFmtId="164" fontId="2" fillId="0" borderId="37" xfId="0" applyNumberFormat="1" applyFont="1" applyBorder="1" applyAlignment="1">
      <alignment horizontal="center" vertical="center" wrapText="1"/>
    </xf>
    <xf numFmtId="164" fontId="2" fillId="0" borderId="5" xfId="0" applyNumberFormat="1" applyFont="1" applyBorder="1" applyAlignment="1">
      <alignment horizontal="center" vertical="center" wrapText="1"/>
    </xf>
    <xf numFmtId="0" fontId="3" fillId="0" borderId="0" xfId="0" applyFont="1"/>
    <xf numFmtId="164" fontId="2" fillId="0" borderId="37" xfId="0" applyNumberFormat="1" applyFont="1" applyBorder="1" applyAlignment="1">
      <alignment horizontal="center"/>
    </xf>
    <xf numFmtId="6" fontId="12" fillId="0" borderId="0" xfId="0" applyNumberFormat="1" applyFont="1" applyAlignment="1">
      <alignment horizontal="center"/>
    </xf>
    <xf numFmtId="164" fontId="2" fillId="0" borderId="53" xfId="0" applyNumberFormat="1" applyFont="1" applyBorder="1" applyAlignment="1">
      <alignment horizontal="center"/>
    </xf>
    <xf numFmtId="164" fontId="2" fillId="0" borderId="29" xfId="0" applyNumberFormat="1" applyFont="1" applyBorder="1" applyAlignment="1">
      <alignment horizontal="center"/>
    </xf>
    <xf numFmtId="3" fontId="2" fillId="0" borderId="29" xfId="15" applyNumberFormat="1" applyFont="1" applyBorder="1" applyAlignment="1">
      <alignment horizontal="center"/>
    </xf>
    <xf numFmtId="164" fontId="2" fillId="0" borderId="24" xfId="0" applyNumberFormat="1" applyFont="1" applyBorder="1" applyAlignment="1">
      <alignment horizontal="center"/>
    </xf>
    <xf numFmtId="171" fontId="0" fillId="0" borderId="0" xfId="15" applyNumberFormat="1" applyFont="1"/>
    <xf numFmtId="0" fontId="18" fillId="0" borderId="29" xfId="0" applyFont="1" applyBorder="1" applyAlignment="1">
      <alignment horizontal="center"/>
    </xf>
    <xf numFmtId="3" fontId="0" fillId="0" borderId="29" xfId="0" applyNumberFormat="1" applyBorder="1" applyAlignment="1">
      <alignment horizontal="center"/>
    </xf>
    <xf numFmtId="3" fontId="2" fillId="0" borderId="54" xfId="15" applyNumberFormat="1" applyFont="1" applyBorder="1" applyAlignment="1">
      <alignment horizontal="center"/>
    </xf>
    <xf numFmtId="0" fontId="3" fillId="0" borderId="0" xfId="0" applyFont="1" applyAlignment="1">
      <alignment horizontal="right"/>
    </xf>
    <xf numFmtId="164" fontId="3" fillId="0" borderId="0" xfId="0" applyNumberFormat="1" applyFont="1" applyAlignment="1">
      <alignment horizontal="center"/>
    </xf>
    <xf numFmtId="3" fontId="0" fillId="0" borderId="0" xfId="0" applyNumberFormat="1"/>
    <xf numFmtId="3" fontId="0" fillId="0" borderId="0" xfId="0" applyNumberFormat="1" applyAlignment="1">
      <alignment horizontal="center"/>
    </xf>
    <xf numFmtId="40" fontId="0" fillId="0" borderId="29" xfId="0" applyNumberFormat="1" applyBorder="1" applyAlignment="1">
      <alignment horizontal="center"/>
    </xf>
    <xf numFmtId="165" fontId="0" fillId="0" borderId="29" xfId="1" applyNumberFormat="1" applyFont="1" applyBorder="1"/>
    <xf numFmtId="1" fontId="0" fillId="0" borderId="29" xfId="0" applyNumberFormat="1" applyBorder="1"/>
    <xf numFmtId="172" fontId="0" fillId="0" borderId="29" xfId="1" applyNumberFormat="1" applyFont="1" applyBorder="1"/>
    <xf numFmtId="0" fontId="4" fillId="0" borderId="0" xfId="0" applyFont="1" applyAlignment="1">
      <alignment horizontal="left"/>
    </xf>
    <xf numFmtId="164" fontId="2" fillId="0" borderId="0" xfId="0" applyNumberFormat="1" applyFont="1" applyAlignment="1">
      <alignment horizontal="center" vertical="center"/>
    </xf>
    <xf numFmtId="0" fontId="26" fillId="0" borderId="0" xfId="0" applyFont="1"/>
    <xf numFmtId="9" fontId="0" fillId="0" borderId="0" xfId="0" applyNumberFormat="1"/>
    <xf numFmtId="165" fontId="0" fillId="0" borderId="0" xfId="1" applyNumberFormat="1" applyFont="1" applyBorder="1"/>
    <xf numFmtId="2" fontId="0" fillId="0" borderId="29" xfId="1" applyNumberFormat="1" applyFont="1" applyFill="1" applyBorder="1" applyAlignment="1">
      <alignment horizontal="center"/>
    </xf>
    <xf numFmtId="0" fontId="26" fillId="0" borderId="0" xfId="0" applyFont="1" applyAlignment="1">
      <alignment horizontal="left"/>
    </xf>
    <xf numFmtId="0" fontId="0" fillId="0" borderId="29" xfId="0" applyBorder="1"/>
    <xf numFmtId="0" fontId="26" fillId="0" borderId="0" xfId="0" applyFont="1" applyAlignment="1">
      <alignment wrapText="1"/>
    </xf>
    <xf numFmtId="164" fontId="2" fillId="0" borderId="69" xfId="0" applyNumberFormat="1" applyFont="1" applyBorder="1" applyAlignment="1">
      <alignment horizontal="center"/>
    </xf>
    <xf numFmtId="164" fontId="2" fillId="0" borderId="26" xfId="0" applyNumberFormat="1" applyFont="1" applyBorder="1" applyAlignment="1">
      <alignment horizontal="center"/>
    </xf>
    <xf numFmtId="164" fontId="2" fillId="0" borderId="23" xfId="0" applyNumberFormat="1" applyFont="1" applyBorder="1" applyAlignment="1">
      <alignment horizontal="center"/>
    </xf>
    <xf numFmtId="164" fontId="2" fillId="0" borderId="72" xfId="0" applyNumberFormat="1" applyFont="1" applyBorder="1" applyAlignment="1">
      <alignment horizontal="center"/>
    </xf>
    <xf numFmtId="164" fontId="2" fillId="0" borderId="57" xfId="0" applyNumberFormat="1" applyFont="1" applyBorder="1" applyAlignment="1">
      <alignment horizontal="right"/>
    </xf>
    <xf numFmtId="164" fontId="2" fillId="0" borderId="50" xfId="0" applyNumberFormat="1" applyFont="1" applyBorder="1" applyAlignment="1">
      <alignment horizontal="right"/>
    </xf>
    <xf numFmtId="164" fontId="2" fillId="0" borderId="14" xfId="0" applyNumberFormat="1" applyFont="1" applyBorder="1" applyAlignment="1">
      <alignment horizontal="right"/>
    </xf>
    <xf numFmtId="0" fontId="2" fillId="0" borderId="0" xfId="0" applyFont="1" applyAlignment="1">
      <alignment horizontal="center" vertical="center"/>
    </xf>
    <xf numFmtId="0" fontId="0" fillId="0" borderId="70" xfId="0" applyBorder="1" applyAlignment="1">
      <alignment horizontal="center" wrapText="1"/>
    </xf>
    <xf numFmtId="0" fontId="0" fillId="0" borderId="40" xfId="0" applyBorder="1" applyAlignment="1">
      <alignment horizontal="center" wrapText="1"/>
    </xf>
    <xf numFmtId="164" fontId="2" fillId="0" borderId="19" xfId="0" applyNumberFormat="1" applyFont="1" applyBorder="1" applyAlignment="1">
      <alignment horizontal="center"/>
    </xf>
    <xf numFmtId="44" fontId="0" fillId="0" borderId="29" xfId="1" applyFont="1" applyFill="1" applyBorder="1" applyAlignment="1">
      <alignment horizontal="center"/>
    </xf>
    <xf numFmtId="0" fontId="4" fillId="0" borderId="29" xfId="0" applyFont="1" applyBorder="1" applyAlignment="1">
      <alignment horizontal="center"/>
    </xf>
    <xf numFmtId="0" fontId="4" fillId="2" borderId="73" xfId="0" applyFont="1" applyFill="1" applyBorder="1"/>
    <xf numFmtId="2" fontId="4" fillId="0" borderId="74" xfId="0" applyNumberFormat="1" applyFont="1" applyBorder="1" applyAlignment="1">
      <alignment horizontal="center"/>
    </xf>
    <xf numFmtId="0" fontId="4" fillId="2" borderId="9" xfId="0" applyFont="1" applyFill="1" applyBorder="1"/>
    <xf numFmtId="164" fontId="0" fillId="0" borderId="21" xfId="0" applyNumberFormat="1" applyBorder="1" applyAlignment="1">
      <alignment horizontal="center"/>
    </xf>
    <xf numFmtId="164" fontId="2" fillId="0" borderId="70" xfId="0" applyNumberFormat="1" applyFont="1" applyBorder="1" applyAlignment="1">
      <alignment horizontal="center"/>
    </xf>
    <xf numFmtId="164" fontId="2" fillId="0" borderId="71" xfId="0" applyNumberFormat="1" applyFont="1" applyBorder="1" applyAlignment="1">
      <alignment horizontal="center"/>
    </xf>
    <xf numFmtId="164" fontId="2" fillId="0" borderId="55" xfId="0" applyNumberFormat="1" applyFont="1" applyBorder="1" applyAlignment="1">
      <alignment horizontal="center"/>
    </xf>
    <xf numFmtId="164" fontId="2" fillId="0" borderId="39" xfId="0" applyNumberFormat="1" applyFont="1" applyBorder="1" applyAlignment="1">
      <alignment horizontal="center"/>
    </xf>
    <xf numFmtId="164" fontId="2" fillId="0" borderId="18" xfId="0" applyNumberFormat="1" applyFont="1" applyBorder="1" applyAlignment="1">
      <alignment horizontal="center"/>
    </xf>
    <xf numFmtId="0" fontId="4" fillId="0" borderId="29" xfId="0" applyFont="1" applyBorder="1" applyAlignment="1">
      <alignment horizontal="center" vertical="center"/>
    </xf>
    <xf numFmtId="0" fontId="0" fillId="0" borderId="29" xfId="0" applyBorder="1" applyAlignment="1">
      <alignment horizontal="center" vertical="center"/>
    </xf>
    <xf numFmtId="164" fontId="0" fillId="0" borderId="0" xfId="0" applyNumberFormat="1"/>
    <xf numFmtId="6" fontId="0" fillId="0" borderId="0" xfId="0" quotePrefix="1" applyNumberFormat="1"/>
    <xf numFmtId="6" fontId="0" fillId="0" borderId="0" xfId="0" applyNumberFormat="1"/>
    <xf numFmtId="0" fontId="0" fillId="0" borderId="0" xfId="0" applyAlignment="1">
      <alignment horizontal="left"/>
    </xf>
    <xf numFmtId="2" fontId="0" fillId="0" borderId="0" xfId="0" applyNumberFormat="1"/>
    <xf numFmtId="44" fontId="0" fillId="0" borderId="0" xfId="0" applyNumberFormat="1"/>
    <xf numFmtId="0" fontId="28" fillId="5" borderId="77" xfId="0" applyFont="1" applyFill="1" applyBorder="1" applyAlignment="1">
      <alignment horizontal="center" vertical="center" wrapText="1"/>
    </xf>
    <xf numFmtId="0" fontId="28" fillId="5" borderId="78" xfId="0" applyFont="1" applyFill="1" applyBorder="1" applyAlignment="1">
      <alignment horizontal="center" vertical="center" wrapText="1"/>
    </xf>
    <xf numFmtId="0" fontId="29" fillId="0" borderId="80" xfId="0" applyFont="1" applyBorder="1" applyAlignment="1">
      <alignment horizontal="right" vertical="center" wrapText="1"/>
    </xf>
    <xf numFmtId="0" fontId="29" fillId="0" borderId="78" xfId="0" applyFont="1" applyBorder="1" applyAlignment="1">
      <alignment horizontal="right" vertical="center" wrapText="1"/>
    </xf>
    <xf numFmtId="165" fontId="0" fillId="0" borderId="0" xfId="0" applyNumberFormat="1"/>
    <xf numFmtId="0" fontId="0" fillId="0" borderId="29" xfId="0" applyBorder="1" applyAlignment="1">
      <alignment wrapText="1"/>
    </xf>
    <xf numFmtId="165" fontId="6" fillId="0" borderId="0" xfId="1" applyNumberFormat="1" applyFont="1" applyFill="1" applyBorder="1" applyAlignment="1">
      <alignment vertical="center" wrapText="1"/>
    </xf>
    <xf numFmtId="165" fontId="1" fillId="0" borderId="0" xfId="1" applyNumberFormat="1" applyFont="1"/>
    <xf numFmtId="0" fontId="4" fillId="0" borderId="29" xfId="0" applyFont="1" applyBorder="1"/>
    <xf numFmtId="44" fontId="0" fillId="0" borderId="29" xfId="1" applyFont="1" applyBorder="1"/>
    <xf numFmtId="43" fontId="0" fillId="0" borderId="29" xfId="15" applyFont="1" applyFill="1" applyBorder="1"/>
    <xf numFmtId="169" fontId="0" fillId="0" borderId="29" xfId="1" applyNumberFormat="1" applyFont="1" applyBorder="1"/>
    <xf numFmtId="0" fontId="6" fillId="0" borderId="0" xfId="0" applyFont="1"/>
    <xf numFmtId="9" fontId="6" fillId="0" borderId="0" xfId="0" applyNumberFormat="1" applyFont="1"/>
    <xf numFmtId="3" fontId="6" fillId="0" borderId="0" xfId="0" applyNumberFormat="1" applyFont="1"/>
    <xf numFmtId="9" fontId="6" fillId="3" borderId="0" xfId="0" applyNumberFormat="1" applyFont="1" applyFill="1"/>
    <xf numFmtId="0" fontId="14" fillId="8" borderId="0" xfId="0" applyFont="1" applyFill="1"/>
    <xf numFmtId="3" fontId="14" fillId="8" borderId="0" xfId="0" applyNumberFormat="1" applyFont="1" applyFill="1"/>
    <xf numFmtId="0" fontId="28" fillId="9" borderId="0" xfId="0" applyFont="1" applyFill="1"/>
    <xf numFmtId="0" fontId="28" fillId="9" borderId="0" xfId="0" applyFont="1" applyFill="1" applyAlignment="1">
      <alignment horizontal="center"/>
    </xf>
    <xf numFmtId="0" fontId="29" fillId="0" borderId="0" xfId="0" applyFont="1"/>
    <xf numFmtId="0" fontId="6" fillId="0" borderId="0" xfId="0" applyFont="1" applyAlignment="1">
      <alignment horizontal="right"/>
    </xf>
    <xf numFmtId="0" fontId="29" fillId="0" borderId="0" xfId="0" applyFont="1" applyAlignment="1">
      <alignment horizontal="center"/>
    </xf>
    <xf numFmtId="3" fontId="6" fillId="8" borderId="0" xfId="0" applyNumberFormat="1" applyFont="1" applyFill="1"/>
    <xf numFmtId="9" fontId="6" fillId="0" borderId="0" xfId="0" applyNumberFormat="1" applyFont="1" applyAlignment="1">
      <alignment horizontal="right"/>
    </xf>
    <xf numFmtId="0" fontId="31" fillId="0" borderId="0" xfId="0" applyFont="1" applyAlignment="1">
      <alignment horizontal="center"/>
    </xf>
    <xf numFmtId="0" fontId="14" fillId="8" borderId="0" xfId="0" applyFont="1" applyFill="1" applyAlignment="1">
      <alignment horizontal="left"/>
    </xf>
    <xf numFmtId="9" fontId="6" fillId="8" borderId="0" xfId="0" applyNumberFormat="1" applyFont="1" applyFill="1" applyAlignment="1">
      <alignment horizontal="right"/>
    </xf>
    <xf numFmtId="0" fontId="4" fillId="8" borderId="0" xfId="0" applyFont="1" applyFill="1"/>
    <xf numFmtId="0" fontId="22" fillId="0" borderId="0" xfId="0" applyFont="1"/>
    <xf numFmtId="0" fontId="0" fillId="8" borderId="0" xfId="0" applyFill="1"/>
    <xf numFmtId="168" fontId="0" fillId="0" borderId="0" xfId="0" applyNumberFormat="1"/>
    <xf numFmtId="0" fontId="32" fillId="0" borderId="0" xfId="0" applyFont="1" applyAlignment="1">
      <alignment horizontal="left"/>
    </xf>
    <xf numFmtId="10" fontId="0" fillId="0" borderId="0" xfId="0" applyNumberFormat="1"/>
    <xf numFmtId="9" fontId="0" fillId="8" borderId="0" xfId="0" applyNumberFormat="1" applyFill="1"/>
    <xf numFmtId="0" fontId="4" fillId="10" borderId="0" xfId="0" applyFont="1" applyFill="1" applyAlignment="1">
      <alignment horizontal="left"/>
    </xf>
    <xf numFmtId="0" fontId="4" fillId="10" borderId="0" xfId="0" applyFont="1" applyFill="1" applyAlignment="1">
      <alignment horizontal="center"/>
    </xf>
    <xf numFmtId="9" fontId="0" fillId="0" borderId="0" xfId="0" applyNumberFormat="1" applyAlignment="1">
      <alignment horizontal="right"/>
    </xf>
    <xf numFmtId="0" fontId="32" fillId="4" borderId="0" xfId="0" applyFont="1" applyFill="1" applyAlignment="1">
      <alignment horizontal="left"/>
    </xf>
    <xf numFmtId="0" fontId="0" fillId="4" borderId="0" xfId="0" applyFill="1"/>
    <xf numFmtId="10" fontId="0" fillId="4" borderId="0" xfId="0" applyNumberFormat="1" applyFill="1"/>
    <xf numFmtId="0" fontId="6" fillId="0" borderId="0" xfId="0" applyFont="1" applyAlignment="1">
      <alignment horizontal="center"/>
    </xf>
    <xf numFmtId="3" fontId="22" fillId="0" borderId="0" xfId="0" applyNumberFormat="1" applyFont="1"/>
    <xf numFmtId="9" fontId="14" fillId="8" borderId="0" xfId="0" applyNumberFormat="1" applyFont="1" applyFill="1"/>
    <xf numFmtId="9" fontId="22" fillId="0" borderId="0" xfId="0" applyNumberFormat="1" applyFont="1"/>
    <xf numFmtId="0" fontId="4" fillId="10" borderId="0" xfId="0" applyFont="1" applyFill="1"/>
    <xf numFmtId="0" fontId="0" fillId="11" borderId="35" xfId="0" applyFill="1" applyBorder="1"/>
    <xf numFmtId="0" fontId="0" fillId="11" borderId="0" xfId="0" applyFill="1"/>
    <xf numFmtId="0" fontId="6" fillId="11" borderId="35" xfId="0" applyFont="1" applyFill="1" applyBorder="1"/>
    <xf numFmtId="0" fontId="6" fillId="0" borderId="35" xfId="0" applyFont="1" applyBorder="1"/>
    <xf numFmtId="0" fontId="0" fillId="0" borderId="35" xfId="0" applyBorder="1" applyAlignment="1">
      <alignment horizontal="center"/>
    </xf>
    <xf numFmtId="0" fontId="9" fillId="0" borderId="0" xfId="0" applyFont="1" applyAlignment="1">
      <alignment vertical="center"/>
    </xf>
    <xf numFmtId="2" fontId="0" fillId="0" borderId="29" xfId="0" applyNumberFormat="1" applyBorder="1" applyAlignment="1">
      <alignment horizontal="center"/>
    </xf>
    <xf numFmtId="0" fontId="36" fillId="13" borderId="12" xfId="0" applyFont="1" applyFill="1" applyBorder="1" applyAlignment="1">
      <alignment vertical="center"/>
    </xf>
    <xf numFmtId="0" fontId="35" fillId="13" borderId="33" xfId="0" applyFont="1" applyFill="1" applyBorder="1" applyAlignment="1">
      <alignment vertical="center"/>
    </xf>
    <xf numFmtId="0" fontId="35" fillId="12" borderId="34" xfId="0" applyFont="1" applyFill="1" applyBorder="1" applyAlignment="1">
      <alignment vertical="center"/>
    </xf>
    <xf numFmtId="0" fontId="35" fillId="12" borderId="51" xfId="0" applyFont="1" applyFill="1" applyBorder="1" applyAlignment="1">
      <alignment vertical="center"/>
    </xf>
    <xf numFmtId="0" fontId="37" fillId="14" borderId="63" xfId="0" applyFont="1" applyFill="1" applyBorder="1" applyAlignment="1">
      <alignment vertical="center"/>
    </xf>
    <xf numFmtId="0" fontId="35" fillId="14" borderId="32" xfId="0" applyFont="1" applyFill="1" applyBorder="1" applyAlignment="1">
      <alignment vertical="center"/>
    </xf>
    <xf numFmtId="0" fontId="37" fillId="14" borderId="12" xfId="0" applyFont="1" applyFill="1" applyBorder="1" applyAlignment="1">
      <alignment vertical="center"/>
    </xf>
    <xf numFmtId="0" fontId="35" fillId="14" borderId="33" xfId="0" applyFont="1" applyFill="1" applyBorder="1" applyAlignment="1">
      <alignment vertical="center"/>
    </xf>
    <xf numFmtId="0" fontId="21" fillId="0" borderId="0" xfId="18" applyAlignment="1">
      <alignment vertical="top" wrapText="1"/>
    </xf>
    <xf numFmtId="9" fontId="0" fillId="0" borderId="29" xfId="16" applyFont="1" applyBorder="1"/>
    <xf numFmtId="3" fontId="2" fillId="0" borderId="53" xfId="0" applyNumberFormat="1" applyFont="1" applyBorder="1" applyAlignment="1">
      <alignment horizontal="center" vertical="center" wrapText="1"/>
    </xf>
    <xf numFmtId="3" fontId="2" fillId="0" borderId="37" xfId="0" applyNumberFormat="1" applyFont="1" applyBorder="1" applyAlignment="1">
      <alignment horizontal="center" vertical="center" wrapText="1"/>
    </xf>
    <xf numFmtId="3" fontId="2" fillId="0" borderId="19" xfId="0" applyNumberFormat="1" applyFont="1" applyBorder="1" applyAlignment="1">
      <alignment horizontal="center" vertical="center" wrapText="1"/>
    </xf>
    <xf numFmtId="3" fontId="2" fillId="0" borderId="20" xfId="0" applyNumberFormat="1" applyFont="1" applyBorder="1" applyAlignment="1">
      <alignment horizontal="center"/>
    </xf>
    <xf numFmtId="3" fontId="2" fillId="0" borderId="21" xfId="0" applyNumberFormat="1" applyFont="1" applyBorder="1" applyAlignment="1">
      <alignment horizontal="center"/>
    </xf>
    <xf numFmtId="3" fontId="2" fillId="0" borderId="42" xfId="0" applyNumberFormat="1" applyFont="1" applyBorder="1" applyAlignment="1">
      <alignment horizontal="center"/>
    </xf>
    <xf numFmtId="3" fontId="2" fillId="0" borderId="38" xfId="0" applyNumberFormat="1" applyFont="1" applyBorder="1" applyAlignment="1">
      <alignment horizontal="center"/>
    </xf>
    <xf numFmtId="0" fontId="0" fillId="0" borderId="24" xfId="0" applyBorder="1"/>
    <xf numFmtId="0" fontId="0" fillId="0" borderId="8" xfId="0" applyBorder="1"/>
    <xf numFmtId="43" fontId="0" fillId="0" borderId="24" xfId="15" applyFont="1" applyFill="1" applyBorder="1"/>
    <xf numFmtId="171" fontId="0" fillId="0" borderId="29" xfId="15" applyNumberFormat="1" applyFont="1" applyFill="1" applyBorder="1" applyAlignment="1">
      <alignment horizontal="center"/>
    </xf>
    <xf numFmtId="0" fontId="2" fillId="0" borderId="14" xfId="0" applyFont="1" applyBorder="1" applyAlignment="1">
      <alignment horizontal="center" vertical="center" wrapText="1"/>
    </xf>
    <xf numFmtId="164" fontId="4" fillId="0" borderId="29" xfId="0" applyNumberFormat="1" applyFont="1" applyBorder="1" applyAlignment="1">
      <alignment horizontal="right"/>
    </xf>
    <xf numFmtId="164" fontId="4" fillId="0" borderId="29" xfId="0" applyNumberFormat="1" applyFont="1" applyBorder="1"/>
    <xf numFmtId="0" fontId="8" fillId="0" borderId="29" xfId="0" applyFont="1" applyBorder="1" applyAlignment="1">
      <alignment horizontal="center" vertical="center"/>
    </xf>
    <xf numFmtId="0" fontId="0" fillId="0" borderId="29" xfId="1" applyNumberFormat="1" applyFont="1" applyBorder="1"/>
    <xf numFmtId="164" fontId="2" fillId="0" borderId="23" xfId="0" applyNumberFormat="1" applyFont="1" applyBorder="1" applyAlignment="1">
      <alignment horizontal="center" vertical="center" wrapText="1"/>
    </xf>
    <xf numFmtId="164" fontId="2" fillId="0" borderId="25" xfId="0" applyNumberFormat="1" applyFont="1" applyBorder="1" applyAlignment="1">
      <alignment horizontal="center"/>
    </xf>
    <xf numFmtId="164" fontId="2" fillId="0" borderId="31" xfId="0" applyNumberFormat="1" applyFont="1" applyBorder="1" applyAlignment="1">
      <alignment horizontal="center"/>
    </xf>
    <xf numFmtId="0" fontId="6" fillId="0" borderId="29" xfId="0" applyFont="1" applyBorder="1" applyAlignment="1">
      <alignment vertical="center"/>
    </xf>
    <xf numFmtId="164" fontId="2" fillId="0" borderId="19" xfId="0" applyNumberFormat="1" applyFont="1" applyBorder="1" applyAlignment="1">
      <alignment horizontal="center" vertical="center" wrapText="1"/>
    </xf>
    <xf numFmtId="0" fontId="0" fillId="0" borderId="29" xfId="0" applyBorder="1" applyAlignment="1">
      <alignment horizontal="left"/>
    </xf>
    <xf numFmtId="0" fontId="2" fillId="6" borderId="13" xfId="0" applyFont="1" applyFill="1" applyBorder="1" applyAlignment="1">
      <alignment horizontal="center"/>
    </xf>
    <xf numFmtId="0" fontId="38" fillId="0" borderId="0" xfId="0" applyFont="1"/>
    <xf numFmtId="0" fontId="38" fillId="16" borderId="84" xfId="0" applyFont="1" applyFill="1" applyBorder="1" applyAlignment="1">
      <alignment vertical="center" wrapText="1"/>
    </xf>
    <xf numFmtId="0" fontId="38" fillId="17" borderId="85" xfId="0" applyFont="1" applyFill="1" applyBorder="1" applyAlignment="1">
      <alignment vertical="center" wrapText="1"/>
    </xf>
    <xf numFmtId="0" fontId="38" fillId="16" borderId="85" xfId="0" applyFont="1" applyFill="1" applyBorder="1" applyAlignment="1">
      <alignment vertical="center" wrapText="1"/>
    </xf>
    <xf numFmtId="0" fontId="38" fillId="0" borderId="0" xfId="0" applyFont="1" applyAlignment="1">
      <alignment horizontal="center" vertical="center"/>
    </xf>
    <xf numFmtId="0" fontId="10" fillId="0" borderId="0" xfId="0" applyFont="1" applyAlignment="1">
      <alignment horizontal="center" vertical="center" wrapText="1"/>
    </xf>
    <xf numFmtId="0" fontId="10" fillId="0" borderId="0" xfId="20" applyFont="1" applyFill="1" applyAlignment="1">
      <alignment horizontal="center" vertical="center" wrapText="1"/>
    </xf>
    <xf numFmtId="0" fontId="38" fillId="0" borderId="0" xfId="20" applyFont="1" applyFill="1"/>
    <xf numFmtId="0" fontId="38" fillId="16" borderId="86" xfId="0" applyFont="1" applyFill="1" applyBorder="1" applyAlignment="1">
      <alignment horizontal="center" vertical="center" wrapText="1"/>
    </xf>
    <xf numFmtId="0" fontId="38" fillId="17" borderId="86" xfId="0" applyFont="1" applyFill="1" applyBorder="1" applyAlignment="1">
      <alignment horizontal="center" vertical="center" wrapText="1"/>
    </xf>
    <xf numFmtId="0" fontId="38" fillId="17" borderId="87" xfId="0" applyFont="1" applyFill="1" applyBorder="1" applyAlignment="1">
      <alignment horizontal="center" vertical="center" wrapText="1"/>
    </xf>
    <xf numFmtId="0" fontId="38" fillId="16" borderId="87" xfId="0" applyFont="1" applyFill="1" applyBorder="1" applyAlignment="1">
      <alignment horizontal="center" vertical="center" wrapText="1"/>
    </xf>
    <xf numFmtId="0" fontId="38" fillId="0" borderId="0" xfId="0" applyFont="1" applyAlignment="1">
      <alignment horizontal="center"/>
    </xf>
    <xf numFmtId="0" fontId="10" fillId="0" borderId="0" xfId="20" applyFont="1" applyFill="1"/>
    <xf numFmtId="0" fontId="38" fillId="6" borderId="85" xfId="0" applyFont="1" applyFill="1" applyBorder="1" applyAlignment="1">
      <alignment vertical="center" wrapText="1"/>
    </xf>
    <xf numFmtId="0" fontId="38" fillId="6" borderId="87" xfId="0" applyFont="1" applyFill="1" applyBorder="1" applyAlignment="1">
      <alignment horizontal="center" vertical="center" wrapText="1"/>
    </xf>
    <xf numFmtId="0" fontId="38" fillId="18" borderId="85" xfId="0" applyFont="1" applyFill="1" applyBorder="1" applyAlignment="1">
      <alignment vertical="center" wrapText="1"/>
    </xf>
    <xf numFmtId="0" fontId="38" fillId="18" borderId="87" xfId="0" applyFont="1" applyFill="1" applyBorder="1" applyAlignment="1">
      <alignment horizontal="center" vertical="center" wrapText="1"/>
    </xf>
    <xf numFmtId="0" fontId="2" fillId="0" borderId="13" xfId="0" applyFont="1" applyBorder="1" applyAlignment="1">
      <alignment horizontal="center" vertical="center" wrapText="1"/>
    </xf>
    <xf numFmtId="0" fontId="0" fillId="19" borderId="0" xfId="0" applyFill="1"/>
    <xf numFmtId="0" fontId="35" fillId="14" borderId="12" xfId="0" applyFont="1" applyFill="1" applyBorder="1" applyAlignment="1">
      <alignment vertical="center"/>
    </xf>
    <xf numFmtId="9" fontId="0" fillId="0" borderId="29" xfId="16" applyFont="1" applyFill="1" applyBorder="1"/>
    <xf numFmtId="9" fontId="0" fillId="7" borderId="0" xfId="0" applyNumberFormat="1" applyFill="1"/>
    <xf numFmtId="3" fontId="0" fillId="7" borderId="0" xfId="0" applyNumberFormat="1" applyFill="1"/>
    <xf numFmtId="9" fontId="6" fillId="7" borderId="0" xfId="0" applyNumberFormat="1" applyFont="1" applyFill="1" applyAlignment="1">
      <alignment horizontal="right"/>
    </xf>
    <xf numFmtId="3" fontId="0" fillId="0" borderId="29" xfId="0" applyNumberFormat="1" applyBorder="1"/>
    <xf numFmtId="3" fontId="0" fillId="0" borderId="53" xfId="0" applyNumberFormat="1" applyBorder="1"/>
    <xf numFmtId="9" fontId="0" fillId="0" borderId="53" xfId="16" applyFont="1" applyBorder="1"/>
    <xf numFmtId="0" fontId="0" fillId="0" borderId="53" xfId="0" applyBorder="1"/>
    <xf numFmtId="0" fontId="0" fillId="0" borderId="38" xfId="0" applyBorder="1"/>
    <xf numFmtId="3" fontId="0" fillId="0" borderId="54" xfId="0" applyNumberFormat="1" applyBorder="1"/>
    <xf numFmtId="9" fontId="0" fillId="0" borderId="54" xfId="16" applyFont="1" applyBorder="1"/>
    <xf numFmtId="3" fontId="0" fillId="0" borderId="67" xfId="0" applyNumberFormat="1" applyBorder="1"/>
    <xf numFmtId="3" fontId="0" fillId="0" borderId="58" xfId="0" applyNumberFormat="1" applyBorder="1"/>
    <xf numFmtId="0" fontId="0" fillId="0" borderId="69" xfId="0" applyBorder="1"/>
    <xf numFmtId="3" fontId="0" fillId="0" borderId="26" xfId="0" applyNumberFormat="1" applyBorder="1"/>
    <xf numFmtId="9" fontId="0" fillId="0" borderId="26" xfId="16" applyFont="1" applyBorder="1"/>
    <xf numFmtId="0" fontId="0" fillId="0" borderId="26" xfId="0" applyBorder="1"/>
    <xf numFmtId="3" fontId="0" fillId="0" borderId="89" xfId="0" applyNumberFormat="1" applyBorder="1"/>
    <xf numFmtId="9" fontId="0" fillId="0" borderId="81" xfId="16" applyFont="1" applyBorder="1"/>
    <xf numFmtId="0" fontId="0" fillId="0" borderId="81" xfId="0" applyBorder="1"/>
    <xf numFmtId="0" fontId="0" fillId="0" borderId="39" xfId="0" applyBorder="1"/>
    <xf numFmtId="0" fontId="2" fillId="18" borderId="34" xfId="0" applyFont="1" applyFill="1" applyBorder="1" applyAlignment="1">
      <alignment horizontal="center" vertical="center" wrapText="1"/>
    </xf>
    <xf numFmtId="0" fontId="2" fillId="0" borderId="57" xfId="0" applyFont="1" applyBorder="1" applyAlignment="1">
      <alignment horizontal="center"/>
    </xf>
    <xf numFmtId="0" fontId="3" fillId="0" borderId="0" xfId="0" applyFont="1" applyAlignment="1">
      <alignment horizontal="center"/>
    </xf>
    <xf numFmtId="164" fontId="2" fillId="0" borderId="0" xfId="0" applyNumberFormat="1" applyFont="1"/>
    <xf numFmtId="2" fontId="0" fillId="7" borderId="29" xfId="0" applyNumberFormat="1" applyFill="1" applyBorder="1" applyAlignment="1">
      <alignment horizontal="center"/>
    </xf>
    <xf numFmtId="164" fontId="2" fillId="0" borderId="62" xfId="0" applyNumberFormat="1" applyFont="1" applyBorder="1" applyAlignment="1">
      <alignment horizontal="center"/>
    </xf>
    <xf numFmtId="164" fontId="2" fillId="0" borderId="27" xfId="0" applyNumberFormat="1" applyFont="1" applyBorder="1" applyAlignment="1">
      <alignment horizontal="center"/>
    </xf>
    <xf numFmtId="164" fontId="2" fillId="0" borderId="83" xfId="0" applyNumberFormat="1" applyFont="1" applyBorder="1" applyAlignment="1">
      <alignment horizontal="center"/>
    </xf>
    <xf numFmtId="0" fontId="2" fillId="0" borderId="68" xfId="0" applyFont="1" applyBorder="1" applyAlignment="1">
      <alignment horizontal="center"/>
    </xf>
    <xf numFmtId="3" fontId="2" fillId="0" borderId="69" xfId="0" applyNumberFormat="1" applyFont="1" applyBorder="1" applyAlignment="1">
      <alignment horizontal="center"/>
    </xf>
    <xf numFmtId="3" fontId="2" fillId="0" borderId="26" xfId="15" applyNumberFormat="1" applyFont="1" applyBorder="1" applyAlignment="1">
      <alignment horizontal="center"/>
    </xf>
    <xf numFmtId="3" fontId="2" fillId="0" borderId="82" xfId="0" applyNumberFormat="1" applyFont="1" applyBorder="1" applyAlignment="1">
      <alignment horizontal="center"/>
    </xf>
    <xf numFmtId="0" fontId="2" fillId="0" borderId="12" xfId="0" applyFont="1" applyBorder="1" applyAlignment="1">
      <alignment horizontal="center"/>
    </xf>
    <xf numFmtId="3" fontId="2" fillId="0" borderId="39" xfId="0" applyNumberFormat="1" applyFont="1" applyBorder="1" applyAlignment="1">
      <alignment horizontal="center"/>
    </xf>
    <xf numFmtId="3" fontId="2" fillId="0" borderId="81" xfId="15" applyNumberFormat="1" applyFont="1" applyBorder="1" applyAlignment="1">
      <alignment horizontal="center"/>
    </xf>
    <xf numFmtId="3" fontId="2" fillId="0" borderId="18" xfId="0" applyNumberFormat="1" applyFont="1" applyBorder="1" applyAlignment="1">
      <alignment horizontal="center"/>
    </xf>
    <xf numFmtId="164" fontId="2" fillId="0" borderId="82" xfId="0" applyNumberFormat="1" applyFont="1" applyBorder="1" applyAlignment="1">
      <alignment horizontal="center"/>
    </xf>
    <xf numFmtId="164" fontId="2" fillId="0" borderId="20" xfId="0" applyNumberFormat="1" applyFont="1" applyBorder="1" applyAlignment="1">
      <alignment horizontal="center" vertical="center"/>
    </xf>
    <xf numFmtId="164" fontId="2" fillId="0" borderId="24" xfId="0" applyNumberFormat="1" applyFont="1" applyBorder="1" applyAlignment="1">
      <alignment horizontal="center" vertical="center" wrapText="1"/>
    </xf>
    <xf numFmtId="164" fontId="2" fillId="0" borderId="20" xfId="0" applyNumberFormat="1" applyFont="1" applyBorder="1" applyAlignment="1">
      <alignment horizontal="center" vertical="center" wrapText="1"/>
    </xf>
    <xf numFmtId="0" fontId="2" fillId="0" borderId="12" xfId="0" applyFont="1" applyBorder="1" applyAlignment="1">
      <alignment horizontal="center" vertical="center" wrapText="1"/>
    </xf>
    <xf numFmtId="164" fontId="2" fillId="0" borderId="12" xfId="0" applyNumberFormat="1" applyFont="1" applyBorder="1" applyAlignment="1">
      <alignment horizontal="center"/>
    </xf>
    <xf numFmtId="164" fontId="2" fillId="0" borderId="42" xfId="0" applyNumberFormat="1" applyFont="1" applyBorder="1" applyAlignment="1">
      <alignment horizontal="center" vertical="center" wrapText="1"/>
    </xf>
    <xf numFmtId="164" fontId="2" fillId="0" borderId="38" xfId="0" applyNumberFormat="1" applyFont="1" applyBorder="1" applyAlignment="1">
      <alignment horizontal="center" vertical="center" wrapText="1"/>
    </xf>
    <xf numFmtId="164" fontId="2" fillId="0" borderId="48" xfId="0" applyNumberFormat="1" applyFont="1" applyBorder="1" applyAlignment="1">
      <alignment horizontal="center" vertical="center" wrapText="1"/>
    </xf>
    <xf numFmtId="0" fontId="4" fillId="7" borderId="0" xfId="0" applyFont="1" applyFill="1"/>
    <xf numFmtId="0" fontId="14" fillId="0" borderId="29" xfId="0" applyFont="1" applyBorder="1" applyAlignment="1">
      <alignment vertical="center" wrapText="1"/>
    </xf>
    <xf numFmtId="0" fontId="6" fillId="0" borderId="29" xfId="0" applyFont="1" applyBorder="1" applyAlignment="1">
      <alignment vertical="center" wrapText="1"/>
    </xf>
    <xf numFmtId="0" fontId="0" fillId="0" borderId="29" xfId="1" applyNumberFormat="1" applyFont="1" applyBorder="1" applyAlignment="1">
      <alignment horizontal="center"/>
    </xf>
    <xf numFmtId="164" fontId="4" fillId="0" borderId="0" xfId="0" applyNumberFormat="1" applyFont="1"/>
    <xf numFmtId="164" fontId="2" fillId="0" borderId="5" xfId="1" applyNumberFormat="1" applyFont="1" applyBorder="1" applyAlignment="1">
      <alignment horizontal="center" vertical="center" wrapText="1"/>
    </xf>
    <xf numFmtId="164" fontId="2" fillId="0" borderId="13" xfId="0" applyNumberFormat="1" applyFont="1" applyBorder="1" applyAlignment="1">
      <alignment horizontal="center" vertical="center" wrapText="1"/>
    </xf>
    <xf numFmtId="164" fontId="2" fillId="0" borderId="15" xfId="0" applyNumberFormat="1" applyFont="1" applyBorder="1" applyAlignment="1">
      <alignment horizontal="center" vertical="center" wrapText="1"/>
    </xf>
    <xf numFmtId="164" fontId="2" fillId="0" borderId="7" xfId="1" applyNumberFormat="1" applyFont="1" applyBorder="1" applyAlignment="1">
      <alignment horizontal="center"/>
    </xf>
    <xf numFmtId="164" fontId="2" fillId="0" borderId="14" xfId="0" applyNumberFormat="1" applyFont="1" applyBorder="1" applyAlignment="1">
      <alignment horizontal="center" vertical="center" wrapText="1"/>
    </xf>
    <xf numFmtId="164" fontId="2" fillId="0" borderId="52" xfId="0" applyNumberFormat="1" applyFont="1" applyBorder="1" applyAlignment="1">
      <alignment horizontal="center"/>
    </xf>
    <xf numFmtId="164" fontId="2" fillId="0" borderId="48" xfId="0" applyNumberFormat="1" applyFont="1" applyBorder="1" applyAlignment="1">
      <alignment horizontal="center"/>
    </xf>
    <xf numFmtId="164" fontId="2" fillId="0" borderId="66" xfId="0" applyNumberFormat="1" applyFont="1" applyBorder="1" applyAlignment="1">
      <alignment horizontal="center"/>
    </xf>
    <xf numFmtId="164" fontId="2" fillId="0" borderId="9" xfId="1" applyNumberFormat="1" applyFont="1" applyBorder="1" applyAlignment="1">
      <alignment horizontal="center"/>
    </xf>
    <xf numFmtId="164" fontId="2" fillId="0" borderId="10" xfId="0" applyNumberFormat="1" applyFont="1" applyBorder="1" applyAlignment="1">
      <alignment horizontal="center"/>
    </xf>
    <xf numFmtId="164" fontId="2" fillId="0" borderId="50" xfId="0" applyNumberFormat="1" applyFont="1" applyBorder="1" applyAlignment="1">
      <alignment horizontal="center" vertical="center" wrapText="1"/>
    </xf>
    <xf numFmtId="0" fontId="2" fillId="2" borderId="38" xfId="0" applyFont="1" applyFill="1" applyBorder="1" applyAlignment="1">
      <alignment horizontal="center" vertical="center" wrapText="1"/>
    </xf>
    <xf numFmtId="0" fontId="2" fillId="2" borderId="54" xfId="0" applyFont="1" applyFill="1" applyBorder="1" applyAlignment="1">
      <alignment horizontal="center" vertical="center" wrapText="1"/>
    </xf>
    <xf numFmtId="0" fontId="2" fillId="2" borderId="21" xfId="0" applyFont="1" applyFill="1" applyBorder="1" applyAlignment="1">
      <alignment horizontal="center" vertical="center" wrapText="1"/>
    </xf>
    <xf numFmtId="164" fontId="2" fillId="0" borderId="53" xfId="1" applyNumberFormat="1" applyFont="1" applyBorder="1" applyAlignment="1">
      <alignment horizontal="center" vertical="center" wrapText="1"/>
    </xf>
    <xf numFmtId="164" fontId="2" fillId="0" borderId="29" xfId="1" applyNumberFormat="1" applyFont="1" applyBorder="1" applyAlignment="1">
      <alignment horizontal="center"/>
    </xf>
    <xf numFmtId="164" fontId="2" fillId="0" borderId="54" xfId="1" applyNumberFormat="1" applyFont="1" applyBorder="1" applyAlignment="1">
      <alignment horizontal="center"/>
    </xf>
    <xf numFmtId="164" fontId="2" fillId="0" borderId="61" xfId="0" applyNumberFormat="1" applyFont="1" applyBorder="1" applyAlignment="1">
      <alignment horizontal="center" vertical="center" wrapText="1"/>
    </xf>
    <xf numFmtId="164" fontId="2" fillId="0" borderId="60" xfId="0" applyNumberFormat="1" applyFont="1" applyBorder="1" applyAlignment="1">
      <alignment horizontal="center" vertical="center" wrapText="1"/>
    </xf>
    <xf numFmtId="164" fontId="2" fillId="0" borderId="52" xfId="0" applyNumberFormat="1" applyFont="1" applyBorder="1" applyAlignment="1">
      <alignment horizontal="center" vertical="center" wrapText="1"/>
    </xf>
    <xf numFmtId="0" fontId="2" fillId="0" borderId="47" xfId="0" applyFont="1" applyBorder="1" applyAlignment="1">
      <alignment horizontal="center"/>
    </xf>
    <xf numFmtId="164" fontId="2" fillId="0" borderId="47" xfId="1" applyNumberFormat="1" applyFont="1" applyBorder="1" applyAlignment="1">
      <alignment horizontal="center"/>
    </xf>
    <xf numFmtId="164" fontId="2" fillId="0" borderId="28" xfId="1" applyNumberFormat="1" applyFont="1" applyBorder="1" applyAlignment="1">
      <alignment horizontal="center"/>
    </xf>
    <xf numFmtId="164" fontId="2" fillId="0" borderId="57" xfId="0" applyNumberFormat="1" applyFont="1" applyBorder="1" applyAlignment="1">
      <alignment horizontal="center" vertical="center" wrapText="1"/>
    </xf>
    <xf numFmtId="0" fontId="2" fillId="0" borderId="7" xfId="0" applyFont="1" applyBorder="1" applyAlignment="1">
      <alignment horizontal="center" vertical="center" wrapText="1"/>
    </xf>
    <xf numFmtId="164" fontId="2" fillId="0" borderId="7" xfId="1" applyNumberFormat="1" applyFont="1" applyBorder="1" applyAlignment="1">
      <alignment horizontal="center" vertical="center" wrapText="1"/>
    </xf>
    <xf numFmtId="164" fontId="2" fillId="0" borderId="29" xfId="1" applyNumberFormat="1" applyFont="1" applyBorder="1" applyAlignment="1">
      <alignment horizontal="center" vertical="center" wrapText="1"/>
    </xf>
    <xf numFmtId="6" fontId="2" fillId="0" borderId="48" xfId="0" applyNumberFormat="1" applyFont="1" applyBorder="1" applyAlignment="1">
      <alignment horizontal="center"/>
    </xf>
    <xf numFmtId="6" fontId="2" fillId="0" borderId="49" xfId="0" applyNumberFormat="1" applyFont="1" applyBorder="1" applyAlignment="1">
      <alignment horizontal="center"/>
    </xf>
    <xf numFmtId="0" fontId="4" fillId="0" borderId="30" xfId="0" applyFont="1" applyBorder="1" applyAlignment="1">
      <alignment horizontal="left"/>
    </xf>
    <xf numFmtId="3" fontId="2" fillId="0" borderId="14" xfId="0" applyNumberFormat="1" applyFont="1" applyBorder="1" applyAlignment="1">
      <alignment horizontal="center"/>
    </xf>
    <xf numFmtId="174" fontId="2" fillId="0" borderId="42" xfId="0" applyNumberFormat="1" applyFont="1" applyBorder="1" applyAlignment="1">
      <alignment horizontal="center"/>
    </xf>
    <xf numFmtId="174" fontId="2" fillId="0" borderId="29" xfId="0" applyNumberFormat="1" applyFont="1" applyBorder="1" applyAlignment="1">
      <alignment horizontal="center"/>
    </xf>
    <xf numFmtId="174" fontId="2" fillId="0" borderId="20" xfId="0" applyNumberFormat="1" applyFont="1" applyBorder="1" applyAlignment="1">
      <alignment horizontal="center"/>
    </xf>
    <xf numFmtId="6" fontId="2" fillId="0" borderId="29" xfId="0" applyNumberFormat="1" applyFont="1" applyBorder="1" applyAlignment="1">
      <alignment horizontal="center"/>
    </xf>
    <xf numFmtId="6" fontId="2" fillId="0" borderId="20" xfId="0" applyNumberFormat="1" applyFont="1" applyBorder="1" applyAlignment="1">
      <alignment horizontal="center"/>
    </xf>
    <xf numFmtId="6" fontId="2" fillId="0" borderId="14" xfId="0" applyNumberFormat="1" applyFont="1" applyBorder="1" applyAlignment="1">
      <alignment horizontal="center"/>
    </xf>
    <xf numFmtId="6" fontId="2" fillId="0" borderId="42" xfId="0" applyNumberFormat="1" applyFont="1" applyBorder="1" applyAlignment="1">
      <alignment horizontal="center"/>
    </xf>
    <xf numFmtId="175" fontId="0" fillId="0" borderId="29" xfId="0" applyNumberFormat="1" applyBorder="1" applyAlignment="1">
      <alignment horizontal="center" vertical="center"/>
    </xf>
    <xf numFmtId="175" fontId="0" fillId="0" borderId="29" xfId="0" applyNumberFormat="1" applyBorder="1"/>
    <xf numFmtId="0" fontId="14" fillId="0" borderId="0" xfId="0" applyFont="1" applyAlignment="1">
      <alignment horizontal="center"/>
    </xf>
    <xf numFmtId="0" fontId="6" fillId="0" borderId="0" xfId="0" applyFont="1" applyAlignment="1">
      <alignment horizontal="center" vertical="center"/>
    </xf>
    <xf numFmtId="0" fontId="4" fillId="0" borderId="29" xfId="0" applyFont="1" applyBorder="1" applyAlignment="1">
      <alignment vertical="center"/>
    </xf>
    <xf numFmtId="6" fontId="0" fillId="0" borderId="29" xfId="0" applyNumberFormat="1" applyBorder="1"/>
    <xf numFmtId="6" fontId="3" fillId="0" borderId="0" xfId="0" applyNumberFormat="1" applyFont="1"/>
    <xf numFmtId="6" fontId="2" fillId="0" borderId="0" xfId="0" applyNumberFormat="1" applyFont="1" applyAlignment="1">
      <alignment horizontal="center"/>
    </xf>
    <xf numFmtId="0" fontId="0" fillId="0" borderId="0" xfId="0" applyAlignment="1">
      <alignment wrapText="1"/>
    </xf>
    <xf numFmtId="0" fontId="4" fillId="0" borderId="0" xfId="0" applyFont="1" applyAlignment="1">
      <alignment horizontal="center" vertical="center" textRotation="90" wrapText="1"/>
    </xf>
    <xf numFmtId="3" fontId="2" fillId="0" borderId="5" xfId="1" applyNumberFormat="1" applyFont="1" applyBorder="1" applyAlignment="1">
      <alignment horizontal="center" vertical="center" wrapText="1"/>
    </xf>
    <xf numFmtId="3" fontId="2" fillId="0" borderId="53" xfId="1" applyNumberFormat="1" applyFont="1" applyBorder="1" applyAlignment="1">
      <alignment horizontal="center" vertical="center" wrapText="1"/>
    </xf>
    <xf numFmtId="3" fontId="2" fillId="0" borderId="61" xfId="0" applyNumberFormat="1" applyFont="1" applyBorder="1" applyAlignment="1">
      <alignment horizontal="center" vertical="center" wrapText="1"/>
    </xf>
    <xf numFmtId="3" fontId="2" fillId="0" borderId="7" xfId="1" applyNumberFormat="1" applyFont="1" applyBorder="1" applyAlignment="1">
      <alignment horizontal="center" vertical="center" wrapText="1"/>
    </xf>
    <xf numFmtId="3" fontId="2" fillId="0" borderId="29" xfId="1" applyNumberFormat="1" applyFont="1" applyBorder="1" applyAlignment="1">
      <alignment horizontal="center" vertical="center" wrapText="1"/>
    </xf>
    <xf numFmtId="3" fontId="2" fillId="0" borderId="52" xfId="0" applyNumberFormat="1" applyFont="1" applyBorder="1" applyAlignment="1">
      <alignment horizontal="center" vertical="center" wrapText="1"/>
    </xf>
    <xf numFmtId="3" fontId="2" fillId="0" borderId="47" xfId="1" applyNumberFormat="1" applyFont="1" applyBorder="1" applyAlignment="1">
      <alignment horizontal="center"/>
    </xf>
    <xf numFmtId="3" fontId="2" fillId="0" borderId="28" xfId="1" applyNumberFormat="1" applyFont="1" applyBorder="1" applyAlignment="1">
      <alignment horizontal="center"/>
    </xf>
    <xf numFmtId="3" fontId="2" fillId="0" borderId="57" xfId="0" applyNumberFormat="1" applyFont="1" applyBorder="1" applyAlignment="1">
      <alignment horizontal="center" vertical="center" wrapText="1"/>
    </xf>
    <xf numFmtId="3" fontId="2" fillId="0" borderId="7" xfId="1" applyNumberFormat="1" applyFont="1" applyBorder="1" applyAlignment="1">
      <alignment horizontal="center"/>
    </xf>
    <xf numFmtId="3" fontId="2" fillId="0" borderId="29" xfId="1" applyNumberFormat="1" applyFont="1" applyBorder="1" applyAlignment="1">
      <alignment horizontal="center"/>
    </xf>
    <xf numFmtId="3" fontId="2" fillId="0" borderId="90" xfId="1" applyNumberFormat="1" applyFont="1" applyBorder="1" applyAlignment="1">
      <alignment horizontal="center"/>
    </xf>
    <xf numFmtId="3" fontId="2" fillId="0" borderId="26" xfId="1" applyNumberFormat="1" applyFont="1" applyBorder="1" applyAlignment="1">
      <alignment horizontal="center"/>
    </xf>
    <xf numFmtId="3" fontId="2" fillId="0" borderId="91" xfId="0" applyNumberFormat="1" applyFont="1" applyBorder="1" applyAlignment="1">
      <alignment horizontal="center" vertical="center" wrapText="1"/>
    </xf>
    <xf numFmtId="3" fontId="2" fillId="0" borderId="9" xfId="1" applyNumberFormat="1" applyFont="1" applyBorder="1" applyAlignment="1">
      <alignment horizontal="center"/>
    </xf>
    <xf numFmtId="3" fontId="2" fillId="0" borderId="54" xfId="1" applyNumberFormat="1" applyFont="1" applyBorder="1" applyAlignment="1">
      <alignment horizontal="center"/>
    </xf>
    <xf numFmtId="3" fontId="2" fillId="0" borderId="60" xfId="0" applyNumberFormat="1" applyFont="1" applyBorder="1" applyAlignment="1">
      <alignment horizontal="center" vertical="center" wrapText="1"/>
    </xf>
    <xf numFmtId="6" fontId="41" fillId="0" borderId="0" xfId="1" applyNumberFormat="1" applyFont="1"/>
    <xf numFmtId="3" fontId="2" fillId="0" borderId="50" xfId="0" applyNumberFormat="1" applyFont="1" applyBorder="1" applyAlignment="1">
      <alignment horizontal="center"/>
    </xf>
    <xf numFmtId="174" fontId="2" fillId="0" borderId="48" xfId="0" applyNumberFormat="1" applyFont="1" applyBorder="1" applyAlignment="1">
      <alignment horizontal="center"/>
    </xf>
    <xf numFmtId="174" fontId="2" fillId="0" borderId="28" xfId="0" applyNumberFormat="1" applyFont="1" applyBorder="1" applyAlignment="1">
      <alignment horizontal="center"/>
    </xf>
    <xf numFmtId="174" fontId="2" fillId="0" borderId="49" xfId="0" applyNumberFormat="1" applyFont="1" applyBorder="1" applyAlignment="1">
      <alignment horizontal="center"/>
    </xf>
    <xf numFmtId="6" fontId="2" fillId="0" borderId="28" xfId="0" applyNumberFormat="1" applyFont="1" applyBorder="1" applyAlignment="1">
      <alignment horizontal="center"/>
    </xf>
    <xf numFmtId="6" fontId="2" fillId="0" borderId="50" xfId="0" applyNumberFormat="1" applyFont="1" applyBorder="1" applyAlignment="1">
      <alignment horizontal="center"/>
    </xf>
    <xf numFmtId="0" fontId="2" fillId="0" borderId="29" xfId="0" applyFont="1" applyBorder="1" applyAlignment="1">
      <alignment horizontal="center" vertical="center" wrapText="1"/>
    </xf>
    <xf numFmtId="173" fontId="2" fillId="0" borderId="50" xfId="0" applyNumberFormat="1" applyFont="1" applyBorder="1" applyAlignment="1">
      <alignment horizontal="center"/>
    </xf>
    <xf numFmtId="0" fontId="2" fillId="0" borderId="42" xfId="0" applyFont="1" applyBorder="1" applyAlignment="1">
      <alignment horizontal="center" vertical="center" wrapText="1"/>
    </xf>
    <xf numFmtId="0" fontId="2" fillId="0" borderId="20" xfId="0" applyFont="1" applyBorder="1" applyAlignment="1">
      <alignment horizontal="center" vertical="center"/>
    </xf>
    <xf numFmtId="0" fontId="2" fillId="0" borderId="20" xfId="0" applyFont="1" applyBorder="1" applyAlignment="1">
      <alignment horizontal="center" vertical="center" wrapText="1"/>
    </xf>
    <xf numFmtId="0" fontId="2" fillId="0" borderId="14" xfId="0" applyFont="1" applyBorder="1" applyAlignment="1">
      <alignment horizontal="center" vertical="center"/>
    </xf>
    <xf numFmtId="0" fontId="2" fillId="0" borderId="42" xfId="0" applyFont="1" applyBorder="1" applyAlignment="1">
      <alignment horizontal="center" vertical="center"/>
    </xf>
    <xf numFmtId="49" fontId="2" fillId="0" borderId="20" xfId="0" applyNumberFormat="1" applyFont="1" applyBorder="1" applyAlignment="1">
      <alignment horizontal="center" vertical="center" wrapText="1"/>
    </xf>
    <xf numFmtId="0" fontId="0" fillId="0" borderId="0" xfId="0" quotePrefix="1"/>
    <xf numFmtId="3" fontId="2" fillId="0" borderId="0" xfId="0" applyNumberFormat="1" applyFont="1" applyAlignment="1">
      <alignment horizontal="center"/>
    </xf>
    <xf numFmtId="0" fontId="2" fillId="0" borderId="29" xfId="0" applyFont="1" applyBorder="1" applyAlignment="1">
      <alignment vertical="center" wrapText="1"/>
    </xf>
    <xf numFmtId="1" fontId="2" fillId="0" borderId="29" xfId="0" applyNumberFormat="1" applyFont="1" applyBorder="1" applyAlignment="1">
      <alignment vertical="center"/>
    </xf>
    <xf numFmtId="165" fontId="6" fillId="0" borderId="29" xfId="1" applyNumberFormat="1" applyFont="1" applyFill="1" applyBorder="1" applyAlignment="1">
      <alignment vertical="center" wrapText="1"/>
    </xf>
    <xf numFmtId="165" fontId="0" fillId="0" borderId="24" xfId="0" applyNumberFormat="1" applyBorder="1"/>
    <xf numFmtId="165" fontId="0" fillId="0" borderId="29" xfId="0" applyNumberFormat="1" applyBorder="1"/>
    <xf numFmtId="37" fontId="2" fillId="0" borderId="53" xfId="15" applyNumberFormat="1" applyFont="1" applyFill="1" applyBorder="1" applyAlignment="1">
      <alignment horizontal="center"/>
    </xf>
    <xf numFmtId="6" fontId="2" fillId="0" borderId="19" xfId="0" applyNumberFormat="1" applyFont="1" applyBorder="1" applyAlignment="1">
      <alignment horizontal="right"/>
    </xf>
    <xf numFmtId="169" fontId="0" fillId="0" borderId="29" xfId="0" applyNumberFormat="1" applyBorder="1" applyAlignment="1">
      <alignment horizontal="center"/>
    </xf>
    <xf numFmtId="37" fontId="2" fillId="0" borderId="29" xfId="15" applyNumberFormat="1" applyFont="1" applyFill="1" applyBorder="1" applyAlignment="1">
      <alignment horizontal="center"/>
    </xf>
    <xf numFmtId="6" fontId="2" fillId="0" borderId="20" xfId="15" applyNumberFormat="1" applyFont="1" applyFill="1" applyBorder="1" applyAlignment="1">
      <alignment horizontal="right"/>
    </xf>
    <xf numFmtId="37" fontId="2" fillId="0" borderId="54" xfId="15" applyNumberFormat="1" applyFont="1" applyFill="1" applyBorder="1" applyAlignment="1">
      <alignment horizontal="center"/>
    </xf>
    <xf numFmtId="6" fontId="2" fillId="0" borderId="21" xfId="15" applyNumberFormat="1" applyFont="1" applyFill="1" applyBorder="1" applyAlignment="1">
      <alignment horizontal="right"/>
    </xf>
    <xf numFmtId="6" fontId="2" fillId="0" borderId="8" xfId="15" applyNumberFormat="1" applyFont="1" applyFill="1" applyBorder="1" applyAlignment="1">
      <alignment horizontal="right"/>
    </xf>
    <xf numFmtId="6" fontId="2" fillId="0" borderId="10" xfId="15" applyNumberFormat="1" applyFont="1" applyFill="1" applyBorder="1" applyAlignment="1">
      <alignment horizontal="right"/>
    </xf>
    <xf numFmtId="6" fontId="2" fillId="0" borderId="23" xfId="15" applyNumberFormat="1" applyFont="1" applyFill="1" applyBorder="1" applyAlignment="1">
      <alignment horizontal="right"/>
    </xf>
    <xf numFmtId="6" fontId="2" fillId="0" borderId="24" xfId="15" applyNumberFormat="1" applyFont="1" applyFill="1" applyBorder="1" applyAlignment="1">
      <alignment horizontal="right"/>
    </xf>
    <xf numFmtId="38" fontId="3" fillId="0" borderId="43" xfId="0" applyNumberFormat="1" applyFont="1" applyBorder="1"/>
    <xf numFmtId="6" fontId="2" fillId="0" borderId="40" xfId="0" applyNumberFormat="1" applyFont="1" applyBorder="1" applyAlignment="1">
      <alignment horizontal="right" indent="1"/>
    </xf>
    <xf numFmtId="6" fontId="0" fillId="0" borderId="71" xfId="0" applyNumberFormat="1" applyBorder="1"/>
    <xf numFmtId="164" fontId="2" fillId="0" borderId="6" xfId="0" applyNumberFormat="1" applyFont="1" applyBorder="1" applyAlignment="1">
      <alignment horizontal="center" vertical="center" wrapText="1"/>
    </xf>
    <xf numFmtId="164" fontId="2" fillId="0" borderId="8" xfId="0" applyNumberFormat="1" applyFont="1" applyBorder="1" applyAlignment="1">
      <alignment horizontal="center" vertical="center" wrapText="1"/>
    </xf>
    <xf numFmtId="164" fontId="2" fillId="0" borderId="30" xfId="0" applyNumberFormat="1" applyFont="1" applyBorder="1" applyAlignment="1">
      <alignment horizontal="center" vertical="center" wrapText="1"/>
    </xf>
    <xf numFmtId="0" fontId="3" fillId="0" borderId="63" xfId="0" applyFont="1" applyBorder="1" applyAlignment="1">
      <alignment horizontal="center" vertical="center" wrapText="1"/>
    </xf>
    <xf numFmtId="0" fontId="2" fillId="0" borderId="9" xfId="0" applyFont="1" applyBorder="1" applyAlignment="1">
      <alignment horizontal="center"/>
    </xf>
    <xf numFmtId="165" fontId="0" fillId="7" borderId="0" xfId="1" applyNumberFormat="1" applyFont="1" applyFill="1"/>
    <xf numFmtId="176" fontId="0" fillId="2" borderId="49" xfId="0" applyNumberFormat="1" applyFill="1" applyBorder="1" applyAlignment="1">
      <alignment horizontal="center"/>
    </xf>
    <xf numFmtId="176" fontId="0" fillId="2" borderId="45" xfId="0" applyNumberFormat="1" applyFill="1" applyBorder="1" applyAlignment="1">
      <alignment horizontal="center"/>
    </xf>
    <xf numFmtId="173" fontId="0" fillId="0" borderId="74" xfId="0" applyNumberFormat="1" applyBorder="1" applyAlignment="1">
      <alignment horizontal="center"/>
    </xf>
    <xf numFmtId="0" fontId="4" fillId="2" borderId="38" xfId="0" applyFont="1" applyFill="1" applyBorder="1"/>
    <xf numFmtId="176" fontId="0" fillId="0" borderId="21" xfId="0" applyNumberFormat="1" applyBorder="1" applyAlignment="1">
      <alignment horizontal="center"/>
    </xf>
    <xf numFmtId="0" fontId="0" fillId="0" borderId="0" xfId="0" applyAlignment="1">
      <alignment horizontal="left" vertical="top"/>
    </xf>
    <xf numFmtId="0" fontId="0" fillId="0" borderId="66" xfId="0" applyBorder="1" applyAlignment="1">
      <alignment horizontal="left"/>
    </xf>
    <xf numFmtId="10" fontId="0" fillId="0" borderId="29" xfId="0" applyNumberFormat="1" applyBorder="1"/>
    <xf numFmtId="170" fontId="0" fillId="0" borderId="29" xfId="0" applyNumberFormat="1" applyBorder="1" applyAlignment="1">
      <alignment horizontal="center"/>
    </xf>
    <xf numFmtId="0" fontId="44" fillId="0" borderId="0" xfId="0" applyFont="1"/>
    <xf numFmtId="169" fontId="0" fillId="0" borderId="65" xfId="0" applyNumberFormat="1" applyBorder="1"/>
    <xf numFmtId="0" fontId="0" fillId="0" borderId="65" xfId="0" applyBorder="1"/>
    <xf numFmtId="0" fontId="21" fillId="0" borderId="0" xfId="18" applyAlignment="1">
      <alignment vertical="top"/>
    </xf>
    <xf numFmtId="164" fontId="2" fillId="0" borderId="60" xfId="0" applyNumberFormat="1" applyFont="1" applyBorder="1" applyAlignment="1">
      <alignment horizontal="center"/>
    </xf>
    <xf numFmtId="0" fontId="45" fillId="14" borderId="33" xfId="0" applyFont="1" applyFill="1" applyBorder="1" applyAlignment="1">
      <alignment vertical="center"/>
    </xf>
    <xf numFmtId="0" fontId="45" fillId="14" borderId="12" xfId="0" applyFont="1" applyFill="1" applyBorder="1" applyAlignment="1">
      <alignment vertical="center"/>
    </xf>
    <xf numFmtId="0" fontId="45" fillId="14" borderId="32" xfId="0" applyFont="1" applyFill="1" applyBorder="1" applyAlignment="1">
      <alignment vertical="center"/>
    </xf>
    <xf numFmtId="9" fontId="4" fillId="2" borderId="40" xfId="0" applyNumberFormat="1" applyFont="1" applyFill="1" applyBorder="1" applyAlignment="1">
      <alignment horizontal="center"/>
    </xf>
    <xf numFmtId="167" fontId="0" fillId="0" borderId="19" xfId="15" applyNumberFormat="1" applyFont="1" applyBorder="1"/>
    <xf numFmtId="167" fontId="0" fillId="0" borderId="20" xfId="15" applyNumberFormat="1" applyFont="1" applyBorder="1"/>
    <xf numFmtId="167" fontId="0" fillId="0" borderId="82" xfId="15" applyNumberFormat="1" applyFont="1" applyBorder="1"/>
    <xf numFmtId="167" fontId="0" fillId="0" borderId="19" xfId="0" applyNumberFormat="1" applyBorder="1"/>
    <xf numFmtId="167" fontId="0" fillId="0" borderId="21" xfId="15" applyNumberFormat="1" applyFont="1" applyBorder="1"/>
    <xf numFmtId="167" fontId="0" fillId="0" borderId="18" xfId="15" applyNumberFormat="1" applyFont="1" applyBorder="1"/>
    <xf numFmtId="173" fontId="2" fillId="0" borderId="15" xfId="0" applyNumberFormat="1" applyFont="1" applyBorder="1" applyAlignment="1">
      <alignment horizontal="center"/>
    </xf>
    <xf numFmtId="6" fontId="2" fillId="0" borderId="38" xfId="0" applyNumberFormat="1" applyFont="1" applyBorder="1" applyAlignment="1">
      <alignment horizontal="center"/>
    </xf>
    <xf numFmtId="6" fontId="2" fillId="0" borderId="21" xfId="0" applyNumberFormat="1" applyFont="1" applyBorder="1" applyAlignment="1">
      <alignment horizontal="center"/>
    </xf>
    <xf numFmtId="3" fontId="2" fillId="0" borderId="15" xfId="0" applyNumberFormat="1" applyFont="1" applyBorder="1" applyAlignment="1">
      <alignment horizontal="center"/>
    </xf>
    <xf numFmtId="174" fontId="2" fillId="0" borderId="38" xfId="0" applyNumberFormat="1" applyFont="1" applyBorder="1" applyAlignment="1">
      <alignment horizontal="center"/>
    </xf>
    <xf numFmtId="174" fontId="2" fillId="0" borderId="54" xfId="0" applyNumberFormat="1" applyFont="1" applyBorder="1" applyAlignment="1">
      <alignment horizontal="center"/>
    </xf>
    <xf numFmtId="174" fontId="2" fillId="0" borderId="21" xfId="0" applyNumberFormat="1" applyFont="1" applyBorder="1" applyAlignment="1">
      <alignment horizontal="center"/>
    </xf>
    <xf numFmtId="6" fontId="2" fillId="0" borderId="54" xfId="0" applyNumberFormat="1" applyFont="1" applyBorder="1" applyAlignment="1">
      <alignment horizontal="center"/>
    </xf>
    <xf numFmtId="6" fontId="2" fillId="0" borderId="15" xfId="0" applyNumberFormat="1" applyFont="1" applyBorder="1" applyAlignment="1">
      <alignment horizontal="center"/>
    </xf>
    <xf numFmtId="0" fontId="4" fillId="0" borderId="0" xfId="0" applyFont="1" applyAlignment="1">
      <alignment horizontal="right"/>
    </xf>
    <xf numFmtId="0" fontId="46" fillId="0" borderId="0" xfId="0" applyFont="1"/>
    <xf numFmtId="2" fontId="0" fillId="0" borderId="21" xfId="0" applyNumberFormat="1" applyBorder="1" applyAlignment="1">
      <alignment horizontal="center"/>
    </xf>
    <xf numFmtId="2" fontId="0" fillId="0" borderId="25" xfId="0" applyNumberFormat="1" applyBorder="1" applyAlignment="1">
      <alignment horizontal="center"/>
    </xf>
    <xf numFmtId="2" fontId="0" fillId="0" borderId="54" xfId="0" applyNumberFormat="1" applyBorder="1" applyAlignment="1">
      <alignment horizontal="center"/>
    </xf>
    <xf numFmtId="165" fontId="0" fillId="0" borderId="29" xfId="1" applyNumberFormat="1" applyFont="1" applyBorder="1" applyAlignment="1">
      <alignment horizontal="center"/>
    </xf>
    <xf numFmtId="165" fontId="1" fillId="0" borderId="29" xfId="1" applyNumberFormat="1" applyFont="1" applyBorder="1" applyAlignment="1">
      <alignment horizontal="center"/>
    </xf>
    <xf numFmtId="6" fontId="2" fillId="0" borderId="12" xfId="0" applyNumberFormat="1" applyFont="1" applyBorder="1" applyAlignment="1">
      <alignment horizontal="right" indent="1"/>
    </xf>
    <xf numFmtId="0" fontId="2" fillId="0" borderId="60" xfId="0" applyFont="1" applyBorder="1" applyAlignment="1">
      <alignment horizontal="center"/>
    </xf>
    <xf numFmtId="164" fontId="2" fillId="0" borderId="15" xfId="0" applyNumberFormat="1" applyFont="1" applyBorder="1" applyAlignment="1">
      <alignment horizontal="right"/>
    </xf>
    <xf numFmtId="164" fontId="2" fillId="0" borderId="60" xfId="0" applyNumberFormat="1" applyFont="1" applyBorder="1" applyAlignment="1">
      <alignment horizontal="right"/>
    </xf>
    <xf numFmtId="164" fontId="2" fillId="0" borderId="7" xfId="0" applyNumberFormat="1" applyFont="1" applyBorder="1" applyAlignment="1">
      <alignment horizontal="center" vertical="center" wrapText="1"/>
    </xf>
    <xf numFmtId="0" fontId="0" fillId="20" borderId="0" xfId="0" applyFill="1"/>
    <xf numFmtId="0" fontId="4" fillId="20" borderId="27" xfId="0" applyFont="1" applyFill="1" applyBorder="1"/>
    <xf numFmtId="165" fontId="6" fillId="20" borderId="0" xfId="1" applyNumberFormat="1" applyFont="1" applyFill="1" applyBorder="1" applyAlignment="1">
      <alignment vertical="center" wrapText="1"/>
    </xf>
    <xf numFmtId="0" fontId="0" fillId="0" borderId="0" xfId="0" applyAlignment="1">
      <alignment horizontal="left" vertical="center"/>
    </xf>
    <xf numFmtId="0" fontId="0" fillId="0" borderId="0" xfId="0" applyAlignment="1">
      <alignment horizontal="center" vertical="center" wrapText="1"/>
    </xf>
    <xf numFmtId="169" fontId="0" fillId="0" borderId="29" xfId="0" applyNumberFormat="1" applyBorder="1"/>
    <xf numFmtId="0" fontId="2" fillId="2" borderId="69"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82" xfId="0" applyFont="1" applyFill="1" applyBorder="1" applyAlignment="1">
      <alignment horizontal="center" vertical="center" wrapText="1"/>
    </xf>
    <xf numFmtId="164" fontId="2" fillId="0" borderId="54" xfId="1" applyNumberFormat="1" applyFont="1" applyBorder="1" applyAlignment="1">
      <alignment horizontal="center" vertical="center" wrapText="1"/>
    </xf>
    <xf numFmtId="0" fontId="2" fillId="11" borderId="93" xfId="0" applyFont="1" applyFill="1" applyBorder="1" applyAlignment="1">
      <alignment horizontal="center" vertical="center" wrapText="1"/>
    </xf>
    <xf numFmtId="0" fontId="2" fillId="11" borderId="101" xfId="0" applyFont="1" applyFill="1" applyBorder="1" applyAlignment="1">
      <alignment horizontal="center" vertical="center" wrapText="1"/>
    </xf>
    <xf numFmtId="0" fontId="2" fillId="11" borderId="102" xfId="0" applyFont="1" applyFill="1" applyBorder="1" applyAlignment="1">
      <alignment horizontal="center" vertical="center" wrapText="1"/>
    </xf>
    <xf numFmtId="0" fontId="2" fillId="11" borderId="103" xfId="0" applyFont="1" applyFill="1" applyBorder="1" applyAlignment="1">
      <alignment horizontal="center" vertical="center" wrapText="1"/>
    </xf>
    <xf numFmtId="0" fontId="2" fillId="11" borderId="104" xfId="0" applyFont="1" applyFill="1" applyBorder="1" applyAlignment="1">
      <alignment horizontal="center" vertical="center" wrapText="1"/>
    </xf>
    <xf numFmtId="0" fontId="25" fillId="0" borderId="105" xfId="0" applyFont="1" applyBorder="1" applyAlignment="1">
      <alignment vertical="center" wrapText="1"/>
    </xf>
    <xf numFmtId="3" fontId="25" fillId="0" borderId="106" xfId="0" applyNumberFormat="1" applyFont="1" applyBorder="1" applyAlignment="1">
      <alignment vertical="center" wrapText="1"/>
    </xf>
    <xf numFmtId="3" fontId="25" fillId="0" borderId="107" xfId="0" applyNumberFormat="1" applyFont="1" applyBorder="1" applyAlignment="1">
      <alignment horizontal="right" vertical="center"/>
    </xf>
    <xf numFmtId="3" fontId="25" fillId="0" borderId="108" xfId="0" applyNumberFormat="1" applyFont="1" applyBorder="1" applyAlignment="1">
      <alignment horizontal="right" vertical="center"/>
    </xf>
    <xf numFmtId="0" fontId="0" fillId="0" borderId="108" xfId="0" applyBorder="1" applyAlignment="1">
      <alignment horizontal="center" vertical="center" wrapText="1"/>
    </xf>
    <xf numFmtId="9" fontId="25" fillId="0" borderId="107" xfId="0" applyNumberFormat="1" applyFont="1" applyBorder="1" applyAlignment="1">
      <alignment vertical="center" wrapText="1"/>
    </xf>
    <xf numFmtId="9" fontId="25" fillId="0" borderId="107" xfId="0" applyNumberFormat="1" applyFont="1" applyBorder="1" applyAlignment="1">
      <alignment vertical="center"/>
    </xf>
    <xf numFmtId="0" fontId="2" fillId="0" borderId="108" xfId="0" applyFont="1" applyBorder="1" applyAlignment="1">
      <alignment horizontal="center" vertical="center" wrapText="1"/>
    </xf>
    <xf numFmtId="0" fontId="2" fillId="0" borderId="109" xfId="0" applyFont="1" applyBorder="1" applyAlignment="1">
      <alignment horizontal="center" vertical="center" wrapText="1"/>
    </xf>
    <xf numFmtId="3" fontId="25" fillId="0" borderId="107" xfId="0" applyNumberFormat="1" applyFont="1" applyBorder="1" applyAlignment="1">
      <alignment vertical="center"/>
    </xf>
    <xf numFmtId="3" fontId="25" fillId="0" borderId="107" xfId="0" applyNumberFormat="1" applyFont="1" applyBorder="1" applyAlignment="1">
      <alignment vertical="center" wrapText="1"/>
    </xf>
    <xf numFmtId="0" fontId="25" fillId="0" borderId="107" xfId="0" applyFont="1" applyBorder="1" applyAlignment="1">
      <alignment vertical="center"/>
    </xf>
    <xf numFmtId="0" fontId="25" fillId="0" borderId="110" xfId="0" applyFont="1" applyBorder="1" applyAlignment="1">
      <alignment vertical="center"/>
    </xf>
    <xf numFmtId="0" fontId="25" fillId="0" borderId="111" xfId="0" applyFont="1" applyBorder="1" applyAlignment="1">
      <alignment vertical="center" wrapText="1"/>
    </xf>
    <xf numFmtId="0" fontId="25" fillId="0" borderId="112" xfId="0" applyFont="1" applyBorder="1" applyAlignment="1">
      <alignment vertical="center" wrapText="1"/>
    </xf>
    <xf numFmtId="3" fontId="25" fillId="0" borderId="113" xfId="0" applyNumberFormat="1" applyFont="1" applyBorder="1" applyAlignment="1">
      <alignment vertical="center"/>
    </xf>
    <xf numFmtId="3" fontId="25" fillId="0" borderId="113" xfId="0" applyNumberFormat="1" applyFont="1" applyBorder="1" applyAlignment="1">
      <alignment vertical="center" wrapText="1"/>
    </xf>
    <xf numFmtId="9" fontId="25" fillId="0" borderId="113" xfId="0" applyNumberFormat="1" applyFont="1" applyBorder="1" applyAlignment="1">
      <alignment vertical="center" wrapText="1"/>
    </xf>
    <xf numFmtId="9" fontId="25" fillId="0" borderId="113" xfId="0" applyNumberFormat="1" applyFont="1" applyBorder="1" applyAlignment="1">
      <alignment vertical="center"/>
    </xf>
    <xf numFmtId="0" fontId="25" fillId="0" borderId="113" xfId="0" applyFont="1" applyBorder="1" applyAlignment="1">
      <alignment vertical="center"/>
    </xf>
    <xf numFmtId="0" fontId="25" fillId="0" borderId="114" xfId="0" applyFont="1" applyBorder="1" applyAlignment="1">
      <alignment vertical="center"/>
    </xf>
    <xf numFmtId="0" fontId="47" fillId="0" borderId="111" xfId="0" applyFont="1" applyBorder="1" applyAlignment="1">
      <alignment vertical="center" wrapText="1"/>
    </xf>
    <xf numFmtId="3" fontId="47" fillId="0" borderId="112" xfId="0" applyNumberFormat="1" applyFont="1" applyBorder="1" applyAlignment="1">
      <alignment vertical="center" wrapText="1"/>
    </xf>
    <xf numFmtId="3" fontId="47" fillId="0" borderId="113" xfId="0" applyNumberFormat="1" applyFont="1" applyBorder="1" applyAlignment="1">
      <alignment vertical="center"/>
    </xf>
    <xf numFmtId="0" fontId="47" fillId="0" borderId="115" xfId="0" applyFont="1" applyBorder="1" applyAlignment="1">
      <alignment vertical="center" wrapText="1"/>
    </xf>
    <xf numFmtId="3" fontId="47" fillId="0" borderId="116" xfId="0" applyNumberFormat="1" applyFont="1" applyBorder="1" applyAlignment="1">
      <alignment vertical="center" wrapText="1"/>
    </xf>
    <xf numFmtId="0" fontId="47" fillId="0" borderId="103" xfId="0" applyFont="1" applyBorder="1" applyAlignment="1">
      <alignment vertical="center"/>
    </xf>
    <xf numFmtId="3" fontId="25" fillId="0" borderId="103" xfId="0" applyNumberFormat="1" applyFont="1" applyBorder="1" applyAlignment="1">
      <alignment vertical="center" wrapText="1"/>
    </xf>
    <xf numFmtId="9" fontId="25" fillId="0" borderId="103" xfId="0" applyNumberFormat="1" applyFont="1" applyBorder="1" applyAlignment="1">
      <alignment vertical="center" wrapText="1"/>
    </xf>
    <xf numFmtId="9" fontId="25" fillId="0" borderId="103" xfId="0" applyNumberFormat="1" applyFont="1" applyBorder="1" applyAlignment="1">
      <alignment vertical="center"/>
    </xf>
    <xf numFmtId="0" fontId="25" fillId="0" borderId="103" xfId="0" applyFont="1" applyBorder="1" applyAlignment="1">
      <alignment vertical="center"/>
    </xf>
    <xf numFmtId="0" fontId="25" fillId="0" borderId="104" xfId="0" applyFont="1" applyBorder="1" applyAlignment="1">
      <alignment vertical="center"/>
    </xf>
    <xf numFmtId="0" fontId="25" fillId="0" borderId="117" xfId="0" applyFont="1" applyBorder="1" applyAlignment="1">
      <alignment vertical="center" wrapText="1"/>
    </xf>
    <xf numFmtId="3" fontId="25" fillId="0" borderId="0" xfId="0" applyNumberFormat="1" applyFont="1" applyAlignment="1">
      <alignment vertical="center" wrapText="1"/>
    </xf>
    <xf numFmtId="0" fontId="47" fillId="0" borderId="0" xfId="0" applyFont="1" applyAlignment="1">
      <alignment vertical="center"/>
    </xf>
    <xf numFmtId="9" fontId="25" fillId="0" borderId="0" xfId="0" applyNumberFormat="1" applyFont="1" applyAlignment="1">
      <alignment vertical="center" wrapText="1"/>
    </xf>
    <xf numFmtId="9" fontId="25" fillId="0" borderId="0" xfId="0" applyNumberFormat="1" applyFont="1" applyAlignment="1">
      <alignment vertical="center"/>
    </xf>
    <xf numFmtId="0" fontId="25" fillId="0" borderId="0" xfId="0" applyFont="1" applyAlignment="1">
      <alignment vertical="center"/>
    </xf>
    <xf numFmtId="0" fontId="2" fillId="0" borderId="117" xfId="0" applyFont="1" applyBorder="1"/>
    <xf numFmtId="3" fontId="25" fillId="0" borderId="95" xfId="0" applyNumberFormat="1" applyFont="1" applyBorder="1" applyAlignment="1">
      <alignment vertical="center" wrapText="1"/>
    </xf>
    <xf numFmtId="0" fontId="29" fillId="0" borderId="79" xfId="0" applyFont="1" applyBorder="1" applyAlignment="1">
      <alignment vertical="center" wrapText="1"/>
    </xf>
    <xf numFmtId="0" fontId="29" fillId="0" borderId="76" xfId="0" applyFont="1" applyBorder="1" applyAlignment="1">
      <alignment vertical="center" wrapText="1"/>
    </xf>
    <xf numFmtId="0" fontId="2" fillId="0" borderId="118" xfId="0" applyFont="1" applyBorder="1" applyAlignment="1">
      <alignment vertical="center" wrapText="1"/>
    </xf>
    <xf numFmtId="0" fontId="4" fillId="4" borderId="0" xfId="0" applyFont="1" applyFill="1"/>
    <xf numFmtId="0" fontId="48" fillId="0" borderId="119" xfId="0" applyFont="1" applyBorder="1" applyAlignment="1">
      <alignment wrapText="1"/>
    </xf>
    <xf numFmtId="0" fontId="48" fillId="0" borderId="28" xfId="0" applyFont="1" applyBorder="1" applyAlignment="1">
      <alignment wrapText="1"/>
    </xf>
    <xf numFmtId="0" fontId="48" fillId="0" borderId="28" xfId="0" applyFont="1" applyBorder="1" applyAlignment="1">
      <alignment horizontal="center" wrapText="1"/>
    </xf>
    <xf numFmtId="0" fontId="48" fillId="0" borderId="31" xfId="0" applyFont="1" applyBorder="1" applyAlignment="1">
      <alignment horizontal="center" wrapText="1"/>
    </xf>
    <xf numFmtId="177" fontId="0" fillId="0" borderId="0" xfId="0" applyNumberFormat="1"/>
    <xf numFmtId="0" fontId="45" fillId="0" borderId="65" xfId="0" applyFont="1" applyBorder="1"/>
    <xf numFmtId="3" fontId="45" fillId="0" borderId="29" xfId="0" applyNumberFormat="1" applyFont="1" applyBorder="1" applyAlignment="1">
      <alignment horizontal="center"/>
    </xf>
    <xf numFmtId="165" fontId="45" fillId="0" borderId="29" xfId="1" applyNumberFormat="1" applyFont="1" applyBorder="1" applyAlignment="1">
      <alignment horizontal="center"/>
    </xf>
    <xf numFmtId="0" fontId="45" fillId="0" borderId="24" xfId="0" applyFont="1" applyBorder="1" applyAlignment="1">
      <alignment horizontal="left" wrapText="1"/>
    </xf>
    <xf numFmtId="0" fontId="49" fillId="0" borderId="65" xfId="0" applyFont="1" applyBorder="1"/>
    <xf numFmtId="0" fontId="49" fillId="0" borderId="29" xfId="0" applyFont="1" applyBorder="1" applyAlignment="1">
      <alignment horizontal="center"/>
    </xf>
    <xf numFmtId="165" fontId="49" fillId="0" borderId="29" xfId="1" applyNumberFormat="1" applyFont="1" applyBorder="1" applyAlignment="1">
      <alignment horizontal="center"/>
    </xf>
    <xf numFmtId="0" fontId="49" fillId="0" borderId="24" xfId="0" applyFont="1" applyBorder="1" applyAlignment="1">
      <alignment horizontal="left" wrapText="1"/>
    </xf>
    <xf numFmtId="0" fontId="45" fillId="0" borderId="29" xfId="0" applyFont="1" applyBorder="1"/>
    <xf numFmtId="0" fontId="45" fillId="0" borderId="26" xfId="0" applyFont="1" applyBorder="1"/>
    <xf numFmtId="165" fontId="45" fillId="0" borderId="26" xfId="1" applyNumberFormat="1" applyFont="1" applyBorder="1" applyAlignment="1">
      <alignment horizontal="center"/>
    </xf>
    <xf numFmtId="0" fontId="45" fillId="0" borderId="72" xfId="0" applyFont="1" applyBorder="1" applyAlignment="1">
      <alignment horizontal="left" wrapText="1"/>
    </xf>
    <xf numFmtId="0" fontId="45" fillId="0" borderId="120" xfId="0" applyFont="1" applyBorder="1"/>
    <xf numFmtId="0" fontId="45" fillId="18" borderId="72" xfId="0" applyFont="1" applyFill="1" applyBorder="1" applyAlignment="1">
      <alignment horizontal="left" wrapText="1"/>
    </xf>
    <xf numFmtId="0" fontId="45" fillId="0" borderId="0" xfId="0" applyFont="1"/>
    <xf numFmtId="165" fontId="45" fillId="0" borderId="0" xfId="1" applyNumberFormat="1" applyFont="1" applyBorder="1" applyAlignment="1">
      <alignment horizontal="center"/>
    </xf>
    <xf numFmtId="0" fontId="45" fillId="0" borderId="0" xfId="0" applyFont="1" applyAlignment="1">
      <alignment horizontal="left" wrapText="1"/>
    </xf>
    <xf numFmtId="0" fontId="48" fillId="0" borderId="0" xfId="0" applyFont="1"/>
    <xf numFmtId="0" fontId="45" fillId="21" borderId="121" xfId="0" applyFont="1" applyFill="1" applyBorder="1"/>
    <xf numFmtId="165" fontId="45" fillId="21" borderId="121" xfId="1" applyNumberFormat="1" applyFont="1" applyFill="1" applyBorder="1" applyAlignment="1">
      <alignment horizontal="center"/>
    </xf>
    <xf numFmtId="0" fontId="45" fillId="21" borderId="121" xfId="0" applyFont="1" applyFill="1" applyBorder="1" applyAlignment="1">
      <alignment horizontal="left" wrapText="1"/>
    </xf>
    <xf numFmtId="0" fontId="45" fillId="0" borderId="121" xfId="0" applyFont="1" applyBorder="1"/>
    <xf numFmtId="165" fontId="45" fillId="0" borderId="121" xfId="1" applyNumberFormat="1" applyFont="1" applyBorder="1" applyAlignment="1">
      <alignment horizontal="center"/>
    </xf>
    <xf numFmtId="0" fontId="45" fillId="0" borderId="121" xfId="0" applyFont="1" applyBorder="1" applyAlignment="1">
      <alignment horizontal="left" wrapText="1"/>
    </xf>
    <xf numFmtId="3" fontId="45" fillId="21" borderId="121" xfId="0" applyNumberFormat="1" applyFont="1" applyFill="1" applyBorder="1"/>
    <xf numFmtId="165" fontId="45" fillId="22" borderId="121" xfId="1" applyNumberFormat="1" applyFont="1" applyFill="1" applyBorder="1" applyAlignment="1">
      <alignment horizontal="center"/>
    </xf>
    <xf numFmtId="0" fontId="45" fillId="0" borderId="122" xfId="0" applyFont="1" applyBorder="1" applyAlignment="1">
      <alignment horizontal="left" wrapText="1"/>
    </xf>
    <xf numFmtId="0" fontId="49" fillId="18" borderId="65" xfId="0" applyFont="1" applyFill="1" applyBorder="1"/>
    <xf numFmtId="0" fontId="49" fillId="18" borderId="29" xfId="0" applyFont="1" applyFill="1" applyBorder="1" applyAlignment="1">
      <alignment horizontal="center"/>
    </xf>
    <xf numFmtId="165" fontId="49" fillId="18" borderId="29" xfId="1" applyNumberFormat="1" applyFont="1" applyFill="1" applyBorder="1" applyAlignment="1">
      <alignment horizontal="center"/>
    </xf>
    <xf numFmtId="165" fontId="49" fillId="18" borderId="123" xfId="1" applyNumberFormat="1" applyFont="1" applyFill="1" applyBorder="1" applyAlignment="1">
      <alignment horizontal="center"/>
    </xf>
    <xf numFmtId="0" fontId="49" fillId="18" borderId="29" xfId="0" applyFont="1" applyFill="1" applyBorder="1" applyAlignment="1">
      <alignment horizontal="left" wrapText="1"/>
    </xf>
    <xf numFmtId="165" fontId="45" fillId="0" borderId="121" xfId="1" applyNumberFormat="1" applyFont="1" applyFill="1" applyBorder="1" applyAlignment="1">
      <alignment horizontal="center"/>
    </xf>
    <xf numFmtId="0" fontId="45" fillId="0" borderId="124" xfId="0" applyFont="1" applyBorder="1" applyAlignment="1">
      <alignment horizontal="left" wrapText="1"/>
    </xf>
    <xf numFmtId="0" fontId="45" fillId="18" borderId="121" xfId="0" applyFont="1" applyFill="1" applyBorder="1"/>
    <xf numFmtId="165" fontId="45" fillId="18" borderId="121" xfId="1" applyNumberFormat="1" applyFont="1" applyFill="1" applyBorder="1" applyAlignment="1">
      <alignment horizontal="center"/>
    </xf>
    <xf numFmtId="0" fontId="45" fillId="18" borderId="121" xfId="0" applyFont="1" applyFill="1" applyBorder="1" applyAlignment="1">
      <alignment horizontal="left" wrapText="1"/>
    </xf>
    <xf numFmtId="0" fontId="45" fillId="18" borderId="122" xfId="0" applyFont="1" applyFill="1" applyBorder="1"/>
    <xf numFmtId="165" fontId="45" fillId="18" borderId="122" xfId="1" applyNumberFormat="1" applyFont="1" applyFill="1" applyBorder="1" applyAlignment="1">
      <alignment horizontal="center"/>
    </xf>
    <xf numFmtId="0" fontId="45" fillId="18" borderId="122" xfId="0" applyFont="1" applyFill="1" applyBorder="1" applyAlignment="1">
      <alignment horizontal="left" wrapText="1"/>
    </xf>
    <xf numFmtId="0" fontId="45" fillId="0" borderId="29" xfId="0" applyFont="1" applyBorder="1" applyAlignment="1">
      <alignment horizontal="left" wrapText="1"/>
    </xf>
    <xf numFmtId="0" fontId="45" fillId="0" borderId="29" xfId="0" applyFont="1" applyBorder="1" applyAlignment="1">
      <alignment horizontal="center"/>
    </xf>
    <xf numFmtId="4" fontId="45" fillId="0" borderId="0" xfId="0" applyNumberFormat="1" applyFont="1"/>
    <xf numFmtId="39" fontId="45" fillId="0" borderId="0" xfId="1" applyNumberFormat="1" applyFont="1" applyBorder="1" applyAlignment="1">
      <alignment horizontal="center"/>
    </xf>
    <xf numFmtId="4" fontId="0" fillId="0" borderId="0" xfId="0" applyNumberFormat="1"/>
    <xf numFmtId="0" fontId="0" fillId="0" borderId="0" xfId="0" applyAlignment="1">
      <alignment horizontal="left" vertical="center" indent="1"/>
    </xf>
    <xf numFmtId="0" fontId="45" fillId="0" borderId="65" xfId="0" applyFont="1" applyBorder="1" applyAlignment="1">
      <alignment wrapText="1"/>
    </xf>
    <xf numFmtId="0" fontId="49" fillId="0" borderId="65" xfId="0" applyFont="1" applyBorder="1" applyAlignment="1">
      <alignment horizontal="left" vertical="center"/>
    </xf>
    <xf numFmtId="0" fontId="49" fillId="0" borderId="29" xfId="0" applyFont="1" applyBorder="1" applyAlignment="1">
      <alignment horizontal="center" vertical="center"/>
    </xf>
    <xf numFmtId="165" fontId="49" fillId="0" borderId="29" xfId="1" applyNumberFormat="1" applyFont="1" applyBorder="1" applyAlignment="1">
      <alignment horizontal="left" vertical="center"/>
    </xf>
    <xf numFmtId="0" fontId="49" fillId="0" borderId="24" xfId="0" applyFont="1" applyBorder="1" applyAlignment="1">
      <alignment horizontal="left" vertical="center" wrapText="1"/>
    </xf>
    <xf numFmtId="10" fontId="0" fillId="0" borderId="0" xfId="0" applyNumberFormat="1" applyAlignment="1">
      <alignment horizontal="right"/>
    </xf>
    <xf numFmtId="0" fontId="2" fillId="0" borderId="125" xfId="0" applyFont="1" applyBorder="1" applyAlignment="1">
      <alignment vertical="center" wrapText="1"/>
    </xf>
    <xf numFmtId="164" fontId="2" fillId="0" borderId="125" xfId="0" applyNumberFormat="1" applyFont="1" applyBorder="1" applyAlignment="1">
      <alignment vertical="center" wrapText="1"/>
    </xf>
    <xf numFmtId="0" fontId="50" fillId="0" borderId="125" xfId="0" applyFont="1" applyBorder="1" applyAlignment="1">
      <alignment vertical="center" wrapText="1"/>
    </xf>
    <xf numFmtId="0" fontId="2" fillId="0" borderId="126" xfId="0" applyFont="1" applyBorder="1" applyAlignment="1">
      <alignment vertical="center" wrapText="1"/>
    </xf>
    <xf numFmtId="0" fontId="40" fillId="0" borderId="126" xfId="0" applyFont="1" applyBorder="1" applyAlignment="1">
      <alignment vertical="center" wrapText="1"/>
    </xf>
    <xf numFmtId="0" fontId="2" fillId="0" borderId="127" xfId="0" applyFont="1" applyBorder="1" applyAlignment="1">
      <alignment vertical="center" wrapText="1"/>
    </xf>
    <xf numFmtId="0" fontId="2" fillId="2" borderId="25" xfId="0" applyFont="1" applyFill="1" applyBorder="1" applyAlignment="1">
      <alignment horizontal="center" vertical="center" wrapText="1"/>
    </xf>
    <xf numFmtId="0" fontId="29" fillId="0" borderId="75" xfId="0" applyFont="1" applyBorder="1" applyAlignment="1">
      <alignment vertical="center"/>
    </xf>
    <xf numFmtId="0" fontId="29" fillId="0" borderId="79" xfId="0" applyFont="1" applyBorder="1" applyAlignment="1">
      <alignment vertical="center"/>
    </xf>
    <xf numFmtId="0" fontId="29" fillId="0" borderId="76" xfId="0" applyFont="1" applyBorder="1" applyAlignment="1">
      <alignment vertical="center"/>
    </xf>
    <xf numFmtId="2" fontId="0" fillId="0" borderId="10" xfId="0" applyNumberFormat="1" applyBorder="1" applyAlignment="1">
      <alignment horizontal="center"/>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61" xfId="0" applyFont="1" applyFill="1" applyBorder="1" applyAlignment="1">
      <alignment vertical="center" wrapText="1"/>
    </xf>
    <xf numFmtId="170" fontId="6" fillId="0" borderId="29" xfId="0" applyNumberFormat="1" applyFont="1" applyBorder="1" applyAlignment="1">
      <alignment horizontal="left" vertical="center"/>
    </xf>
    <xf numFmtId="170" fontId="6" fillId="0" borderId="29" xfId="0" applyNumberFormat="1" applyFont="1" applyBorder="1" applyAlignment="1">
      <alignment horizontal="center" vertical="center"/>
    </xf>
    <xf numFmtId="165" fontId="0" fillId="0" borderId="29" xfId="1" applyNumberFormat="1" applyFont="1" applyFill="1" applyBorder="1"/>
    <xf numFmtId="165" fontId="0" fillId="7" borderId="0" xfId="0" applyNumberFormat="1" applyFill="1"/>
    <xf numFmtId="0" fontId="0" fillId="0" borderId="119" xfId="0" applyBorder="1" applyAlignment="1">
      <alignment vertical="top"/>
    </xf>
    <xf numFmtId="0" fontId="0" fillId="0" borderId="31" xfId="0" applyBorder="1" applyAlignment="1">
      <alignment horizontal="center" vertical="top"/>
    </xf>
    <xf numFmtId="0" fontId="0" fillId="0" borderId="65" xfId="0" applyBorder="1" applyAlignment="1">
      <alignment vertical="top"/>
    </xf>
    <xf numFmtId="3" fontId="0" fillId="0" borderId="24" xfId="0" applyNumberFormat="1" applyBorder="1" applyAlignment="1">
      <alignment horizontal="center" vertical="top"/>
    </xf>
    <xf numFmtId="0" fontId="0" fillId="0" borderId="120" xfId="0" applyBorder="1" applyAlignment="1">
      <alignment vertical="top"/>
    </xf>
    <xf numFmtId="3" fontId="0" fillId="0" borderId="72" xfId="0" applyNumberFormat="1" applyBorder="1" applyAlignment="1">
      <alignment horizontal="center" vertical="top"/>
    </xf>
    <xf numFmtId="3" fontId="2" fillId="0" borderId="0" xfId="0" applyNumberFormat="1" applyFont="1"/>
    <xf numFmtId="174" fontId="2" fillId="0" borderId="0" xfId="0" applyNumberFormat="1" applyFont="1"/>
    <xf numFmtId="0" fontId="23" fillId="0" borderId="75" xfId="0" applyFont="1" applyBorder="1" applyAlignment="1">
      <alignment horizontal="left" vertical="center" wrapText="1"/>
    </xf>
    <xf numFmtId="0" fontId="23" fillId="0" borderId="79" xfId="0" applyFont="1" applyBorder="1" applyAlignment="1">
      <alignment horizontal="left" vertical="center" wrapText="1"/>
    </xf>
    <xf numFmtId="0" fontId="23" fillId="0" borderId="76" xfId="0" applyFont="1" applyBorder="1" applyAlignment="1">
      <alignment horizontal="left" vertical="center" wrapText="1"/>
    </xf>
    <xf numFmtId="2" fontId="29" fillId="0" borderId="75" xfId="0" applyNumberFormat="1" applyFont="1" applyBorder="1" applyAlignment="1">
      <alignment horizontal="right" vertical="center" wrapText="1"/>
    </xf>
    <xf numFmtId="2" fontId="29" fillId="0" borderId="79" xfId="0" applyNumberFormat="1" applyFont="1" applyBorder="1" applyAlignment="1">
      <alignment horizontal="right" vertical="center" wrapText="1"/>
    </xf>
    <xf numFmtId="2" fontId="29" fillId="0" borderId="76" xfId="0" applyNumberFormat="1" applyFont="1" applyBorder="1" applyAlignment="1">
      <alignment horizontal="right" vertical="center" wrapText="1"/>
    </xf>
    <xf numFmtId="0" fontId="29" fillId="7" borderId="75" xfId="0" applyFont="1" applyFill="1" applyBorder="1" applyAlignment="1">
      <alignment horizontal="right" vertical="center" wrapText="1"/>
    </xf>
    <xf numFmtId="0" fontId="29" fillId="7" borderId="79" xfId="0" applyFont="1" applyFill="1" applyBorder="1" applyAlignment="1">
      <alignment horizontal="right" vertical="center" wrapText="1"/>
    </xf>
    <xf numFmtId="0" fontId="0" fillId="0" borderId="88" xfId="0" applyBorder="1" applyAlignment="1">
      <alignment horizontal="center" vertical="center"/>
    </xf>
    <xf numFmtId="0" fontId="0" fillId="0" borderId="88" xfId="0" applyBorder="1" applyAlignment="1">
      <alignment horizontal="center" vertical="center" wrapText="1"/>
    </xf>
    <xf numFmtId="0" fontId="29" fillId="0" borderId="75" xfId="0" applyFont="1" applyBorder="1" applyAlignment="1">
      <alignment vertical="center" wrapText="1"/>
    </xf>
    <xf numFmtId="0" fontId="29" fillId="0" borderId="79" xfId="0" applyFont="1" applyBorder="1" applyAlignment="1">
      <alignment vertical="center" wrapText="1"/>
    </xf>
    <xf numFmtId="0" fontId="29" fillId="0" borderId="76" xfId="0" applyFont="1" applyBorder="1" applyAlignment="1">
      <alignment vertical="center" wrapText="1"/>
    </xf>
    <xf numFmtId="0" fontId="23" fillId="0" borderId="75" xfId="0" applyFont="1" applyBorder="1" applyAlignment="1">
      <alignment vertical="center" wrapText="1"/>
    </xf>
    <xf numFmtId="0" fontId="23" fillId="0" borderId="79" xfId="0" applyFont="1" applyBorder="1" applyAlignment="1">
      <alignment vertical="center" wrapText="1"/>
    </xf>
    <xf numFmtId="0" fontId="23" fillId="0" borderId="76" xfId="0" applyFont="1" applyBorder="1" applyAlignment="1">
      <alignment vertical="center" wrapText="1"/>
    </xf>
    <xf numFmtId="0" fontId="28" fillId="5" borderId="75" xfId="0" applyFont="1" applyFill="1" applyBorder="1" applyAlignment="1">
      <alignment horizontal="center" vertical="center" wrapText="1"/>
    </xf>
    <xf numFmtId="0" fontId="28" fillId="5" borderId="76" xfId="0" applyFont="1" applyFill="1" applyBorder="1" applyAlignment="1">
      <alignment horizontal="center" vertical="center" wrapText="1"/>
    </xf>
    <xf numFmtId="0" fontId="4" fillId="19" borderId="88" xfId="0" applyFont="1" applyFill="1" applyBorder="1" applyAlignment="1">
      <alignment horizontal="center" vertical="center" wrapText="1"/>
    </xf>
    <xf numFmtId="0" fontId="4" fillId="19" borderId="0" xfId="0" applyFont="1" applyFill="1" applyAlignment="1">
      <alignment horizontal="center" vertical="center" wrapText="1"/>
    </xf>
    <xf numFmtId="0" fontId="29" fillId="0" borderId="75" xfId="0" applyFont="1" applyBorder="1" applyAlignment="1">
      <alignment horizontal="right" vertical="center" wrapText="1"/>
    </xf>
    <xf numFmtId="0" fontId="29" fillId="0" borderId="79" xfId="0" applyFont="1" applyBorder="1" applyAlignment="1">
      <alignment horizontal="right" vertical="center" wrapText="1"/>
    </xf>
    <xf numFmtId="0" fontId="29" fillId="0" borderId="76" xfId="0" applyFont="1" applyBorder="1" applyAlignment="1">
      <alignment horizontal="right" vertical="center" wrapText="1"/>
    </xf>
    <xf numFmtId="0" fontId="29" fillId="7" borderId="76" xfId="0" applyFont="1" applyFill="1" applyBorder="1" applyAlignment="1">
      <alignment horizontal="right" vertical="center" wrapText="1"/>
    </xf>
    <xf numFmtId="0" fontId="2" fillId="2" borderId="11" xfId="0" applyFont="1" applyFill="1" applyBorder="1" applyAlignment="1">
      <alignment horizontal="center" vertical="center" wrapText="1"/>
    </xf>
    <xf numFmtId="0" fontId="2" fillId="2" borderId="5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3" fillId="0" borderId="43" xfId="0" applyFont="1" applyBorder="1" applyAlignment="1">
      <alignment horizontal="center" vertical="center" wrapText="1"/>
    </xf>
    <xf numFmtId="0" fontId="3" fillId="0" borderId="32" xfId="0" applyFont="1" applyBorder="1" applyAlignment="1">
      <alignment horizontal="center" vertical="center"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3" fillId="0" borderId="44" xfId="0" applyFont="1" applyBorder="1" applyAlignment="1">
      <alignment horizontal="center" vertical="center" wrapText="1"/>
    </xf>
    <xf numFmtId="0" fontId="0" fillId="0" borderId="29" xfId="0" applyBorder="1"/>
    <xf numFmtId="0" fontId="0" fillId="0" borderId="29" xfId="0" applyBorder="1" applyAlignment="1">
      <alignment horizontal="left"/>
    </xf>
    <xf numFmtId="0" fontId="0" fillId="0" borderId="24" xfId="0" applyBorder="1"/>
    <xf numFmtId="0" fontId="0" fillId="0" borderId="65" xfId="0" applyBorder="1"/>
    <xf numFmtId="0" fontId="0" fillId="0" borderId="0" xfId="0" applyAlignment="1">
      <alignment horizontal="left" vertical="top" wrapText="1"/>
    </xf>
    <xf numFmtId="0" fontId="4" fillId="0" borderId="43" xfId="0" applyFont="1" applyBorder="1" applyAlignment="1">
      <alignment horizontal="center"/>
    </xf>
    <xf numFmtId="0" fontId="4" fillId="0" borderId="44" xfId="0" applyFont="1" applyBorder="1" applyAlignment="1">
      <alignment horizontal="center"/>
    </xf>
    <xf numFmtId="0" fontId="4" fillId="0" borderId="32" xfId="0" applyFont="1" applyBorder="1" applyAlignment="1">
      <alignment horizontal="center"/>
    </xf>
    <xf numFmtId="0" fontId="26" fillId="0" borderId="0" xfId="0" applyFont="1" applyAlignment="1">
      <alignment horizontal="left" vertical="top" wrapText="1"/>
    </xf>
    <xf numFmtId="0" fontId="0" fillId="0" borderId="0" xfId="0"/>
    <xf numFmtId="0" fontId="0" fillId="0" borderId="24" xfId="0" applyBorder="1" applyAlignment="1">
      <alignment horizontal="left"/>
    </xf>
    <xf numFmtId="0" fontId="0" fillId="0" borderId="8" xfId="0" applyBorder="1" applyAlignment="1">
      <alignment horizontal="left"/>
    </xf>
    <xf numFmtId="0" fontId="0" fillId="0" borderId="65" xfId="0" applyBorder="1" applyAlignment="1">
      <alignment horizontal="left"/>
    </xf>
    <xf numFmtId="0" fontId="2" fillId="0" borderId="53"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72"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59" xfId="0" applyFont="1" applyBorder="1" applyAlignment="1">
      <alignment horizontal="center" vertical="center" wrapText="1"/>
    </xf>
    <xf numFmtId="0" fontId="2" fillId="0" borderId="81" xfId="0" applyFont="1" applyBorder="1" applyAlignment="1">
      <alignment horizontal="center" vertical="center" wrapText="1"/>
    </xf>
    <xf numFmtId="0" fontId="0" fillId="0" borderId="1" xfId="0" applyBorder="1" applyAlignment="1">
      <alignment horizontal="center"/>
    </xf>
    <xf numFmtId="0" fontId="0" fillId="0" borderId="2" xfId="0" applyBorder="1" applyAlignment="1">
      <alignment horizontal="center"/>
    </xf>
    <xf numFmtId="0" fontId="2" fillId="0" borderId="37" xfId="0" applyFont="1" applyBorder="1" applyAlignment="1">
      <alignment horizontal="center" vertical="center" wrapText="1"/>
    </xf>
    <xf numFmtId="0" fontId="2" fillId="0" borderId="69" xfId="0" applyFont="1" applyBorder="1" applyAlignment="1">
      <alignment horizontal="center" vertical="center" wrapText="1"/>
    </xf>
    <xf numFmtId="168" fontId="2" fillId="0" borderId="17" xfId="16" applyNumberFormat="1" applyFont="1" applyBorder="1" applyAlignment="1">
      <alignment horizontal="center" vertical="center"/>
    </xf>
    <xf numFmtId="168" fontId="2" fillId="0" borderId="18" xfId="16" applyNumberFormat="1" applyFont="1" applyBorder="1" applyAlignment="1">
      <alignment horizontal="center" vertical="center"/>
    </xf>
    <xf numFmtId="0" fontId="0" fillId="0" borderId="43" xfId="0" applyBorder="1" applyAlignment="1">
      <alignment horizontal="center"/>
    </xf>
    <xf numFmtId="0" fontId="0" fillId="0" borderId="32" xfId="0" applyBorder="1" applyAlignment="1">
      <alignment horizontal="center"/>
    </xf>
    <xf numFmtId="0" fontId="23" fillId="0" borderId="75" xfId="0" applyFont="1" applyBorder="1" applyAlignment="1">
      <alignment horizontal="center" vertical="center" wrapText="1"/>
    </xf>
    <xf numFmtId="0" fontId="23" fillId="0" borderId="79" xfId="0" applyFont="1" applyBorder="1" applyAlignment="1">
      <alignment horizontal="center" vertical="center" wrapText="1"/>
    </xf>
    <xf numFmtId="0" fontId="23" fillId="0" borderId="76" xfId="0" applyFont="1" applyBorder="1" applyAlignment="1">
      <alignment horizontal="center" vertical="center" wrapText="1"/>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32" xfId="0" applyFont="1" applyBorder="1" applyAlignment="1">
      <alignment horizontal="center" vertical="center"/>
    </xf>
    <xf numFmtId="0" fontId="4" fillId="0" borderId="1" xfId="0" applyFont="1" applyBorder="1" applyAlignment="1">
      <alignment horizontal="center"/>
    </xf>
    <xf numFmtId="0" fontId="4" fillId="0" borderId="36" xfId="0" applyFont="1" applyBorder="1" applyAlignment="1">
      <alignment horizontal="center"/>
    </xf>
    <xf numFmtId="0" fontId="2" fillId="0" borderId="13" xfId="0" applyFont="1" applyBorder="1" applyAlignment="1">
      <alignment horizontal="center" vertical="center" wrapText="1"/>
    </xf>
    <xf numFmtId="0" fontId="2" fillId="0" borderId="68" xfId="0" applyFont="1" applyBorder="1" applyAlignment="1">
      <alignment horizontal="center" vertical="center" wrapText="1"/>
    </xf>
    <xf numFmtId="0" fontId="2" fillId="0" borderId="62"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82" xfId="0" applyFont="1" applyBorder="1" applyAlignment="1">
      <alignment horizontal="center" vertical="center"/>
    </xf>
    <xf numFmtId="0" fontId="2" fillId="0" borderId="27" xfId="0" applyFont="1" applyBorder="1" applyAlignment="1">
      <alignment horizontal="center" vertical="center" wrapText="1"/>
    </xf>
    <xf numFmtId="0" fontId="2" fillId="0" borderId="37" xfId="0" applyFont="1" applyBorder="1" applyAlignment="1">
      <alignment horizontal="center" vertical="center"/>
    </xf>
    <xf numFmtId="0" fontId="2" fillId="0" borderId="69" xfId="0" applyFont="1" applyBorder="1" applyAlignment="1">
      <alignment horizontal="center" vertical="center"/>
    </xf>
    <xf numFmtId="49" fontId="2" fillId="0" borderId="19" xfId="0" applyNumberFormat="1" applyFont="1" applyBorder="1" applyAlignment="1">
      <alignment horizontal="center" vertical="center" wrapText="1"/>
    </xf>
    <xf numFmtId="49" fontId="2" fillId="0" borderId="82" xfId="0" applyNumberFormat="1" applyFont="1" applyBorder="1" applyAlignment="1">
      <alignment horizontal="center" vertical="center" wrapText="1"/>
    </xf>
    <xf numFmtId="0" fontId="2" fillId="0" borderId="11" xfId="0" applyFont="1" applyBorder="1" applyAlignment="1">
      <alignment horizontal="center" vertical="center"/>
    </xf>
    <xf numFmtId="0" fontId="2" fillId="0" borderId="34" xfId="0" applyFont="1" applyBorder="1" applyAlignment="1">
      <alignment horizontal="center" vertical="center"/>
    </xf>
    <xf numFmtId="0" fontId="2" fillId="0" borderId="64" xfId="0" applyFont="1" applyBorder="1" applyAlignment="1">
      <alignment horizontal="center" vertical="center" wrapText="1"/>
    </xf>
    <xf numFmtId="0" fontId="4" fillId="0" borderId="0" xfId="0" applyFont="1" applyAlignment="1">
      <alignment horizontal="left"/>
    </xf>
    <xf numFmtId="0" fontId="0" fillId="4" borderId="0" xfId="0" applyFill="1" applyAlignment="1">
      <alignment horizontal="left" vertical="top" wrapText="1"/>
    </xf>
    <xf numFmtId="0" fontId="2" fillId="0" borderId="12"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5"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61" xfId="0" applyFont="1" applyBorder="1" applyAlignment="1">
      <alignment horizontal="center" vertical="center"/>
    </xf>
    <xf numFmtId="0" fontId="2" fillId="0" borderId="60" xfId="0" applyFont="1" applyBorder="1" applyAlignment="1">
      <alignment horizontal="center" vertical="center"/>
    </xf>
    <xf numFmtId="0" fontId="2" fillId="0" borderId="51" xfId="0" applyFont="1" applyBorder="1" applyAlignment="1">
      <alignment horizontal="center" vertical="center" wrapText="1"/>
    </xf>
    <xf numFmtId="0" fontId="2" fillId="0" borderId="33" xfId="0" applyFont="1" applyBorder="1" applyAlignment="1">
      <alignment horizontal="center" vertical="center" wrapText="1"/>
    </xf>
    <xf numFmtId="0" fontId="0" fillId="0" borderId="0" xfId="0" applyAlignment="1">
      <alignment horizontal="right"/>
    </xf>
    <xf numFmtId="0" fontId="0" fillId="0" borderId="37" xfId="0" applyBorder="1" applyAlignment="1">
      <alignment horizontal="center"/>
    </xf>
    <xf numFmtId="0" fontId="0" fillId="0" borderId="53" xfId="0" applyBorder="1" applyAlignment="1">
      <alignment horizontal="center"/>
    </xf>
    <xf numFmtId="0" fontId="0" fillId="0" borderId="19" xfId="0" applyBorder="1" applyAlignment="1">
      <alignment horizontal="center"/>
    </xf>
    <xf numFmtId="0" fontId="0" fillId="0" borderId="38" xfId="0" applyBorder="1" applyAlignment="1">
      <alignment horizontal="center"/>
    </xf>
    <xf numFmtId="0" fontId="0" fillId="0" borderId="54" xfId="0" applyBorder="1" applyAlignment="1">
      <alignment horizontal="center"/>
    </xf>
    <xf numFmtId="0" fontId="0" fillId="0" borderId="58" xfId="0" applyBorder="1" applyAlignment="1">
      <alignment horizontal="center"/>
    </xf>
    <xf numFmtId="0" fontId="0" fillId="0" borderId="67" xfId="0" applyBorder="1" applyAlignment="1">
      <alignment horizontal="center"/>
    </xf>
    <xf numFmtId="0" fontId="0" fillId="0" borderId="23" xfId="0" applyBorder="1" applyAlignment="1">
      <alignment horizontal="center"/>
    </xf>
    <xf numFmtId="0" fontId="0" fillId="0" borderId="6" xfId="0" applyBorder="1" applyAlignment="1">
      <alignment horizontal="center"/>
    </xf>
    <xf numFmtId="0" fontId="0" fillId="0" borderId="61" xfId="0" applyBorder="1" applyAlignment="1">
      <alignment horizontal="center"/>
    </xf>
    <xf numFmtId="0" fontId="0" fillId="0" borderId="5" xfId="0" applyBorder="1" applyAlignment="1">
      <alignment horizontal="center"/>
    </xf>
    <xf numFmtId="0" fontId="14" fillId="0" borderId="0" xfId="0" applyFont="1" applyAlignment="1">
      <alignment horizontal="left"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3" fillId="0" borderId="4" xfId="0" applyFont="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61" xfId="0" applyFont="1" applyFill="1" applyBorder="1" applyAlignment="1">
      <alignment horizontal="center" vertical="center" wrapText="1"/>
    </xf>
    <xf numFmtId="0" fontId="2" fillId="11" borderId="96" xfId="0" applyFont="1" applyFill="1" applyBorder="1" applyAlignment="1">
      <alignment horizontal="center" vertical="center" wrapText="1"/>
    </xf>
    <xf numFmtId="0" fontId="2" fillId="11" borderId="99" xfId="0" applyFont="1" applyFill="1" applyBorder="1" applyAlignment="1">
      <alignment horizontal="center" vertical="center" wrapText="1"/>
    </xf>
    <xf numFmtId="3" fontId="25" fillId="0" borderId="95" xfId="0" applyNumberFormat="1" applyFont="1" applyBorder="1" applyAlignment="1">
      <alignment horizontal="left" vertical="center" wrapText="1"/>
    </xf>
    <xf numFmtId="3" fontId="25" fillId="0" borderId="107" xfId="0" applyNumberFormat="1" applyFont="1" applyBorder="1" applyAlignment="1">
      <alignment horizontal="left" vertical="center" wrapText="1"/>
    </xf>
    <xf numFmtId="0" fontId="2" fillId="11" borderId="92" xfId="0" applyFont="1" applyFill="1" applyBorder="1" applyAlignment="1">
      <alignment horizontal="center" vertical="center" wrapText="1"/>
    </xf>
    <xf numFmtId="0" fontId="2" fillId="11" borderId="100" xfId="0" applyFont="1" applyFill="1" applyBorder="1" applyAlignment="1">
      <alignment horizontal="center" vertical="center" wrapText="1"/>
    </xf>
    <xf numFmtId="0" fontId="2" fillId="11" borderId="94" xfId="0" applyFont="1" applyFill="1" applyBorder="1" applyAlignment="1">
      <alignment horizontal="center" vertical="center" wrapText="1"/>
    </xf>
    <xf numFmtId="0" fontId="2" fillId="11" borderId="102" xfId="0" applyFont="1" applyFill="1" applyBorder="1" applyAlignment="1">
      <alignment horizontal="center" vertical="center" wrapText="1"/>
    </xf>
    <xf numFmtId="0" fontId="2" fillId="11" borderId="95" xfId="0" applyFont="1" applyFill="1" applyBorder="1" applyAlignment="1">
      <alignment horizontal="center" vertical="center" wrapText="1"/>
    </xf>
    <xf numFmtId="0" fontId="0" fillId="0" borderId="102" xfId="0" applyBorder="1" applyAlignment="1">
      <alignment horizontal="center" vertical="center" wrapText="1"/>
    </xf>
    <xf numFmtId="0" fontId="2" fillId="0" borderId="97" xfId="0" applyFont="1" applyBorder="1" applyAlignment="1">
      <alignment horizontal="center" vertical="center" wrapText="1"/>
    </xf>
    <xf numFmtId="0" fontId="2" fillId="0" borderId="98" xfId="0" applyFont="1" applyBorder="1" applyAlignment="1">
      <alignment horizontal="center" vertical="center" wrapText="1"/>
    </xf>
    <xf numFmtId="0" fontId="2" fillId="11" borderId="97" xfId="0" applyFont="1" applyFill="1" applyBorder="1" applyAlignment="1">
      <alignment horizontal="center" vertical="center" wrapText="1"/>
    </xf>
    <xf numFmtId="0" fontId="4" fillId="8" borderId="0" xfId="0" applyFont="1" applyFill="1" applyAlignment="1">
      <alignment horizontal="center"/>
    </xf>
    <xf numFmtId="0" fontId="6" fillId="3" borderId="0" xfId="0" applyFont="1" applyFill="1" applyAlignment="1">
      <alignment horizontal="center"/>
    </xf>
    <xf numFmtId="0" fontId="0" fillId="8" borderId="0" xfId="0" applyFill="1" applyAlignment="1">
      <alignment horizontal="center"/>
    </xf>
    <xf numFmtId="0" fontId="0" fillId="0" borderId="0" xfId="0" applyAlignment="1">
      <alignment horizontal="center"/>
    </xf>
    <xf numFmtId="0" fontId="6" fillId="8" borderId="0" xfId="0" applyFont="1" applyFill="1" applyAlignment="1">
      <alignment horizontal="center"/>
    </xf>
    <xf numFmtId="0" fontId="25" fillId="0" borderId="0" xfId="0" applyFont="1" applyAlignment="1">
      <alignment horizontal="center" vertical="center" wrapText="1"/>
    </xf>
    <xf numFmtId="49" fontId="4" fillId="0" borderId="11" xfId="0" applyNumberFormat="1" applyFont="1" applyBorder="1" applyAlignment="1">
      <alignment horizontal="left" vertical="center" wrapText="1"/>
    </xf>
    <xf numFmtId="49" fontId="4" fillId="0" borderId="34" xfId="0" applyNumberFormat="1" applyFont="1" applyBorder="1" applyAlignment="1">
      <alignment horizontal="left" vertical="center" wrapText="1"/>
    </xf>
    <xf numFmtId="49" fontId="4" fillId="0" borderId="12" xfId="0" applyNumberFormat="1" applyFont="1" applyBorder="1" applyAlignment="1">
      <alignment horizontal="left" vertical="center" wrapText="1"/>
    </xf>
    <xf numFmtId="0" fontId="0" fillId="0" borderId="0" xfId="0" applyFill="1" applyAlignment="1">
      <alignment horizontal="right"/>
    </xf>
    <xf numFmtId="0" fontId="0" fillId="0" borderId="0" xfId="0" applyFill="1" applyAlignment="1">
      <alignment vertical="top" wrapText="1"/>
    </xf>
    <xf numFmtId="0" fontId="0" fillId="0" borderId="0" xfId="0" applyFill="1"/>
    <xf numFmtId="0" fontId="0" fillId="0" borderId="0" xfId="0" applyFill="1" applyAlignment="1">
      <alignment horizontal="left" vertical="top" wrapText="1"/>
    </xf>
    <xf numFmtId="0" fontId="0" fillId="0" borderId="0" xfId="0" applyFill="1" applyAlignment="1">
      <alignment horizontal="left" vertical="top" wrapText="1"/>
    </xf>
    <xf numFmtId="0" fontId="6" fillId="0" borderId="0" xfId="18" applyFont="1" applyFill="1" applyAlignment="1">
      <alignment vertical="top" wrapText="1"/>
    </xf>
    <xf numFmtId="0" fontId="6" fillId="0" borderId="0" xfId="18" applyFont="1" applyFill="1" applyAlignment="1">
      <alignment vertical="top"/>
    </xf>
    <xf numFmtId="0" fontId="21" fillId="0" borderId="0" xfId="18" applyFill="1" applyAlignment="1">
      <alignment horizontal="left" vertical="top"/>
    </xf>
    <xf numFmtId="0" fontId="0" fillId="0" borderId="0" xfId="0" applyAlignment="1"/>
    <xf numFmtId="3" fontId="0" fillId="0" borderId="29" xfId="0" applyNumberFormat="1" applyFill="1" applyBorder="1" applyAlignment="1">
      <alignment horizontal="center"/>
    </xf>
    <xf numFmtId="3" fontId="22" fillId="0" borderId="29" xfId="0" applyNumberFormat="1" applyFont="1" applyFill="1" applyBorder="1" applyAlignment="1">
      <alignment horizontal="center"/>
    </xf>
    <xf numFmtId="3" fontId="0" fillId="0" borderId="0" xfId="0" applyNumberFormat="1" applyFill="1" applyAlignment="1">
      <alignment horizontal="center"/>
    </xf>
    <xf numFmtId="0" fontId="18" fillId="0" borderId="29" xfId="0" applyFont="1" applyFill="1" applyBorder="1" applyAlignment="1">
      <alignment horizontal="center"/>
    </xf>
  </cellXfs>
  <cellStyles count="21">
    <cellStyle name="20% - Accent1" xfId="20" builtinId="30"/>
    <cellStyle name="Comma" xfId="15" builtinId="3"/>
    <cellStyle name="Comma 2" xfId="7" xr:uid="{00000000-0005-0000-0000-000001000000}"/>
    <cellStyle name="Comma0" xfId="8" xr:uid="{00000000-0005-0000-0000-000002000000}"/>
    <cellStyle name="Currency" xfId="1" builtinId="4"/>
    <cellStyle name="Currency0" xfId="9" xr:uid="{00000000-0005-0000-0000-000004000000}"/>
    <cellStyle name="Date" xfId="10" xr:uid="{00000000-0005-0000-0000-000005000000}"/>
    <cellStyle name="Fixed" xfId="11" xr:uid="{00000000-0005-0000-0000-000006000000}"/>
    <cellStyle name="Hyperlink" xfId="18" builtinId="8"/>
    <cellStyle name="Normal" xfId="0" builtinId="0"/>
    <cellStyle name="Normal 16" xfId="2" xr:uid="{00000000-0005-0000-0000-000009000000}"/>
    <cellStyle name="Normal 17" xfId="4" xr:uid="{00000000-0005-0000-0000-00000A000000}"/>
    <cellStyle name="Normal 18" xfId="3" xr:uid="{00000000-0005-0000-0000-00000B000000}"/>
    <cellStyle name="Normal 19" xfId="5" xr:uid="{00000000-0005-0000-0000-00000C000000}"/>
    <cellStyle name="Normal 2" xfId="6" xr:uid="{00000000-0005-0000-0000-00000D000000}"/>
    <cellStyle name="Normal 3" xfId="12" xr:uid="{00000000-0005-0000-0000-00000E000000}"/>
    <cellStyle name="Normal 4" xfId="13" xr:uid="{00000000-0005-0000-0000-00000F000000}"/>
    <cellStyle name="Normal 5" xfId="17" xr:uid="{00000000-0005-0000-0000-000010000000}"/>
    <cellStyle name="Normal 6" xfId="19" xr:uid="{37B19EC0-A467-4B4F-AEAC-9D800DFE9C77}"/>
    <cellStyle name="Percent" xfId="16" builtinId="5"/>
    <cellStyle name="Percent 2" xfId="14" xr:uid="{00000000-0005-0000-0000-000012000000}"/>
  </cellStyles>
  <dxfs count="67">
    <dxf>
      <fill>
        <patternFill>
          <bgColor rgb="FF92D050"/>
        </patternFill>
      </fill>
    </dxf>
    <dxf>
      <fill>
        <patternFill>
          <bgColor theme="5" tint="0.39994506668294322"/>
        </patternFill>
      </fill>
    </dxf>
    <dxf>
      <font>
        <b val="0"/>
        <i val="0"/>
        <strike val="0"/>
        <condense val="0"/>
        <extend val="0"/>
        <outline val="0"/>
        <shadow val="0"/>
        <u val="none"/>
        <vertAlign val="baseline"/>
        <sz val="10"/>
        <color auto="1"/>
        <name val="Verdana"/>
        <family val="2"/>
        <scheme val="none"/>
      </font>
      <alignment horizontal="left" vertical="bottom"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Verdana"/>
        <family val="2"/>
        <scheme val="none"/>
      </font>
      <numFmt numFmtId="165" formatCode="_(&quot;$&quot;* #,##0_);_(&quot;$&quot;* \(#,##0\);_(&quot;$&quot;* &quot;-&quot;??_);_(@_)"/>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Verdana"/>
        <family val="2"/>
        <scheme val="none"/>
      </font>
      <numFmt numFmtId="165" formatCode="_(&quot;$&quot;* #,##0_);_(&quot;$&quot;* \(#,##0\);_(&quot;$&quot;* &quot;-&quot;??_);_(@_)"/>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Verdana"/>
        <family val="2"/>
        <scheme val="none"/>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Verdana"/>
        <family val="2"/>
        <scheme val="none"/>
      </font>
      <border diagonalUp="0" diagonalDown="0" outline="0">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family val="2"/>
        <scheme val="none"/>
      </font>
    </dxf>
    <dxf>
      <border outline="0">
        <bottom style="thin">
          <color rgb="FF000000"/>
        </bottom>
      </border>
    </dxf>
    <dxf>
      <font>
        <b/>
        <i val="0"/>
        <strike val="0"/>
        <condense val="0"/>
        <extend val="0"/>
        <outline val="0"/>
        <shadow val="0"/>
        <u val="none"/>
        <vertAlign val="baseline"/>
        <sz val="10"/>
        <color auto="1"/>
        <name val="Verdana"/>
        <family val="2"/>
        <scheme val="none"/>
      </font>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Verdana"/>
        <family val="2"/>
        <scheme val="none"/>
      </font>
      <alignment horizontal="left" vertical="bottom"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Verdana"/>
        <family val="2"/>
        <scheme val="none"/>
      </font>
      <numFmt numFmtId="165" formatCode="_(&quot;$&quot;* #,##0_);_(&quot;$&quot;* \(#,##0\);_(&quot;$&quot;* &quot;-&quot;??_);_(@_)"/>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Verdana"/>
        <family val="2"/>
        <scheme val="none"/>
      </font>
      <numFmt numFmtId="165" formatCode="_(&quot;$&quot;* #,##0_);_(&quot;$&quot;* \(#,##0\);_(&quot;$&quot;* &quot;-&quot;??_);_(@_)"/>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Verdana"/>
        <family val="2"/>
        <scheme val="none"/>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Verdana"/>
        <family val="2"/>
        <scheme val="none"/>
      </font>
      <border diagonalUp="0" diagonalDown="0" outline="0">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family val="2"/>
        <scheme val="none"/>
      </font>
    </dxf>
    <dxf>
      <border outline="0">
        <bottom style="thin">
          <color rgb="FF000000"/>
        </bottom>
      </border>
    </dxf>
    <dxf>
      <font>
        <b/>
        <i val="0"/>
        <strike val="0"/>
        <condense val="0"/>
        <extend val="0"/>
        <outline val="0"/>
        <shadow val="0"/>
        <u val="none"/>
        <vertAlign val="baseline"/>
        <sz val="10"/>
        <color auto="1"/>
        <name val="Verdana"/>
        <family val="2"/>
        <scheme val="none"/>
      </font>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Verdana"/>
        <family val="2"/>
        <scheme val="none"/>
      </font>
      <alignment horizontal="left" vertical="bottom"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Verdana"/>
        <family val="2"/>
        <scheme val="none"/>
      </font>
      <numFmt numFmtId="165" formatCode="_(&quot;$&quot;* #,##0_);_(&quot;$&quot;* \(#,##0\);_(&quot;$&quot;* &quot;-&quot;??_);_(@_)"/>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Verdana"/>
        <family val="2"/>
        <scheme val="none"/>
      </font>
      <numFmt numFmtId="165" formatCode="_(&quot;$&quot;* #,##0_);_(&quot;$&quot;* \(#,##0\);_(&quot;$&quot;* &quot;-&quot;??_);_(@_)"/>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Verdana"/>
        <family val="2"/>
        <scheme val="none"/>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Verdana"/>
        <family val="2"/>
        <scheme val="none"/>
      </font>
      <border diagonalUp="0" diagonalDown="0" outline="0">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family val="2"/>
        <scheme val="none"/>
      </font>
    </dxf>
    <dxf>
      <border outline="0">
        <bottom style="thin">
          <color rgb="FF000000"/>
        </bottom>
      </border>
    </dxf>
    <dxf>
      <font>
        <b/>
        <i val="0"/>
        <strike val="0"/>
        <condense val="0"/>
        <extend val="0"/>
        <outline val="0"/>
        <shadow val="0"/>
        <u val="none"/>
        <vertAlign val="baseline"/>
        <sz val="10"/>
        <color auto="1"/>
        <name val="Verdana"/>
        <family val="2"/>
        <scheme val="none"/>
      </font>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Verdana"/>
        <family val="2"/>
        <scheme val="none"/>
      </font>
      <alignment horizontal="left" vertical="bottom"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Verdana"/>
        <family val="2"/>
        <scheme val="none"/>
      </font>
      <numFmt numFmtId="165" formatCode="_(&quot;$&quot;* #,##0_);_(&quot;$&quot;* \(#,##0\);_(&quot;$&quot;* &quot;-&quot;??_);_(@_)"/>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Verdana"/>
        <family val="2"/>
        <scheme val="none"/>
      </font>
      <numFmt numFmtId="165" formatCode="_(&quot;$&quot;* #,##0_);_(&quot;$&quot;* \(#,##0\);_(&quot;$&quot;* &quot;-&quot;??_);_(@_)"/>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Verdana"/>
        <family val="2"/>
        <scheme val="none"/>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Verdana"/>
        <family val="2"/>
        <scheme val="none"/>
      </font>
      <border diagonalUp="0" diagonalDown="0" outline="0">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family val="2"/>
        <scheme val="none"/>
      </font>
    </dxf>
    <dxf>
      <border outline="0">
        <bottom style="thin">
          <color rgb="FF000000"/>
        </bottom>
      </border>
    </dxf>
    <dxf>
      <font>
        <b/>
        <i val="0"/>
        <strike val="0"/>
        <condense val="0"/>
        <extend val="0"/>
        <outline val="0"/>
        <shadow val="0"/>
        <u val="none"/>
        <vertAlign val="baseline"/>
        <sz val="10"/>
        <color auto="1"/>
        <name val="Verdana"/>
        <family val="2"/>
        <scheme val="none"/>
      </font>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Verdana"/>
        <family val="2"/>
        <scheme val="none"/>
      </font>
      <alignment horizontal="left" vertical="bottom"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Verdana"/>
        <family val="2"/>
        <scheme val="none"/>
      </font>
      <numFmt numFmtId="165" formatCode="_(&quot;$&quot;* #,##0_);_(&quot;$&quot;* \(#,##0\);_(&quot;$&quot;* &quot;-&quot;??_);_(@_)"/>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Verdana"/>
        <family val="2"/>
        <scheme val="none"/>
      </font>
      <numFmt numFmtId="165" formatCode="_(&quot;$&quot;* #,##0_);_(&quot;$&quot;* \(#,##0\);_(&quot;$&quot;* &quot;-&quot;??_);_(@_)"/>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Verdana"/>
        <family val="2"/>
        <scheme val="none"/>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Verdana"/>
        <family val="2"/>
        <scheme val="none"/>
      </font>
      <border diagonalUp="0" diagonalDown="0" outline="0">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family val="2"/>
        <scheme val="none"/>
      </font>
    </dxf>
    <dxf>
      <border outline="0">
        <bottom style="thin">
          <color rgb="FF000000"/>
        </bottom>
      </border>
    </dxf>
    <dxf>
      <font>
        <b/>
        <i val="0"/>
        <strike val="0"/>
        <condense val="0"/>
        <extend val="0"/>
        <outline val="0"/>
        <shadow val="0"/>
        <u val="none"/>
        <vertAlign val="baseline"/>
        <sz val="10"/>
        <color auto="1"/>
        <name val="Verdana"/>
        <family val="2"/>
        <scheme val="none"/>
      </font>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Verdana"/>
        <family val="2"/>
        <scheme val="none"/>
      </font>
      <alignment horizontal="left" vertical="bottom"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auto="1"/>
        <name val="Verdana"/>
        <family val="2"/>
        <scheme val="none"/>
      </font>
      <alignment horizontal="left" vertical="bottom"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Verdana"/>
        <family val="2"/>
        <scheme val="none"/>
      </font>
      <numFmt numFmtId="165" formatCode="_(&quot;$&quot;* #,##0_);_(&quot;$&quot;* \(#,##0\);_(&quot;$&quot;* &quot;-&quot;??_);_(@_)"/>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Verdana"/>
        <family val="2"/>
        <scheme val="none"/>
      </font>
      <numFmt numFmtId="165" formatCode="_(&quot;$&quot;* #,##0_);_(&quot;$&quot;* \(#,##0\);_(&quot;$&quot;* &quot;-&quot;??_);_(@_)"/>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Verdana"/>
        <family val="2"/>
        <scheme val="none"/>
      </font>
      <numFmt numFmtId="165" formatCode="_(&quot;$&quot;* #,##0_);_(&quot;$&quot;* \(#,##0\);_(&quot;$&quot;* &quot;-&quot;??_);_(@_)"/>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Verdana"/>
        <family val="2"/>
        <scheme val="none"/>
      </font>
      <numFmt numFmtId="165" formatCode="_(&quot;$&quot;* #,##0_);_(&quot;$&quot;* \(#,##0\);_(&quot;$&quot;* &quot;-&quot;??_);_(@_)"/>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Verdana"/>
        <family val="2"/>
        <scheme val="none"/>
      </font>
      <numFmt numFmtId="0" formatCode="Genera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Verdana"/>
        <family val="2"/>
        <scheme val="none"/>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Verdana"/>
        <family val="2"/>
        <scheme val="none"/>
      </font>
      <border diagonalUp="0" diagonalDown="0" outline="0">
        <left/>
        <right style="thin">
          <color indexed="64"/>
        </right>
        <top style="thin">
          <color indexed="64"/>
        </top>
        <bottom/>
      </border>
    </dxf>
    <dxf>
      <font>
        <b val="0"/>
        <i val="0"/>
        <strike val="0"/>
        <condense val="0"/>
        <extend val="0"/>
        <outline val="0"/>
        <shadow val="0"/>
        <u val="none"/>
        <vertAlign val="baseline"/>
        <sz val="10"/>
        <color auto="1"/>
        <name val="Verdana"/>
        <family val="2"/>
        <scheme val="none"/>
      </font>
      <border diagonalUp="0" diagonalDown="0" outline="0">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family val="2"/>
        <scheme val="none"/>
      </font>
    </dxf>
    <dxf>
      <border outline="0">
        <bottom style="thin">
          <color rgb="FF000000"/>
        </bottom>
      </border>
    </dxf>
    <dxf>
      <font>
        <b/>
        <i val="0"/>
        <strike val="0"/>
        <condense val="0"/>
        <extend val="0"/>
        <outline val="0"/>
        <shadow val="0"/>
        <u val="none"/>
        <vertAlign val="baseline"/>
        <sz val="10"/>
        <color auto="1"/>
        <name val="Verdana"/>
        <family val="2"/>
        <scheme val="none"/>
      </font>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67236</xdr:colOff>
      <xdr:row>10</xdr:row>
      <xdr:rowOff>112059</xdr:rowOff>
    </xdr:from>
    <xdr:to>
      <xdr:col>18</xdr:col>
      <xdr:colOff>561215</xdr:colOff>
      <xdr:row>19</xdr:row>
      <xdr:rowOff>153849</xdr:rowOff>
    </xdr:to>
    <xdr:pic>
      <xdr:nvPicPr>
        <xdr:cNvPr id="2" name="Picture 1">
          <a:extLst>
            <a:ext uri="{FF2B5EF4-FFF2-40B4-BE49-F238E27FC236}">
              <a16:creationId xmlns:a16="http://schemas.microsoft.com/office/drawing/2014/main" id="{AB90F302-CA58-4F89-BBA3-ADA3A400DF34}"/>
            </a:ext>
          </a:extLst>
        </xdr:cNvPr>
        <xdr:cNvPicPr>
          <a:picLocks noChangeAspect="1"/>
        </xdr:cNvPicPr>
      </xdr:nvPicPr>
      <xdr:blipFill>
        <a:blip xmlns:r="http://schemas.openxmlformats.org/officeDocument/2006/relationships" r:embed="rId1"/>
        <a:stretch>
          <a:fillRect/>
        </a:stretch>
      </xdr:blipFill>
      <xdr:spPr>
        <a:xfrm>
          <a:off x="16349383" y="2286000"/>
          <a:ext cx="6085714" cy="185714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rans/Grant%20Applications/2020%20Grants/INFRA/TH%2010%20Rum%20River/BCA/Example%20Workbook/DRAFT_BCA%20Workbook%20-%20Bas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ebapps.srfconsulting.com/Projects/09000/9228/TS/BCA/2016%20Update/Scott%20County%20BCA%20Workbook%202016040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Projects\09000\9228\TS\BCA\2016%20Update\Scott%20County%20BCA%20Workbook%202016040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Trans/Grant%20Applications/2022%20Grants/RAISE/Plymouth/BCA/Station%2073%20BCA%20Workbo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s"/>
      <sheetName val="BCA Summary"/>
      <sheetName val="Annualized Operations"/>
      <sheetName val="User Benefits (VHT) - Network"/>
      <sheetName val="User Benefits (VHT) - Corridor"/>
      <sheetName val="User Benefits (VHT) - Nodal"/>
      <sheetName val="Operation Benefits (VMT) - Netw"/>
      <sheetName val="Operation Benefits (VMT) - Corr"/>
      <sheetName val="Safety Benefits"/>
      <sheetName val="Air Quality"/>
      <sheetName val="RCV Calc"/>
      <sheetName val="Operation and Maintenance"/>
      <sheetName val="WisDOT TT Tool Input - No Build"/>
      <sheetName val="WisDOT TT Tool Input - Build"/>
      <sheetName val="WisDOT Travel Time Tool Output"/>
      <sheetName val="GDP Deflato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s"/>
      <sheetName val="BCA Summary"/>
      <sheetName val="Annualized Operations"/>
      <sheetName val="User Benefits (VHT) - Network"/>
      <sheetName val="User Benefits (VHT) - Nodal"/>
      <sheetName val="Operation Benefits (VMT)"/>
      <sheetName val="Safety Benefits"/>
      <sheetName val="Air Quality"/>
      <sheetName val="RCV Calc"/>
      <sheetName val="Operation and Maintenance"/>
      <sheetName val="RCV Calculator"/>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s"/>
      <sheetName val="BCA Summary"/>
      <sheetName val="Annualized Operations"/>
      <sheetName val="User Benefits (VHT) - Network"/>
      <sheetName val="User Benefits (VHT) - Nodal"/>
      <sheetName val="Operation Benefits (VMT)"/>
      <sheetName val="Safety Benefits"/>
      <sheetName val="Air Quality"/>
      <sheetName val="RCV Calc"/>
      <sheetName val="Operation and Maintenance"/>
      <sheetName val="RCV Calculator"/>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s"/>
      <sheetName val="BCA Summary "/>
      <sheetName val="Travel Time Savings "/>
      <sheetName val="Operation Benefits"/>
      <sheetName val="SafetyBenefits"/>
      <sheetName val="Air Quality"/>
      <sheetName val="Quality of Life Benefits"/>
      <sheetName val="Operating and Maintenance Costs"/>
      <sheetName val="Capital Cost and RCV Calc"/>
    </sheetNames>
    <sheetDataSet>
      <sheetData sheetId="0"/>
      <sheetData sheetId="1"/>
      <sheetData sheetId="2"/>
      <sheetData sheetId="3"/>
      <sheetData sheetId="4"/>
      <sheetData sheetId="5"/>
      <sheetData sheetId="6"/>
      <sheetData sheetId="7"/>
      <sheetData sheetId="8"/>
    </sheetDataSet>
  </externalBook>
</externalLink>
</file>

<file path=xl/persons/person.xml><?xml version="1.0" encoding="utf-8"?>
<personList xmlns="http://schemas.microsoft.com/office/spreadsheetml/2018/threadedcomments" xmlns:x="http://schemas.openxmlformats.org/spreadsheetml/2006/main">
  <person displayName="Sandra Herbers" id="{7CC4DDD5-3316-4AAD-963F-A0D68750506E}" userId="S::sherbers@srfconsulting.com::f91bbef8-486a-4887-ba94-207b48e1d2d2"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0BDE082-33FE-4266-B364-F08CDA907539}" name="Table17" displayName="Table17" ref="A33:E51" totalsRowShown="0" headerRowDxfId="66" dataDxfId="64" headerRowBorderDxfId="65" tableBorderDxfId="63" totalsRowBorderDxfId="62">
  <autoFilter ref="A33:E51" xr:uid="{C7FB4BF9-6502-41D7-A611-E9F5AD3A1A38}"/>
  <tableColumns count="5">
    <tableColumn id="1" xr3:uid="{B4D13652-FBB3-4000-B122-3A690B501644}" name="Trail Components" dataDxfId="61" totalsRowDxfId="60"/>
    <tableColumn id="2" xr3:uid="{513DD131-4631-4592-92C7-73952AA296DA}" name="Trail Length" dataDxfId="59" totalsRowDxfId="58">
      <calculatedColumnFormula>2.8*5280</calculatedColumnFormula>
    </tableColumn>
    <tableColumn id="3" xr3:uid="{50A37CF5-FEE2-4008-B928-64F47C41611C}" name="Cost per LF" dataDxfId="57" totalsRowDxfId="56" dataCellStyle="Currency" totalsRowCellStyle="Currency"/>
    <tableColumn id="4" xr3:uid="{EA355F22-476C-45AF-9D26-204834F0B1C3}" name="Estimated Cost" dataDxfId="55" totalsRowDxfId="54" dataCellStyle="Currency" totalsRowCellStyle="Currency"/>
    <tableColumn id="5" xr3:uid="{406EBFED-A1BC-4B4E-A6E7-11DC42819059}" name="Notes" dataDxfId="53" totalsRowDxfId="52"/>
  </tableColumns>
  <tableStyleInfo name="TableStyleLight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425D2E8-5C5D-4683-A770-07C1B86FB2DB}" name="Table139" displayName="Table139" ref="A75:E87" totalsRowShown="0" headerRowDxfId="51" dataDxfId="49" headerRowBorderDxfId="50" tableBorderDxfId="48" totalsRowBorderDxfId="47">
  <autoFilter ref="A75:E87" xr:uid="{83EF2956-78E7-4087-A809-4BE189B48B9E}"/>
  <tableColumns count="5">
    <tableColumn id="1" xr3:uid="{2BB42304-2954-425D-AB44-B4EDB3BA2357}" name="Trail Components" dataDxfId="46"/>
    <tableColumn id="2" xr3:uid="{3EFA369F-BE92-4C2D-B7A0-848EBCD39B2A}" name="Trail Length" dataDxfId="45">
      <calculatedColumnFormula>2.8*5280</calculatedColumnFormula>
    </tableColumn>
    <tableColumn id="3" xr3:uid="{044F434B-D6F1-4066-B7FD-18EED426A306}" name="Cost per LF/EA" dataDxfId="44" dataCellStyle="Currency"/>
    <tableColumn id="4" xr3:uid="{28955D6E-6695-4B2D-B239-4234671FDD62}" name="Estimated Cost" dataDxfId="43" dataCellStyle="Currency"/>
    <tableColumn id="5" xr3:uid="{FD6D378C-CF7E-4763-B384-6905569AC4B8}" name="Notes" dataDxfId="42"/>
  </tableColumns>
  <tableStyleInfo name="TableStyleLight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E8B75C7-3E66-4798-8F56-2DB425B05410}" name="Table13410" displayName="Table13410" ref="A3:E12" totalsRowShown="0" headerRowDxfId="41" dataDxfId="39" headerRowBorderDxfId="40" tableBorderDxfId="38" totalsRowBorderDxfId="37">
  <autoFilter ref="A3:E12" xr:uid="{A674D378-0D50-4195-AD71-AB275589343A}"/>
  <tableColumns count="5">
    <tableColumn id="1" xr3:uid="{5AAFFD75-43BD-45D5-A042-978D24461ABE}" name="Trail Components" dataDxfId="36"/>
    <tableColumn id="2" xr3:uid="{EED8156B-E63A-4115-9D70-61C28E79EB84}" name="Trail Length" dataDxfId="35">
      <calculatedColumnFormula>2.8*5280</calculatedColumnFormula>
    </tableColumn>
    <tableColumn id="3" xr3:uid="{516C862E-D8C3-4853-81EC-850387AFE68F}" name="Cost per LF" dataDxfId="34" dataCellStyle="Currency"/>
    <tableColumn id="4" xr3:uid="{88A80010-83A7-46FF-9C30-6F1E37AFFC80}" name="Estimated Cost" dataDxfId="33" dataCellStyle="Currency"/>
    <tableColumn id="5" xr3:uid="{B4376939-0068-482D-B43D-D269D9E70AFA}" name="Notes" dataDxfId="32"/>
  </tableColumns>
  <tableStyleInfo name="TableStyleLight6"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610EEE6-408C-4EDE-B978-E6A9C085D8DC}" name="Table13511" displayName="Table13511" ref="A57:E69" totalsRowShown="0" headerRowDxfId="31" dataDxfId="29" headerRowBorderDxfId="30" tableBorderDxfId="28" totalsRowBorderDxfId="27">
  <autoFilter ref="A57:E69" xr:uid="{40470E6A-7AF0-4AFC-883A-EDC2472C9D55}"/>
  <tableColumns count="5">
    <tableColumn id="1" xr3:uid="{6193A480-4609-4222-929B-14697FF8927B}" name="Trail Components" dataDxfId="26"/>
    <tableColumn id="2" xr3:uid="{0EC0BA1F-D705-41DC-BCD7-2154B54EB61C}" name="Trail Length" dataDxfId="25">
      <calculatedColumnFormula>2.8*5280</calculatedColumnFormula>
    </tableColumn>
    <tableColumn id="3" xr3:uid="{9D9D62A9-B74F-424D-A9CE-BB7E672B3E1F}" name="Cost per LF/EA" dataDxfId="24" dataCellStyle="Currency"/>
    <tableColumn id="4" xr3:uid="{3585BA4E-7C83-41A9-BD85-B865A070D443}" name="Estimated Cost" dataDxfId="23" dataCellStyle="Currency"/>
    <tableColumn id="5" xr3:uid="{289C2E0C-3AB6-4EE9-A97B-DEA8177EDAE6}" name="Notes" dataDxfId="22"/>
  </tableColumns>
  <tableStyleInfo name="TableStyleLight6"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470AE7C-5AE3-4967-A807-9D182F1564CB}" name="Table135612" displayName="Table135612" ref="A114:E132" totalsRowShown="0" headerRowDxfId="21" dataDxfId="19" headerRowBorderDxfId="20" tableBorderDxfId="18" totalsRowBorderDxfId="17">
  <autoFilter ref="A114:E132" xr:uid="{5415BD71-6DF5-431E-B624-FE9293DAD097}"/>
  <tableColumns count="5">
    <tableColumn id="1" xr3:uid="{EA445608-9188-4D85-B19F-C2975056C860}" name="Trail Components" dataDxfId="16"/>
    <tableColumn id="2" xr3:uid="{E9E01798-1E1A-49BC-B5B6-81A30B72A57F}" name="Trail Length" dataDxfId="15">
      <calculatedColumnFormula>2.8*5280</calculatedColumnFormula>
    </tableColumn>
    <tableColumn id="3" xr3:uid="{79B8FE12-B98C-4081-854D-AB53EB6E4122}" name="Cost per LF/EA" dataDxfId="14" dataCellStyle="Currency"/>
    <tableColumn id="4" xr3:uid="{C837001D-4CA3-4EA1-A58B-C7A4977293D2}" name="Estimated Cost" dataDxfId="13" dataCellStyle="Currency"/>
    <tableColumn id="5" xr3:uid="{44D75F4D-17CB-4441-B4A6-26F29BA31479}" name="Notes" dataDxfId="12"/>
  </tableColumns>
  <tableStyleInfo name="TableStyleLight6"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99C3C90-0F1B-4109-B7B6-769406A97732}" name="Table1356813" displayName="Table1356813" ref="A92:E108" totalsRowShown="0" headerRowDxfId="11" dataDxfId="9" headerRowBorderDxfId="10" tableBorderDxfId="8" totalsRowBorderDxfId="7">
  <autoFilter ref="A92:E108" xr:uid="{A467B21A-55A4-4F7E-9BCD-5665548795B8}"/>
  <tableColumns count="5">
    <tableColumn id="1" xr3:uid="{EE1ED009-1E37-4470-BCE2-FF8B9B3D8A14}" name="Trail Components" dataDxfId="6"/>
    <tableColumn id="2" xr3:uid="{6E95078F-E38B-4AA8-AA82-26885532C0C6}" name="Trail Length" dataDxfId="5">
      <calculatedColumnFormula>2.8*5280</calculatedColumnFormula>
    </tableColumn>
    <tableColumn id="3" xr3:uid="{2D5DD85E-7CE4-4381-A5CA-FA9CCF9E0EAD}" name="Cost per LF/EA" dataDxfId="4" dataCellStyle="Currency"/>
    <tableColumn id="4" xr3:uid="{ADDC7EE6-EAB5-414F-9ACD-995CC35C4730}" name="Estimated Cost" dataDxfId="3" dataCellStyle="Currency"/>
    <tableColumn id="5" xr3:uid="{2E733CB2-8AFC-433D-83B3-8E042C50E3CE}" name="Notes" dataDxfId="2"/>
  </tableColumns>
  <tableStyleInfo name="TableStyleLight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Z24" dT="2022-04-11T19:14:10.61" personId="{7CC4DDD5-3316-4AAD-963F-A0D68750506E}" id="{2307A4BC-6569-4622-A591-EFCA48732BE2}">
    <text>District total ratioed to project length</text>
  </threadedComment>
</ThreadedComments>
</file>

<file path=xl/threadedComments/threadedComment2.xml><?xml version="1.0" encoding="utf-8"?>
<ThreadedComments xmlns="http://schemas.microsoft.com/office/spreadsheetml/2018/threadedcomments" xmlns:x="http://schemas.openxmlformats.org/spreadsheetml/2006/main">
  <threadedComment ref="Z24" dT="2022-04-11T19:14:10.61" personId="{7CC4DDD5-3316-4AAD-963F-A0D68750506E}" id="{9F99605B-8162-4468-B719-5650D55CF087}">
    <text>District total ratioed to project length</text>
  </threadedComment>
</ThreadedComments>
</file>

<file path=xl/threadedComments/threadedComment3.xml><?xml version="1.0" encoding="utf-8"?>
<ThreadedComments xmlns="http://schemas.microsoft.com/office/spreadsheetml/2018/threadedcomments" xmlns:x="http://schemas.openxmlformats.org/spreadsheetml/2006/main">
  <threadedComment ref="Z24" dT="2022-04-11T19:14:10.61" personId="{7CC4DDD5-3316-4AAD-963F-A0D68750506E}" id="{3526A5F4-73BE-4E5D-B234-8E2CE47369D0}">
    <text>District total ratioed to project length</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6.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 Id="rId4" Type="http://schemas.microsoft.com/office/2017/10/relationships/threadedComment" Target="../threadedComments/threadedComment2.x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 Id="rId4" Type="http://schemas.microsoft.com/office/2017/10/relationships/threadedComment" Target="../threadedComments/threadedComment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2CD95-F4D2-422A-983A-14D978CE3F5D}">
  <dimension ref="B2:I24"/>
  <sheetViews>
    <sheetView view="pageBreakPreview" zoomScaleNormal="100" zoomScaleSheetLayoutView="100" workbookViewId="0">
      <selection activeCell="D31" sqref="D31"/>
    </sheetView>
  </sheetViews>
  <sheetFormatPr defaultRowHeight="15" x14ac:dyDescent="0.25"/>
  <cols>
    <col min="1" max="1" width="5.5703125" customWidth="1"/>
    <col min="2" max="2" width="28.42578125" customWidth="1"/>
    <col min="4" max="4" width="31.5703125" customWidth="1"/>
    <col min="5" max="5" width="7.85546875" customWidth="1"/>
  </cols>
  <sheetData>
    <row r="2" spans="2:5" ht="17.25" x14ac:dyDescent="0.25">
      <c r="B2" s="8" t="s">
        <v>504</v>
      </c>
      <c r="C2" s="57"/>
    </row>
    <row r="3" spans="2:5" x14ac:dyDescent="0.25">
      <c r="B3" s="96" t="s">
        <v>381</v>
      </c>
      <c r="C3" s="25">
        <v>2021</v>
      </c>
    </row>
    <row r="4" spans="2:5" x14ac:dyDescent="0.25">
      <c r="B4" s="210" t="s">
        <v>25</v>
      </c>
      <c r="C4" s="25">
        <v>2028</v>
      </c>
    </row>
    <row r="5" spans="2:5" x14ac:dyDescent="0.25">
      <c r="B5" s="210" t="s">
        <v>24</v>
      </c>
      <c r="C5" s="25">
        <v>3</v>
      </c>
    </row>
    <row r="6" spans="2:5" x14ac:dyDescent="0.25">
      <c r="B6" s="210" t="s">
        <v>335</v>
      </c>
      <c r="C6" s="25">
        <f>C4+C5</f>
        <v>2031</v>
      </c>
    </row>
    <row r="7" spans="2:5" x14ac:dyDescent="0.25">
      <c r="B7" s="210" t="s">
        <v>382</v>
      </c>
      <c r="C7" s="25">
        <v>20</v>
      </c>
    </row>
    <row r="8" spans="2:5" x14ac:dyDescent="0.25">
      <c r="B8" s="210" t="s">
        <v>383</v>
      </c>
      <c r="C8" s="25">
        <f>C6+C7-1</f>
        <v>2050</v>
      </c>
    </row>
    <row r="9" spans="2:5" x14ac:dyDescent="0.25">
      <c r="B9" s="179"/>
      <c r="C9" s="23"/>
    </row>
    <row r="11" spans="2:5" x14ac:dyDescent="0.25">
      <c r="B11" s="42"/>
      <c r="C11" s="42"/>
      <c r="D11" s="42"/>
      <c r="E11" s="42"/>
    </row>
    <row r="19" spans="6:9" ht="15" customHeight="1" x14ac:dyDescent="0.25">
      <c r="G19" s="42"/>
      <c r="H19" s="42"/>
      <c r="I19" s="42"/>
    </row>
    <row r="20" spans="6:9" x14ac:dyDescent="0.25">
      <c r="G20" s="42"/>
      <c r="H20" s="42"/>
      <c r="I20" s="42"/>
    </row>
    <row r="21" spans="6:9" ht="90.75" customHeight="1" x14ac:dyDescent="0.25">
      <c r="F21" s="42"/>
      <c r="G21" s="42"/>
      <c r="H21" s="42"/>
      <c r="I21" s="42"/>
    </row>
    <row r="22" spans="6:9" x14ac:dyDescent="0.25">
      <c r="F22" s="42"/>
    </row>
    <row r="23" spans="6:9" ht="33.75" customHeight="1" x14ac:dyDescent="0.25">
      <c r="F23" s="42"/>
    </row>
    <row r="24" spans="6:9" x14ac:dyDescent="0.25">
      <c r="F24" s="42"/>
    </row>
  </sheetData>
  <pageMargins left="0.7" right="0.7" top="0.75" bottom="0.75" header="0.3" footer="0.3"/>
  <pageSetup orientation="portrait" horizontalDpi="3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9AE7A-5EA5-449E-BA91-08A467AEFB20}">
  <sheetPr>
    <tabColor rgb="FF00B050"/>
  </sheetPr>
  <dimension ref="A1:AW64"/>
  <sheetViews>
    <sheetView view="pageBreakPreview" topLeftCell="K1" zoomScale="85" zoomScaleNormal="100" zoomScaleSheetLayoutView="85" workbookViewId="0">
      <selection activeCell="W25" sqref="W25"/>
    </sheetView>
  </sheetViews>
  <sheetFormatPr defaultRowHeight="15" x14ac:dyDescent="0.25"/>
  <cols>
    <col min="1" max="1" width="9.140625" style="9"/>
    <col min="2" max="2" width="10.140625" customWidth="1"/>
    <col min="3" max="5" width="11.42578125" customWidth="1"/>
    <col min="6" max="6" width="12.5703125" customWidth="1"/>
    <col min="7" max="8" width="11.42578125" customWidth="1"/>
    <col min="9" max="9" width="12.5703125" customWidth="1"/>
    <col min="10" max="10" width="13.7109375" style="23" bestFit="1" customWidth="1"/>
    <col min="11" max="11" width="11.42578125" style="23" customWidth="1"/>
    <col min="12" max="13" width="12.5703125" customWidth="1"/>
    <col min="14" max="14" width="15.28515625" customWidth="1"/>
    <col min="15" max="15" width="12.5703125" customWidth="1"/>
    <col min="16" max="16" width="13.7109375" style="23" bestFit="1" customWidth="1"/>
    <col min="17" max="17" width="11.42578125" style="23" customWidth="1"/>
    <col min="18" max="19" width="12.5703125" customWidth="1"/>
    <col min="20" max="20" width="15.28515625" customWidth="1"/>
    <col min="21" max="21" width="14" customWidth="1"/>
    <col min="22" max="22" width="13.140625" bestFit="1" customWidth="1"/>
    <col min="24" max="24" width="36.7109375" customWidth="1"/>
    <col min="25" max="25" width="12" customWidth="1"/>
    <col min="26" max="26" width="12.140625" customWidth="1"/>
    <col min="27" max="27" width="12.5703125" customWidth="1"/>
    <col min="28" max="29" width="16.5703125" customWidth="1"/>
    <col min="30" max="30" width="16" customWidth="1"/>
    <col min="31" max="31" width="18.140625" customWidth="1"/>
    <col min="32" max="32" width="17.7109375" customWidth="1"/>
    <col min="47" max="47" width="76.140625" customWidth="1"/>
  </cols>
  <sheetData>
    <row r="1" spans="1:49" ht="16.5" customHeight="1" x14ac:dyDescent="0.25"/>
    <row r="2" spans="1:49" ht="16.5" customHeight="1" x14ac:dyDescent="0.25">
      <c r="B2" s="8" t="s">
        <v>74</v>
      </c>
    </row>
    <row r="3" spans="1:49" ht="24.75" thickBot="1" x14ac:dyDescent="0.3">
      <c r="H3" s="8"/>
      <c r="J3" s="23" t="s">
        <v>348</v>
      </c>
      <c r="K3" s="23" t="s">
        <v>349</v>
      </c>
      <c r="L3" t="s">
        <v>115</v>
      </c>
      <c r="M3" t="s">
        <v>350</v>
      </c>
      <c r="N3" t="s">
        <v>348</v>
      </c>
      <c r="P3" s="23" t="s">
        <v>348</v>
      </c>
      <c r="Q3" s="23" t="s">
        <v>349</v>
      </c>
      <c r="R3" t="s">
        <v>115</v>
      </c>
      <c r="S3" t="s">
        <v>350</v>
      </c>
      <c r="T3" t="s">
        <v>348</v>
      </c>
      <c r="X3" s="402" t="s">
        <v>494</v>
      </c>
      <c r="Y3" s="9" t="s">
        <v>342</v>
      </c>
      <c r="Z3" s="495" t="s">
        <v>408</v>
      </c>
    </row>
    <row r="4" spans="1:49" ht="15.75" thickBot="1" x14ac:dyDescent="0.3">
      <c r="C4" s="625" t="s">
        <v>355</v>
      </c>
      <c r="D4" s="626"/>
      <c r="E4" s="627"/>
      <c r="F4" s="625" t="s">
        <v>356</v>
      </c>
      <c r="G4" s="626"/>
      <c r="H4" s="627"/>
      <c r="I4" s="645" t="s">
        <v>365</v>
      </c>
      <c r="J4" s="646"/>
      <c r="K4" s="646"/>
      <c r="L4" s="646"/>
      <c r="M4" s="646"/>
      <c r="N4" s="646"/>
      <c r="O4" s="645" t="s">
        <v>375</v>
      </c>
      <c r="P4" s="646"/>
      <c r="Q4" s="646"/>
      <c r="R4" s="646"/>
      <c r="S4" s="646"/>
      <c r="T4" s="646"/>
      <c r="U4" s="651" t="s">
        <v>2</v>
      </c>
      <c r="V4" s="652"/>
      <c r="X4" s="96" t="s">
        <v>52</v>
      </c>
      <c r="Y4" s="25">
        <f>'Project Data and Assumptions'!C3</f>
        <v>2021</v>
      </c>
      <c r="AU4" s="8" t="s">
        <v>98</v>
      </c>
    </row>
    <row r="5" spans="1:49" ht="18" customHeight="1" x14ac:dyDescent="0.25">
      <c r="B5" s="639" t="s">
        <v>0</v>
      </c>
      <c r="C5" s="637" t="s">
        <v>353</v>
      </c>
      <c r="D5" s="643" t="s">
        <v>352</v>
      </c>
      <c r="E5" s="641" t="s">
        <v>351</v>
      </c>
      <c r="F5" s="637" t="s">
        <v>46</v>
      </c>
      <c r="G5" s="643" t="s">
        <v>47</v>
      </c>
      <c r="H5" s="641" t="s">
        <v>48</v>
      </c>
      <c r="I5" s="647" t="s">
        <v>347</v>
      </c>
      <c r="J5" s="633" t="s">
        <v>49</v>
      </c>
      <c r="K5" s="633" t="s">
        <v>50</v>
      </c>
      <c r="L5" s="633" t="s">
        <v>115</v>
      </c>
      <c r="M5" s="633" t="s">
        <v>346</v>
      </c>
      <c r="N5" s="635" t="s">
        <v>51</v>
      </c>
      <c r="O5" s="647" t="s">
        <v>347</v>
      </c>
      <c r="P5" s="633" t="s">
        <v>49</v>
      </c>
      <c r="Q5" s="633" t="s">
        <v>50</v>
      </c>
      <c r="R5" s="633" t="s">
        <v>115</v>
      </c>
      <c r="S5" s="633" t="s">
        <v>346</v>
      </c>
      <c r="T5" s="635" t="s">
        <v>51</v>
      </c>
      <c r="U5" s="637" t="s">
        <v>76</v>
      </c>
      <c r="V5" s="649" t="s">
        <v>1</v>
      </c>
      <c r="X5" s="96" t="s">
        <v>411</v>
      </c>
      <c r="Y5" s="25">
        <f>IFERROR((_xlfn.XLOOKUP($Z$3,'Trail Project Summary'!$B$3:$B$28,'Trail Project Summary'!$L$3:$L$28)),0)</f>
        <v>2031</v>
      </c>
      <c r="AU5" t="s">
        <v>102</v>
      </c>
      <c r="AV5" s="92">
        <v>0.05</v>
      </c>
      <c r="AW5" t="s">
        <v>117</v>
      </c>
    </row>
    <row r="6" spans="1:49" ht="18.75" customHeight="1" thickBot="1" x14ac:dyDescent="0.3">
      <c r="B6" s="640"/>
      <c r="C6" s="638"/>
      <c r="D6" s="644"/>
      <c r="E6" s="642"/>
      <c r="F6" s="638"/>
      <c r="G6" s="644"/>
      <c r="H6" s="642"/>
      <c r="I6" s="648"/>
      <c r="J6" s="634"/>
      <c r="K6" s="634"/>
      <c r="L6" s="634"/>
      <c r="M6" s="634"/>
      <c r="N6" s="636"/>
      <c r="O6" s="648"/>
      <c r="P6" s="634"/>
      <c r="Q6" s="634"/>
      <c r="R6" s="634"/>
      <c r="S6" s="634"/>
      <c r="T6" s="636"/>
      <c r="U6" s="638"/>
      <c r="V6" s="650"/>
      <c r="X6" s="96" t="s">
        <v>412</v>
      </c>
      <c r="Y6" s="25">
        <f>_xlfn.XLOOKUP($Z$3,'Original Build Years'!$E$1:$E$20,'Original Build Years'!$D$1:$D$20,0)+30</f>
        <v>2029</v>
      </c>
      <c r="AU6" t="s">
        <v>99</v>
      </c>
      <c r="AW6" t="s">
        <v>118</v>
      </c>
    </row>
    <row r="7" spans="1:49" ht="18.75" customHeight="1" x14ac:dyDescent="0.25">
      <c r="A7" s="61">
        <f>(G7+D7)*2.38</f>
        <v>2670.2167030193764</v>
      </c>
      <c r="B7" s="213">
        <f>$Y$5</f>
        <v>2031</v>
      </c>
      <c r="C7" s="192">
        <f>IF(OR($B7&lt;$Y$6,$B7&gt;'Project Data and Assumptions'!$C$8),0,$AC$35*(1+$AA$15)^($B7-2020))</f>
        <v>18958.704804739969</v>
      </c>
      <c r="D7" s="191">
        <f>IF(OR($B7&lt;$Y$6,$B7&gt;'Project Data and Assumptions'!$C$8),0,$AB$34*(1+$AA$15)^($B7-2020))</f>
        <v>1121.939791184612</v>
      </c>
      <c r="E7" s="193">
        <f>IF(OR($B7&lt;$Y$6,$B7&gt;'Project Data and Assumptions'!$C$8),0,$AC$34*(1+$AA$15)^($B7-2020))</f>
        <v>4851.3507637334615</v>
      </c>
      <c r="F7" s="192">
        <f>IF($B7&gt;'Project Data and Assumptions'!$C$8,0,$AC$30*(1+$AA$15)^($B7-2020))</f>
        <v>0</v>
      </c>
      <c r="G7" s="191">
        <f>IF($B7&gt;'Project Data and Assumptions'!$C$8,0,$AB$29*(1+$AA$15)^($B7-2020))</f>
        <v>0</v>
      </c>
      <c r="H7" s="193">
        <f>IF($B7&gt;'Project Data and Assumptions'!$C$8,0,$AC$29*(1+$AA$15)^($B7-2020))</f>
        <v>0</v>
      </c>
      <c r="I7" s="71">
        <f t="shared" ref="I7:I29" si="0">C7*$AA$47*$Z$60</f>
        <v>249875.72932647282</v>
      </c>
      <c r="J7" s="73">
        <f>(D7*$AA$40)*$AA$38*$AA$39</f>
        <v>2681.8848768476969</v>
      </c>
      <c r="K7" s="73">
        <f>C7*$AA$43+SUM(D7:E7)*$AA$44</f>
        <v>174851.19995670181</v>
      </c>
      <c r="L7" s="73">
        <f t="shared" ref="L7:L29" si="1">E7*$AA$47*$Z$60</f>
        <v>63940.803066007029</v>
      </c>
      <c r="M7" s="73">
        <f>SUM(D7:E7)*$AA$52</f>
        <v>3560.0811707311714</v>
      </c>
      <c r="N7" s="100">
        <f t="shared" ref="N7:N29" si="2">D7*$AC$19*$Z$56*$Z$60</f>
        <v>70.978398949503301</v>
      </c>
      <c r="O7" s="71">
        <f t="shared" ref="O7:O29" si="3">F7*$AA$47*$Z$60</f>
        <v>0</v>
      </c>
      <c r="P7" s="73">
        <f>(G7*$AA$40)*$AA$38*$AA$39</f>
        <v>0</v>
      </c>
      <c r="Q7" s="73">
        <f>F7*$AA$43+SUM(G7:H7)*$AA$44</f>
        <v>0</v>
      </c>
      <c r="R7" s="73">
        <f t="shared" ref="R7:R29" si="4">H7*$AA$47*$Z$60</f>
        <v>0</v>
      </c>
      <c r="S7" s="73">
        <f>SUM(G7:H7)*$AA$52</f>
        <v>0</v>
      </c>
      <c r="T7" s="100">
        <f t="shared" ref="T7:T29" si="5">G7*$AC$19*$Z$56*$Z$60</f>
        <v>0</v>
      </c>
      <c r="U7" s="71">
        <f>SUM(I7:T7)</f>
        <v>494980.67679570999</v>
      </c>
      <c r="V7" s="108">
        <f t="shared" ref="V7:V29" si="6">$U7*(1+0.07)^-($B7-$Y$4)</f>
        <v>251623.07666946272</v>
      </c>
      <c r="X7" s="96" t="s">
        <v>338</v>
      </c>
      <c r="Y7" s="180">
        <f>IFERROR((_xlfn.XLOOKUP($Z$3,'Trail Project Summary'!$B$3:$B$28,'Trail Project Summary'!$I$3:$I$28)),0)</f>
        <v>4</v>
      </c>
      <c r="AU7" t="s">
        <v>100</v>
      </c>
      <c r="AW7" t="s">
        <v>119</v>
      </c>
    </row>
    <row r="8" spans="1:49" x14ac:dyDescent="0.25">
      <c r="A8" s="61">
        <f t="shared" ref="A8:A29" si="7">(G8+D8)*2.38</f>
        <v>2681.9302077483503</v>
      </c>
      <c r="B8" s="2">
        <f>B7+1</f>
        <v>2032</v>
      </c>
      <c r="C8" s="196">
        <f>IF(OR($B8&lt;$Y$6,$B8&gt;'Project Data and Assumptions'!$C$8),0,$AC$35*(1+$AA$15)^($B8-2020))</f>
        <v>19041.87141744763</v>
      </c>
      <c r="D8" s="75">
        <f>IF(OR($B8&lt;$Y$6,$B8&gt;'Project Data and Assumptions'!$C$8),0,$AB$34*(1+$AA$15)^($B8-2020))</f>
        <v>1126.8614318270379</v>
      </c>
      <c r="E8" s="194">
        <f>IF(OR($B8&lt;$Y$6,$B8&gt;'Project Data and Assumptions'!$C$8),0,$AC$34*(1+$AA$15)^($B8-2020))</f>
        <v>4872.6323024372841</v>
      </c>
      <c r="F8" s="196">
        <f>IF($B8&gt;'Project Data and Assumptions'!$C$8,0,$AC$30*(1+$AA$15)^($B8-2020))</f>
        <v>0</v>
      </c>
      <c r="G8" s="75">
        <f>IF($B8&gt;'Project Data and Assumptions'!$C$8,0,$AB$29*(1+$AA$15)^($B8-2020))</f>
        <v>0</v>
      </c>
      <c r="H8" s="194">
        <f>IF($B8&gt;'Project Data and Assumptions'!$C$8,0,$AC$29*(1+$AA$15)^($B8-2020))</f>
        <v>0</v>
      </c>
      <c r="I8" s="15">
        <f t="shared" si="0"/>
        <v>250971.86528195979</v>
      </c>
      <c r="J8" s="74">
        <f t="shared" ref="J8:J29" si="8">(D8*$AA$40)*$AA$38*$AA$39</f>
        <v>2693.6495666393521</v>
      </c>
      <c r="K8" s="74">
        <f t="shared" ref="K8:K29" si="9">C8*$AA$43+SUM(D8:E8)*$AA$44</f>
        <v>175618.22397959989</v>
      </c>
      <c r="L8" s="74">
        <f t="shared" si="1"/>
        <v>64221.293746123403</v>
      </c>
      <c r="M8" s="74">
        <f t="shared" ref="M8:M29" si="10">SUM(D8:E8)*$AA$52</f>
        <v>3575.6982656215359</v>
      </c>
      <c r="N8" s="76">
        <f t="shared" si="2"/>
        <v>71.289761623105733</v>
      </c>
      <c r="O8" s="15">
        <f t="shared" si="3"/>
        <v>0</v>
      </c>
      <c r="P8" s="74">
        <f t="shared" ref="P8:P29" si="11">(G8*$AA$40)*$AA$38*$AA$39</f>
        <v>0</v>
      </c>
      <c r="Q8" s="74">
        <f t="shared" ref="Q8:Q29" si="12">F8*$AA$43+SUM(G8:H8)*$AA$44</f>
        <v>0</v>
      </c>
      <c r="R8" s="74">
        <f t="shared" si="4"/>
        <v>0</v>
      </c>
      <c r="S8" s="74">
        <f t="shared" ref="S8:S29" si="13">SUM(G8:H8)*$AA$52</f>
        <v>0</v>
      </c>
      <c r="T8" s="76">
        <f t="shared" si="5"/>
        <v>0</v>
      </c>
      <c r="U8" s="15">
        <f t="shared" ref="U8:U29" si="14">SUM(I8:T8)</f>
        <v>497152.02060156711</v>
      </c>
      <c r="V8" s="6">
        <f t="shared" si="6"/>
        <v>236193.34369733761</v>
      </c>
      <c r="X8" s="96" t="s">
        <v>339</v>
      </c>
      <c r="Y8" s="180">
        <f>IFERROR(_xlfn.XLOOKUP($Z$3,'Trail Project Summary'!$B$3:$B$28,'Trail Project Summary'!$C$3:$C$28),0)</f>
        <v>0</v>
      </c>
      <c r="AU8" t="s">
        <v>101</v>
      </c>
      <c r="AW8" t="s">
        <v>121</v>
      </c>
    </row>
    <row r="9" spans="1:49" x14ac:dyDescent="0.25">
      <c r="A9" s="61">
        <f t="shared" si="7"/>
        <v>2693.6950963941736</v>
      </c>
      <c r="B9" s="2">
        <f t="shared" ref="B9:B29" si="15">B8+1</f>
        <v>2033</v>
      </c>
      <c r="C9" s="196">
        <f>IF(OR($B9&lt;$Y$6,$B9&gt;'Project Data and Assumptions'!$C$8),0,$AC$35*(1+$AA$15)^($B9-2020))</f>
        <v>19125.402859163423</v>
      </c>
      <c r="D9" s="75">
        <f>IF(OR($B9&lt;$Y$6,$B9&gt;'Project Data and Assumptions'!$C$8),0,$AB$34*(1+$AA$15)^($B9-2020))</f>
        <v>1131.8046623504931</v>
      </c>
      <c r="E9" s="194">
        <f>IF(OR($B9&lt;$Y$6,$B9&gt;'Project Data and Assumptions'!$C$8),0,$AC$34*(1+$AA$15)^($B9-2020))</f>
        <v>4894.0071973859285</v>
      </c>
      <c r="F9" s="196">
        <f>IF($B9&gt;'Project Data and Assumptions'!$C$8,0,$AC$30*(1+$AA$15)^($B9-2020))</f>
        <v>0</v>
      </c>
      <c r="G9" s="75">
        <f>IF($B9&gt;'Project Data and Assumptions'!$C$8,0,$AB$29*(1+$AA$15)^($B9-2020))</f>
        <v>0</v>
      </c>
      <c r="H9" s="194">
        <f>IF($B9&gt;'Project Data and Assumptions'!$C$8,0,$AC$29*(1+$AA$15)^($B9-2020))</f>
        <v>0</v>
      </c>
      <c r="I9" s="15">
        <f t="shared" si="0"/>
        <v>252072.80968377393</v>
      </c>
      <c r="J9" s="74">
        <f t="shared" si="8"/>
        <v>2705.4658648826194</v>
      </c>
      <c r="K9" s="74">
        <f t="shared" si="9"/>
        <v>176388.61272548448</v>
      </c>
      <c r="L9" s="74">
        <f t="shared" si="1"/>
        <v>64503.014861546544</v>
      </c>
      <c r="M9" s="74">
        <f t="shared" si="10"/>
        <v>3591.3838684029074</v>
      </c>
      <c r="N9" s="76">
        <f t="shared" si="2"/>
        <v>71.602490158941606</v>
      </c>
      <c r="O9" s="15">
        <f t="shared" si="3"/>
        <v>0</v>
      </c>
      <c r="P9" s="74">
        <f t="shared" si="11"/>
        <v>0</v>
      </c>
      <c r="Q9" s="74">
        <f t="shared" si="12"/>
        <v>0</v>
      </c>
      <c r="R9" s="74">
        <f t="shared" si="4"/>
        <v>0</v>
      </c>
      <c r="S9" s="74">
        <f t="shared" si="13"/>
        <v>0</v>
      </c>
      <c r="T9" s="76">
        <f t="shared" si="5"/>
        <v>0</v>
      </c>
      <c r="U9" s="15">
        <f t="shared" si="14"/>
        <v>499332.88949424942</v>
      </c>
      <c r="V9" s="6">
        <f t="shared" si="6"/>
        <v>221709.77457767926</v>
      </c>
      <c r="X9" s="96" t="s">
        <v>341</v>
      </c>
      <c r="Y9" s="180">
        <f>IFERROR(_xlfn.XLOOKUP($Z$3,'Trail Project Summary'!$B$3:$B$28,'Trail Project Summary'!$D$3:$D$28),0)</f>
        <v>0.4</v>
      </c>
      <c r="AU9" t="s">
        <v>108</v>
      </c>
      <c r="AW9" t="s">
        <v>120</v>
      </c>
    </row>
    <row r="10" spans="1:49" x14ac:dyDescent="0.25">
      <c r="A10" s="61">
        <f t="shared" si="7"/>
        <v>2705.5115943639253</v>
      </c>
      <c r="B10" s="2">
        <f t="shared" si="15"/>
        <v>2034</v>
      </c>
      <c r="C10" s="196">
        <f>IF(OR($B10&lt;$Y$6,$B10&gt;'Project Data and Assumptions'!$C$8),0,$AC$35*(1+$AA$15)^($B10-2020))</f>
        <v>19209.300730291638</v>
      </c>
      <c r="D10" s="75">
        <f>IF(OR($B10&lt;$Y$6,$B10&gt;'Project Data and Assumptions'!$C$8),0,$AB$34*(1+$AA$15)^($B10-2020))</f>
        <v>1136.7695774638341</v>
      </c>
      <c r="E10" s="194">
        <f>IF(OR($B10&lt;$Y$6,$B10&gt;'Project Data and Assumptions'!$C$8),0,$AC$34*(1+$AA$15)^($B10-2020))</f>
        <v>4915.4758581075048</v>
      </c>
      <c r="F10" s="196">
        <f>IF($B10&gt;'Project Data and Assumptions'!$C$8,0,$AC$30*(1+$AA$15)^($B10-2020))</f>
        <v>0</v>
      </c>
      <c r="G10" s="75">
        <f>IF($B10&gt;'Project Data and Assumptions'!$C$8,0,$AB$29*(1+$AA$15)^($B10-2020))</f>
        <v>0</v>
      </c>
      <c r="H10" s="194">
        <f>IF($B10&gt;'Project Data and Assumptions'!$C$8,0,$AC$29*(1+$AA$15)^($B10-2020))</f>
        <v>0</v>
      </c>
      <c r="I10" s="15">
        <f t="shared" si="0"/>
        <v>253178.5836252438</v>
      </c>
      <c r="J10" s="74">
        <f t="shared" si="8"/>
        <v>2717.3339979695493</v>
      </c>
      <c r="K10" s="74">
        <f t="shared" si="9"/>
        <v>177162.38095446781</v>
      </c>
      <c r="L10" s="74">
        <f t="shared" si="1"/>
        <v>64785.971809856914</v>
      </c>
      <c r="M10" s="74">
        <f t="shared" si="10"/>
        <v>3607.1382796005178</v>
      </c>
      <c r="N10" s="76">
        <f t="shared" si="2"/>
        <v>71.916590548672005</v>
      </c>
      <c r="O10" s="15">
        <f t="shared" si="3"/>
        <v>0</v>
      </c>
      <c r="P10" s="74">
        <f t="shared" si="11"/>
        <v>0</v>
      </c>
      <c r="Q10" s="74">
        <f t="shared" si="12"/>
        <v>0</v>
      </c>
      <c r="R10" s="74">
        <f t="shared" si="4"/>
        <v>0</v>
      </c>
      <c r="S10" s="74">
        <f t="shared" si="13"/>
        <v>0</v>
      </c>
      <c r="T10" s="76">
        <f t="shared" si="5"/>
        <v>0</v>
      </c>
      <c r="U10" s="15">
        <f t="shared" si="14"/>
        <v>501523.32525768731</v>
      </c>
      <c r="V10" s="6">
        <f t="shared" si="6"/>
        <v>208114.34976877968</v>
      </c>
      <c r="X10" s="96" t="s">
        <v>340</v>
      </c>
      <c r="Y10" s="180">
        <f>IFERROR(_xlfn.XLOOKUP($Z$3,'Trail Project Summary'!$B$3:$B$28,'Trail Project Summary'!$E$3:$E$28),0)</f>
        <v>0</v>
      </c>
    </row>
    <row r="11" spans="1:49" x14ac:dyDescent="0.25">
      <c r="A11" s="61">
        <f t="shared" si="7"/>
        <v>2717.3799280534868</v>
      </c>
      <c r="B11" s="2">
        <f t="shared" si="15"/>
        <v>2035</v>
      </c>
      <c r="C11" s="196">
        <f>IF(OR($B11&lt;$Y$6,$B11&gt;'Project Data and Assumptions'!$C$8),0,$AC$35*(1+$AA$15)^($B11-2020))</f>
        <v>19293.566638257133</v>
      </c>
      <c r="D11" s="75">
        <f>IF(OR($B11&lt;$Y$6,$B11&gt;'Project Data and Assumptions'!$C$8),0,$AB$34*(1+$AA$15)^($B11-2020))</f>
        <v>1141.756272291381</v>
      </c>
      <c r="E11" s="194">
        <f>IF(OR($B11&lt;$Y$6,$B11&gt;'Project Data and Assumptions'!$C$8),0,$AC$34*(1+$AA$15)^($B11-2020))</f>
        <v>4937.0386959266198</v>
      </c>
      <c r="F11" s="196">
        <f>IF($B11&gt;'Project Data and Assumptions'!$C$8,0,$AC$30*(1+$AA$15)^($B11-2020))</f>
        <v>0</v>
      </c>
      <c r="G11" s="75">
        <f>IF($B11&gt;'Project Data and Assumptions'!$C$8,0,$AB$29*(1+$AA$15)^($B11-2020))</f>
        <v>0</v>
      </c>
      <c r="H11" s="194">
        <f>IF($B11&gt;'Project Data and Assumptions'!$C$8,0,$AC$29*(1+$AA$15)^($B11-2020))</f>
        <v>0</v>
      </c>
      <c r="I11" s="15">
        <f t="shared" si="0"/>
        <v>254289.20829222904</v>
      </c>
      <c r="J11" s="74">
        <f t="shared" si="8"/>
        <v>2729.2541932853178</v>
      </c>
      <c r="K11" s="74">
        <f t="shared" si="9"/>
        <v>177939.54349141091</v>
      </c>
      <c r="L11" s="74">
        <f t="shared" si="1"/>
        <v>65070.170012312847</v>
      </c>
      <c r="M11" s="74">
        <f t="shared" si="10"/>
        <v>3622.9618010579284</v>
      </c>
      <c r="N11" s="76">
        <f t="shared" si="2"/>
        <v>72.232068810241941</v>
      </c>
      <c r="O11" s="15">
        <f t="shared" si="3"/>
        <v>0</v>
      </c>
      <c r="P11" s="74">
        <f t="shared" si="11"/>
        <v>0</v>
      </c>
      <c r="Q11" s="74">
        <f t="shared" si="12"/>
        <v>0</v>
      </c>
      <c r="R11" s="74">
        <f t="shared" si="4"/>
        <v>0</v>
      </c>
      <c r="S11" s="74">
        <f t="shared" si="13"/>
        <v>0</v>
      </c>
      <c r="T11" s="76">
        <f t="shared" si="5"/>
        <v>0</v>
      </c>
      <c r="U11" s="15">
        <f t="shared" si="14"/>
        <v>503723.36985910626</v>
      </c>
      <c r="V11" s="6">
        <f t="shared" si="6"/>
        <v>195352.60753470811</v>
      </c>
      <c r="Y11" s="39"/>
    </row>
    <row r="12" spans="1:49" x14ac:dyDescent="0.25">
      <c r="A12" s="61">
        <f t="shared" si="7"/>
        <v>2729.3003248518748</v>
      </c>
      <c r="B12" s="2">
        <f t="shared" si="15"/>
        <v>2036</v>
      </c>
      <c r="C12" s="196">
        <f>IF(OR($B12&lt;$Y$6,$B12&gt;'Project Data and Assumptions'!$C$8),0,$AC$35*(1+$AA$15)^($B12-2020))</f>
        <v>19378.202197536069</v>
      </c>
      <c r="D12" s="75">
        <f>IF(OR($B12&lt;$Y$6,$B12&gt;'Project Data and Assumptions'!$C$8),0,$AB$34*(1+$AA$15)^($B12-2020))</f>
        <v>1146.7648423747373</v>
      </c>
      <c r="E12" s="194">
        <f>IF(OR($B12&lt;$Y$6,$B12&gt;'Project Data and Assumptions'!$C$8),0,$AC$34*(1+$AA$15)^($B12-2020))</f>
        <v>4958.6961239722432</v>
      </c>
      <c r="F12" s="196">
        <f>IF($B12&gt;'Project Data and Assumptions'!$C$8,0,$AC$30*(1+$AA$15)^($B12-2020))</f>
        <v>0</v>
      </c>
      <c r="G12" s="75">
        <f>IF($B12&gt;'Project Data and Assumptions'!$C$8,0,$AB$29*(1+$AA$15)^($B12-2020))</f>
        <v>0</v>
      </c>
      <c r="H12" s="194">
        <f>IF($B12&gt;'Project Data and Assumptions'!$C$8,0,$AC$29*(1+$AA$15)^($B12-2020))</f>
        <v>0</v>
      </c>
      <c r="I12" s="15">
        <f t="shared" si="0"/>
        <v>255404.70496352541</v>
      </c>
      <c r="J12" s="74">
        <f t="shared" si="8"/>
        <v>2741.2266792125724</v>
      </c>
      <c r="K12" s="74">
        <f t="shared" si="9"/>
        <v>178720.11522620733</v>
      </c>
      <c r="L12" s="74">
        <f t="shared" si="1"/>
        <v>65355.614913954174</v>
      </c>
      <c r="M12" s="74">
        <f t="shared" si="10"/>
        <v>3638.8547359427998</v>
      </c>
      <c r="N12" s="76">
        <f t="shared" si="2"/>
        <v>72.548930987995391</v>
      </c>
      <c r="O12" s="15">
        <f t="shared" si="3"/>
        <v>0</v>
      </c>
      <c r="P12" s="74">
        <f t="shared" si="11"/>
        <v>0</v>
      </c>
      <c r="Q12" s="74">
        <f t="shared" si="12"/>
        <v>0</v>
      </c>
      <c r="R12" s="74">
        <f t="shared" si="4"/>
        <v>0</v>
      </c>
      <c r="S12" s="74">
        <f t="shared" si="13"/>
        <v>0</v>
      </c>
      <c r="T12" s="76">
        <f t="shared" si="5"/>
        <v>0</v>
      </c>
      <c r="U12" s="15">
        <f t="shared" si="14"/>
        <v>505933.06544983026</v>
      </c>
      <c r="V12" s="6">
        <f t="shared" si="6"/>
        <v>183373.42577774843</v>
      </c>
    </row>
    <row r="13" spans="1:49" x14ac:dyDescent="0.25">
      <c r="A13" s="61">
        <f t="shared" si="7"/>
        <v>2741.2730131455969</v>
      </c>
      <c r="B13" s="2">
        <f t="shared" si="15"/>
        <v>2037</v>
      </c>
      <c r="C13" s="196">
        <f>IF(OR($B13&lt;$Y$6,$B13&gt;'Project Data and Assumptions'!$C$8),0,$AC$35*(1+$AA$15)^($B13-2020))</f>
        <v>19463.209029686874</v>
      </c>
      <c r="D13" s="75">
        <f>IF(OR($B13&lt;$Y$6,$B13&gt;'Project Data and Assumptions'!$C$8),0,$AB$34*(1+$AA$15)^($B13-2020))</f>
        <v>1151.7953836746206</v>
      </c>
      <c r="E13" s="194">
        <f>IF(OR($B13&lt;$Y$6,$B13&gt;'Project Data and Assumptions'!$C$8),0,$AC$34*(1+$AA$15)^($B13-2020))</f>
        <v>4980.4485571856276</v>
      </c>
      <c r="F13" s="196">
        <f>IF($B13&gt;'Project Data and Assumptions'!$C$8,0,$AC$30*(1+$AA$15)^($B13-2020))</f>
        <v>0</v>
      </c>
      <c r="G13" s="75">
        <f>IF($B13&gt;'Project Data and Assumptions'!$C$8,0,$AB$29*(1+$AA$15)^($B13-2020))</f>
        <v>0</v>
      </c>
      <c r="H13" s="194">
        <f>IF($B13&gt;'Project Data and Assumptions'!$C$8,0,$AC$29*(1+$AA$15)^($B13-2020))</f>
        <v>0</v>
      </c>
      <c r="I13" s="15">
        <f t="shared" si="0"/>
        <v>256525.09501127299</v>
      </c>
      <c r="J13" s="74">
        <f t="shared" si="8"/>
        <v>2753.2516851358132</v>
      </c>
      <c r="K13" s="74">
        <f t="shared" si="9"/>
        <v>179504.11111406828</v>
      </c>
      <c r="L13" s="74">
        <f t="shared" si="1"/>
        <v>65642.311983706575</v>
      </c>
      <c r="M13" s="74">
        <f t="shared" si="10"/>
        <v>3654.8173887527073</v>
      </c>
      <c r="N13" s="76">
        <f t="shared" si="2"/>
        <v>72.867183152791199</v>
      </c>
      <c r="O13" s="15">
        <f t="shared" si="3"/>
        <v>0</v>
      </c>
      <c r="P13" s="74">
        <f t="shared" si="11"/>
        <v>0</v>
      </c>
      <c r="Q13" s="74">
        <f t="shared" si="12"/>
        <v>0</v>
      </c>
      <c r="R13" s="74">
        <f t="shared" si="4"/>
        <v>0</v>
      </c>
      <c r="S13" s="74">
        <f t="shared" si="13"/>
        <v>0</v>
      </c>
      <c r="T13" s="76">
        <f t="shared" si="5"/>
        <v>0</v>
      </c>
      <c r="U13" s="15">
        <f t="shared" si="14"/>
        <v>508152.45436608919</v>
      </c>
      <c r="V13" s="6">
        <f t="shared" si="6"/>
        <v>172128.81724905127</v>
      </c>
      <c r="AU13" t="s">
        <v>357</v>
      </c>
      <c r="AV13" t="s">
        <v>371</v>
      </c>
    </row>
    <row r="14" spans="1:49" x14ac:dyDescent="0.25">
      <c r="A14" s="61">
        <f t="shared" si="7"/>
        <v>2753.2982223230324</v>
      </c>
      <c r="B14" s="2">
        <f t="shared" si="15"/>
        <v>2038</v>
      </c>
      <c r="C14" s="196">
        <f>IF(OR($B14&lt;$Y$6,$B14&gt;'Project Data and Assumptions'!$C$8),0,$AC$35*(1+$AA$15)^($B14-2020))</f>
        <v>19548.588763381318</v>
      </c>
      <c r="D14" s="75">
        <f>IF(OR($B14&lt;$Y$6,$B14&gt;'Project Data and Assumptions'!$C$8),0,$AB$34*(1+$AA$15)^($B14-2020))</f>
        <v>1156.8479925727027</v>
      </c>
      <c r="E14" s="194">
        <f>IF(OR($B14&lt;$Y$6,$B14&gt;'Project Data and Assumptions'!$C$8),0,$AC$34*(1+$AA$15)^($B14-2020))</f>
        <v>5002.2964123282609</v>
      </c>
      <c r="F14" s="196">
        <f>IF($B14&gt;'Project Data and Assumptions'!$C$8,0,$AC$30*(1+$AA$15)^($B14-2020))</f>
        <v>0</v>
      </c>
      <c r="G14" s="75">
        <f>IF($B14&gt;'Project Data and Assumptions'!$C$8,0,$AB$29*(1+$AA$15)^($B14-2020))</f>
        <v>0</v>
      </c>
      <c r="H14" s="194">
        <f>IF($B14&gt;'Project Data and Assumptions'!$C$8,0,$AC$29*(1+$AA$15)^($B14-2020))</f>
        <v>0</v>
      </c>
      <c r="I14" s="15">
        <f t="shared" si="0"/>
        <v>257650.3999013658</v>
      </c>
      <c r="J14" s="74">
        <f t="shared" si="8"/>
        <v>2765.3294414457887</v>
      </c>
      <c r="K14" s="74">
        <f t="shared" si="9"/>
        <v>180291.54617580969</v>
      </c>
      <c r="L14" s="74">
        <f t="shared" si="1"/>
        <v>65930.266714486483</v>
      </c>
      <c r="M14" s="74">
        <f t="shared" si="10"/>
        <v>3670.850065320974</v>
      </c>
      <c r="N14" s="76">
        <f t="shared" si="2"/>
        <v>73.186831402119466</v>
      </c>
      <c r="O14" s="15">
        <f t="shared" si="3"/>
        <v>0</v>
      </c>
      <c r="P14" s="74">
        <f t="shared" si="11"/>
        <v>0</v>
      </c>
      <c r="Q14" s="74">
        <f t="shared" si="12"/>
        <v>0</v>
      </c>
      <c r="R14" s="74">
        <f t="shared" si="4"/>
        <v>0</v>
      </c>
      <c r="S14" s="74">
        <f t="shared" si="13"/>
        <v>0</v>
      </c>
      <c r="T14" s="76">
        <f t="shared" si="5"/>
        <v>0</v>
      </c>
      <c r="U14" s="15">
        <f t="shared" si="14"/>
        <v>510381.57912983088</v>
      </c>
      <c r="V14" s="6">
        <f t="shared" si="6"/>
        <v>161573.73731713623</v>
      </c>
      <c r="X14" s="8" t="s">
        <v>81</v>
      </c>
      <c r="AU14" t="s">
        <v>358</v>
      </c>
      <c r="AV14" t="s">
        <v>372</v>
      </c>
    </row>
    <row r="15" spans="1:49" x14ac:dyDescent="0.25">
      <c r="A15" s="61">
        <f t="shared" si="7"/>
        <v>2765.3761827788212</v>
      </c>
      <c r="B15" s="2">
        <f t="shared" si="15"/>
        <v>2039</v>
      </c>
      <c r="C15" s="196">
        <f>IF(OR($B15&lt;$Y$6,$B15&gt;'Project Data and Assumptions'!$C$8),0,$AC$35*(1+$AA$15)^($B15-2020))</f>
        <v>19634.343034435686</v>
      </c>
      <c r="D15" s="75">
        <f>IF(OR($B15&lt;$Y$6,$B15&gt;'Project Data and Assumptions'!$C$8),0,$AB$34*(1+$AA$15)^($B15-2020))</f>
        <v>1161.9227658734544</v>
      </c>
      <c r="E15" s="194">
        <f>IF(OR($B15&lt;$Y$6,$B15&gt;'Project Data and Assumptions'!$C$8),0,$AC$34*(1+$AA$15)^($B15-2020))</f>
        <v>5024.2401079898445</v>
      </c>
      <c r="F15" s="196">
        <f>IF($B15&gt;'Project Data and Assumptions'!$C$8,0,$AC$30*(1+$AA$15)^($B15-2020))</f>
        <v>0</v>
      </c>
      <c r="G15" s="75">
        <f>IF($B15&gt;'Project Data and Assumptions'!$C$8,0,$AB$29*(1+$AA$15)^($B15-2020))</f>
        <v>0</v>
      </c>
      <c r="H15" s="194">
        <f>IF($B15&gt;'Project Data and Assumptions'!$C$8,0,$AC$29*(1+$AA$15)^($B15-2020))</f>
        <v>0</v>
      </c>
      <c r="I15" s="15">
        <f t="shared" si="0"/>
        <v>258780.64119386236</v>
      </c>
      <c r="J15" s="74">
        <f t="shared" si="8"/>
        <v>2777.4601795439057</v>
      </c>
      <c r="K15" s="74">
        <f t="shared" si="9"/>
        <v>181082.4354981393</v>
      </c>
      <c r="L15" s="74">
        <f t="shared" si="1"/>
        <v>66219.484623306154</v>
      </c>
      <c r="M15" s="74">
        <f t="shared" si="10"/>
        <v>3686.9530728225259</v>
      </c>
      <c r="N15" s="76">
        <f t="shared" si="2"/>
        <v>73.50788186021822</v>
      </c>
      <c r="O15" s="15">
        <f t="shared" si="3"/>
        <v>0</v>
      </c>
      <c r="P15" s="74">
        <f t="shared" si="11"/>
        <v>0</v>
      </c>
      <c r="Q15" s="74">
        <f t="shared" si="12"/>
        <v>0</v>
      </c>
      <c r="R15" s="74">
        <f t="shared" si="4"/>
        <v>0</v>
      </c>
      <c r="S15" s="74">
        <f t="shared" si="13"/>
        <v>0</v>
      </c>
      <c r="T15" s="76">
        <f t="shared" si="5"/>
        <v>0</v>
      </c>
      <c r="U15" s="15">
        <f t="shared" si="14"/>
        <v>512620.48244953447</v>
      </c>
      <c r="V15" s="6">
        <f t="shared" si="6"/>
        <v>151665.9035241864</v>
      </c>
      <c r="X15" s="621" t="s">
        <v>518</v>
      </c>
      <c r="Y15" s="621"/>
      <c r="Z15" s="621"/>
      <c r="AA15" s="400">
        <f>('Annual Use'!E14-'Annual Use'!B14)/('Annual Use'!B14*21)</f>
        <v>4.3867243867243867E-3</v>
      </c>
      <c r="AB15" s="400"/>
      <c r="AU15" t="s">
        <v>359</v>
      </c>
    </row>
    <row r="16" spans="1:49" x14ac:dyDescent="0.25">
      <c r="A16" s="61">
        <f t="shared" si="7"/>
        <v>2777.5071259182841</v>
      </c>
      <c r="B16" s="2">
        <f t="shared" si="15"/>
        <v>2040</v>
      </c>
      <c r="C16" s="196">
        <f>IF(OR($B16&lt;$Y$6,$B16&gt;'Project Data and Assumptions'!$C$8),0,$AC$35*(1+$AA$15)^($B16-2020))</f>
        <v>19720.473485842158</v>
      </c>
      <c r="D16" s="75">
        <f>IF(OR($B16&lt;$Y$6,$B16&gt;'Project Data and Assumptions'!$C$8),0,$AB$34*(1+$AA$15)^($B16-2020))</f>
        <v>1167.0198008060017</v>
      </c>
      <c r="E16" s="194">
        <f>IF(OR($B16&lt;$Y$6,$B16&gt;'Project Data and Assumptions'!$C$8),0,$AC$34*(1+$AA$15)^($B16-2020))</f>
        <v>5046.2800645963225</v>
      </c>
      <c r="F16" s="196">
        <f>IF($B16&gt;'Project Data and Assumptions'!$C$8,0,$AC$30*(1+$AA$15)^($B16-2020))</f>
        <v>0</v>
      </c>
      <c r="G16" s="75">
        <f>IF($B16&gt;'Project Data and Assumptions'!$C$8,0,$AB$29*(1+$AA$15)^($B16-2020))</f>
        <v>0</v>
      </c>
      <c r="H16" s="194">
        <f>IF($B16&gt;'Project Data and Assumptions'!$C$8,0,$AC$29*(1+$AA$15)^($B16-2020))</f>
        <v>0</v>
      </c>
      <c r="I16" s="15">
        <f t="shared" si="0"/>
        <v>259915.84054339965</v>
      </c>
      <c r="J16" s="74">
        <f t="shared" si="8"/>
        <v>2789.6441318466668</v>
      </c>
      <c r="K16" s="74">
        <f t="shared" si="9"/>
        <v>181876.79423394645</v>
      </c>
      <c r="L16" s="74">
        <f t="shared" si="1"/>
        <v>66509.971251379538</v>
      </c>
      <c r="M16" s="74">
        <f t="shared" si="10"/>
        <v>3703.1267197797852</v>
      </c>
      <c r="N16" s="76">
        <f t="shared" si="2"/>
        <v>73.830340678190893</v>
      </c>
      <c r="O16" s="15">
        <f t="shared" si="3"/>
        <v>0</v>
      </c>
      <c r="P16" s="74">
        <f t="shared" si="11"/>
        <v>0</v>
      </c>
      <c r="Q16" s="74">
        <f t="shared" si="12"/>
        <v>0</v>
      </c>
      <c r="R16" s="74">
        <f t="shared" si="4"/>
        <v>0</v>
      </c>
      <c r="S16" s="74">
        <f t="shared" si="13"/>
        <v>0</v>
      </c>
      <c r="T16" s="76">
        <f t="shared" si="5"/>
        <v>0</v>
      </c>
      <c r="U16" s="15">
        <f t="shared" si="14"/>
        <v>514869.20722103026</v>
      </c>
      <c r="V16" s="6">
        <f t="shared" si="6"/>
        <v>142365.62620729956</v>
      </c>
      <c r="X16" s="621" t="s">
        <v>366</v>
      </c>
      <c r="Y16" s="621"/>
      <c r="Z16" s="621"/>
      <c r="AA16" s="138">
        <v>0.86</v>
      </c>
      <c r="AB16" s="92"/>
      <c r="AU16" t="s">
        <v>370</v>
      </c>
      <c r="AV16" t="s">
        <v>373</v>
      </c>
      <c r="AW16" t="s">
        <v>374</v>
      </c>
    </row>
    <row r="17" spans="1:33" x14ac:dyDescent="0.25">
      <c r="A17" s="61">
        <f t="shared" si="7"/>
        <v>2789.6912841618509</v>
      </c>
      <c r="B17" s="2">
        <f t="shared" si="15"/>
        <v>2041</v>
      </c>
      <c r="C17" s="196">
        <f>IF(OR($B17&lt;$Y$6,$B17&gt;'Project Data and Assumptions'!$C$8),0,$AC$35*(1+$AA$15)^($B17-2020))</f>
        <v>19806.981767800255</v>
      </c>
      <c r="D17" s="75">
        <f>IF(OR($B17&lt;$Y$6,$B17&gt;'Project Data and Assumptions'!$C$8),0,$AB$34*(1+$AA$15)^($B17-2020))</f>
        <v>1172.1391950259879</v>
      </c>
      <c r="E17" s="194">
        <f>IF(OR($B17&lt;$Y$6,$B17&gt;'Project Data and Assumptions'!$C$8),0,$AC$34*(1+$AA$15)^($B17-2020))</f>
        <v>5068.4167044179285</v>
      </c>
      <c r="F17" s="196">
        <f>IF($B17&gt;'Project Data and Assumptions'!$C$8,0,$AC$30*(1+$AA$15)^($B17-2020))</f>
        <v>0</v>
      </c>
      <c r="G17" s="75">
        <f>IF($B17&gt;'Project Data and Assumptions'!$C$8,0,$AB$29*(1+$AA$15)^($B17-2020))</f>
        <v>0</v>
      </c>
      <c r="H17" s="194">
        <f>IF($B17&gt;'Project Data and Assumptions'!$C$8,0,$AC$29*(1+$AA$15)^($B17-2020))</f>
        <v>0</v>
      </c>
      <c r="I17" s="15">
        <f t="shared" si="0"/>
        <v>261056.01969960736</v>
      </c>
      <c r="J17" s="74">
        <f t="shared" si="8"/>
        <v>2801.8815317901222</v>
      </c>
      <c r="K17" s="74">
        <f t="shared" si="9"/>
        <v>182674.63760259177</v>
      </c>
      <c r="L17" s="74">
        <f t="shared" si="1"/>
        <v>66801.732164228291</v>
      </c>
      <c r="M17" s="74">
        <f t="shared" si="10"/>
        <v>3719.3713160685738</v>
      </c>
      <c r="N17" s="76">
        <f t="shared" si="2"/>
        <v>74.154214034124109</v>
      </c>
      <c r="O17" s="15">
        <f t="shared" si="3"/>
        <v>0</v>
      </c>
      <c r="P17" s="74">
        <f t="shared" si="11"/>
        <v>0</v>
      </c>
      <c r="Q17" s="74">
        <f t="shared" si="12"/>
        <v>0</v>
      </c>
      <c r="R17" s="74">
        <f t="shared" si="4"/>
        <v>0</v>
      </c>
      <c r="S17" s="74">
        <f t="shared" si="13"/>
        <v>0</v>
      </c>
      <c r="T17" s="76">
        <f t="shared" si="5"/>
        <v>0</v>
      </c>
      <c r="U17" s="15">
        <f t="shared" si="14"/>
        <v>517127.79652832024</v>
      </c>
      <c r="V17" s="6">
        <f t="shared" si="6"/>
        <v>133635.64950618171</v>
      </c>
      <c r="X17" s="621" t="s">
        <v>367</v>
      </c>
      <c r="Y17" s="621"/>
      <c r="Z17" s="621"/>
      <c r="AA17" s="200">
        <f>MIN(Y7,2.38)</f>
        <v>2.38</v>
      </c>
      <c r="AB17" s="201" t="s">
        <v>368</v>
      </c>
      <c r="AC17" s="25" t="s">
        <v>369</v>
      </c>
    </row>
    <row r="18" spans="1:33" x14ac:dyDescent="0.25">
      <c r="A18" s="61">
        <f t="shared" si="7"/>
        <v>2801.9288909495153</v>
      </c>
      <c r="B18" s="2">
        <f t="shared" si="15"/>
        <v>2042</v>
      </c>
      <c r="C18" s="196">
        <f>IF(OR($B18&lt;$Y$6,$B18&gt;'Project Data and Assumptions'!$C$8),0,$AC$35*(1+$AA$15)^($B18-2020))</f>
        <v>19893.869537748469</v>
      </c>
      <c r="D18" s="75">
        <f>IF(OR($B18&lt;$Y$6,$B18&gt;'Project Data and Assumptions'!$C$8),0,$AB$34*(1+$AA$15)^($B18-2020))</f>
        <v>1177.2810466174435</v>
      </c>
      <c r="E18" s="194">
        <f>IF(OR($B18&lt;$Y$6,$B18&gt;'Project Data and Assumptions'!$C$8),0,$AC$34*(1+$AA$15)^($B18-2020))</f>
        <v>5090.6504515772795</v>
      </c>
      <c r="F18" s="196">
        <f>IF($B18&gt;'Project Data and Assumptions'!$C$8,0,$AC$30*(1+$AA$15)^($B18-2020))</f>
        <v>0</v>
      </c>
      <c r="G18" s="75">
        <f>IF($B18&gt;'Project Data and Assumptions'!$C$8,0,$AB$29*(1+$AA$15)^($B18-2020))</f>
        <v>0</v>
      </c>
      <c r="H18" s="194">
        <f>IF($B18&gt;'Project Data and Assumptions'!$C$8,0,$AC$29*(1+$AA$15)^($B18-2020))</f>
        <v>0</v>
      </c>
      <c r="I18" s="15">
        <f t="shared" si="0"/>
        <v>262201.20050752483</v>
      </c>
      <c r="J18" s="74">
        <f t="shared" si="8"/>
        <v>2814.1726138343374</v>
      </c>
      <c r="K18" s="74">
        <f t="shared" si="9"/>
        <v>183475.98089019911</v>
      </c>
      <c r="L18" s="74">
        <f t="shared" si="1"/>
        <v>67094.772951788545</v>
      </c>
      <c r="M18" s="74">
        <f t="shared" si="10"/>
        <v>3735.6871729240547</v>
      </c>
      <c r="N18" s="76">
        <f t="shared" si="2"/>
        <v>74.479508133205954</v>
      </c>
      <c r="O18" s="15">
        <f t="shared" si="3"/>
        <v>0</v>
      </c>
      <c r="P18" s="74">
        <f t="shared" si="11"/>
        <v>0</v>
      </c>
      <c r="Q18" s="74">
        <f t="shared" si="12"/>
        <v>0</v>
      </c>
      <c r="R18" s="74">
        <f t="shared" si="4"/>
        <v>0</v>
      </c>
      <c r="S18" s="74">
        <f t="shared" si="13"/>
        <v>0</v>
      </c>
      <c r="T18" s="76">
        <f t="shared" si="5"/>
        <v>0</v>
      </c>
      <c r="U18" s="15">
        <f t="shared" si="14"/>
        <v>519396.29364440404</v>
      </c>
      <c r="V18" s="6">
        <f t="shared" si="6"/>
        <v>125441.00212037965</v>
      </c>
      <c r="X18" s="621" t="s">
        <v>363</v>
      </c>
      <c r="Y18" s="621"/>
      <c r="Z18" s="621"/>
      <c r="AA18" s="621"/>
      <c r="AB18" s="138">
        <f>MIN($AA$16,$Y8)</f>
        <v>0</v>
      </c>
      <c r="AC18" s="138">
        <f>MIN($AA$17,$Y8)</f>
        <v>0</v>
      </c>
    </row>
    <row r="19" spans="1:33" x14ac:dyDescent="0.25">
      <c r="A19" s="61">
        <f t="shared" si="7"/>
        <v>2814.2201807453116</v>
      </c>
      <c r="B19" s="2">
        <f t="shared" si="15"/>
        <v>2043</v>
      </c>
      <c r="C19" s="196">
        <f>IF(OR($B19&lt;$Y$6,$B19&gt;'Project Data and Assumptions'!$C$8),0,$AC$35*(1+$AA$15)^($B19-2020))</f>
        <v>19981.138460396021</v>
      </c>
      <c r="D19" s="75">
        <f>IF(OR($B19&lt;$Y$6,$B19&gt;'Project Data and Assumptions'!$C$8),0,$AB$34*(1+$AA$15)^($B19-2020))</f>
        <v>1182.4454540946688</v>
      </c>
      <c r="E19" s="194">
        <f>IF(OR($B19&lt;$Y$6,$B19&gt;'Project Data and Assumptions'!$C$8),0,$AC$34*(1+$AA$15)^($B19-2020))</f>
        <v>5112.981732057503</v>
      </c>
      <c r="F19" s="196">
        <f>IF($B19&gt;'Project Data and Assumptions'!$C$8,0,$AC$30*(1+$AA$15)^($B19-2020))</f>
        <v>0</v>
      </c>
      <c r="G19" s="75">
        <f>IF($B19&gt;'Project Data and Assumptions'!$C$8,0,$AB$29*(1+$AA$15)^($B19-2020))</f>
        <v>0</v>
      </c>
      <c r="H19" s="194">
        <f>IF($B19&gt;'Project Data and Assumptions'!$C$8,0,$AC$29*(1+$AA$15)^($B19-2020))</f>
        <v>0</v>
      </c>
      <c r="I19" s="15">
        <f t="shared" si="0"/>
        <v>263351.40490801958</v>
      </c>
      <c r="J19" s="74">
        <f t="shared" si="8"/>
        <v>2826.5176134678964</v>
      </c>
      <c r="K19" s="74">
        <f t="shared" si="9"/>
        <v>184280.83944994828</v>
      </c>
      <c r="L19" s="74">
        <f t="shared" si="1"/>
        <v>67389.099228517895</v>
      </c>
      <c r="M19" s="74">
        <f t="shared" si="10"/>
        <v>3752.0746029466945</v>
      </c>
      <c r="N19" s="76">
        <f t="shared" si="2"/>
        <v>74.806229207845135</v>
      </c>
      <c r="O19" s="15">
        <f t="shared" si="3"/>
        <v>0</v>
      </c>
      <c r="P19" s="74">
        <f t="shared" si="11"/>
        <v>0</v>
      </c>
      <c r="Q19" s="74">
        <f t="shared" si="12"/>
        <v>0</v>
      </c>
      <c r="R19" s="74">
        <f t="shared" si="4"/>
        <v>0</v>
      </c>
      <c r="S19" s="74">
        <f t="shared" si="13"/>
        <v>0</v>
      </c>
      <c r="T19" s="76">
        <f t="shared" si="5"/>
        <v>0</v>
      </c>
      <c r="U19" s="15">
        <f t="shared" si="14"/>
        <v>521674.74203210819</v>
      </c>
      <c r="V19" s="6">
        <f t="shared" si="6"/>
        <v>117748.85721820212</v>
      </c>
      <c r="X19" s="621" t="s">
        <v>364</v>
      </c>
      <c r="Y19" s="621"/>
      <c r="Z19" s="621"/>
      <c r="AA19" s="621"/>
      <c r="AB19" s="138">
        <f>MIN($AA$16,SUM($Y9:$Y10))</f>
        <v>0.4</v>
      </c>
      <c r="AC19" s="138">
        <f>MIN($AA$16,SUM($Y9:$Y10))</f>
        <v>0.4</v>
      </c>
    </row>
    <row r="20" spans="1:33" x14ac:dyDescent="0.25">
      <c r="A20" s="61">
        <f t="shared" si="7"/>
        <v>2826.5653890417989</v>
      </c>
      <c r="B20" s="2">
        <f t="shared" si="15"/>
        <v>2044</v>
      </c>
      <c r="C20" s="196">
        <f>IF(OR($B20&lt;$Y$6,$B20&gt;'Project Data and Assumptions'!$C$8),0,$AC$35*(1+$AA$15)^($B20-2020))</f>
        <v>20068.790207754759</v>
      </c>
      <c r="D20" s="75">
        <f>IF(OR($B20&lt;$Y$6,$B20&gt;'Project Data and Assumptions'!$C$8),0,$AB$34*(1+$AA$15)^($B20-2020))</f>
        <v>1187.6325164041173</v>
      </c>
      <c r="E20" s="194">
        <f>IF(OR($B20&lt;$Y$6,$B20&gt;'Project Data and Assumptions'!$C$8),0,$AC$34*(1+$AA$15)^($B20-2020))</f>
        <v>5135.4109737103963</v>
      </c>
      <c r="F20" s="196">
        <f>IF($B20&gt;'Project Data and Assumptions'!$C$8,0,$AC$30*(1+$AA$15)^($B20-2020))</f>
        <v>0</v>
      </c>
      <c r="G20" s="75">
        <f>IF($B20&gt;'Project Data and Assumptions'!$C$8,0,$AB$29*(1+$AA$15)^($B20-2020))</f>
        <v>0</v>
      </c>
      <c r="H20" s="194">
        <f>IF($B20&gt;'Project Data and Assumptions'!$C$8,0,$AC$29*(1+$AA$15)^($B20-2020))</f>
        <v>0</v>
      </c>
      <c r="I20" s="15">
        <f t="shared" si="0"/>
        <v>264506.65493820776</v>
      </c>
      <c r="J20" s="74">
        <f t="shared" si="8"/>
        <v>2838.9167672124022</v>
      </c>
      <c r="K20" s="74">
        <f t="shared" si="9"/>
        <v>185089.22870236944</v>
      </c>
      <c r="L20" s="74">
        <f t="shared" si="1"/>
        <v>67684.716633503034</v>
      </c>
      <c r="M20" s="74">
        <f t="shared" si="10"/>
        <v>3768.5339201082497</v>
      </c>
      <c r="N20" s="76">
        <f t="shared" si="2"/>
        <v>75.134383517790084</v>
      </c>
      <c r="O20" s="15">
        <f t="shared" si="3"/>
        <v>0</v>
      </c>
      <c r="P20" s="74">
        <f t="shared" si="11"/>
        <v>0</v>
      </c>
      <c r="Q20" s="74">
        <f t="shared" si="12"/>
        <v>0</v>
      </c>
      <c r="R20" s="74">
        <f t="shared" si="4"/>
        <v>0</v>
      </c>
      <c r="S20" s="74">
        <f t="shared" si="13"/>
        <v>0</v>
      </c>
      <c r="T20" s="76">
        <f t="shared" si="5"/>
        <v>0</v>
      </c>
      <c r="U20" s="15">
        <f t="shared" si="14"/>
        <v>523963.18534491863</v>
      </c>
      <c r="V20" s="6">
        <f t="shared" si="6"/>
        <v>110528.4009361403</v>
      </c>
      <c r="X20" s="399"/>
      <c r="Y20" s="399"/>
      <c r="Z20" s="125"/>
      <c r="AA20" s="77"/>
    </row>
    <row r="21" spans="1:33" x14ac:dyDescent="0.25">
      <c r="A21" s="61">
        <f t="shared" si="7"/>
        <v>2838.9647523645799</v>
      </c>
      <c r="B21" s="2">
        <f t="shared" si="15"/>
        <v>2045</v>
      </c>
      <c r="C21" s="196">
        <f>IF(OR($B21&lt;$Y$6,$B21&gt;'Project Data and Assumptions'!$C$8),0,$AC$35*(1+$AA$15)^($B21-2020))</f>
        <v>20156.826459171174</v>
      </c>
      <c r="D21" s="75">
        <f>IF(OR($B21&lt;$Y$6,$B21&gt;'Project Data and Assumptions'!$C$8),0,$AB$34*(1+$AA$15)^($B21-2020))</f>
        <v>1192.8423329262941</v>
      </c>
      <c r="E21" s="194">
        <f>IF(OR($B21&lt;$Y$6,$B21&gt;'Project Data and Assumptions'!$C$8),0,$AC$34*(1+$AA$15)^($B21-2020))</f>
        <v>5157.9386062646236</v>
      </c>
      <c r="F21" s="196">
        <f>IF($B21&gt;'Project Data and Assumptions'!$C$8,0,$AC$30*(1+$AA$15)^($B21-2020))</f>
        <v>0</v>
      </c>
      <c r="G21" s="75">
        <f>IF($B21&gt;'Project Data and Assumptions'!$C$8,0,$AB$29*(1+$AA$15)^($B21-2020))</f>
        <v>0</v>
      </c>
      <c r="H21" s="194">
        <f>IF($B21&gt;'Project Data and Assumptions'!$C$8,0,$AC$29*(1+$AA$15)^($B21-2020))</f>
        <v>0</v>
      </c>
      <c r="I21" s="15">
        <f t="shared" si="0"/>
        <v>265666.97273187607</v>
      </c>
      <c r="J21" s="74">
        <f t="shared" si="8"/>
        <v>2851.3703126270138</v>
      </c>
      <c r="K21" s="74">
        <f t="shared" si="9"/>
        <v>185901.16413563816</v>
      </c>
      <c r="L21" s="74">
        <f t="shared" si="1"/>
        <v>67981.630830567738</v>
      </c>
      <c r="M21" s="74">
        <f t="shared" si="10"/>
        <v>3785.0654397577869</v>
      </c>
      <c r="N21" s="76">
        <f t="shared" si="2"/>
        <v>75.463977350249081</v>
      </c>
      <c r="O21" s="15">
        <f t="shared" si="3"/>
        <v>0</v>
      </c>
      <c r="P21" s="74">
        <f t="shared" si="11"/>
        <v>0</v>
      </c>
      <c r="Q21" s="74">
        <f t="shared" si="12"/>
        <v>0</v>
      </c>
      <c r="R21" s="74">
        <f t="shared" si="4"/>
        <v>0</v>
      </c>
      <c r="S21" s="74">
        <f t="shared" si="13"/>
        <v>0</v>
      </c>
      <c r="T21" s="76">
        <f t="shared" si="5"/>
        <v>0</v>
      </c>
      <c r="U21" s="15">
        <f t="shared" si="14"/>
        <v>526261.66742781701</v>
      </c>
      <c r="V21" s="6">
        <f t="shared" si="6"/>
        <v>103750.70894201171</v>
      </c>
      <c r="Z21" s="84"/>
      <c r="AA21" s="84"/>
      <c r="AB21" s="84"/>
      <c r="AC21" s="84"/>
    </row>
    <row r="22" spans="1:33" x14ac:dyDescent="0.25">
      <c r="A22" s="61">
        <f t="shared" si="7"/>
        <v>2851.4185082768286</v>
      </c>
      <c r="B22" s="2">
        <f t="shared" si="15"/>
        <v>2046</v>
      </c>
      <c r="C22" s="196">
        <f>IF(OR($B22&lt;$Y$6,$B22&gt;'Project Data and Assumptions'!$C$8),0,$AC$35*(1+$AA$15)^($B22-2020))</f>
        <v>20245.248901358587</v>
      </c>
      <c r="D22" s="75">
        <f>IF(OR($B22&lt;$Y$6,$B22&gt;'Project Data and Assumptions'!$C$8),0,$AB$34*(1+$AA$15)^($B22-2020))</f>
        <v>1198.075003477659</v>
      </c>
      <c r="E22" s="194">
        <f>IF(OR($B22&lt;$Y$6,$B22&gt;'Project Data and Assumptions'!$C$8),0,$AC$34*(1+$AA$15)^($B22-2020))</f>
        <v>5180.5650613339512</v>
      </c>
      <c r="F22" s="196">
        <f>IF($B22&gt;'Project Data and Assumptions'!$C$8,0,$AC$30*(1+$AA$15)^($B22-2020))</f>
        <v>0</v>
      </c>
      <c r="G22" s="75">
        <f>IF($B22&gt;'Project Data and Assumptions'!$C$8,0,$AB$29*(1+$AA$15)^($B22-2020))</f>
        <v>0</v>
      </c>
      <c r="H22" s="194">
        <f>IF($B22&gt;'Project Data and Assumptions'!$C$8,0,$AC$29*(1+$AA$15)^($B22-2020))</f>
        <v>0</v>
      </c>
      <c r="I22" s="15">
        <f t="shared" si="0"/>
        <v>266832.38051990618</v>
      </c>
      <c r="J22" s="74">
        <f t="shared" si="8"/>
        <v>2863.8784883129965</v>
      </c>
      <c r="K22" s="74">
        <f t="shared" si="9"/>
        <v>186716.66130587237</v>
      </c>
      <c r="L22" s="74">
        <f t="shared" si="1"/>
        <v>68279.847508381485</v>
      </c>
      <c r="M22" s="74">
        <f t="shared" si="10"/>
        <v>3801.6694786277199</v>
      </c>
      <c r="N22" s="76">
        <f t="shared" si="2"/>
        <v>75.795017020010633</v>
      </c>
      <c r="O22" s="15">
        <f t="shared" si="3"/>
        <v>0</v>
      </c>
      <c r="P22" s="74">
        <f t="shared" si="11"/>
        <v>0</v>
      </c>
      <c r="Q22" s="74">
        <f t="shared" si="12"/>
        <v>0</v>
      </c>
      <c r="R22" s="74">
        <f t="shared" si="4"/>
        <v>0</v>
      </c>
      <c r="S22" s="74">
        <f t="shared" si="13"/>
        <v>0</v>
      </c>
      <c r="T22" s="76">
        <f t="shared" si="5"/>
        <v>0</v>
      </c>
      <c r="U22" s="15">
        <f t="shared" si="14"/>
        <v>528570.23231812078</v>
      </c>
      <c r="V22" s="6">
        <f t="shared" si="6"/>
        <v>97388.63056735284</v>
      </c>
      <c r="X22" s="8" t="s">
        <v>495</v>
      </c>
      <c r="Z22" s="84"/>
      <c r="AA22" s="84"/>
      <c r="AB22" s="84"/>
      <c r="AC22" s="84"/>
    </row>
    <row r="23" spans="1:33" x14ac:dyDescent="0.25">
      <c r="A23" s="61">
        <f t="shared" si="7"/>
        <v>2863.9268953838437</v>
      </c>
      <c r="B23" s="2">
        <f t="shared" si="15"/>
        <v>2047</v>
      </c>
      <c r="C23" s="196">
        <f>IF(OR($B23&lt;$Y$6,$B23&gt;'Project Data and Assumptions'!$C$8),0,$AC$35*(1+$AA$15)^($B23-2020))</f>
        <v>20334.059228429483</v>
      </c>
      <c r="D23" s="75">
        <f>IF(OR($B23&lt;$Y$6,$B23&gt;'Project Data and Assumptions'!$C$8),0,$AB$34*(1+$AA$15)^($B23-2020))</f>
        <v>1203.3306283125394</v>
      </c>
      <c r="E23" s="194">
        <f>IF(OR($B23&lt;$Y$6,$B23&gt;'Project Data and Assumptions'!$C$8),0,$AC$34*(1+$AA$15)^($B23-2020))</f>
        <v>5203.2907724255174</v>
      </c>
      <c r="F23" s="196">
        <f>IF($B23&gt;'Project Data and Assumptions'!$C$8,0,$AC$30*(1+$AA$15)^($B23-2020))</f>
        <v>0</v>
      </c>
      <c r="G23" s="75">
        <f>IF($B23&gt;'Project Data and Assumptions'!$C$8,0,$AB$29*(1+$AA$15)^($B23-2020))</f>
        <v>0</v>
      </c>
      <c r="H23" s="194">
        <f>IF($B23&gt;'Project Data and Assumptions'!$C$8,0,$AC$29*(1+$AA$15)^($B23-2020))</f>
        <v>0</v>
      </c>
      <c r="I23" s="15">
        <f t="shared" si="0"/>
        <v>268002.90063070058</v>
      </c>
      <c r="J23" s="74">
        <f t="shared" si="8"/>
        <v>2876.4415339182942</v>
      </c>
      <c r="K23" s="74">
        <f t="shared" si="9"/>
        <v>187535.73583743061</v>
      </c>
      <c r="L23" s="74">
        <f t="shared" si="1"/>
        <v>68579.372380568326</v>
      </c>
      <c r="M23" s="74">
        <f t="shared" si="10"/>
        <v>3818.3463548398818</v>
      </c>
      <c r="N23" s="76">
        <f t="shared" si="2"/>
        <v>76.127508869564494</v>
      </c>
      <c r="O23" s="15">
        <f t="shared" si="3"/>
        <v>0</v>
      </c>
      <c r="P23" s="74">
        <f t="shared" si="11"/>
        <v>0</v>
      </c>
      <c r="Q23" s="74">
        <f t="shared" si="12"/>
        <v>0</v>
      </c>
      <c r="R23" s="74">
        <f t="shared" si="4"/>
        <v>0</v>
      </c>
      <c r="S23" s="74">
        <f t="shared" si="13"/>
        <v>0</v>
      </c>
      <c r="T23" s="76">
        <f t="shared" si="5"/>
        <v>0</v>
      </c>
      <c r="U23" s="15">
        <f t="shared" si="14"/>
        <v>530888.92424632714</v>
      </c>
      <c r="V23" s="6">
        <f t="shared" si="6"/>
        <v>91416.680044908731</v>
      </c>
      <c r="Z23" s="78" t="s">
        <v>23</v>
      </c>
      <c r="AA23" s="78" t="s">
        <v>336</v>
      </c>
      <c r="AB23" s="78" t="s">
        <v>53</v>
      </c>
      <c r="AC23" s="78" t="s">
        <v>195</v>
      </c>
      <c r="AD23" s="78" t="s">
        <v>354</v>
      </c>
    </row>
    <row r="24" spans="1:33" x14ac:dyDescent="0.25">
      <c r="A24" s="61">
        <f t="shared" si="7"/>
        <v>2876.4901533376196</v>
      </c>
      <c r="B24" s="2">
        <f t="shared" si="15"/>
        <v>2048</v>
      </c>
      <c r="C24" s="196">
        <f>IF(OR($B24&lt;$Y$6,$B24&gt;'Project Data and Assumptions'!$C$8),0,$AC$35*(1+$AA$15)^($B24-2020))</f>
        <v>20423.259141927934</v>
      </c>
      <c r="D24" s="75">
        <f>IF(OR($B24&lt;$Y$6,$B24&gt;'Project Data and Assumptions'!$C$8),0,$AB$34*(1+$AA$15)^($B24-2020))</f>
        <v>1208.6093081250503</v>
      </c>
      <c r="E24" s="194">
        <f>IF(OR($B24&lt;$Y$6,$B24&gt;'Project Data and Assumptions'!$C$8),0,$AC$34*(1+$AA$15)^($B24-2020))</f>
        <v>5226.1161749481344</v>
      </c>
      <c r="F24" s="196">
        <f>IF($B24&gt;'Project Data and Assumptions'!$C$8,0,$AC$30*(1+$AA$15)^($B24-2020))</f>
        <v>0</v>
      </c>
      <c r="G24" s="75">
        <f>IF($B24&gt;'Project Data and Assumptions'!$C$8,0,$AB$29*(1+$AA$15)^($B24-2020))</f>
        <v>0</v>
      </c>
      <c r="H24" s="194">
        <f>IF($B24&gt;'Project Data and Assumptions'!$C$8,0,$AC$29*(1+$AA$15)^($B24-2020))</f>
        <v>0</v>
      </c>
      <c r="I24" s="15">
        <f t="shared" si="0"/>
        <v>269178.55549061019</v>
      </c>
      <c r="J24" s="74">
        <f t="shared" si="8"/>
        <v>2889.0596901421209</v>
      </c>
      <c r="K24" s="74">
        <f t="shared" si="9"/>
        <v>188358.40342321098</v>
      </c>
      <c r="L24" s="74">
        <f t="shared" si="1"/>
        <v>68880.211185816413</v>
      </c>
      <c r="M24" s="74">
        <f t="shared" si="10"/>
        <v>3835.096387911618</v>
      </c>
      <c r="N24" s="76">
        <f t="shared" si="2"/>
        <v>76.461459269223198</v>
      </c>
      <c r="O24" s="15">
        <f t="shared" si="3"/>
        <v>0</v>
      </c>
      <c r="P24" s="74">
        <f t="shared" si="11"/>
        <v>0</v>
      </c>
      <c r="Q24" s="74">
        <f t="shared" si="12"/>
        <v>0</v>
      </c>
      <c r="R24" s="74">
        <f t="shared" si="4"/>
        <v>0</v>
      </c>
      <c r="S24" s="74">
        <f t="shared" si="13"/>
        <v>0</v>
      </c>
      <c r="T24" s="76">
        <f t="shared" si="5"/>
        <v>0</v>
      </c>
      <c r="U24" s="15">
        <f t="shared" si="14"/>
        <v>533217.78763696051</v>
      </c>
      <c r="V24" s="6">
        <f t="shared" si="6"/>
        <v>85810.934415528143</v>
      </c>
      <c r="X24" s="620" t="s">
        <v>125</v>
      </c>
      <c r="Y24" s="620"/>
      <c r="Z24" s="79">
        <f>'Annual Use'!B12*'Annual Use'!F12</f>
        <v>56925</v>
      </c>
      <c r="AA24" s="79">
        <f>Z24*SUM(District!B27:B31)</f>
        <v>48818.143077016306</v>
      </c>
      <c r="AB24" s="79">
        <f>SUM($Z24:$Z25)*District!C11</f>
        <v>22001.760000000002</v>
      </c>
      <c r="AC24" s="79">
        <f>Z24-AB24</f>
        <v>34923.24</v>
      </c>
      <c r="AD24" s="235">
        <f>AA24/Z24</f>
        <v>0.85758705449304007</v>
      </c>
    </row>
    <row r="25" spans="1:33" x14ac:dyDescent="0.25">
      <c r="A25" s="61">
        <f t="shared" si="7"/>
        <v>2889.108522841439</v>
      </c>
      <c r="B25" s="2">
        <f t="shared" si="15"/>
        <v>2049</v>
      </c>
      <c r="C25" s="196">
        <f>IF(OR($B25&lt;$Y$6,$B25&gt;'Project Data and Assumptions'!$C$8),0,$AC$35*(1+$AA$15)^($B25-2020))</f>
        <v>20512.850350862227</v>
      </c>
      <c r="D25" s="75">
        <f>IF(OR($B25&lt;$Y$6,$B25&gt;'Project Data and Assumptions'!$C$8),0,$AB$34*(1+$AA$15)^($B25-2020))</f>
        <v>1213.9111440510248</v>
      </c>
      <c r="E25" s="194">
        <f>IF(OR($B25&lt;$Y$6,$B25&gt;'Project Data and Assumptions'!$C$8),0,$AC$34*(1+$AA$15)^($B25-2020))</f>
        <v>5249.0417062206352</v>
      </c>
      <c r="F25" s="196">
        <f>IF($B25&gt;'Project Data and Assumptions'!$C$8,0,$AC$30*(1+$AA$15)^($B25-2020))</f>
        <v>0</v>
      </c>
      <c r="G25" s="75">
        <f>IF($B25&gt;'Project Data and Assumptions'!$C$8,0,$AB$29*(1+$AA$15)^($B25-2020))</f>
        <v>0</v>
      </c>
      <c r="H25" s="194">
        <f>IF($B25&gt;'Project Data and Assumptions'!$C$8,0,$AC$29*(1+$AA$15)^($B25-2020))</f>
        <v>0</v>
      </c>
      <c r="I25" s="15">
        <f t="shared" si="0"/>
        <v>270359.36762436415</v>
      </c>
      <c r="J25" s="74">
        <f t="shared" si="8"/>
        <v>2901.7331987395701</v>
      </c>
      <c r="K25" s="74">
        <f t="shared" si="9"/>
        <v>189184.67982495209</v>
      </c>
      <c r="L25" s="74">
        <f t="shared" si="1"/>
        <v>69182.369687987972</v>
      </c>
      <c r="M25" s="74">
        <f t="shared" si="10"/>
        <v>3851.9198987619093</v>
      </c>
      <c r="N25" s="76">
        <f t="shared" si="2"/>
        <v>76.796874617244043</v>
      </c>
      <c r="O25" s="15">
        <f t="shared" si="3"/>
        <v>0</v>
      </c>
      <c r="P25" s="74">
        <f t="shared" si="11"/>
        <v>0</v>
      </c>
      <c r="Q25" s="74">
        <f t="shared" si="12"/>
        <v>0</v>
      </c>
      <c r="R25" s="74">
        <f t="shared" si="4"/>
        <v>0</v>
      </c>
      <c r="S25" s="74">
        <f t="shared" si="13"/>
        <v>0</v>
      </c>
      <c r="T25" s="76">
        <f t="shared" si="5"/>
        <v>0</v>
      </c>
      <c r="U25" s="15">
        <f t="shared" si="14"/>
        <v>535556.86710942292</v>
      </c>
      <c r="V25" s="6">
        <f t="shared" si="6"/>
        <v>80548.937695491943</v>
      </c>
      <c r="X25" s="620" t="s">
        <v>124</v>
      </c>
      <c r="Y25" s="620"/>
      <c r="Z25" s="79">
        <f>'Annual Use'!G12*'Annual Use'!B12</f>
        <v>180675</v>
      </c>
      <c r="AA25" s="79">
        <f>Z25*SUM(District!B26:B31)</f>
        <v>162349.1845457482</v>
      </c>
      <c r="AB25" s="79">
        <v>0</v>
      </c>
      <c r="AC25" s="79">
        <f>Z25-AB25</f>
        <v>180675</v>
      </c>
      <c r="AD25" s="235">
        <f>AA25/Z25</f>
        <v>0.89857027560950986</v>
      </c>
      <c r="AG25" s="91" t="s">
        <v>64</v>
      </c>
    </row>
    <row r="26" spans="1:33" x14ac:dyDescent="0.25">
      <c r="A26" s="61">
        <f t="shared" si="7"/>
        <v>2901.7822456544804</v>
      </c>
      <c r="B26" s="264">
        <f t="shared" si="15"/>
        <v>2050</v>
      </c>
      <c r="C26" s="265">
        <f>IF(OR($B26&lt;$Y$6,$B26&gt;'Project Data and Assumptions'!$C$8),0,$AC$35*(1+$AA$15)^($B26-2020))</f>
        <v>20602.834571737574</v>
      </c>
      <c r="D26" s="266">
        <f>IF(OR($B26&lt;$Y$6,$B26&gt;'Project Data and Assumptions'!$C$8),0,$AB$34*(1+$AA$15)^($B26-2020))</f>
        <v>1219.2362376699498</v>
      </c>
      <c r="E26" s="267">
        <f>IF(OR($B26&lt;$Y$6,$B26&gt;'Project Data and Assumptions'!$C$8),0,$AC$34*(1+$AA$15)^($B26-2020))</f>
        <v>5272.0678054802456</v>
      </c>
      <c r="F26" s="265">
        <f>IF($B26&gt;'Project Data and Assumptions'!$C$8,0,$AC$30*(1+$AA$15)^($B26-2020))</f>
        <v>0</v>
      </c>
      <c r="G26" s="266">
        <f>IF($B26&gt;'Project Data and Assumptions'!$C$8,0,$AB$29*(1+$AA$15)^($B26-2020))</f>
        <v>0</v>
      </c>
      <c r="H26" s="267">
        <f>IF($B26&gt;'Project Data and Assumptions'!$C$8,0,$AC$29*(1+$AA$15)^($B26-2020))</f>
        <v>0</v>
      </c>
      <c r="I26" s="98">
        <f t="shared" si="0"/>
        <v>271545.35965550126</v>
      </c>
      <c r="J26" s="99">
        <f t="shared" si="8"/>
        <v>2914.4623025262485</v>
      </c>
      <c r="K26" s="99">
        <f t="shared" si="9"/>
        <v>190014.58087353478</v>
      </c>
      <c r="L26" s="99">
        <f t="shared" si="1"/>
        <v>69485.853676229643</v>
      </c>
      <c r="M26" s="99">
        <f t="shared" si="10"/>
        <v>3868.8172097175166</v>
      </c>
      <c r="N26" s="101">
        <f t="shared" si="2"/>
        <v>77.133761339951704</v>
      </c>
      <c r="O26" s="98">
        <f t="shared" si="3"/>
        <v>0</v>
      </c>
      <c r="P26" s="99">
        <f t="shared" si="11"/>
        <v>0</v>
      </c>
      <c r="Q26" s="99">
        <f t="shared" si="12"/>
        <v>0</v>
      </c>
      <c r="R26" s="99">
        <f t="shared" si="4"/>
        <v>0</v>
      </c>
      <c r="S26" s="99">
        <f t="shared" si="13"/>
        <v>0</v>
      </c>
      <c r="T26" s="101">
        <f t="shared" si="5"/>
        <v>0</v>
      </c>
      <c r="U26" s="98">
        <f t="shared" si="14"/>
        <v>537906.20747884933</v>
      </c>
      <c r="V26" s="272">
        <f t="shared" si="6"/>
        <v>75609.610920378953</v>
      </c>
      <c r="Z26" s="84"/>
      <c r="AA26" s="84"/>
      <c r="AB26" s="84"/>
      <c r="AC26" s="84"/>
      <c r="AG26" s="91" t="s">
        <v>65</v>
      </c>
    </row>
    <row r="27" spans="1:33" x14ac:dyDescent="0.25">
      <c r="A27" s="61">
        <f t="shared" si="7"/>
        <v>0</v>
      </c>
      <c r="B27" s="2">
        <f t="shared" si="15"/>
        <v>2051</v>
      </c>
      <c r="C27" s="196">
        <f>IF(OR($B27&lt;$Y$6,$B27&gt;'Project Data and Assumptions'!$C$8),0,$AC$35*(1+$AA$15)^($B27-2020))</f>
        <v>0</v>
      </c>
      <c r="D27" s="75">
        <f>IF(OR($B27&lt;$Y$6,$B27&gt;'Project Data and Assumptions'!$C$8),0,$AB$34*(1+$AA$15)^($B27-2020))</f>
        <v>0</v>
      </c>
      <c r="E27" s="194">
        <f>IF(OR($B27&lt;$Y$6,$B27&gt;'Project Data and Assumptions'!$C$8),0,$AC$34*(1+$AA$15)^($B27-2020))</f>
        <v>0</v>
      </c>
      <c r="F27" s="196">
        <f>IF($B27&gt;'Project Data and Assumptions'!$C$8,0,$AC$30*(1+$AA$15)^($B27-2020))</f>
        <v>0</v>
      </c>
      <c r="G27" s="75">
        <f>IF($B27&gt;'Project Data and Assumptions'!$C$8,0,$AB$29*(1+$AA$15)^($B27-2020))</f>
        <v>0</v>
      </c>
      <c r="H27" s="194">
        <f>IF($B27&gt;'Project Data and Assumptions'!$C$8,0,$AC$29*(1+$AA$15)^($B27-2020))</f>
        <v>0</v>
      </c>
      <c r="I27" s="98">
        <f t="shared" si="0"/>
        <v>0</v>
      </c>
      <c r="J27" s="99">
        <f t="shared" si="8"/>
        <v>0</v>
      </c>
      <c r="K27" s="99">
        <f t="shared" si="9"/>
        <v>0</v>
      </c>
      <c r="L27" s="99">
        <f t="shared" si="1"/>
        <v>0</v>
      </c>
      <c r="M27" s="99">
        <f t="shared" si="10"/>
        <v>0</v>
      </c>
      <c r="N27" s="101">
        <f t="shared" si="2"/>
        <v>0</v>
      </c>
      <c r="O27" s="98">
        <f t="shared" si="3"/>
        <v>0</v>
      </c>
      <c r="P27" s="99">
        <f t="shared" si="11"/>
        <v>0</v>
      </c>
      <c r="Q27" s="99">
        <f t="shared" si="12"/>
        <v>0</v>
      </c>
      <c r="R27" s="99">
        <f t="shared" si="4"/>
        <v>0</v>
      </c>
      <c r="S27" s="99">
        <f t="shared" si="13"/>
        <v>0</v>
      </c>
      <c r="T27" s="101">
        <f t="shared" si="5"/>
        <v>0</v>
      </c>
      <c r="U27" s="15">
        <f t="shared" si="14"/>
        <v>0</v>
      </c>
      <c r="V27" s="6">
        <f t="shared" si="6"/>
        <v>0</v>
      </c>
      <c r="X27" s="8" t="s">
        <v>496</v>
      </c>
      <c r="Z27" s="84"/>
      <c r="AA27" s="84"/>
      <c r="AB27" s="84"/>
      <c r="AC27" s="84"/>
    </row>
    <row r="28" spans="1:33" x14ac:dyDescent="0.25">
      <c r="A28" s="61">
        <f t="shared" si="7"/>
        <v>0</v>
      </c>
      <c r="B28" s="2">
        <f t="shared" si="15"/>
        <v>2052</v>
      </c>
      <c r="C28" s="196">
        <f>IF(OR($B28&lt;$Y$6,$B28&gt;'Project Data and Assumptions'!$C$8),0,$AC$35*(1+$AA$15)^($B28-2020))</f>
        <v>0</v>
      </c>
      <c r="D28" s="75">
        <f>IF(OR($B28&lt;$Y$6,$B28&gt;'Project Data and Assumptions'!$C$8),0,$AB$34*(1+$AA$15)^($B28-2020))</f>
        <v>0</v>
      </c>
      <c r="E28" s="194">
        <f>IF(OR($B28&lt;$Y$6,$B28&gt;'Project Data and Assumptions'!$C$8),0,$AC$34*(1+$AA$15)^($B28-2020))</f>
        <v>0</v>
      </c>
      <c r="F28" s="196">
        <f>IF($B28&gt;'Project Data and Assumptions'!$C$8,0,$AC$30*(1+$AA$15)^($B28-2020))</f>
        <v>0</v>
      </c>
      <c r="G28" s="75">
        <f>IF($B28&gt;'Project Data and Assumptions'!$C$8,0,$AB$29*(1+$AA$15)^($B28-2020))</f>
        <v>0</v>
      </c>
      <c r="H28" s="194">
        <f>IF($B28&gt;'Project Data and Assumptions'!$C$8,0,$AC$29*(1+$AA$15)^($B28-2020))</f>
        <v>0</v>
      </c>
      <c r="I28" s="98">
        <f t="shared" si="0"/>
        <v>0</v>
      </c>
      <c r="J28" s="99">
        <f t="shared" si="8"/>
        <v>0</v>
      </c>
      <c r="K28" s="99">
        <f t="shared" si="9"/>
        <v>0</v>
      </c>
      <c r="L28" s="99">
        <f t="shared" si="1"/>
        <v>0</v>
      </c>
      <c r="M28" s="99">
        <f t="shared" si="10"/>
        <v>0</v>
      </c>
      <c r="N28" s="101">
        <f t="shared" si="2"/>
        <v>0</v>
      </c>
      <c r="O28" s="98">
        <f t="shared" si="3"/>
        <v>0</v>
      </c>
      <c r="P28" s="99">
        <f t="shared" si="11"/>
        <v>0</v>
      </c>
      <c r="Q28" s="99">
        <f t="shared" si="12"/>
        <v>0</v>
      </c>
      <c r="R28" s="99">
        <f t="shared" si="4"/>
        <v>0</v>
      </c>
      <c r="S28" s="99">
        <f t="shared" si="13"/>
        <v>0</v>
      </c>
      <c r="T28" s="101">
        <f t="shared" si="5"/>
        <v>0</v>
      </c>
      <c r="U28" s="15">
        <f t="shared" si="14"/>
        <v>0</v>
      </c>
      <c r="V28" s="6">
        <f t="shared" si="6"/>
        <v>0</v>
      </c>
      <c r="Z28" s="78" t="s">
        <v>23</v>
      </c>
      <c r="AA28" s="78" t="s">
        <v>336</v>
      </c>
      <c r="AB28" s="78" t="s">
        <v>53</v>
      </c>
      <c r="AC28" s="78" t="s">
        <v>195</v>
      </c>
      <c r="AD28" s="78" t="s">
        <v>354</v>
      </c>
    </row>
    <row r="29" spans="1:33" ht="15.75" thickBot="1" x14ac:dyDescent="0.3">
      <c r="A29" s="61">
        <f t="shared" si="7"/>
        <v>0</v>
      </c>
      <c r="B29" s="268">
        <f t="shared" si="15"/>
        <v>2053</v>
      </c>
      <c r="C29" s="269">
        <f>IF(OR($B29&lt;$Y$6,$B29&gt;'Project Data and Assumptions'!$C$8),0,$AC$35*(1+$AA$15)^($B29-2020))</f>
        <v>0</v>
      </c>
      <c r="D29" s="270">
        <f>IF(OR($B29&lt;$Y$6,$B29&gt;'Project Data and Assumptions'!$C$8),0,$AB$34*(1+$AA$15)^($B29-2020))</f>
        <v>0</v>
      </c>
      <c r="E29" s="271">
        <f>IF(OR($B29&lt;$Y$6,$B29&gt;'Project Data and Assumptions'!$C$8),0,$AC$34*(1+$AA$15)^($B29-2020))</f>
        <v>0</v>
      </c>
      <c r="F29" s="269">
        <f>IF($B29&gt;'Project Data and Assumptions'!$C$8,0,$AC$30*(1+$AA$15)^($B29-2020))</f>
        <v>0</v>
      </c>
      <c r="G29" s="270">
        <f>IF($B29&gt;'Project Data and Assumptions'!$C$8,0,$AB$29*(1+$AA$15)^($B29-2020))</f>
        <v>0</v>
      </c>
      <c r="H29" s="271">
        <f>IF($B29&gt;'Project Data and Assumptions'!$C$8,0,$AC$29*(1+$AA$15)^($B29-2020))</f>
        <v>0</v>
      </c>
      <c r="I29" s="98">
        <f t="shared" si="0"/>
        <v>0</v>
      </c>
      <c r="J29" s="99">
        <f t="shared" si="8"/>
        <v>0</v>
      </c>
      <c r="K29" s="99">
        <f t="shared" si="9"/>
        <v>0</v>
      </c>
      <c r="L29" s="99">
        <f t="shared" si="1"/>
        <v>0</v>
      </c>
      <c r="M29" s="99">
        <f t="shared" si="10"/>
        <v>0</v>
      </c>
      <c r="N29" s="101">
        <f t="shared" si="2"/>
        <v>0</v>
      </c>
      <c r="O29" s="98">
        <f t="shared" si="3"/>
        <v>0</v>
      </c>
      <c r="P29" s="99">
        <f t="shared" si="11"/>
        <v>0</v>
      </c>
      <c r="Q29" s="99">
        <f t="shared" si="12"/>
        <v>0</v>
      </c>
      <c r="R29" s="99">
        <f t="shared" si="4"/>
        <v>0</v>
      </c>
      <c r="S29" s="99">
        <f t="shared" si="13"/>
        <v>0</v>
      </c>
      <c r="T29" s="101">
        <f t="shared" si="5"/>
        <v>0</v>
      </c>
      <c r="U29" s="118">
        <f t="shared" si="14"/>
        <v>0</v>
      </c>
      <c r="V29" s="119">
        <f t="shared" si="6"/>
        <v>0</v>
      </c>
      <c r="X29" s="620" t="s">
        <v>125</v>
      </c>
      <c r="Y29" s="620"/>
      <c r="Z29" s="79">
        <f>$Y$8/$Y$7*Z24</f>
        <v>0</v>
      </c>
      <c r="AA29" s="737">
        <f>Z29*(SUM('Shingle Creek'!$B$27:$B$30)+'Shingle Creek'!$B$26*5/7)</f>
        <v>0</v>
      </c>
      <c r="AB29" s="737">
        <f>SUM($Z29:$Z30)*'Shingle Creek'!$C$11</f>
        <v>0</v>
      </c>
      <c r="AC29" s="79">
        <f>Z29-AB29</f>
        <v>0</v>
      </c>
      <c r="AD29" s="235">
        <f>IFERROR(AA29/Z29,0)</f>
        <v>0</v>
      </c>
    </row>
    <row r="30" spans="1:33" ht="15.75" thickBot="1" x14ac:dyDescent="0.3">
      <c r="A30" s="61"/>
      <c r="B30" s="4"/>
      <c r="D30" s="4"/>
      <c r="G30" s="4"/>
      <c r="H30" s="81" t="s">
        <v>2</v>
      </c>
      <c r="I30" s="115">
        <f>SUM(I7:I29)</f>
        <v>5211365.6945294235</v>
      </c>
      <c r="J30" s="116">
        <f t="shared" ref="J30:V30" si="16">SUM(J7:J29)</f>
        <v>55932.934669380287</v>
      </c>
      <c r="K30" s="116">
        <f t="shared" si="16"/>
        <v>3646666.8754015835</v>
      </c>
      <c r="L30" s="116">
        <f t="shared" si="16"/>
        <v>1333538.5092302694</v>
      </c>
      <c r="M30" s="116">
        <f t="shared" si="16"/>
        <v>74248.447149696862</v>
      </c>
      <c r="N30" s="117">
        <f t="shared" si="16"/>
        <v>1480.3134115309883</v>
      </c>
      <c r="O30" s="115">
        <f t="shared" si="16"/>
        <v>0</v>
      </c>
      <c r="P30" s="116">
        <f t="shared" si="16"/>
        <v>0</v>
      </c>
      <c r="Q30" s="116">
        <f t="shared" si="16"/>
        <v>0</v>
      </c>
      <c r="R30" s="116">
        <f t="shared" si="16"/>
        <v>0</v>
      </c>
      <c r="S30" s="116">
        <f t="shared" si="16"/>
        <v>0</v>
      </c>
      <c r="T30" s="117">
        <f t="shared" si="16"/>
        <v>0</v>
      </c>
      <c r="U30" s="118">
        <f t="shared" si="16"/>
        <v>10323232.774391884</v>
      </c>
      <c r="V30" s="119">
        <f t="shared" si="16"/>
        <v>2945980.0746899657</v>
      </c>
      <c r="X30" s="620" t="s">
        <v>124</v>
      </c>
      <c r="Y30" s="620"/>
      <c r="Z30" s="79">
        <f>$Y$8/$Y$7*Z25</f>
        <v>0</v>
      </c>
      <c r="AA30" s="737">
        <f>Z30*(SUM('Shingle Creek'!$B$27:$B$30)+'Shingle Creek'!$B$26*5/7)</f>
        <v>0</v>
      </c>
      <c r="AB30" s="738">
        <v>0</v>
      </c>
      <c r="AC30" s="79">
        <f>Z30-AB30</f>
        <v>0</v>
      </c>
      <c r="AD30" s="235">
        <f>IFERROR(AA30/Z30,0)</f>
        <v>0</v>
      </c>
    </row>
    <row r="31" spans="1:33" ht="15" customHeight="1" x14ac:dyDescent="0.25">
      <c r="A31" s="61"/>
      <c r="B31" s="4"/>
      <c r="D31" s="4"/>
      <c r="F31" s="81"/>
      <c r="G31" s="4"/>
      <c r="H31" s="4"/>
      <c r="I31" s="82"/>
      <c r="J31" s="82"/>
      <c r="K31" s="82"/>
      <c r="L31" s="82"/>
      <c r="M31" s="82"/>
      <c r="N31" s="82"/>
      <c r="O31" s="82"/>
      <c r="P31" s="82"/>
      <c r="Q31" s="82"/>
      <c r="R31" s="82"/>
      <c r="S31" s="82"/>
      <c r="T31" s="82"/>
      <c r="U31" s="82"/>
      <c r="V31" s="82"/>
      <c r="Z31" s="84"/>
      <c r="AA31" s="739"/>
      <c r="AB31" s="739"/>
      <c r="AC31" s="84"/>
    </row>
    <row r="32" spans="1:33" ht="15" customHeight="1" x14ac:dyDescent="0.25">
      <c r="D32" s="83"/>
      <c r="X32" s="8" t="s">
        <v>497</v>
      </c>
      <c r="Z32" s="84"/>
      <c r="AA32" s="739"/>
      <c r="AB32" s="739"/>
      <c r="AC32" s="84"/>
    </row>
    <row r="33" spans="1:33" ht="15" customHeight="1" x14ac:dyDescent="0.25">
      <c r="D33" s="83"/>
      <c r="Z33" s="78" t="s">
        <v>23</v>
      </c>
      <c r="AA33" s="740" t="s">
        <v>336</v>
      </c>
      <c r="AB33" s="740" t="s">
        <v>53</v>
      </c>
      <c r="AC33" s="78" t="s">
        <v>195</v>
      </c>
      <c r="AD33" s="78" t="s">
        <v>354</v>
      </c>
    </row>
    <row r="34" spans="1:33" ht="17.25" customHeight="1" x14ac:dyDescent="0.25">
      <c r="B34" s="8" t="s">
        <v>3</v>
      </c>
      <c r="H34" s="8"/>
      <c r="X34" s="620" t="s">
        <v>125</v>
      </c>
      <c r="Y34" s="620"/>
      <c r="Z34" s="79">
        <f>$Y$9/$Y$7*Z24</f>
        <v>5692.5</v>
      </c>
      <c r="AA34" s="737">
        <f>Z34*(SUM('Shingle Creek'!$B$27:$B$30)+'Shingle Creek'!$B$26*5/7)</f>
        <v>4386.1200428571428</v>
      </c>
      <c r="AB34" s="737">
        <f>SUM($Z34:$Z35)*'Shingle Creek'!$C$11</f>
        <v>1069.2</v>
      </c>
      <c r="AC34" s="79">
        <f>Z34-AB34</f>
        <v>4623.3</v>
      </c>
      <c r="AD34" s="190">
        <f>AA34/Z34</f>
        <v>0.77050857142857143</v>
      </c>
    </row>
    <row r="35" spans="1:33" ht="17.25" customHeight="1" x14ac:dyDescent="0.25">
      <c r="A35" s="9" t="s">
        <v>18</v>
      </c>
      <c r="B35" s="398" t="s">
        <v>522</v>
      </c>
      <c r="C35" s="42"/>
      <c r="D35" s="42"/>
      <c r="E35" s="24"/>
      <c r="F35" s="24"/>
      <c r="G35" s="24"/>
      <c r="H35" s="24"/>
      <c r="I35" s="24"/>
      <c r="J35" s="24"/>
      <c r="K35" s="24"/>
      <c r="L35" s="24"/>
      <c r="M35" s="24"/>
      <c r="N35" s="24"/>
      <c r="O35" s="24"/>
      <c r="P35" s="24"/>
      <c r="Q35" s="24"/>
      <c r="R35" s="24"/>
      <c r="S35" s="24"/>
      <c r="T35" s="49"/>
      <c r="U35" s="49"/>
      <c r="V35" s="24"/>
      <c r="X35" s="620" t="s">
        <v>124</v>
      </c>
      <c r="Y35" s="620"/>
      <c r="Z35" s="79">
        <f>$Y$9/$Y$7*Z25</f>
        <v>18067.5</v>
      </c>
      <c r="AA35" s="737">
        <f>Z35*(SUM('Shingle Creek'!$B$27:$B$30)+'Shingle Creek'!$B$26*5/7)</f>
        <v>13921.163614285715</v>
      </c>
      <c r="AB35" s="738">
        <v>0</v>
      </c>
      <c r="AC35" s="79">
        <f>Z35-AB35</f>
        <v>18067.5</v>
      </c>
      <c r="AD35" s="190">
        <f>AA35/Z35</f>
        <v>0.77050857142857143</v>
      </c>
    </row>
    <row r="36" spans="1:33" ht="17.25" customHeight="1" x14ac:dyDescent="0.25">
      <c r="B36" s="398"/>
      <c r="C36" s="42"/>
      <c r="D36" s="42"/>
      <c r="E36" s="24"/>
      <c r="F36" s="24"/>
      <c r="G36" s="24"/>
      <c r="H36" s="24"/>
      <c r="I36" s="24"/>
      <c r="J36" s="47"/>
      <c r="K36" s="47"/>
      <c r="L36" s="24"/>
      <c r="M36" s="24"/>
      <c r="N36" s="24"/>
      <c r="O36" s="24"/>
      <c r="P36" s="47"/>
      <c r="Q36" s="47"/>
      <c r="R36" s="24"/>
      <c r="S36" s="24"/>
      <c r="T36" s="49"/>
      <c r="U36" s="49"/>
      <c r="V36" s="24"/>
      <c r="Z36" s="84"/>
      <c r="AA36" s="84"/>
      <c r="AB36" s="84"/>
      <c r="AC36" s="84"/>
    </row>
    <row r="37" spans="1:33" ht="15" customHeight="1" x14ac:dyDescent="0.25">
      <c r="A37" s="9" t="s">
        <v>17</v>
      </c>
      <c r="B37" s="624" t="s">
        <v>695</v>
      </c>
      <c r="C37" s="624"/>
      <c r="D37" s="624"/>
      <c r="E37" s="624"/>
      <c r="F37" s="624"/>
      <c r="G37" s="624"/>
      <c r="H37" s="624"/>
      <c r="I37" s="624"/>
      <c r="J37" s="624"/>
      <c r="K37" s="624"/>
      <c r="L37" s="624"/>
      <c r="M37" s="624"/>
      <c r="N37" s="624"/>
      <c r="O37" s="624"/>
      <c r="P37" s="624"/>
      <c r="Q37" s="624"/>
      <c r="R37" s="624"/>
      <c r="S37" s="624"/>
      <c r="T37" s="49"/>
      <c r="U37" s="49"/>
      <c r="V37" s="24"/>
      <c r="X37" s="8" t="s">
        <v>498</v>
      </c>
      <c r="Z37" s="84"/>
      <c r="AA37" s="84"/>
      <c r="AB37" s="84"/>
      <c r="AC37" s="84"/>
    </row>
    <row r="38" spans="1:33" ht="17.25" customHeight="1" x14ac:dyDescent="0.25">
      <c r="B38" s="624"/>
      <c r="C38" s="624"/>
      <c r="D38" s="624"/>
      <c r="E38" s="624"/>
      <c r="F38" s="624"/>
      <c r="G38" s="624"/>
      <c r="H38" s="624"/>
      <c r="I38" s="624"/>
      <c r="J38" s="624"/>
      <c r="K38" s="624"/>
      <c r="L38" s="624"/>
      <c r="M38" s="624"/>
      <c r="N38" s="624"/>
      <c r="O38" s="624"/>
      <c r="P38" s="624"/>
      <c r="Q38" s="624"/>
      <c r="R38" s="624"/>
      <c r="S38" s="624"/>
      <c r="T38" s="49"/>
      <c r="U38" s="49"/>
      <c r="V38" s="24"/>
      <c r="X38" s="620" t="s">
        <v>54</v>
      </c>
      <c r="Y38" s="620"/>
      <c r="Z38" s="620"/>
      <c r="AA38" s="85">
        <v>21.6</v>
      </c>
    </row>
    <row r="39" spans="1:33" ht="15" customHeight="1" x14ac:dyDescent="0.25">
      <c r="B39" s="624"/>
      <c r="C39" s="624"/>
      <c r="D39" s="624"/>
      <c r="E39" s="624"/>
      <c r="F39" s="624"/>
      <c r="G39" s="624"/>
      <c r="H39" s="624"/>
      <c r="I39" s="624"/>
      <c r="J39" s="624"/>
      <c r="K39" s="624"/>
      <c r="L39" s="624"/>
      <c r="M39" s="624"/>
      <c r="N39" s="624"/>
      <c r="O39" s="624"/>
      <c r="P39" s="624"/>
      <c r="Q39" s="624"/>
      <c r="R39" s="624"/>
      <c r="S39" s="624"/>
      <c r="T39" s="405"/>
      <c r="U39" s="405"/>
      <c r="V39" s="189"/>
      <c r="X39" s="621" t="s">
        <v>77</v>
      </c>
      <c r="Y39" s="621"/>
      <c r="Z39" s="621"/>
      <c r="AA39" s="109">
        <f>16.6/60</f>
        <v>0.27666666666666667</v>
      </c>
      <c r="AB39" s="127"/>
    </row>
    <row r="40" spans="1:33" ht="15" customHeight="1" x14ac:dyDescent="0.25">
      <c r="B40" s="733"/>
      <c r="C40" s="733"/>
      <c r="D40" s="733"/>
      <c r="E40" s="733"/>
      <c r="F40" s="733"/>
      <c r="G40" s="733"/>
      <c r="H40" s="733"/>
      <c r="I40" s="733"/>
      <c r="J40" s="733"/>
      <c r="K40" s="733"/>
      <c r="L40" s="733"/>
      <c r="M40" s="733"/>
      <c r="N40" s="733"/>
      <c r="O40" s="733"/>
      <c r="P40" s="733"/>
      <c r="Q40" s="733"/>
      <c r="R40" s="733"/>
      <c r="S40" s="733"/>
      <c r="X40" s="621" t="s">
        <v>56</v>
      </c>
      <c r="Y40" s="621"/>
      <c r="Z40" s="621"/>
      <c r="AA40" s="94">
        <v>0.4</v>
      </c>
    </row>
    <row r="41" spans="1:33" ht="17.25" customHeight="1" x14ac:dyDescent="0.25">
      <c r="A41" s="9" t="s">
        <v>19</v>
      </c>
      <c r="B41" s="734" t="s">
        <v>693</v>
      </c>
      <c r="C41" s="735"/>
      <c r="D41" s="735"/>
      <c r="E41" s="735"/>
      <c r="F41" s="735"/>
      <c r="G41" s="735"/>
      <c r="H41" s="735"/>
      <c r="I41" s="735"/>
      <c r="J41" s="735"/>
      <c r="K41" s="735"/>
      <c r="L41" s="735"/>
      <c r="M41" s="735"/>
      <c r="N41" s="735"/>
      <c r="O41" s="735"/>
      <c r="P41" s="735"/>
      <c r="Q41" s="735"/>
      <c r="R41" s="735"/>
      <c r="S41" s="735"/>
      <c r="V41" s="189"/>
      <c r="AG41" s="95" t="s">
        <v>66</v>
      </c>
    </row>
    <row r="42" spans="1:33" ht="17.25" customHeight="1" x14ac:dyDescent="0.25">
      <c r="C42" s="24"/>
      <c r="D42" s="24"/>
      <c r="E42" s="24"/>
      <c r="F42" s="24"/>
      <c r="G42" s="24"/>
      <c r="H42" s="24"/>
      <c r="I42" s="24"/>
      <c r="J42" s="24"/>
      <c r="K42" s="24"/>
      <c r="L42" s="24"/>
      <c r="M42" s="24"/>
      <c r="N42" s="24"/>
      <c r="O42" s="24"/>
      <c r="P42" s="24"/>
      <c r="Q42" s="24"/>
      <c r="R42" s="24"/>
      <c r="S42" s="24"/>
      <c r="W42" s="24"/>
      <c r="X42" s="8" t="s">
        <v>513</v>
      </c>
      <c r="AG42" s="95" t="s">
        <v>66</v>
      </c>
    </row>
    <row r="43" spans="1:33" ht="15" customHeight="1" x14ac:dyDescent="0.25">
      <c r="A43" s="9" t="s">
        <v>20</v>
      </c>
      <c r="B43" s="624" t="s">
        <v>694</v>
      </c>
      <c r="C43" s="624"/>
      <c r="D43" s="624"/>
      <c r="E43" s="624"/>
      <c r="F43" s="624"/>
      <c r="G43" s="624"/>
      <c r="H43" s="624"/>
      <c r="I43" s="624"/>
      <c r="J43" s="624"/>
      <c r="K43" s="624"/>
      <c r="L43" s="624"/>
      <c r="M43" s="624"/>
      <c r="N43" s="624"/>
      <c r="O43" s="624"/>
      <c r="P43" s="624"/>
      <c r="Q43" s="624"/>
      <c r="R43" s="624"/>
      <c r="S43" s="624"/>
      <c r="T43" s="49"/>
      <c r="U43" s="49"/>
      <c r="W43" s="24"/>
      <c r="X43" s="198" t="s">
        <v>122</v>
      </c>
      <c r="Y43" s="199"/>
      <c r="Z43" s="199"/>
      <c r="AA43" s="139">
        <v>7.2</v>
      </c>
      <c r="AG43" s="95" t="s">
        <v>55</v>
      </c>
    </row>
    <row r="44" spans="1:33" ht="15" customHeight="1" x14ac:dyDescent="0.25">
      <c r="B44" s="624"/>
      <c r="C44" s="624"/>
      <c r="D44" s="624"/>
      <c r="E44" s="624"/>
      <c r="F44" s="624"/>
      <c r="G44" s="624"/>
      <c r="H44" s="624"/>
      <c r="I44" s="624"/>
      <c r="J44" s="624"/>
      <c r="K44" s="624"/>
      <c r="L44" s="624"/>
      <c r="M44" s="624"/>
      <c r="N44" s="624"/>
      <c r="O44" s="624"/>
      <c r="P44" s="624"/>
      <c r="Q44" s="624"/>
      <c r="R44" s="624"/>
      <c r="S44" s="624"/>
      <c r="T44" s="49"/>
      <c r="U44" s="49"/>
      <c r="V44" s="24"/>
      <c r="W44" s="24"/>
      <c r="X44" s="198" t="s">
        <v>123</v>
      </c>
      <c r="Y44" s="199"/>
      <c r="Z44" s="199"/>
      <c r="AA44" s="443">
        <v>6.42</v>
      </c>
      <c r="AC44" s="93"/>
      <c r="AG44" s="95" t="s">
        <v>67</v>
      </c>
    </row>
    <row r="45" spans="1:33" ht="17.25" customHeight="1" x14ac:dyDescent="0.25">
      <c r="J45"/>
      <c r="K45"/>
      <c r="P45"/>
      <c r="Q45"/>
      <c r="T45" s="49"/>
      <c r="U45" s="49"/>
      <c r="V45" s="24"/>
      <c r="W45" s="24"/>
      <c r="AG45" s="95" t="s">
        <v>68</v>
      </c>
    </row>
    <row r="46" spans="1:33" ht="15" customHeight="1" x14ac:dyDescent="0.25">
      <c r="A46" s="9" t="s">
        <v>57</v>
      </c>
      <c r="B46" s="624" t="s">
        <v>523</v>
      </c>
      <c r="C46" s="624"/>
      <c r="D46" s="624"/>
      <c r="E46" s="624"/>
      <c r="F46" s="624"/>
      <c r="G46" s="624"/>
      <c r="H46" s="624"/>
      <c r="I46" s="624"/>
      <c r="J46" s="624"/>
      <c r="K46" s="624"/>
      <c r="L46" s="624"/>
      <c r="M46" s="624"/>
      <c r="N46" s="624"/>
      <c r="O46" s="624"/>
      <c r="P46" s="624"/>
      <c r="Q46" s="624"/>
      <c r="R46" s="624"/>
      <c r="S46" s="624"/>
      <c r="T46" s="49"/>
      <c r="U46" s="49"/>
      <c r="V46" s="24"/>
      <c r="W46" s="24"/>
      <c r="X46" s="8" t="s">
        <v>514</v>
      </c>
      <c r="AG46" s="125"/>
    </row>
    <row r="47" spans="1:33" ht="15" customHeight="1" x14ac:dyDescent="0.25">
      <c r="B47" s="624"/>
      <c r="C47" s="624"/>
      <c r="D47" s="624"/>
      <c r="E47" s="624"/>
      <c r="F47" s="624"/>
      <c r="G47" s="624"/>
      <c r="H47" s="624"/>
      <c r="I47" s="624"/>
      <c r="J47" s="624"/>
      <c r="K47" s="624"/>
      <c r="L47" s="624"/>
      <c r="M47" s="624"/>
      <c r="N47" s="624"/>
      <c r="O47" s="624"/>
      <c r="P47" s="624"/>
      <c r="Q47" s="624"/>
      <c r="R47" s="624"/>
      <c r="S47" s="624"/>
      <c r="T47" s="49"/>
      <c r="U47" s="49"/>
      <c r="V47" s="24"/>
      <c r="W47" s="24"/>
      <c r="X47" s="621" t="s">
        <v>360</v>
      </c>
      <c r="Y47" s="621"/>
      <c r="Z47" s="621"/>
      <c r="AA47" s="86">
        <v>10</v>
      </c>
      <c r="AG47" s="125"/>
    </row>
    <row r="48" spans="1:33" x14ac:dyDescent="0.25">
      <c r="B48" s="398"/>
      <c r="C48" s="42"/>
      <c r="D48" s="42"/>
      <c r="E48" s="24"/>
      <c r="F48" s="24"/>
      <c r="G48" s="24"/>
      <c r="H48" s="24"/>
      <c r="I48" s="24"/>
      <c r="J48" s="24"/>
      <c r="K48" s="24"/>
      <c r="L48" s="24"/>
      <c r="M48" s="24"/>
      <c r="N48" s="24"/>
      <c r="O48" s="24"/>
      <c r="P48" s="24"/>
      <c r="Q48" s="24"/>
      <c r="R48" s="24"/>
      <c r="S48" s="24"/>
      <c r="T48" s="49"/>
      <c r="U48" s="49"/>
      <c r="V48" s="24"/>
      <c r="W48" s="24"/>
      <c r="X48" s="621" t="s">
        <v>58</v>
      </c>
      <c r="Y48" s="621"/>
      <c r="Z48" s="621"/>
      <c r="AA48" s="87">
        <f>365-90</f>
        <v>275</v>
      </c>
      <c r="AG48" s="95" t="s">
        <v>69</v>
      </c>
    </row>
    <row r="49" spans="1:39" ht="15" customHeight="1" x14ac:dyDescent="0.25">
      <c r="A49" s="9" t="s">
        <v>521</v>
      </c>
      <c r="B49" s="624" t="s">
        <v>519</v>
      </c>
      <c r="C49" s="624"/>
      <c r="D49" s="624"/>
      <c r="E49" s="624"/>
      <c r="F49" s="624"/>
      <c r="G49" s="624"/>
      <c r="H49" s="624"/>
      <c r="I49" s="624"/>
      <c r="J49" s="624"/>
      <c r="K49" s="624"/>
      <c r="L49" s="624"/>
      <c r="M49" s="624"/>
      <c r="N49" s="624"/>
      <c r="O49" s="624"/>
      <c r="P49" s="624"/>
      <c r="Q49" s="624"/>
      <c r="R49" s="624"/>
      <c r="S49" s="624"/>
      <c r="T49" s="49"/>
      <c r="U49" s="49"/>
      <c r="W49" s="24"/>
      <c r="X49" s="125"/>
      <c r="Y49" s="125"/>
      <c r="Z49" s="125"/>
      <c r="AA49" s="61"/>
    </row>
    <row r="50" spans="1:39" ht="15" customHeight="1" x14ac:dyDescent="0.25">
      <c r="B50" s="624"/>
      <c r="C50" s="624"/>
      <c r="D50" s="624"/>
      <c r="E50" s="624"/>
      <c r="F50" s="624"/>
      <c r="G50" s="624"/>
      <c r="H50" s="624"/>
      <c r="I50" s="624"/>
      <c r="J50" s="624"/>
      <c r="K50" s="624"/>
      <c r="L50" s="624"/>
      <c r="M50" s="624"/>
      <c r="N50" s="624"/>
      <c r="O50" s="624"/>
      <c r="P50" s="624"/>
      <c r="Q50" s="624"/>
      <c r="R50" s="624"/>
      <c r="S50" s="624"/>
      <c r="W50" s="24"/>
      <c r="X50" s="8" t="s">
        <v>515</v>
      </c>
    </row>
    <row r="51" spans="1:39" ht="18" customHeight="1" x14ac:dyDescent="0.25">
      <c r="B51" s="624"/>
      <c r="C51" s="624"/>
      <c r="D51" s="624"/>
      <c r="E51" s="624"/>
      <c r="F51" s="624"/>
      <c r="G51" s="624"/>
      <c r="H51" s="624"/>
      <c r="I51" s="624"/>
      <c r="J51" s="624"/>
      <c r="K51" s="624"/>
      <c r="L51" s="624"/>
      <c r="M51" s="624"/>
      <c r="N51" s="624"/>
      <c r="O51" s="624"/>
      <c r="P51" s="624"/>
      <c r="Q51" s="624"/>
      <c r="R51" s="624"/>
      <c r="S51" s="624"/>
      <c r="W51" s="24"/>
      <c r="X51" s="621" t="s">
        <v>116</v>
      </c>
      <c r="Y51" s="621"/>
      <c r="Z51" s="621"/>
      <c r="AA51" s="137">
        <v>1.49</v>
      </c>
      <c r="AG51" s="95" t="s">
        <v>70</v>
      </c>
    </row>
    <row r="52" spans="1:39" ht="15" customHeight="1" x14ac:dyDescent="0.25">
      <c r="B52" s="624"/>
      <c r="C52" s="624"/>
      <c r="D52" s="624"/>
      <c r="E52" s="624"/>
      <c r="F52" s="624"/>
      <c r="G52" s="624"/>
      <c r="H52" s="624"/>
      <c r="I52" s="624"/>
      <c r="J52" s="624"/>
      <c r="K52" s="624"/>
      <c r="L52" s="624"/>
      <c r="M52" s="624"/>
      <c r="N52" s="624"/>
      <c r="O52" s="624"/>
      <c r="P52" s="624"/>
      <c r="Q52" s="624"/>
      <c r="R52" s="624"/>
      <c r="S52" s="624"/>
      <c r="V52" s="24"/>
      <c r="W52" s="24"/>
      <c r="X52" s="212" t="s">
        <v>362</v>
      </c>
      <c r="Y52" s="212"/>
      <c r="Z52" s="212"/>
      <c r="AA52" s="137">
        <f>$AA$51*$AC$19</f>
        <v>0.59599999999999997</v>
      </c>
      <c r="AG52" s="91" t="s">
        <v>71</v>
      </c>
    </row>
    <row r="53" spans="1:39" x14ac:dyDescent="0.25">
      <c r="B53" s="398"/>
      <c r="C53" s="42"/>
      <c r="D53" s="42"/>
      <c r="E53" s="24"/>
      <c r="F53" s="24"/>
      <c r="G53" s="24"/>
      <c r="H53" s="24"/>
      <c r="I53" s="24"/>
      <c r="J53" s="24"/>
      <c r="K53" s="24"/>
      <c r="L53" s="24"/>
      <c r="M53" s="24"/>
      <c r="N53" s="24"/>
      <c r="O53" s="24"/>
      <c r="P53" s="24"/>
      <c r="Q53" s="24"/>
      <c r="R53" s="24"/>
      <c r="S53" s="24"/>
      <c r="T53" s="49"/>
      <c r="U53" s="24"/>
      <c r="V53" s="24"/>
      <c r="W53" s="24"/>
      <c r="X53" s="212" t="s">
        <v>361</v>
      </c>
      <c r="Y53" s="212"/>
      <c r="Z53" s="212"/>
      <c r="AA53" s="137">
        <f>$AA$51*$AC$18</f>
        <v>0</v>
      </c>
    </row>
    <row r="54" spans="1:39" ht="15" customHeight="1" x14ac:dyDescent="0.25">
      <c r="A54" s="9" t="s">
        <v>524</v>
      </c>
      <c r="B54" s="624" t="s">
        <v>520</v>
      </c>
      <c r="C54" s="624"/>
      <c r="D54" s="624"/>
      <c r="E54" s="624"/>
      <c r="F54" s="624"/>
      <c r="G54" s="624"/>
      <c r="H54" s="624"/>
      <c r="I54" s="624"/>
      <c r="J54" s="624"/>
      <c r="K54" s="624"/>
      <c r="L54" s="624"/>
      <c r="M54" s="624"/>
      <c r="N54" s="624"/>
      <c r="O54" s="624"/>
      <c r="P54" s="624"/>
      <c r="Q54" s="624"/>
      <c r="R54" s="624"/>
      <c r="S54" s="624"/>
      <c r="T54" s="49"/>
      <c r="U54" s="24"/>
      <c r="W54" s="24"/>
      <c r="AH54" s="97"/>
      <c r="AI54" s="97"/>
      <c r="AJ54" s="97"/>
      <c r="AK54" s="97"/>
    </row>
    <row r="55" spans="1:39" x14ac:dyDescent="0.25">
      <c r="B55" s="624"/>
      <c r="C55" s="624"/>
      <c r="D55" s="624"/>
      <c r="E55" s="624"/>
      <c r="F55" s="624"/>
      <c r="G55" s="624"/>
      <c r="H55" s="624"/>
      <c r="I55" s="624"/>
      <c r="J55" s="624"/>
      <c r="K55" s="624"/>
      <c r="L55" s="624"/>
      <c r="M55" s="624"/>
      <c r="N55" s="624"/>
      <c r="O55" s="624"/>
      <c r="P55" s="624"/>
      <c r="Q55" s="624"/>
      <c r="R55" s="624"/>
      <c r="S55" s="624"/>
      <c r="W55" s="24"/>
      <c r="X55" s="8" t="s">
        <v>516</v>
      </c>
      <c r="AG55" s="628" t="s">
        <v>72</v>
      </c>
      <c r="AH55" s="628"/>
      <c r="AI55" s="628"/>
      <c r="AJ55" s="628"/>
      <c r="AK55" s="628"/>
      <c r="AL55" s="628"/>
      <c r="AM55" s="628"/>
    </row>
    <row r="56" spans="1:39" x14ac:dyDescent="0.25">
      <c r="B56" s="624"/>
      <c r="C56" s="624"/>
      <c r="D56" s="624"/>
      <c r="E56" s="624"/>
      <c r="F56" s="624"/>
      <c r="G56" s="624"/>
      <c r="H56" s="624"/>
      <c r="I56" s="624"/>
      <c r="J56" s="624"/>
      <c r="K56" s="624"/>
      <c r="L56" s="624"/>
      <c r="M56" s="624"/>
      <c r="N56" s="624"/>
      <c r="O56" s="624"/>
      <c r="P56" s="624"/>
      <c r="Q56" s="624"/>
      <c r="R56" s="624"/>
      <c r="S56" s="624"/>
      <c r="W56" s="24"/>
      <c r="X56" s="620" t="s">
        <v>59</v>
      </c>
      <c r="Y56" s="620"/>
      <c r="Z56" s="88">
        <v>0.12</v>
      </c>
      <c r="AG56" s="628"/>
      <c r="AH56" s="628"/>
      <c r="AI56" s="628"/>
      <c r="AJ56" s="628"/>
      <c r="AK56" s="628"/>
      <c r="AL56" s="628"/>
      <c r="AM56" s="628"/>
    </row>
    <row r="57" spans="1:39" ht="15" customHeight="1" x14ac:dyDescent="0.25">
      <c r="W57" s="24"/>
      <c r="X57" s="629"/>
      <c r="Y57" s="629"/>
    </row>
    <row r="58" spans="1:39" x14ac:dyDescent="0.25">
      <c r="W58" s="24"/>
      <c r="X58" s="89" t="s">
        <v>517</v>
      </c>
    </row>
    <row r="59" spans="1:39" x14ac:dyDescent="0.25">
      <c r="W59" s="24"/>
      <c r="X59" s="622" t="s">
        <v>75</v>
      </c>
      <c r="Y59" s="623"/>
      <c r="Z59" s="401">
        <v>1.5229999999999999</v>
      </c>
    </row>
    <row r="60" spans="1:39" x14ac:dyDescent="0.25">
      <c r="W60" s="24"/>
      <c r="X60" s="622" t="s">
        <v>533</v>
      </c>
      <c r="Y60" s="623"/>
      <c r="Z60" s="401">
        <v>1.3180000000000001</v>
      </c>
    </row>
    <row r="61" spans="1:39" x14ac:dyDescent="0.25">
      <c r="W61" s="24"/>
      <c r="Z61" s="39"/>
    </row>
    <row r="62" spans="1:39" x14ac:dyDescent="0.25">
      <c r="W62" s="24"/>
      <c r="X62" s="89" t="s">
        <v>499</v>
      </c>
    </row>
    <row r="63" spans="1:39" x14ac:dyDescent="0.25">
      <c r="X63" s="621" t="s">
        <v>60</v>
      </c>
      <c r="Y63" s="621"/>
      <c r="Z63" s="96">
        <v>0</v>
      </c>
    </row>
    <row r="64" spans="1:39" x14ac:dyDescent="0.25">
      <c r="X64" s="621" t="s">
        <v>61</v>
      </c>
      <c r="Y64" s="621"/>
      <c r="Z64" s="96">
        <v>0.75</v>
      </c>
      <c r="AG64" s="91" t="s">
        <v>62</v>
      </c>
    </row>
  </sheetData>
  <mergeCells count="55">
    <mergeCell ref="X63:Y63"/>
    <mergeCell ref="X64:Y64"/>
    <mergeCell ref="B54:S56"/>
    <mergeCell ref="AG55:AM56"/>
    <mergeCell ref="X56:Y56"/>
    <mergeCell ref="X57:Y57"/>
    <mergeCell ref="X59:Y59"/>
    <mergeCell ref="X60:Y60"/>
    <mergeCell ref="B46:S47"/>
    <mergeCell ref="X47:Z47"/>
    <mergeCell ref="X48:Z48"/>
    <mergeCell ref="B49:S52"/>
    <mergeCell ref="X51:Z51"/>
    <mergeCell ref="B43:S44"/>
    <mergeCell ref="X30:Y30"/>
    <mergeCell ref="X34:Y34"/>
    <mergeCell ref="X35:Y35"/>
    <mergeCell ref="X38:Z38"/>
    <mergeCell ref="X39:Z39"/>
    <mergeCell ref="X40:Z40"/>
    <mergeCell ref="B37:S39"/>
    <mergeCell ref="X29:Y29"/>
    <mergeCell ref="S5:S6"/>
    <mergeCell ref="T5:T6"/>
    <mergeCell ref="U5:U6"/>
    <mergeCell ref="V5:V6"/>
    <mergeCell ref="X15:Z15"/>
    <mergeCell ref="X16:Z16"/>
    <mergeCell ref="X17:Z17"/>
    <mergeCell ref="X18:AA18"/>
    <mergeCell ref="X19:AA19"/>
    <mergeCell ref="X24:Y24"/>
    <mergeCell ref="X25:Y25"/>
    <mergeCell ref="R5:R6"/>
    <mergeCell ref="G5:G6"/>
    <mergeCell ref="H5:H6"/>
    <mergeCell ref="I5:I6"/>
    <mergeCell ref="J5:J6"/>
    <mergeCell ref="K5:K6"/>
    <mergeCell ref="L5:L6"/>
    <mergeCell ref="M5:M6"/>
    <mergeCell ref="N5:N6"/>
    <mergeCell ref="O5:O6"/>
    <mergeCell ref="P5:P6"/>
    <mergeCell ref="Q5:Q6"/>
    <mergeCell ref="C4:E4"/>
    <mergeCell ref="F4:H4"/>
    <mergeCell ref="I4:N4"/>
    <mergeCell ref="O4:T4"/>
    <mergeCell ref="U4:V4"/>
    <mergeCell ref="B5:B6"/>
    <mergeCell ref="C5:C6"/>
    <mergeCell ref="D5:D6"/>
    <mergeCell ref="E5:E6"/>
    <mergeCell ref="F5:F6"/>
  </mergeCells>
  <pageMargins left="0.7" right="0.7" top="0.75" bottom="0.75" header="0.3" footer="0.3"/>
  <pageSetup scale="27" orientation="portrait" horizontalDpi="300" verticalDpi="1200" r:id="rId1"/>
  <colBreaks count="2" manualBreakCount="2">
    <brk id="22" max="65" man="1"/>
    <brk id="32" max="6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58999-3A81-4EAC-89EA-DCE90AAA1C98}">
  <sheetPr>
    <tabColor rgb="FF00B050"/>
    <pageSetUpPr fitToPage="1"/>
  </sheetPr>
  <dimension ref="A1:AE77"/>
  <sheetViews>
    <sheetView view="pageBreakPreview" zoomScale="85" zoomScaleNormal="85" zoomScaleSheetLayoutView="85" workbookViewId="0">
      <selection activeCell="M25" sqref="M25"/>
    </sheetView>
  </sheetViews>
  <sheetFormatPr defaultRowHeight="15" x14ac:dyDescent="0.25"/>
  <cols>
    <col min="2" max="3" width="15.7109375" customWidth="1"/>
    <col min="4" max="5" width="18.5703125" customWidth="1"/>
    <col min="6" max="9" width="15.7109375" customWidth="1"/>
    <col min="10" max="10" width="16.140625" customWidth="1"/>
    <col min="11" max="15" width="15.7109375" customWidth="1"/>
    <col min="16" max="16" width="17.7109375" customWidth="1"/>
    <col min="17" max="17" width="15.7109375" customWidth="1"/>
    <col min="18" max="22" width="15.42578125" customWidth="1"/>
    <col min="23" max="23" width="15.5703125" customWidth="1"/>
    <col min="24" max="24" width="15.7109375" customWidth="1"/>
    <col min="25" max="25" width="12.28515625" customWidth="1"/>
    <col min="26" max="26" width="19.140625" customWidth="1"/>
    <col min="27" max="27" width="13.85546875" customWidth="1"/>
    <col min="28" max="31" width="13.140625" customWidth="1"/>
  </cols>
  <sheetData>
    <row r="1" spans="2:31" ht="15.75" thickBot="1" x14ac:dyDescent="0.3">
      <c r="B1" s="8" t="s">
        <v>12</v>
      </c>
      <c r="C1" s="8"/>
      <c r="D1" s="8"/>
      <c r="E1" s="8"/>
    </row>
    <row r="2" spans="2:31" ht="15.75" thickBot="1" x14ac:dyDescent="0.3">
      <c r="C2" s="656" t="s">
        <v>445</v>
      </c>
      <c r="D2" s="657"/>
      <c r="E2" s="658"/>
      <c r="F2" s="625" t="s">
        <v>446</v>
      </c>
      <c r="G2" s="626"/>
      <c r="H2" s="626"/>
      <c r="I2" s="626"/>
      <c r="J2" s="626"/>
      <c r="K2" s="626"/>
      <c r="L2" s="626"/>
      <c r="M2" s="626"/>
      <c r="N2" s="626"/>
      <c r="O2" s="659" t="s">
        <v>447</v>
      </c>
      <c r="P2" s="660"/>
    </row>
    <row r="3" spans="2:31" ht="35.1" customHeight="1" x14ac:dyDescent="0.25">
      <c r="B3" s="661" t="s">
        <v>0</v>
      </c>
      <c r="C3" s="639" t="s">
        <v>448</v>
      </c>
      <c r="D3" s="637" t="s">
        <v>449</v>
      </c>
      <c r="E3" s="664" t="s">
        <v>450</v>
      </c>
      <c r="F3" s="639" t="s">
        <v>451</v>
      </c>
      <c r="G3" s="637" t="s">
        <v>452</v>
      </c>
      <c r="H3" s="643" t="s">
        <v>453</v>
      </c>
      <c r="I3" s="641" t="s">
        <v>454</v>
      </c>
      <c r="J3" s="637" t="s">
        <v>455</v>
      </c>
      <c r="K3" s="643" t="s">
        <v>456</v>
      </c>
      <c r="L3" s="641" t="s">
        <v>457</v>
      </c>
      <c r="M3" s="639" t="s">
        <v>458</v>
      </c>
      <c r="N3" s="671" t="s">
        <v>1</v>
      </c>
      <c r="O3" s="667" t="s">
        <v>43</v>
      </c>
      <c r="P3" s="669" t="s">
        <v>459</v>
      </c>
      <c r="R3" s="59"/>
    </row>
    <row r="4" spans="2:31" ht="35.1" customHeight="1" x14ac:dyDescent="0.25">
      <c r="B4" s="662"/>
      <c r="C4" s="640"/>
      <c r="D4" s="663"/>
      <c r="E4" s="665"/>
      <c r="F4" s="640"/>
      <c r="G4" s="663"/>
      <c r="H4" s="666"/>
      <c r="I4" s="673"/>
      <c r="J4" s="663"/>
      <c r="K4" s="666"/>
      <c r="L4" s="673"/>
      <c r="M4" s="640"/>
      <c r="N4" s="672"/>
      <c r="O4" s="668"/>
      <c r="P4" s="670"/>
    </row>
    <row r="5" spans="2:31" x14ac:dyDescent="0.25">
      <c r="B5" s="202">
        <v>2025</v>
      </c>
      <c r="C5" s="202">
        <f>($F5*$V$9)/10^6</f>
        <v>0</v>
      </c>
      <c r="D5" s="360">
        <f t="shared" ref="D5:D6" si="0">C5*_xlfn.XLOOKUP($B5,$R$15:$R$50,$V$15:$V$50)</f>
        <v>0</v>
      </c>
      <c r="E5" s="361">
        <f>D5*(1+0.03)^-($B5-'Project Data and Assumptions'!C3)</f>
        <v>0</v>
      </c>
      <c r="F5" s="202">
        <f>IFERROR(_xlfn.XLOOKUP($B5,'VMT Change'!$B$7:$B$34,'VMT Change'!$J$7:$J$34),0)</f>
        <v>0</v>
      </c>
      <c r="G5" s="360">
        <f>($F5*S$9)/10^6</f>
        <v>0</v>
      </c>
      <c r="H5" s="358">
        <f t="shared" ref="H5:I5" si="1">($F5*T$9)/10^6</f>
        <v>0</v>
      </c>
      <c r="I5" s="362">
        <f t="shared" si="1"/>
        <v>0</v>
      </c>
      <c r="J5" s="360">
        <f t="shared" ref="J5:J6" si="2">G5*_xlfn.XLOOKUP($B5,$R$15:$R$50,$S$15:$S$50)</f>
        <v>0</v>
      </c>
      <c r="K5" s="358">
        <f t="shared" ref="K5:K6" si="3">H5*_xlfn.XLOOKUP($B5,$R$15:$R$50,$T$15:$T$50)</f>
        <v>0</v>
      </c>
      <c r="L5" s="362">
        <f t="shared" ref="L5:L6" si="4">I5*_xlfn.XLOOKUP($B5,$R$15:$R$50,$U$15:$U$50)</f>
        <v>0</v>
      </c>
      <c r="M5" s="202">
        <f t="shared" ref="M5:M6" si="5">SUM(J5:L5)</f>
        <v>0</v>
      </c>
      <c r="N5" s="363">
        <f>M5*(1+0.07)^-(B5-'Project Data and Assumptions'!C3)</f>
        <v>0</v>
      </c>
      <c r="O5" s="364">
        <f t="shared" ref="O5:O6" si="6">M5+D5</f>
        <v>0</v>
      </c>
      <c r="P5" s="365">
        <f t="shared" ref="P5:P6" si="7">N5+E5</f>
        <v>0</v>
      </c>
    </row>
    <row r="6" spans="2:31" x14ac:dyDescent="0.25">
      <c r="B6" s="202">
        <v>2026</v>
      </c>
      <c r="C6" s="202">
        <f t="shared" ref="C6:C32" si="8">($F6*$V$9)/10^6</f>
        <v>0</v>
      </c>
      <c r="D6" s="360">
        <f t="shared" si="0"/>
        <v>0</v>
      </c>
      <c r="E6" s="361">
        <f>D6*(1+0.03)^-($B6-'Project Data and Assumptions'!C3)</f>
        <v>0</v>
      </c>
      <c r="F6" s="202">
        <f>IFERROR(_xlfn.XLOOKUP($B6,'VMT Change'!$B$7:$B$34,'VMT Change'!$J$7:$J$34),0)</f>
        <v>0</v>
      </c>
      <c r="G6" s="360">
        <f t="shared" ref="G6:G32" si="9">($F6*S$9)/10^6</f>
        <v>0</v>
      </c>
      <c r="H6" s="358">
        <f t="shared" ref="H6:H32" si="10">($F6*T$9)/10^6</f>
        <v>0</v>
      </c>
      <c r="I6" s="362">
        <f t="shared" ref="I6:I32" si="11">($F6*U$9)/10^6</f>
        <v>0</v>
      </c>
      <c r="J6" s="360">
        <f t="shared" si="2"/>
        <v>0</v>
      </c>
      <c r="K6" s="358">
        <f t="shared" si="3"/>
        <v>0</v>
      </c>
      <c r="L6" s="362">
        <f t="shared" si="4"/>
        <v>0</v>
      </c>
      <c r="M6" s="202">
        <f t="shared" si="5"/>
        <v>0</v>
      </c>
      <c r="N6" s="363">
        <f>M6*(1+0.07)^-(B6-'Project Data and Assumptions'!C3)</f>
        <v>0</v>
      </c>
      <c r="O6" s="364">
        <f t="shared" si="6"/>
        <v>0</v>
      </c>
      <c r="P6" s="365">
        <f t="shared" si="7"/>
        <v>0</v>
      </c>
    </row>
    <row r="7" spans="2:31" ht="17.25" x14ac:dyDescent="0.25">
      <c r="B7" s="44">
        <v>2027</v>
      </c>
      <c r="C7" s="359">
        <f t="shared" si="8"/>
        <v>0</v>
      </c>
      <c r="D7" s="313">
        <f t="shared" ref="D7:D25" si="12">C7*_xlfn.XLOOKUP($B7,$R$15:$R$50,$V$15:$V$50)</f>
        <v>0</v>
      </c>
      <c r="E7" s="314">
        <f>D7*(1+0.03)^-($B7-'Project Data and Assumptions'!C3)</f>
        <v>0</v>
      </c>
      <c r="F7" s="352">
        <f>IFERROR(_xlfn.XLOOKUP($B7,'VMT Change'!$B$7:$B$34,'VMT Change'!$J$7:$J$34),0)</f>
        <v>0</v>
      </c>
      <c r="G7" s="353">
        <f t="shared" si="9"/>
        <v>0</v>
      </c>
      <c r="H7" s="354">
        <f t="shared" si="10"/>
        <v>0</v>
      </c>
      <c r="I7" s="355">
        <f t="shared" si="11"/>
        <v>0</v>
      </c>
      <c r="J7" s="313">
        <f t="shared" ref="J7:J25" si="13">G7*_xlfn.XLOOKUP($B7,$R$15:$R$50,$S$15:$S$50)</f>
        <v>0</v>
      </c>
      <c r="K7" s="356">
        <f>H7*_xlfn.XLOOKUP($B7,$R$15:$R$50,$T$15:$T$50)</f>
        <v>0</v>
      </c>
      <c r="L7" s="314">
        <f>I7*_xlfn.XLOOKUP($B7,$R$15:$R$50,$U$15:$U$50)</f>
        <v>0</v>
      </c>
      <c r="M7" s="357">
        <f t="shared" ref="M7:M25" si="14">SUM(J7:L7)</f>
        <v>0</v>
      </c>
      <c r="N7" s="357">
        <f>M7*(1+0.07)^-(B7-'Project Data and Assumptions'!C3)</f>
        <v>0</v>
      </c>
      <c r="O7" s="313">
        <f t="shared" ref="O7:P22" si="15">M7+D7</f>
        <v>0</v>
      </c>
      <c r="P7" s="314">
        <f t="shared" si="15"/>
        <v>0</v>
      </c>
      <c r="R7" s="315" t="s">
        <v>460</v>
      </c>
      <c r="S7" s="315"/>
      <c r="T7" s="315"/>
      <c r="U7" s="315"/>
      <c r="V7" s="315"/>
      <c r="Y7" s="8" t="s">
        <v>461</v>
      </c>
    </row>
    <row r="8" spans="2:31" x14ac:dyDescent="0.25">
      <c r="B8" s="2">
        <f t="shared" ref="B8:B32" si="16">+B7+1</f>
        <v>2028</v>
      </c>
      <c r="C8" s="359">
        <f t="shared" si="8"/>
        <v>0</v>
      </c>
      <c r="D8" s="313">
        <f t="shared" si="12"/>
        <v>0</v>
      </c>
      <c r="E8" s="314">
        <f>D8*(1+0.03)^-($B8-'Project Data and Assumptions'!C3)</f>
        <v>0</v>
      </c>
      <c r="F8" s="316">
        <f>IFERROR(_xlfn.XLOOKUP($B8,'VMT Change'!$B$7:$B$34,'VMT Change'!$J$7:$J$34),0)</f>
        <v>0</v>
      </c>
      <c r="G8" s="317">
        <f t="shared" si="9"/>
        <v>0</v>
      </c>
      <c r="H8" s="318">
        <f t="shared" si="10"/>
        <v>0</v>
      </c>
      <c r="I8" s="319">
        <f t="shared" si="11"/>
        <v>0</v>
      </c>
      <c r="J8" s="323">
        <f t="shared" si="13"/>
        <v>0</v>
      </c>
      <c r="K8" s="320">
        <f t="shared" ref="K8:K25" si="17">H8*_xlfn.XLOOKUP($B8,$R$15:$R$50,$T$15:$T$50)</f>
        <v>0</v>
      </c>
      <c r="L8" s="321">
        <f t="shared" ref="L8:L25" si="18">I8*_xlfn.XLOOKUP($B8,$R$15:$R$50,$U$15:$U$50)</f>
        <v>0</v>
      </c>
      <c r="M8" s="322">
        <f t="shared" si="14"/>
        <v>0</v>
      </c>
      <c r="N8" s="322">
        <f>M8*(1+0.07)^-(B8-'Project Data and Assumptions'!C3)</f>
        <v>0</v>
      </c>
      <c r="O8" s="323">
        <f t="shared" si="15"/>
        <v>0</v>
      </c>
      <c r="P8" s="321">
        <f t="shared" si="15"/>
        <v>0</v>
      </c>
      <c r="R8" s="136" t="s">
        <v>13</v>
      </c>
      <c r="S8" s="120" t="s">
        <v>462</v>
      </c>
      <c r="T8" s="120" t="s">
        <v>463</v>
      </c>
      <c r="U8" s="120" t="s">
        <v>464</v>
      </c>
      <c r="V8" s="120" t="s">
        <v>465</v>
      </c>
      <c r="Y8" s="96" t="s">
        <v>466</v>
      </c>
      <c r="Z8" s="96" t="s">
        <v>467</v>
      </c>
      <c r="AA8" s="96" t="s">
        <v>468</v>
      </c>
      <c r="AB8" s="25" t="s">
        <v>462</v>
      </c>
      <c r="AC8" s="25" t="s">
        <v>463</v>
      </c>
      <c r="AD8" s="25" t="s">
        <v>464</v>
      </c>
      <c r="AE8" s="25" t="s">
        <v>465</v>
      </c>
    </row>
    <row r="9" spans="2:31" x14ac:dyDescent="0.25">
      <c r="B9" s="2">
        <f t="shared" si="16"/>
        <v>2029</v>
      </c>
      <c r="C9" s="359">
        <f t="shared" si="8"/>
        <v>0</v>
      </c>
      <c r="D9" s="313">
        <f t="shared" si="12"/>
        <v>0</v>
      </c>
      <c r="E9" s="314">
        <f>D9*(1+0.03)^-($B9-'Project Data and Assumptions'!C3)</f>
        <v>0</v>
      </c>
      <c r="F9" s="316">
        <f>IFERROR(_xlfn.XLOOKUP($B9,'VMT Change'!$B$7:$B$34,'VMT Change'!$J$7:$J$34),0)</f>
        <v>0</v>
      </c>
      <c r="G9" s="317">
        <f t="shared" si="9"/>
        <v>0</v>
      </c>
      <c r="H9" s="318">
        <f t="shared" si="10"/>
        <v>0</v>
      </c>
      <c r="I9" s="319">
        <f t="shared" si="11"/>
        <v>0</v>
      </c>
      <c r="J9" s="323">
        <f t="shared" si="13"/>
        <v>0</v>
      </c>
      <c r="K9" s="320">
        <f t="shared" si="17"/>
        <v>0</v>
      </c>
      <c r="L9" s="321">
        <f t="shared" si="18"/>
        <v>0</v>
      </c>
      <c r="M9" s="322">
        <f t="shared" si="14"/>
        <v>0</v>
      </c>
      <c r="N9" s="322">
        <f>M9*(1+0.07)^-(B9-'Project Data and Assumptions'!C3)</f>
        <v>0</v>
      </c>
      <c r="O9" s="323">
        <f t="shared" si="15"/>
        <v>0</v>
      </c>
      <c r="P9" s="321">
        <f t="shared" si="15"/>
        <v>0</v>
      </c>
      <c r="R9" s="136" t="s">
        <v>34</v>
      </c>
      <c r="S9" s="324">
        <f>AB27</f>
        <v>0.22790983982547491</v>
      </c>
      <c r="T9" s="324">
        <f t="shared" ref="T9:V9" si="19">AC27</f>
        <v>2.0699004398994176E-3</v>
      </c>
      <c r="U9" s="324">
        <f t="shared" si="19"/>
        <v>5.8180715878192544E-3</v>
      </c>
      <c r="V9" s="324">
        <f t="shared" si="19"/>
        <v>317.22468262036</v>
      </c>
      <c r="Y9" s="25">
        <v>11</v>
      </c>
      <c r="Z9" s="96" t="s">
        <v>469</v>
      </c>
      <c r="AA9" s="96" t="s">
        <v>470</v>
      </c>
      <c r="AB9" s="325">
        <v>0.73690802096518104</v>
      </c>
      <c r="AC9" s="325">
        <v>2.4081927794970298E-3</v>
      </c>
      <c r="AD9" s="325">
        <v>1.78605259703664E-2</v>
      </c>
      <c r="AE9" s="325">
        <v>362.51238716242</v>
      </c>
    </row>
    <row r="10" spans="2:31" x14ac:dyDescent="0.25">
      <c r="B10" s="2">
        <f t="shared" si="16"/>
        <v>2030</v>
      </c>
      <c r="C10" s="359">
        <f t="shared" si="8"/>
        <v>9.9943128825468737</v>
      </c>
      <c r="D10" s="313">
        <f t="shared" si="12"/>
        <v>649.63033736554678</v>
      </c>
      <c r="E10" s="314">
        <f>D10*(1+0.03)^-($B10-'Project Data and Assumptions'!C3)</f>
        <v>497.88756039499032</v>
      </c>
      <c r="F10" s="316">
        <f>IFERROR(_xlfn.XLOOKUP($B10,'VMT Change'!$B$7:$B$34,'VMT Change'!$J$7:$J$34),0)</f>
        <v>31505.470507500235</v>
      </c>
      <c r="G10" s="317">
        <f t="shared" si="9"/>
        <v>7.1804067369906025E-3</v>
      </c>
      <c r="H10" s="318">
        <f t="shared" si="10"/>
        <v>6.5213187262712865E-5</v>
      </c>
      <c r="I10" s="319">
        <f t="shared" si="11"/>
        <v>1.8330108282056459E-4</v>
      </c>
      <c r="J10" s="323">
        <f t="shared" si="13"/>
        <v>135.70968732912237</v>
      </c>
      <c r="K10" s="320">
        <f t="shared" si="17"/>
        <v>3.3454365065771698</v>
      </c>
      <c r="L10" s="321">
        <f t="shared" si="18"/>
        <v>166.36406276794443</v>
      </c>
      <c r="M10" s="322">
        <f t="shared" si="14"/>
        <v>305.41918660364399</v>
      </c>
      <c r="N10" s="322">
        <f>M10*(1+0.07)^-(B10-'Project Data and Assumptions'!C3)</f>
        <v>166.12780122632637</v>
      </c>
      <c r="O10" s="323">
        <f t="shared" si="15"/>
        <v>955.04952396919077</v>
      </c>
      <c r="P10" s="321">
        <f t="shared" si="15"/>
        <v>664.01536162131674</v>
      </c>
      <c r="R10" s="136" t="s">
        <v>35</v>
      </c>
      <c r="S10" s="324">
        <f t="shared" ref="S10:V10" si="20">AB28</f>
        <v>2.099484306313415</v>
      </c>
      <c r="T10" s="324">
        <f t="shared" si="20"/>
        <v>4.7858028693373951E-3</v>
      </c>
      <c r="U10" s="324">
        <f t="shared" si="20"/>
        <v>3.2505287070740692E-2</v>
      </c>
      <c r="V10" s="324">
        <f t="shared" si="20"/>
        <v>1238.7315972924489</v>
      </c>
      <c r="Y10" s="25">
        <v>21</v>
      </c>
      <c r="Z10" s="96" t="s">
        <v>471</v>
      </c>
      <c r="AA10" s="96" t="s">
        <v>470</v>
      </c>
      <c r="AB10" s="325">
        <v>3.7528759722247264E-2</v>
      </c>
      <c r="AC10" s="325">
        <v>1.6122938930079201E-3</v>
      </c>
      <c r="AD10" s="325">
        <v>1.1798384221972261E-3</v>
      </c>
      <c r="AE10" s="325">
        <v>243.79125643460799</v>
      </c>
    </row>
    <row r="11" spans="2:31" ht="15" customHeight="1" x14ac:dyDescent="0.25">
      <c r="B11" s="2">
        <f t="shared" si="16"/>
        <v>2031</v>
      </c>
      <c r="C11" s="359">
        <f t="shared" si="8"/>
        <v>49.406565788293229</v>
      </c>
      <c r="D11" s="313">
        <f t="shared" si="12"/>
        <v>3260.833342027353</v>
      </c>
      <c r="E11" s="314">
        <f>D11*(1+0.03)^-($B11-'Project Data and Assumptions'!C3)</f>
        <v>2426.366247294905</v>
      </c>
      <c r="F11" s="316">
        <f>IFERROR(_xlfn.XLOOKUP($B11,'VMT Change'!$B$7:$B$34,'VMT Change'!$J$7:$J$34),0)</f>
        <v>155746.2848734906</v>
      </c>
      <c r="G11" s="317">
        <f t="shared" si="9"/>
        <v>3.5496110838930027E-2</v>
      </c>
      <c r="H11" s="318">
        <f t="shared" si="10"/>
        <v>3.2237930357233819E-4</v>
      </c>
      <c r="I11" s="319">
        <f t="shared" si="11"/>
        <v>9.0614303493085941E-4</v>
      </c>
      <c r="J11" s="323">
        <f t="shared" si="13"/>
        <v>670.87649485577754</v>
      </c>
      <c r="K11" s="320">
        <f t="shared" si="17"/>
        <v>16.538058273260948</v>
      </c>
      <c r="L11" s="321">
        <f t="shared" si="18"/>
        <v>822.41541850324802</v>
      </c>
      <c r="M11" s="322">
        <f t="shared" si="14"/>
        <v>1509.8299716322865</v>
      </c>
      <c r="N11" s="322">
        <f>M11*(1+0.07)^-(B11-'Project Data and Assumptions'!C3)</f>
        <v>767.52099732305396</v>
      </c>
      <c r="O11" s="323">
        <f t="shared" si="15"/>
        <v>4770.6633136596392</v>
      </c>
      <c r="P11" s="321">
        <f t="shared" si="15"/>
        <v>3193.8872446179589</v>
      </c>
      <c r="R11" s="8"/>
      <c r="S11" s="169"/>
      <c r="T11" s="326"/>
      <c r="U11" s="169"/>
      <c r="V11" s="327"/>
      <c r="Y11" s="25">
        <v>31</v>
      </c>
      <c r="Z11" s="96" t="s">
        <v>471</v>
      </c>
      <c r="AA11" s="96" t="s">
        <v>470</v>
      </c>
      <c r="AB11" s="325">
        <v>5.602001301010253E-2</v>
      </c>
      <c r="AC11" s="325">
        <v>2.0534055761767299E-3</v>
      </c>
      <c r="AD11" s="325">
        <v>1.6834690354423085E-3</v>
      </c>
      <c r="AE11" s="325">
        <v>318.590574637288</v>
      </c>
    </row>
    <row r="12" spans="2:31" x14ac:dyDescent="0.25">
      <c r="B12" s="2">
        <f t="shared" si="16"/>
        <v>2032</v>
      </c>
      <c r="C12" s="359">
        <f t="shared" si="8"/>
        <v>52.893609216853747</v>
      </c>
      <c r="D12" s="313">
        <f t="shared" si="12"/>
        <v>3543.8718175292011</v>
      </c>
      <c r="E12" s="314">
        <f>D12*(1+0.03)^-($B12-'Project Data and Assumptions'!C3)</f>
        <v>2560.1684025218215</v>
      </c>
      <c r="F12" s="316">
        <f>IFERROR(_xlfn.XLOOKUP($B12,'VMT Change'!$B$7:$B$34,'VMT Change'!$J$7:$J$34),0)</f>
        <v>166738.63073938165</v>
      </c>
      <c r="G12" s="317">
        <f t="shared" si="9"/>
        <v>3.8001374624531487E-2</v>
      </c>
      <c r="H12" s="318">
        <f t="shared" si="10"/>
        <v>3.4513236511567267E-4</v>
      </c>
      <c r="I12" s="319">
        <f t="shared" si="11"/>
        <v>9.7009729009668252E-4</v>
      </c>
      <c r="J12" s="323">
        <f t="shared" si="13"/>
        <v>718.22598040364505</v>
      </c>
      <c r="K12" s="320">
        <f t="shared" si="17"/>
        <v>17.705290330434007</v>
      </c>
      <c r="L12" s="321">
        <f t="shared" si="18"/>
        <v>880.46030049174908</v>
      </c>
      <c r="M12" s="322">
        <f t="shared" si="14"/>
        <v>1616.3915712258281</v>
      </c>
      <c r="N12" s="322">
        <f>M12*(1+0.07)^-(B12-'Project Data and Assumptions'!C3)</f>
        <v>767.93599163100362</v>
      </c>
      <c r="O12" s="323">
        <f t="shared" si="15"/>
        <v>5160.2633887550292</v>
      </c>
      <c r="P12" s="321">
        <f t="shared" si="15"/>
        <v>3328.1043941528251</v>
      </c>
      <c r="S12" s="23"/>
      <c r="T12" s="23"/>
      <c r="U12" s="23"/>
      <c r="V12" s="23"/>
      <c r="Y12" s="25">
        <v>32</v>
      </c>
      <c r="Z12" s="96" t="s">
        <v>471</v>
      </c>
      <c r="AA12" s="96" t="s">
        <v>470</v>
      </c>
      <c r="AB12" s="325">
        <v>8.1182565604368817E-2</v>
      </c>
      <c r="AC12" s="325">
        <v>2.2057095109159902E-3</v>
      </c>
      <c r="AD12" s="325">
        <v>2.5484529232710825E-3</v>
      </c>
      <c r="AE12" s="325">
        <v>344.00451224712401</v>
      </c>
    </row>
    <row r="13" spans="2:31" ht="17.25" x14ac:dyDescent="0.25">
      <c r="B13" s="2">
        <f t="shared" si="16"/>
        <v>2033</v>
      </c>
      <c r="C13" s="359">
        <f t="shared" si="8"/>
        <v>56.638690472225548</v>
      </c>
      <c r="D13" s="313">
        <f t="shared" si="12"/>
        <v>3851.4309521113373</v>
      </c>
      <c r="E13" s="314">
        <f>D13*(1+0.03)^-($B13-'Project Data and Assumptions'!C3)</f>
        <v>2701.3161797633588</v>
      </c>
      <c r="F13" s="316">
        <f>IFERROR(_xlfn.XLOOKUP($B13,'VMT Change'!$B$7:$B$34,'VMT Change'!$J$7:$J$34),0)</f>
        <v>178544.39952268198</v>
      </c>
      <c r="G13" s="317">
        <f t="shared" si="9"/>
        <v>4.069202549695005E-2</v>
      </c>
      <c r="H13" s="318">
        <f t="shared" si="10"/>
        <v>3.6956913111357679E-4</v>
      </c>
      <c r="I13" s="319">
        <f t="shared" si="11"/>
        <v>1.0387840980271659E-3</v>
      </c>
      <c r="J13" s="323">
        <f t="shared" si="13"/>
        <v>769.07928189235599</v>
      </c>
      <c r="K13" s="320">
        <f t="shared" si="17"/>
        <v>18.95889642612649</v>
      </c>
      <c r="L13" s="321">
        <f t="shared" si="18"/>
        <v>942.8004473694557</v>
      </c>
      <c r="M13" s="322">
        <f t="shared" si="14"/>
        <v>1730.838625687938</v>
      </c>
      <c r="N13" s="322">
        <f>M13*(1+0.07)^-(B13-'Project Data and Assumptions'!C3)</f>
        <v>768.51304932124299</v>
      </c>
      <c r="O13" s="323">
        <f t="shared" si="15"/>
        <v>5582.2695777992758</v>
      </c>
      <c r="P13" s="321">
        <f t="shared" si="15"/>
        <v>3469.829229084602</v>
      </c>
      <c r="R13" s="8" t="s">
        <v>472</v>
      </c>
      <c r="Y13" s="25">
        <v>41</v>
      </c>
      <c r="Z13" s="96" t="s">
        <v>473</v>
      </c>
      <c r="AA13" s="96" t="s">
        <v>474</v>
      </c>
      <c r="AB13" s="325">
        <v>2.237602310868759</v>
      </c>
      <c r="AC13" s="325">
        <v>5.5717265564873301E-3</v>
      </c>
      <c r="AD13" s="325">
        <v>1.658066855283262E-2</v>
      </c>
      <c r="AE13" s="325">
        <v>1406.7823013201701</v>
      </c>
    </row>
    <row r="14" spans="2:31" x14ac:dyDescent="0.25">
      <c r="B14" s="2">
        <f t="shared" si="16"/>
        <v>2034</v>
      </c>
      <c r="C14" s="359">
        <f t="shared" si="8"/>
        <v>62.453889966962322</v>
      </c>
      <c r="D14" s="313">
        <f t="shared" si="12"/>
        <v>4309.3184077204005</v>
      </c>
      <c r="E14" s="314">
        <f>D14*(1+0.03)^-($B14-'Project Data and Assumptions'!C3)</f>
        <v>2934.4361441944748</v>
      </c>
      <c r="F14" s="316">
        <f>IFERROR(_xlfn.XLOOKUP($B14,'VMT Change'!$B$7:$B$34,'VMT Change'!$J$7:$J$34),0)</f>
        <v>196875.88447114718</v>
      </c>
      <c r="G14" s="317">
        <f t="shared" si="9"/>
        <v>4.4869951295317859E-2</v>
      </c>
      <c r="H14" s="318">
        <f t="shared" si="10"/>
        <v>4.0751347987241446E-4</v>
      </c>
      <c r="I14" s="319">
        <f t="shared" si="11"/>
        <v>1.1454379897683673E-3</v>
      </c>
      <c r="J14" s="323">
        <f t="shared" si="13"/>
        <v>848.04207948150759</v>
      </c>
      <c r="K14" s="320">
        <f t="shared" si="17"/>
        <v>20.905441517454861</v>
      </c>
      <c r="L14" s="321">
        <f t="shared" si="18"/>
        <v>1039.5995195137702</v>
      </c>
      <c r="M14" s="322">
        <f t="shared" si="14"/>
        <v>1908.5470405127326</v>
      </c>
      <c r="N14" s="322">
        <f>M14*(1+0.07)^-(B14-'Project Data and Assumptions'!C3)</f>
        <v>791.97916893566844</v>
      </c>
      <c r="O14" s="323">
        <f t="shared" si="15"/>
        <v>6217.8654482331331</v>
      </c>
      <c r="P14" s="321">
        <f t="shared" si="15"/>
        <v>3726.4153131301432</v>
      </c>
      <c r="R14" s="328" t="s">
        <v>79</v>
      </c>
      <c r="S14" s="110" t="s">
        <v>462</v>
      </c>
      <c r="T14" s="110" t="s">
        <v>463</v>
      </c>
      <c r="U14" s="110" t="s">
        <v>464</v>
      </c>
      <c r="V14" s="110" t="s">
        <v>465</v>
      </c>
      <c r="Y14" s="25">
        <v>42</v>
      </c>
      <c r="Z14" s="96" t="s">
        <v>473</v>
      </c>
      <c r="AA14" s="96" t="s">
        <v>474</v>
      </c>
      <c r="AB14" s="325">
        <v>1.9658170115512426</v>
      </c>
      <c r="AC14" s="325">
        <v>5.4889920561794897E-3</v>
      </c>
      <c r="AD14" s="325">
        <v>1.2308421676718551E-2</v>
      </c>
      <c r="AE14" s="325">
        <v>1391.9649569298599</v>
      </c>
    </row>
    <row r="15" spans="2:31" ht="15" customHeight="1" x14ac:dyDescent="0.25">
      <c r="B15" s="2">
        <f t="shared" si="16"/>
        <v>2035</v>
      </c>
      <c r="C15" s="359">
        <f t="shared" si="8"/>
        <v>66.817164104558771</v>
      </c>
      <c r="D15" s="313">
        <f t="shared" si="12"/>
        <v>4677.2014873191138</v>
      </c>
      <c r="E15" s="314">
        <f>D15*(1+0.03)^-($B15-'Project Data and Assumptions'!C3)</f>
        <v>3092.1811846679948</v>
      </c>
      <c r="F15" s="316">
        <f>IFERROR(_xlfn.XLOOKUP($B15,'VMT Change'!$B$7:$B$34,'VMT Change'!$J$7:$J$34),0)</f>
        <v>210630.40729564699</v>
      </c>
      <c r="G15" s="317">
        <f t="shared" si="9"/>
        <v>4.800474238912545E-2</v>
      </c>
      <c r="H15" s="318">
        <f t="shared" si="10"/>
        <v>4.3598397271745316E-4</v>
      </c>
      <c r="I15" s="319">
        <f t="shared" si="11"/>
        <v>1.2254627882176013E-3</v>
      </c>
      <c r="J15" s="323">
        <f t="shared" si="13"/>
        <v>907.28963115447095</v>
      </c>
      <c r="K15" s="320">
        <f t="shared" si="17"/>
        <v>22.365977800405346</v>
      </c>
      <c r="L15" s="321">
        <f t="shared" si="18"/>
        <v>1112.230026586295</v>
      </c>
      <c r="M15" s="322">
        <f t="shared" si="14"/>
        <v>2041.8856355411713</v>
      </c>
      <c r="N15" s="322">
        <f>M15*(1+0.07)^-(B15-'Project Data and Assumptions'!C3)</f>
        <v>791.87845364848408</v>
      </c>
      <c r="O15" s="323">
        <f t="shared" si="15"/>
        <v>6719.0871228602846</v>
      </c>
      <c r="P15" s="321">
        <f t="shared" si="15"/>
        <v>3884.0596383164789</v>
      </c>
      <c r="R15" s="121">
        <v>2022</v>
      </c>
      <c r="S15" s="329">
        <v>16600</v>
      </c>
      <c r="T15" s="329">
        <v>44300</v>
      </c>
      <c r="U15" s="329">
        <v>796700</v>
      </c>
      <c r="V15" s="329">
        <v>56</v>
      </c>
      <c r="Y15" s="25">
        <v>43</v>
      </c>
      <c r="Z15" s="96" t="s">
        <v>473</v>
      </c>
      <c r="AA15" s="96" t="s">
        <v>474</v>
      </c>
      <c r="AB15" s="325">
        <v>1.9469017025302577</v>
      </c>
      <c r="AC15" s="325">
        <v>3.66910948950592E-3</v>
      </c>
      <c r="AD15" s="325">
        <v>5.5096995199883071E-2</v>
      </c>
      <c r="AE15" s="325">
        <v>1071.1129065416801</v>
      </c>
    </row>
    <row r="16" spans="2:31" x14ac:dyDescent="0.25">
      <c r="B16" s="2">
        <f t="shared" si="16"/>
        <v>2036</v>
      </c>
      <c r="C16" s="359">
        <f t="shared" si="8"/>
        <v>71.501572391036447</v>
      </c>
      <c r="D16" s="313">
        <f t="shared" si="12"/>
        <v>5148.1132121546243</v>
      </c>
      <c r="E16" s="314">
        <f>D16*(1+0.03)^-($B16-'Project Data and Assumptions'!C3)</f>
        <v>3304.3779717723387</v>
      </c>
      <c r="F16" s="316">
        <f>IFERROR(_xlfn.XLOOKUP($B16,'VMT Change'!$B$7:$B$34,'VMT Change'!$J$7:$J$34),0)</f>
        <v>225397.25408632928</v>
      </c>
      <c r="G16" s="317">
        <f t="shared" si="9"/>
        <v>5.1370252075917174E-2</v>
      </c>
      <c r="H16" s="318">
        <f t="shared" si="10"/>
        <v>4.6654987538541376E-4</v>
      </c>
      <c r="I16" s="319">
        <f t="shared" si="11"/>
        <v>1.3113773599721496E-3</v>
      </c>
      <c r="J16" s="323">
        <f t="shared" si="13"/>
        <v>970.89776423483454</v>
      </c>
      <c r="K16" s="320">
        <f t="shared" si="17"/>
        <v>23.934008607271725</v>
      </c>
      <c r="L16" s="321">
        <f t="shared" si="18"/>
        <v>1190.206091910723</v>
      </c>
      <c r="M16" s="322">
        <f t="shared" si="14"/>
        <v>2185.0378647528291</v>
      </c>
      <c r="N16" s="322">
        <f>M16*(1+0.07)^-(B16-'Project Data and Assumptions'!C3)</f>
        <v>791.9582768475035</v>
      </c>
      <c r="O16" s="323">
        <f t="shared" si="15"/>
        <v>7333.1510769074539</v>
      </c>
      <c r="P16" s="321">
        <f t="shared" si="15"/>
        <v>4096.3362486198421</v>
      </c>
      <c r="R16" s="121">
        <v>2023</v>
      </c>
      <c r="S16" s="329">
        <v>16800</v>
      </c>
      <c r="T16" s="329">
        <v>45100</v>
      </c>
      <c r="U16" s="329">
        <v>810500</v>
      </c>
      <c r="V16" s="329">
        <v>57</v>
      </c>
      <c r="Y16" s="25">
        <v>51</v>
      </c>
      <c r="Z16" s="96" t="s">
        <v>475</v>
      </c>
      <c r="AA16" s="96" t="s">
        <v>474</v>
      </c>
      <c r="AB16" s="325">
        <v>2.48942987946789</v>
      </c>
      <c r="AC16" s="325">
        <v>5.2833773025508703E-3</v>
      </c>
      <c r="AD16" s="325">
        <v>3.4321389281753531E-2</v>
      </c>
      <c r="AE16" s="325">
        <v>1427.83446247497</v>
      </c>
    </row>
    <row r="17" spans="2:31" x14ac:dyDescent="0.25">
      <c r="B17" s="2">
        <f t="shared" si="16"/>
        <v>2037</v>
      </c>
      <c r="C17" s="359">
        <f t="shared" si="8"/>
        <v>76.53098689951122</v>
      </c>
      <c r="D17" s="313">
        <f t="shared" si="12"/>
        <v>5586.7620436643192</v>
      </c>
      <c r="E17" s="314">
        <f>D17*(1+0.03)^-($B17-'Project Data and Assumptions'!C3)</f>
        <v>3481.4854029014045</v>
      </c>
      <c r="F17" s="316">
        <f>IFERROR(_xlfn.XLOOKUP($B17,'VMT Change'!$B$7:$B$34,'VMT Change'!$J$7:$J$34),0)</f>
        <v>241251.67772994514</v>
      </c>
      <c r="G17" s="317">
        <f t="shared" si="9"/>
        <v>5.4983631229058888E-2</v>
      </c>
      <c r="H17" s="318">
        <f t="shared" si="10"/>
        <v>4.9936695385968601E-4</v>
      </c>
      <c r="I17" s="319">
        <f t="shared" si="11"/>
        <v>1.4036195317143211E-3</v>
      </c>
      <c r="J17" s="323">
        <f t="shared" si="13"/>
        <v>1039.190630229213</v>
      </c>
      <c r="K17" s="320">
        <f t="shared" si="17"/>
        <v>25.617524733001893</v>
      </c>
      <c r="L17" s="321">
        <f t="shared" si="18"/>
        <v>1273.9250869839177</v>
      </c>
      <c r="M17" s="322">
        <f t="shared" si="14"/>
        <v>2338.7332419461327</v>
      </c>
      <c r="N17" s="322">
        <f>M17*(1+0.07)^-(B17-'Project Data and Assumptions'!C3)</f>
        <v>792.2098640641567</v>
      </c>
      <c r="O17" s="323">
        <f t="shared" si="15"/>
        <v>7925.4952856104519</v>
      </c>
      <c r="P17" s="321">
        <f t="shared" si="15"/>
        <v>4273.6952669655611</v>
      </c>
      <c r="R17" s="121">
        <v>2024</v>
      </c>
      <c r="S17" s="329">
        <v>17000</v>
      </c>
      <c r="T17" s="329">
        <v>46000</v>
      </c>
      <c r="U17" s="329">
        <v>824500</v>
      </c>
      <c r="V17" s="329">
        <v>58</v>
      </c>
      <c r="Y17" s="25">
        <v>52</v>
      </c>
      <c r="Z17" s="96" t="s">
        <v>475</v>
      </c>
      <c r="AA17" s="96" t="s">
        <v>474</v>
      </c>
      <c r="AB17" s="325">
        <v>0.95074648895471525</v>
      </c>
      <c r="AC17" s="325">
        <v>3.5321878667988801E-3</v>
      </c>
      <c r="AD17" s="325">
        <v>1.5158170819293781E-2</v>
      </c>
      <c r="AE17" s="325">
        <v>862.616489254057</v>
      </c>
    </row>
    <row r="18" spans="2:31" x14ac:dyDescent="0.25">
      <c r="B18" s="2">
        <f t="shared" si="16"/>
        <v>2038</v>
      </c>
      <c r="C18" s="359">
        <f t="shared" si="8"/>
        <v>81.931058702206428</v>
      </c>
      <c r="D18" s="313">
        <f t="shared" si="12"/>
        <v>6062.8983439632757</v>
      </c>
      <c r="E18" s="314">
        <f>D18*(1+0.03)^-($B18-'Project Data and Assumptions'!C3)</f>
        <v>3668.1532075828104</v>
      </c>
      <c r="F18" s="316">
        <f>IFERROR(_xlfn.XLOOKUP($B18,'VMT Change'!$B$7:$B$34,'VMT Change'!$J$7:$J$34),0)</f>
        <v>258274.53912297796</v>
      </c>
      <c r="G18" s="317">
        <f t="shared" si="9"/>
        <v>5.8863308842516261E-2</v>
      </c>
      <c r="H18" s="318">
        <f t="shared" si="10"/>
        <v>5.3460258214547138E-4</v>
      </c>
      <c r="I18" s="319">
        <f t="shared" si="11"/>
        <v>1.5026597579285105E-3</v>
      </c>
      <c r="J18" s="323">
        <f t="shared" si="13"/>
        <v>1112.5165371235573</v>
      </c>
      <c r="K18" s="320">
        <f t="shared" si="17"/>
        <v>27.425112464062682</v>
      </c>
      <c r="L18" s="321">
        <f t="shared" si="18"/>
        <v>1363.813996295916</v>
      </c>
      <c r="M18" s="322">
        <f t="shared" si="14"/>
        <v>2503.7556458835361</v>
      </c>
      <c r="N18" s="322">
        <f>M18*(1+0.07)^-(B18-'Project Data and Assumptions'!C3)</f>
        <v>792.62491746665489</v>
      </c>
      <c r="O18" s="323">
        <f t="shared" si="15"/>
        <v>8566.6539898468109</v>
      </c>
      <c r="P18" s="321">
        <f t="shared" si="15"/>
        <v>4460.7781250494654</v>
      </c>
      <c r="R18" s="121">
        <v>2025</v>
      </c>
      <c r="S18" s="329">
        <v>17200</v>
      </c>
      <c r="T18" s="329">
        <v>46900</v>
      </c>
      <c r="U18" s="329">
        <v>838800</v>
      </c>
      <c r="V18" s="329">
        <v>59</v>
      </c>
      <c r="Y18" s="25">
        <v>53</v>
      </c>
      <c r="Z18" s="96" t="s">
        <v>475</v>
      </c>
      <c r="AA18" s="96" t="s">
        <v>474</v>
      </c>
      <c r="AB18" s="325">
        <v>0.89067775827536644</v>
      </c>
      <c r="AC18" s="325">
        <v>3.4020765235606102E-3</v>
      </c>
      <c r="AD18" s="325">
        <v>1.349939126139434E-2</v>
      </c>
      <c r="AE18" s="325">
        <v>829.46088804247995</v>
      </c>
    </row>
    <row r="19" spans="2:31" x14ac:dyDescent="0.25">
      <c r="B19" s="2">
        <f t="shared" si="16"/>
        <v>2039</v>
      </c>
      <c r="C19" s="359">
        <f t="shared" si="8"/>
        <v>87.729350549527751</v>
      </c>
      <c r="D19" s="313">
        <f t="shared" si="12"/>
        <v>6579.701291214581</v>
      </c>
      <c r="E19" s="314">
        <f>D19*(1+0.03)^-($B19-'Project Data and Assumptions'!C3)</f>
        <v>3864.8810581853377</v>
      </c>
      <c r="F19" s="316">
        <f>IFERROR(_xlfn.XLOOKUP($B19,'VMT Change'!$B$7:$B$34,'VMT Change'!$J$7:$J$34),0)</f>
        <v>276552.72542117484</v>
      </c>
      <c r="G19" s="317">
        <f t="shared" si="9"/>
        <v>6.3029087354038504E-2</v>
      </c>
      <c r="H19" s="318">
        <f t="shared" si="10"/>
        <v>5.724366080046726E-4</v>
      </c>
      <c r="I19" s="319">
        <f t="shared" si="11"/>
        <v>1.6090035543069171E-3</v>
      </c>
      <c r="J19" s="323">
        <f t="shared" si="13"/>
        <v>1191.2497509913278</v>
      </c>
      <c r="K19" s="320">
        <f t="shared" si="17"/>
        <v>29.365997990639706</v>
      </c>
      <c r="L19" s="321">
        <f t="shared" si="18"/>
        <v>1460.3316258889579</v>
      </c>
      <c r="M19" s="322">
        <f t="shared" si="14"/>
        <v>2680.9473748709252</v>
      </c>
      <c r="N19" s="322">
        <f>M19*(1+0.07)^-(B19-'Project Data and Assumptions'!C3)</f>
        <v>793.19558978141993</v>
      </c>
      <c r="O19" s="323">
        <f t="shared" si="15"/>
        <v>9260.6486660855062</v>
      </c>
      <c r="P19" s="321">
        <f t="shared" si="15"/>
        <v>4658.0766479667573</v>
      </c>
      <c r="R19" s="121">
        <v>2026</v>
      </c>
      <c r="S19" s="329">
        <v>17500</v>
      </c>
      <c r="T19" s="329">
        <v>47800</v>
      </c>
      <c r="U19" s="329">
        <v>852100</v>
      </c>
      <c r="V19" s="329">
        <v>60</v>
      </c>
      <c r="Y19" s="25">
        <v>54</v>
      </c>
      <c r="Z19" s="96" t="s">
        <v>475</v>
      </c>
      <c r="AA19" s="96" t="s">
        <v>474</v>
      </c>
      <c r="AB19" s="325">
        <v>1.6481032166429217</v>
      </c>
      <c r="AC19" s="325">
        <v>6.0326542026046303E-3</v>
      </c>
      <c r="AD19" s="325">
        <v>4.2864875162321965E-2</v>
      </c>
      <c r="AE19" s="325">
        <v>1166.1048437433201</v>
      </c>
    </row>
    <row r="20" spans="2:31" x14ac:dyDescent="0.25">
      <c r="B20" s="2">
        <f t="shared" si="16"/>
        <v>2040</v>
      </c>
      <c r="C20" s="359">
        <f t="shared" si="8"/>
        <v>93.9554794477191</v>
      </c>
      <c r="D20" s="313">
        <f t="shared" si="12"/>
        <v>7140.6164380266518</v>
      </c>
      <c r="E20" s="314">
        <f>D20*(1+0.03)^-($B20-'Project Data and Assumptions'!C3)</f>
        <v>4072.1937774301396</v>
      </c>
      <c r="F20" s="316">
        <f>IFERROR(_xlfn.XLOOKUP($B20,'VMT Change'!$B$7:$B$34,'VMT Change'!$J$7:$J$34),0)</f>
        <v>296179.59949276934</v>
      </c>
      <c r="G20" s="317">
        <f t="shared" si="9"/>
        <v>6.7502245079970366E-2</v>
      </c>
      <c r="H20" s="318">
        <f t="shared" si="10"/>
        <v>6.1306228327931661E-4</v>
      </c>
      <c r="I20" s="319">
        <f t="shared" si="11"/>
        <v>1.7231941127005674E-3</v>
      </c>
      <c r="J20" s="323">
        <f t="shared" si="13"/>
        <v>1275.7924320114398</v>
      </c>
      <c r="K20" s="320">
        <f t="shared" si="17"/>
        <v>31.450095132228942</v>
      </c>
      <c r="L20" s="321">
        <f t="shared" si="18"/>
        <v>1563.9709766870349</v>
      </c>
      <c r="M20" s="322">
        <f t="shared" si="14"/>
        <v>2871.2135038307033</v>
      </c>
      <c r="N20" s="322">
        <f>M20*(1+0.07)^-(B20-'Project Data and Assumptions'!C3)</f>
        <v>793.91445966243941</v>
      </c>
      <c r="O20" s="323">
        <f t="shared" si="15"/>
        <v>10011.829941857355</v>
      </c>
      <c r="P20" s="321">
        <f t="shared" si="15"/>
        <v>4866.1082370925787</v>
      </c>
      <c r="R20" s="121">
        <v>2027</v>
      </c>
      <c r="S20" s="329">
        <v>17900</v>
      </c>
      <c r="T20" s="329">
        <v>48700</v>
      </c>
      <c r="U20" s="329">
        <v>865600</v>
      </c>
      <c r="V20" s="329">
        <v>61</v>
      </c>
      <c r="Y20" s="25">
        <v>61</v>
      </c>
      <c r="Z20" s="96" t="s">
        <v>476</v>
      </c>
      <c r="AA20" s="96" t="s">
        <v>474</v>
      </c>
      <c r="AB20" s="325">
        <v>3.0234078113615883</v>
      </c>
      <c r="AC20" s="325">
        <v>4.9760807160904204E-3</v>
      </c>
      <c r="AD20" s="325">
        <v>4.3407648080982714E-2</v>
      </c>
      <c r="AE20" s="325">
        <v>1463.90880302132</v>
      </c>
    </row>
    <row r="21" spans="2:31" x14ac:dyDescent="0.25">
      <c r="B21" s="2">
        <f t="shared" si="16"/>
        <v>2041</v>
      </c>
      <c r="C21" s="359">
        <f t="shared" si="8"/>
        <v>100.64126987373378</v>
      </c>
      <c r="D21" s="313">
        <f t="shared" si="12"/>
        <v>7850.0190501512343</v>
      </c>
      <c r="E21" s="314">
        <f>D21*(1+0.03)^-($B21-'Project Data and Assumptions'!C3)</f>
        <v>4346.3652179695819</v>
      </c>
      <c r="F21" s="316">
        <f>IFERROR(_xlfn.XLOOKUP($B21,'VMT Change'!$B$7:$B$34,'VMT Change'!$J$7:$J$34),0)</f>
        <v>317255.48290382134</v>
      </c>
      <c r="G21" s="317">
        <f t="shared" si="9"/>
        <v>7.2305646292363607E-2</v>
      </c>
      <c r="H21" s="318">
        <f t="shared" si="10"/>
        <v>6.566872636231219E-4</v>
      </c>
      <c r="I21" s="319">
        <f t="shared" si="11"/>
        <v>1.8458151111626E-3</v>
      </c>
      <c r="J21" s="323">
        <f t="shared" si="13"/>
        <v>1366.5767149256721</v>
      </c>
      <c r="K21" s="320">
        <f t="shared" si="17"/>
        <v>33.688056623866153</v>
      </c>
      <c r="L21" s="321">
        <f t="shared" si="18"/>
        <v>1675.2617948911757</v>
      </c>
      <c r="M21" s="322">
        <f t="shared" si="14"/>
        <v>3075.5265664407143</v>
      </c>
      <c r="N21" s="322">
        <f>M21*(1+0.07)^-(B21-'Project Data and Assumptions'!C3)</f>
        <v>794.77450842717087</v>
      </c>
      <c r="O21" s="323">
        <f t="shared" si="15"/>
        <v>10925.54561659195</v>
      </c>
      <c r="P21" s="321">
        <f t="shared" si="15"/>
        <v>5141.1397263967528</v>
      </c>
      <c r="R21" s="121">
        <v>2028</v>
      </c>
      <c r="S21" s="329">
        <v>18200</v>
      </c>
      <c r="T21" s="329">
        <v>49500</v>
      </c>
      <c r="U21" s="329">
        <v>879400</v>
      </c>
      <c r="V21" s="329">
        <v>62</v>
      </c>
      <c r="Y21" s="25">
        <v>62</v>
      </c>
      <c r="Z21" s="96" t="s">
        <v>476</v>
      </c>
      <c r="AA21" s="96" t="s">
        <v>474</v>
      </c>
      <c r="AB21" s="325">
        <v>3.7426725771679936</v>
      </c>
      <c r="AC21" s="325">
        <v>5.1160211102583997E-3</v>
      </c>
      <c r="AD21" s="325">
        <v>5.9310023601485649E-2</v>
      </c>
      <c r="AE21" s="325">
        <v>1528.79872430418</v>
      </c>
    </row>
    <row r="22" spans="2:31" x14ac:dyDescent="0.25">
      <c r="B22" s="2">
        <f t="shared" si="16"/>
        <v>2042</v>
      </c>
      <c r="C22" s="359">
        <f t="shared" si="8"/>
        <v>107.82091842108167</v>
      </c>
      <c r="D22" s="313">
        <f t="shared" si="12"/>
        <v>8517.8525552654519</v>
      </c>
      <c r="E22" s="314">
        <f>D22*(1+0.03)^-($B22-'Project Data and Assumptions'!C3)</f>
        <v>4578.7654733831068</v>
      </c>
      <c r="F22" s="316">
        <f>IFERROR(_xlfn.XLOOKUP($B22,'VMT Change'!$B$7:$B$34,'VMT Change'!$J$7:$J$34),0)</f>
        <v>339888.1749378778</v>
      </c>
      <c r="G22" s="317">
        <f t="shared" si="9"/>
        <v>7.7463859508664731E-2</v>
      </c>
      <c r="H22" s="318">
        <f t="shared" si="10"/>
        <v>7.0353468282052345E-4</v>
      </c>
      <c r="I22" s="319">
        <f t="shared" si="11"/>
        <v>1.9774937336418073E-3</v>
      </c>
      <c r="J22" s="323">
        <f t="shared" si="13"/>
        <v>1464.0669447137634</v>
      </c>
      <c r="K22" s="320">
        <f t="shared" si="17"/>
        <v>36.09132922869285</v>
      </c>
      <c r="L22" s="321">
        <f t="shared" si="18"/>
        <v>1794.7733126533044</v>
      </c>
      <c r="M22" s="322">
        <f t="shared" si="14"/>
        <v>3294.9315865957606</v>
      </c>
      <c r="N22" s="322">
        <f>M22*(1+0.07)^-(B22-'Project Data and Assumptions'!C3)</f>
        <v>795.76909808223809</v>
      </c>
      <c r="O22" s="323">
        <f t="shared" si="15"/>
        <v>11812.784141861212</v>
      </c>
      <c r="P22" s="321">
        <f t="shared" si="15"/>
        <v>5374.5345714653449</v>
      </c>
      <c r="R22" s="121">
        <v>2029</v>
      </c>
      <c r="S22" s="329">
        <v>18600</v>
      </c>
      <c r="T22" s="329">
        <v>50400</v>
      </c>
      <c r="U22" s="329">
        <v>893400</v>
      </c>
      <c r="V22" s="329">
        <v>63</v>
      </c>
    </row>
    <row r="23" spans="2:31" x14ac:dyDescent="0.25">
      <c r="B23" s="2">
        <f t="shared" si="16"/>
        <v>2043</v>
      </c>
      <c r="C23" s="359">
        <f t="shared" si="8"/>
        <v>115.5311707296531</v>
      </c>
      <c r="D23" s="313">
        <f t="shared" si="12"/>
        <v>9242.4936583722483</v>
      </c>
      <c r="E23" s="314">
        <f>D23*(1+0.03)^-($B23-'Project Data and Assumptions'!C3)</f>
        <v>4823.5881297593296</v>
      </c>
      <c r="F23" s="316">
        <f>IFERROR(_xlfn.XLOOKUP($B23,'VMT Change'!$B$7:$B$34,'VMT Change'!$J$7:$J$34),0)</f>
        <v>364193.51033890236</v>
      </c>
      <c r="G23" s="317">
        <f t="shared" si="9"/>
        <v>8.3003284606816677E-2</v>
      </c>
      <c r="H23" s="318">
        <f t="shared" si="10"/>
        <v>7.5384430725900712E-4</v>
      </c>
      <c r="I23" s="319">
        <f t="shared" si="11"/>
        <v>2.1189039149709255E-3</v>
      </c>
      <c r="J23" s="323">
        <f t="shared" si="13"/>
        <v>1568.7620790688352</v>
      </c>
      <c r="K23" s="320">
        <f t="shared" si="17"/>
        <v>38.672212962387064</v>
      </c>
      <c r="L23" s="321">
        <f t="shared" si="18"/>
        <v>1923.117193227612</v>
      </c>
      <c r="M23" s="322">
        <f t="shared" si="14"/>
        <v>3530.551485258834</v>
      </c>
      <c r="N23" s="322">
        <f>M23*(1+0.07)^-(B23-'Project Data and Assumptions'!C3)</f>
        <v>796.89195056652193</v>
      </c>
      <c r="O23" s="323">
        <f t="shared" ref="O23:P25" si="21">M23+D23</f>
        <v>12773.045143631083</v>
      </c>
      <c r="P23" s="321">
        <f t="shared" si="21"/>
        <v>5620.4800803258513</v>
      </c>
      <c r="R23" s="121">
        <v>2030</v>
      </c>
      <c r="S23" s="329">
        <v>18900</v>
      </c>
      <c r="T23" s="329">
        <v>51300</v>
      </c>
      <c r="U23" s="329">
        <v>907600</v>
      </c>
      <c r="V23" s="329">
        <v>65</v>
      </c>
    </row>
    <row r="24" spans="2:31" x14ac:dyDescent="0.25">
      <c r="B24" s="2">
        <f t="shared" si="16"/>
        <v>2044</v>
      </c>
      <c r="C24" s="359">
        <f t="shared" si="8"/>
        <v>123.81151161618197</v>
      </c>
      <c r="D24" s="313">
        <f t="shared" si="12"/>
        <v>10028.73244091074</v>
      </c>
      <c r="E24" s="314">
        <f>D24*(1+0.03)^-($B24-'Project Data and Assumptions'!C3)</f>
        <v>5081.4759750186622</v>
      </c>
      <c r="F24" s="316">
        <f>IFERROR(_xlfn.XLOOKUP($B24,'VMT Change'!$B$7:$B$34,'VMT Change'!$J$7:$J$34),0)</f>
        <v>390295.9586671064</v>
      </c>
      <c r="G24" s="317">
        <f t="shared" si="9"/>
        <v>8.8952289424350392E-2</v>
      </c>
      <c r="H24" s="318">
        <f t="shared" si="10"/>
        <v>8.0787377653600842E-4</v>
      </c>
      <c r="I24" s="319">
        <f t="shared" si="11"/>
        <v>2.2707698279617696E-3</v>
      </c>
      <c r="J24" s="323">
        <f t="shared" si="13"/>
        <v>1681.1982701202223</v>
      </c>
      <c r="K24" s="320">
        <f t="shared" si="17"/>
        <v>41.443924736297234</v>
      </c>
      <c r="L24" s="321">
        <f t="shared" si="18"/>
        <v>2060.9506958581023</v>
      </c>
      <c r="M24" s="322">
        <f t="shared" si="14"/>
        <v>3783.5928907146217</v>
      </c>
      <c r="N24" s="322">
        <f>M24*(1+0.07)^-(B24-'Project Data and Assumptions'!C3)</f>
        <v>798.13712814335122</v>
      </c>
      <c r="O24" s="323">
        <f t="shared" si="21"/>
        <v>13812.325331625361</v>
      </c>
      <c r="P24" s="321">
        <f t="shared" si="21"/>
        <v>5879.6131031620134</v>
      </c>
      <c r="R24" s="121">
        <v>2031</v>
      </c>
      <c r="S24" s="329">
        <v>18900</v>
      </c>
      <c r="T24" s="329">
        <v>51300</v>
      </c>
      <c r="U24" s="329">
        <v>907600</v>
      </c>
      <c r="V24" s="329">
        <v>66</v>
      </c>
    </row>
    <row r="25" spans="2:31" x14ac:dyDescent="0.25">
      <c r="B25" s="2">
        <f t="shared" si="16"/>
        <v>2045</v>
      </c>
      <c r="C25" s="359">
        <f t="shared" si="8"/>
        <v>132.70436939042673</v>
      </c>
      <c r="D25" s="313">
        <f t="shared" si="12"/>
        <v>10881.758290014992</v>
      </c>
      <c r="E25" s="314">
        <f>D25*(1+0.03)^-($B25-'Project Data and Assumptions'!C3)</f>
        <v>5353.1040135505064</v>
      </c>
      <c r="F25" s="316">
        <f>IFERROR(_xlfn.XLOOKUP($B25,'VMT Change'!$B$7:$B$34,'VMT Change'!$J$7:$J$34),0)</f>
        <v>418329.26837298233</v>
      </c>
      <c r="G25" s="317">
        <f t="shared" si="9"/>
        <v>9.5341356549194525E-2</v>
      </c>
      <c r="H25" s="318">
        <f t="shared" si="10"/>
        <v>8.6589993662803766E-4</v>
      </c>
      <c r="I25" s="319">
        <f t="shared" si="11"/>
        <v>2.4338696306740646E-3</v>
      </c>
      <c r="J25" s="323">
        <f t="shared" si="13"/>
        <v>1801.9516387797764</v>
      </c>
      <c r="K25" s="320">
        <f t="shared" si="17"/>
        <v>44.420666749018331</v>
      </c>
      <c r="L25" s="321">
        <f t="shared" si="18"/>
        <v>2208.9800767997808</v>
      </c>
      <c r="M25" s="322">
        <f t="shared" si="14"/>
        <v>4055.3523823285759</v>
      </c>
      <c r="N25" s="322">
        <f>M25*(1+0.07)^-(B25-'Project Data and Assumptions'!C3)</f>
        <v>799.4990148773777</v>
      </c>
      <c r="O25" s="323">
        <f t="shared" si="21"/>
        <v>14937.110672343568</v>
      </c>
      <c r="P25" s="321">
        <f t="shared" si="21"/>
        <v>6152.6030284278841</v>
      </c>
      <c r="R25" s="121">
        <v>2032</v>
      </c>
      <c r="S25" s="329">
        <v>18900</v>
      </c>
      <c r="T25" s="329">
        <v>51300</v>
      </c>
      <c r="U25" s="329">
        <v>907600</v>
      </c>
      <c r="V25" s="329">
        <v>67</v>
      </c>
    </row>
    <row r="26" spans="2:31" ht="15" customHeight="1" x14ac:dyDescent="0.25">
      <c r="B26" s="2">
        <f t="shared" si="16"/>
        <v>2046</v>
      </c>
      <c r="C26" s="359">
        <f t="shared" si="8"/>
        <v>142.25533541566648</v>
      </c>
      <c r="D26" s="313">
        <f t="shared" ref="D26:D32" si="22">C26*_xlfn.XLOOKUP($B26,$R$15:$R$50,$V$15:$V$50)</f>
        <v>11949.448174915984</v>
      </c>
      <c r="E26" s="314">
        <f>D26*(1+0.03)^-($B26-'Project Data and Assumptions'!C3)</f>
        <v>5707.1229979434484</v>
      </c>
      <c r="F26" s="316">
        <f>IFERROR(_xlfn.XLOOKUP($B26,'VMT Change'!$B$7:$B$34,'VMT Change'!$J$7:$J$34),0)</f>
        <v>448437.15892659954</v>
      </c>
      <c r="G26" s="317">
        <f t="shared" si="9"/>
        <v>0.10220324106275233</v>
      </c>
      <c r="H26" s="318">
        <f t="shared" si="10"/>
        <v>9.2822027252941342E-4</v>
      </c>
      <c r="I26" s="319">
        <f t="shared" si="11"/>
        <v>2.6090394932732366E-3</v>
      </c>
      <c r="J26" s="323">
        <f t="shared" ref="J26:J32" si="23">G26*_xlfn.XLOOKUP($B26,$R$15:$R$50,$S$15:$S$50)</f>
        <v>1931.641256086019</v>
      </c>
      <c r="K26" s="320">
        <f t="shared" ref="K26:K32" si="24">H26*_xlfn.XLOOKUP($B26,$R$15:$R$50,$T$15:$T$50)</f>
        <v>47.617699980758907</v>
      </c>
      <c r="L26" s="321">
        <f t="shared" ref="L26:L32" si="25">I26*_xlfn.XLOOKUP($B26,$R$15:$R$50,$U$15:$U$50)</f>
        <v>2367.9642440947896</v>
      </c>
      <c r="M26" s="322">
        <f t="shared" ref="M26:M32" si="26">SUM(J26:L26)</f>
        <v>4347.2232001615675</v>
      </c>
      <c r="N26" s="322">
        <f>M26*(1+0.07)^-(B26-'Project Data and Assumptions'!C3)</f>
        <v>800.97229913536705</v>
      </c>
      <c r="O26" s="323">
        <f t="shared" ref="O26:O32" si="27">M26+D26</f>
        <v>16296.671375077553</v>
      </c>
      <c r="P26" s="321">
        <f t="shared" ref="P26:P32" si="28">N26+E26</f>
        <v>6508.0952970788157</v>
      </c>
      <c r="R26" s="121">
        <v>2033</v>
      </c>
      <c r="S26" s="329">
        <v>18900</v>
      </c>
      <c r="T26" s="329">
        <v>51300</v>
      </c>
      <c r="U26" s="329">
        <v>907600</v>
      </c>
      <c r="V26" s="329">
        <v>68</v>
      </c>
      <c r="AA26" s="136" t="s">
        <v>13</v>
      </c>
      <c r="AB26" s="120" t="s">
        <v>462</v>
      </c>
      <c r="AC26" s="120" t="s">
        <v>463</v>
      </c>
      <c r="AD26" s="120" t="s">
        <v>464</v>
      </c>
      <c r="AE26" s="120" t="s">
        <v>465</v>
      </c>
    </row>
    <row r="27" spans="2:31" x14ac:dyDescent="0.25">
      <c r="B27" s="2">
        <f t="shared" si="16"/>
        <v>2047</v>
      </c>
      <c r="C27" s="359">
        <f t="shared" si="8"/>
        <v>152.51340005112124</v>
      </c>
      <c r="D27" s="313">
        <f t="shared" si="22"/>
        <v>12963.639004345305</v>
      </c>
      <c r="E27" s="314">
        <f>D27*(1+0.03)^-($B27-'Project Data and Assumptions'!C3)</f>
        <v>6011.1710547310613</v>
      </c>
      <c r="F27" s="316">
        <f>IFERROR(_xlfn.XLOOKUP($B27,'VMT Change'!$B$7:$B$34,'VMT Change'!$J$7:$J$34),0)</f>
        <v>480774.06458829151</v>
      </c>
      <c r="G27" s="317">
        <f t="shared" si="9"/>
        <v>0.10957314005256005</v>
      </c>
      <c r="H27" s="318">
        <f t="shared" si="10"/>
        <v>9.9515444778353556E-4</v>
      </c>
      <c r="I27" s="319">
        <f t="shared" si="11"/>
        <v>2.7971779253415179E-3</v>
      </c>
      <c r="J27" s="323">
        <f t="shared" si="23"/>
        <v>2070.9323469933852</v>
      </c>
      <c r="K27" s="320">
        <f t="shared" si="24"/>
        <v>51.051423171295376</v>
      </c>
      <c r="L27" s="321">
        <f t="shared" si="25"/>
        <v>2538.7186850399617</v>
      </c>
      <c r="M27" s="322">
        <f t="shared" si="26"/>
        <v>4660.7024552046423</v>
      </c>
      <c r="N27" s="322">
        <f>M27*(1+0.07)^-(B27-'Project Data and Assumptions'!C3)</f>
        <v>802.55195705358699</v>
      </c>
      <c r="O27" s="323">
        <f t="shared" si="27"/>
        <v>17624.341459549949</v>
      </c>
      <c r="P27" s="321">
        <f t="shared" si="28"/>
        <v>6813.7230117846484</v>
      </c>
      <c r="R27" s="121">
        <v>2034</v>
      </c>
      <c r="S27" s="329">
        <v>18900</v>
      </c>
      <c r="T27" s="329">
        <v>51300</v>
      </c>
      <c r="U27" s="329">
        <v>907600</v>
      </c>
      <c r="V27" s="329">
        <v>69</v>
      </c>
      <c r="AA27" s="136" t="s">
        <v>34</v>
      </c>
      <c r="AB27" s="324">
        <f>AVERAGE(AB9:AB12)</f>
        <v>0.22790983982547491</v>
      </c>
      <c r="AC27" s="324">
        <f t="shared" ref="AC27:AE27" si="29">AVERAGE(AC9:AC12)</f>
        <v>2.0699004398994176E-3</v>
      </c>
      <c r="AD27" s="324">
        <f t="shared" si="29"/>
        <v>5.8180715878192544E-3</v>
      </c>
      <c r="AE27" s="324">
        <f t="shared" si="29"/>
        <v>317.22468262036</v>
      </c>
    </row>
    <row r="28" spans="2:31" x14ac:dyDescent="0.25">
      <c r="B28" s="2">
        <f t="shared" si="16"/>
        <v>2048</v>
      </c>
      <c r="C28" s="359">
        <f t="shared" si="8"/>
        <v>163.53120619880934</v>
      </c>
      <c r="D28" s="313">
        <f t="shared" si="22"/>
        <v>14063.683733097603</v>
      </c>
      <c r="E28" s="314">
        <f>D28*(1+0.03)^-($B28-'Project Data and Assumptions'!C3)</f>
        <v>6331.3165003883714</v>
      </c>
      <c r="F28" s="316">
        <f>IFERROR(_xlfn.XLOOKUP($B28,'VMT Change'!$B$7:$B$34,'VMT Change'!$J$7:$J$34),0)</f>
        <v>515505.93367451179</v>
      </c>
      <c r="G28" s="317">
        <f t="shared" si="9"/>
        <v>0.11748887477283987</v>
      </c>
      <c r="H28" s="318">
        <f t="shared" si="10"/>
        <v>1.067045958883632E-3</v>
      </c>
      <c r="I28" s="319">
        <f t="shared" si="11"/>
        <v>2.9992504260639139E-3</v>
      </c>
      <c r="J28" s="323">
        <f t="shared" si="23"/>
        <v>2220.5397332066736</v>
      </c>
      <c r="K28" s="320">
        <f t="shared" si="24"/>
        <v>54.739457690730319</v>
      </c>
      <c r="L28" s="321">
        <f t="shared" si="25"/>
        <v>2722.1196866956084</v>
      </c>
      <c r="M28" s="322">
        <f t="shared" si="26"/>
        <v>4997.398877593012</v>
      </c>
      <c r="N28" s="322">
        <f>M28*(1+0.07)^-(B28-'Project Data and Assumptions'!C3)</f>
        <v>804.23323691770076</v>
      </c>
      <c r="O28" s="323">
        <f t="shared" si="27"/>
        <v>19061.082610690617</v>
      </c>
      <c r="P28" s="321">
        <f t="shared" si="28"/>
        <v>7135.5497373060725</v>
      </c>
      <c r="R28" s="121">
        <v>2035</v>
      </c>
      <c r="S28" s="329">
        <v>18900</v>
      </c>
      <c r="T28" s="329">
        <v>51300</v>
      </c>
      <c r="U28" s="329">
        <v>907600</v>
      </c>
      <c r="V28" s="329">
        <v>70</v>
      </c>
      <c r="AA28" s="136" t="s">
        <v>35</v>
      </c>
      <c r="AB28" s="324">
        <f>AVERAGE(AB13:AB21)</f>
        <v>2.099484306313415</v>
      </c>
      <c r="AC28" s="324">
        <f t="shared" ref="AC28:AE28" si="30">AVERAGE(AC13:AC21)</f>
        <v>4.7858028693373951E-3</v>
      </c>
      <c r="AD28" s="324">
        <f t="shared" si="30"/>
        <v>3.2505287070740692E-2</v>
      </c>
      <c r="AE28" s="324">
        <f t="shared" si="30"/>
        <v>1238.7315972924489</v>
      </c>
    </row>
    <row r="29" spans="2:31" x14ac:dyDescent="0.25">
      <c r="B29" s="2">
        <f t="shared" si="16"/>
        <v>2049</v>
      </c>
      <c r="C29" s="359">
        <f t="shared" si="8"/>
        <v>175.36532176860342</v>
      </c>
      <c r="D29" s="313">
        <f t="shared" si="22"/>
        <v>15256.782993868497</v>
      </c>
      <c r="E29" s="314">
        <f>D29*(1+0.03)^-($B29-'Project Data and Assumptions'!C3)</f>
        <v>6668.385174785808</v>
      </c>
      <c r="F29" s="316">
        <f>IFERROR(_xlfn.XLOOKUP($B29,'VMT Change'!$B$7:$B$34,'VMT Change'!$J$7:$J$34),0)</f>
        <v>552811.08746028005</v>
      </c>
      <c r="G29" s="317">
        <f t="shared" si="9"/>
        <v>0.12599108639681902</v>
      </c>
      <c r="H29" s="318">
        <f t="shared" si="10"/>
        <v>1.1442639131153092E-3</v>
      </c>
      <c r="I29" s="319">
        <f t="shared" si="11"/>
        <v>3.2162944813841202E-3</v>
      </c>
      <c r="J29" s="323">
        <f t="shared" si="23"/>
        <v>2381.2315328998798</v>
      </c>
      <c r="K29" s="320">
        <f t="shared" si="24"/>
        <v>58.700738742815361</v>
      </c>
      <c r="L29" s="321">
        <f t="shared" si="25"/>
        <v>2919.1088713042277</v>
      </c>
      <c r="M29" s="322">
        <f t="shared" si="26"/>
        <v>5359.0411429469223</v>
      </c>
      <c r="N29" s="322">
        <f>M29*(1+0.07)^-(B29-'Project Data and Assumptions'!C3)</f>
        <v>806.01164440416642</v>
      </c>
      <c r="O29" s="323">
        <f t="shared" si="27"/>
        <v>20615.824136815419</v>
      </c>
      <c r="P29" s="321">
        <f t="shared" si="28"/>
        <v>7474.3968191899748</v>
      </c>
      <c r="R29" s="121">
        <v>2036</v>
      </c>
      <c r="S29" s="329">
        <v>18900</v>
      </c>
      <c r="T29" s="329">
        <v>51300</v>
      </c>
      <c r="U29" s="329">
        <v>907600</v>
      </c>
      <c r="V29" s="329">
        <v>72</v>
      </c>
    </row>
    <row r="30" spans="2:31" ht="15" customHeight="1" x14ac:dyDescent="0.25">
      <c r="B30" s="2">
        <f t="shared" si="16"/>
        <v>2050</v>
      </c>
      <c r="C30" s="359">
        <f t="shared" si="8"/>
        <v>188.0765324732977</v>
      </c>
      <c r="D30" s="313">
        <f t="shared" si="22"/>
        <v>16550.734857650197</v>
      </c>
      <c r="E30" s="314">
        <f>D30*(1+0.03)^-($B30-'Project Data and Assumptions'!C3)</f>
        <v>7023.2441302585776</v>
      </c>
      <c r="F30" s="316">
        <f>IFERROR(_xlfn.XLOOKUP($B30,'VMT Change'!$B$7:$B$34,'VMT Change'!$J$7:$J$34),0)</f>
        <v>592881.14316873357</v>
      </c>
      <c r="G30" s="317">
        <f t="shared" si="9"/>
        <v>0.13512344637513052</v>
      </c>
      <c r="H30" s="318">
        <f t="shared" si="10"/>
        <v>1.2272049390530313E-3</v>
      </c>
      <c r="I30" s="319">
        <f t="shared" si="11"/>
        <v>3.4494249340238084E-3</v>
      </c>
      <c r="J30" s="323">
        <f t="shared" si="23"/>
        <v>2553.8331364899668</v>
      </c>
      <c r="K30" s="320">
        <f t="shared" si="24"/>
        <v>62.955613373420505</v>
      </c>
      <c r="L30" s="321">
        <f t="shared" si="25"/>
        <v>3130.6980701200087</v>
      </c>
      <c r="M30" s="322">
        <f t="shared" si="26"/>
        <v>5747.4868199833963</v>
      </c>
      <c r="N30" s="322">
        <f>M30*(1+0.07)^-(B30-'Project Data and Assumptions'!C3)</f>
        <v>807.88292863498509</v>
      </c>
      <c r="O30" s="323">
        <f t="shared" si="27"/>
        <v>22298.221677633592</v>
      </c>
      <c r="P30" s="321">
        <f t="shared" si="28"/>
        <v>7831.1270588935622</v>
      </c>
      <c r="R30" s="121">
        <v>2037</v>
      </c>
      <c r="S30" s="329">
        <v>18900</v>
      </c>
      <c r="T30" s="329">
        <v>51300</v>
      </c>
      <c r="U30" s="329">
        <v>907600</v>
      </c>
      <c r="V30" s="329">
        <v>73</v>
      </c>
    </row>
    <row r="31" spans="2:31" x14ac:dyDescent="0.25">
      <c r="B31" s="2">
        <f t="shared" si="16"/>
        <v>2051</v>
      </c>
      <c r="C31" s="359">
        <f t="shared" si="8"/>
        <v>0</v>
      </c>
      <c r="D31" s="313">
        <f t="shared" si="22"/>
        <v>0</v>
      </c>
      <c r="E31" s="314">
        <f>D31*(1+0.03)^-($B31-'Project Data and Assumptions'!C3)</f>
        <v>0</v>
      </c>
      <c r="F31" s="316">
        <f>IFERROR(_xlfn.XLOOKUP($B31,'VMT Change'!$B$7:$B$34,'VMT Change'!$J$7:$J$34),0)</f>
        <v>0</v>
      </c>
      <c r="G31" s="317">
        <f t="shared" si="9"/>
        <v>0</v>
      </c>
      <c r="H31" s="318">
        <f t="shared" si="10"/>
        <v>0</v>
      </c>
      <c r="I31" s="319">
        <f t="shared" si="11"/>
        <v>0</v>
      </c>
      <c r="J31" s="323">
        <f t="shared" si="23"/>
        <v>0</v>
      </c>
      <c r="K31" s="320">
        <f t="shared" si="24"/>
        <v>0</v>
      </c>
      <c r="L31" s="321">
        <f t="shared" si="25"/>
        <v>0</v>
      </c>
      <c r="M31" s="322">
        <f t="shared" si="26"/>
        <v>0</v>
      </c>
      <c r="N31" s="322">
        <f>M31*(1+0.07)^-(B31-'Project Data and Assumptions'!C3)</f>
        <v>0</v>
      </c>
      <c r="O31" s="323">
        <f t="shared" si="27"/>
        <v>0</v>
      </c>
      <c r="P31" s="321">
        <f t="shared" si="28"/>
        <v>0</v>
      </c>
      <c r="R31" s="121">
        <v>2038</v>
      </c>
      <c r="S31" s="329">
        <v>18900</v>
      </c>
      <c r="T31" s="329">
        <v>51300</v>
      </c>
      <c r="U31" s="329">
        <v>907600</v>
      </c>
      <c r="V31" s="329">
        <v>74</v>
      </c>
    </row>
    <row r="32" spans="2:31" ht="15.75" thickBot="1" x14ac:dyDescent="0.3">
      <c r="B32" s="3">
        <f t="shared" si="16"/>
        <v>2052</v>
      </c>
      <c r="C32" s="417">
        <f t="shared" si="8"/>
        <v>0</v>
      </c>
      <c r="D32" s="418">
        <f t="shared" si="22"/>
        <v>0</v>
      </c>
      <c r="E32" s="419">
        <f>D32*(1+0.03)^-($B32-'Project Data and Assumptions'!C3)</f>
        <v>0</v>
      </c>
      <c r="F32" s="420">
        <f>IFERROR(_xlfn.XLOOKUP($B32,'VMT Change'!$B$7:$B$34,'VMT Change'!$J$7:$J$34),0)</f>
        <v>0</v>
      </c>
      <c r="G32" s="421">
        <f t="shared" si="9"/>
        <v>0</v>
      </c>
      <c r="H32" s="422">
        <f t="shared" si="10"/>
        <v>0</v>
      </c>
      <c r="I32" s="423">
        <f t="shared" si="11"/>
        <v>0</v>
      </c>
      <c r="J32" s="418">
        <f t="shared" si="23"/>
        <v>0</v>
      </c>
      <c r="K32" s="424">
        <f t="shared" si="24"/>
        <v>0</v>
      </c>
      <c r="L32" s="419">
        <f t="shared" si="25"/>
        <v>0</v>
      </c>
      <c r="M32" s="425">
        <f t="shared" si="26"/>
        <v>0</v>
      </c>
      <c r="N32" s="425">
        <f>M32*(1+0.07)^-(B32-'Project Data and Assumptions'!C3)</f>
        <v>0</v>
      </c>
      <c r="O32" s="418">
        <f t="shared" si="27"/>
        <v>0</v>
      </c>
      <c r="P32" s="419">
        <f t="shared" si="28"/>
        <v>0</v>
      </c>
      <c r="R32" s="121">
        <v>2039</v>
      </c>
      <c r="S32" s="329">
        <v>18900</v>
      </c>
      <c r="T32" s="329">
        <v>51300</v>
      </c>
      <c r="U32" s="329">
        <v>907600</v>
      </c>
      <c r="V32" s="329">
        <v>75</v>
      </c>
    </row>
    <row r="33" spans="1:27" x14ac:dyDescent="0.25">
      <c r="B33" s="4"/>
      <c r="C33" s="578">
        <f>SUM(C5:C32)</f>
        <v>2112.1037163600167</v>
      </c>
      <c r="D33" s="330" t="s">
        <v>2</v>
      </c>
      <c r="E33" s="331">
        <f>SUM(E5:E32)</f>
        <v>88527.98580449805</v>
      </c>
      <c r="F33" s="367">
        <f>SUM(F5:F32)</f>
        <v>6658068.6563021522</v>
      </c>
      <c r="G33" s="579">
        <f>SUM(G5:G32)</f>
        <v>1.5174393610048387</v>
      </c>
      <c r="H33" s="579">
        <f t="shared" ref="H33:I33" si="31">SUM(H5:H32)</f>
        <v>1.3781539240560347E-2</v>
      </c>
      <c r="I33" s="579">
        <f t="shared" si="31"/>
        <v>3.8737120078981474E-2</v>
      </c>
      <c r="J33" s="4"/>
      <c r="K33" s="4"/>
      <c r="L33" s="4"/>
      <c r="M33" s="330" t="s">
        <v>2</v>
      </c>
      <c r="N33" s="331">
        <f>SUM(N5:N32)</f>
        <v>16024.582336150419</v>
      </c>
      <c r="O33" s="331">
        <f>SUM(O5:O32)</f>
        <v>232659.92950140443</v>
      </c>
      <c r="P33" s="5">
        <f>SUM(P5:P32)</f>
        <v>104552.56814064847</v>
      </c>
      <c r="R33" s="121">
        <v>2040</v>
      </c>
      <c r="S33" s="329">
        <v>18900</v>
      </c>
      <c r="T33" s="329">
        <v>51300</v>
      </c>
      <c r="U33" s="329">
        <v>907600</v>
      </c>
      <c r="V33" s="329">
        <v>76</v>
      </c>
    </row>
    <row r="34" spans="1:27" x14ac:dyDescent="0.25">
      <c r="G34" s="61">
        <f>G33*1000</f>
        <v>1517.4393610048387</v>
      </c>
      <c r="H34" s="61">
        <f t="shared" ref="H34:I34" si="32">H33*1000</f>
        <v>13.781539240560347</v>
      </c>
      <c r="I34" s="61">
        <f t="shared" si="32"/>
        <v>38.737120078981476</v>
      </c>
      <c r="M34" s="331"/>
      <c r="R34" s="121">
        <v>2041</v>
      </c>
      <c r="S34" s="329">
        <v>18900</v>
      </c>
      <c r="T34" s="329">
        <v>51300</v>
      </c>
      <c r="U34" s="329">
        <v>907600</v>
      </c>
      <c r="V34" s="329">
        <v>78</v>
      </c>
    </row>
    <row r="35" spans="1:27" x14ac:dyDescent="0.25">
      <c r="B35" s="8" t="s">
        <v>3</v>
      </c>
      <c r="C35" s="8"/>
      <c r="D35" s="8"/>
      <c r="E35" s="8"/>
      <c r="H35" s="366"/>
      <c r="R35" s="121">
        <v>2042</v>
      </c>
      <c r="S35" s="329">
        <v>18900</v>
      </c>
      <c r="T35" s="329">
        <v>51300</v>
      </c>
      <c r="U35" s="329">
        <v>907600</v>
      </c>
      <c r="V35" s="329">
        <v>79</v>
      </c>
    </row>
    <row r="36" spans="1:27" x14ac:dyDescent="0.25">
      <c r="A36" s="9" t="s">
        <v>18</v>
      </c>
      <c r="B36" s="624" t="s">
        <v>477</v>
      </c>
      <c r="C36" s="624"/>
      <c r="D36" s="624"/>
      <c r="E36" s="624"/>
      <c r="F36" s="624"/>
      <c r="G36" s="624"/>
      <c r="H36" s="624"/>
      <c r="I36" s="624"/>
      <c r="J36" s="624"/>
      <c r="K36" s="624"/>
      <c r="L36" s="624"/>
      <c r="M36" s="624"/>
      <c r="R36" s="121">
        <v>2043</v>
      </c>
      <c r="S36" s="329">
        <v>18900</v>
      </c>
      <c r="T36" s="329">
        <v>51300</v>
      </c>
      <c r="U36" s="329">
        <v>907600</v>
      </c>
      <c r="V36" s="329">
        <v>80</v>
      </c>
    </row>
    <row r="37" spans="1:27" x14ac:dyDescent="0.25">
      <c r="B37" s="624"/>
      <c r="C37" s="624"/>
      <c r="D37" s="624"/>
      <c r="E37" s="624"/>
      <c r="F37" s="624"/>
      <c r="G37" s="624"/>
      <c r="H37" s="624"/>
      <c r="I37" s="624"/>
      <c r="J37" s="624"/>
      <c r="K37" s="624"/>
      <c r="L37" s="624"/>
      <c r="M37" s="624"/>
      <c r="Q37" s="332"/>
      <c r="R37" s="121">
        <v>2044</v>
      </c>
      <c r="S37" s="329">
        <v>18900</v>
      </c>
      <c r="T37" s="329">
        <v>51300</v>
      </c>
      <c r="U37" s="329">
        <v>907600</v>
      </c>
      <c r="V37" s="329">
        <v>81</v>
      </c>
    </row>
    <row r="38" spans="1:27" x14ac:dyDescent="0.25">
      <c r="B38" s="624"/>
      <c r="C38" s="624"/>
      <c r="D38" s="624"/>
      <c r="E38" s="624"/>
      <c r="F38" s="624"/>
      <c r="G38" s="624"/>
      <c r="H38" s="624"/>
      <c r="I38" s="624"/>
      <c r="J38" s="624"/>
      <c r="K38" s="624"/>
      <c r="L38" s="624"/>
      <c r="M38" s="624"/>
      <c r="Q38" s="332"/>
      <c r="R38" s="121">
        <v>2045</v>
      </c>
      <c r="S38" s="329">
        <v>18900</v>
      </c>
      <c r="T38" s="329">
        <v>51300</v>
      </c>
      <c r="U38" s="329">
        <v>907600</v>
      </c>
      <c r="V38" s="329">
        <v>82</v>
      </c>
    </row>
    <row r="39" spans="1:27" x14ac:dyDescent="0.25">
      <c r="B39" s="8"/>
      <c r="C39" s="8"/>
      <c r="D39" s="8"/>
      <c r="E39" s="8"/>
      <c r="R39" s="121">
        <v>2046</v>
      </c>
      <c r="S39" s="329">
        <v>18900</v>
      </c>
      <c r="T39" s="329">
        <v>51300</v>
      </c>
      <c r="U39" s="329">
        <v>907600</v>
      </c>
      <c r="V39" s="329">
        <v>84</v>
      </c>
    </row>
    <row r="40" spans="1:27" ht="15" customHeight="1" x14ac:dyDescent="0.25">
      <c r="A40" s="9" t="s">
        <v>17</v>
      </c>
      <c r="B40" s="624" t="s">
        <v>696</v>
      </c>
      <c r="C40" s="624"/>
      <c r="D40" s="624"/>
      <c r="E40" s="624"/>
      <c r="F40" s="624"/>
      <c r="G40" s="624"/>
      <c r="H40" s="624"/>
      <c r="I40" s="624"/>
      <c r="J40" s="624"/>
      <c r="K40" s="624"/>
      <c r="L40" s="624"/>
      <c r="M40" s="624"/>
      <c r="R40" s="121">
        <v>2047</v>
      </c>
      <c r="S40" s="329">
        <v>18900</v>
      </c>
      <c r="T40" s="329">
        <v>51300</v>
      </c>
      <c r="U40" s="329">
        <v>907600</v>
      </c>
      <c r="V40" s="329">
        <v>85</v>
      </c>
    </row>
    <row r="41" spans="1:27" x14ac:dyDescent="0.25">
      <c r="B41" s="624"/>
      <c r="C41" s="624"/>
      <c r="D41" s="624"/>
      <c r="E41" s="624"/>
      <c r="F41" s="624"/>
      <c r="G41" s="624"/>
      <c r="H41" s="624"/>
      <c r="I41" s="624"/>
      <c r="J41" s="624"/>
      <c r="K41" s="624"/>
      <c r="L41" s="624"/>
      <c r="M41" s="624"/>
      <c r="R41" s="121">
        <v>2048</v>
      </c>
      <c r="S41" s="329">
        <v>18900</v>
      </c>
      <c r="T41" s="329">
        <v>51300</v>
      </c>
      <c r="U41" s="329">
        <v>907600</v>
      </c>
      <c r="V41" s="329">
        <v>86</v>
      </c>
    </row>
    <row r="42" spans="1:27" x14ac:dyDescent="0.25">
      <c r="A42" s="9"/>
      <c r="B42" s="49"/>
      <c r="C42" s="49"/>
      <c r="D42" s="49"/>
      <c r="E42" s="49"/>
      <c r="F42" s="24"/>
      <c r="G42" s="332"/>
      <c r="H42" s="332"/>
      <c r="I42" s="24"/>
      <c r="R42" s="121">
        <v>2049</v>
      </c>
      <c r="S42" s="329">
        <v>18900</v>
      </c>
      <c r="T42" s="329">
        <v>51300</v>
      </c>
      <c r="U42" s="329">
        <v>907600</v>
      </c>
      <c r="V42" s="329">
        <v>87</v>
      </c>
    </row>
    <row r="43" spans="1:27" ht="15" customHeight="1" x14ac:dyDescent="0.25">
      <c r="A43" s="728"/>
      <c r="B43" s="729"/>
      <c r="C43" s="729"/>
      <c r="D43" s="729"/>
      <c r="E43" s="729"/>
      <c r="F43" s="729"/>
      <c r="G43" s="729"/>
      <c r="H43" s="729"/>
      <c r="I43" s="729"/>
      <c r="J43" s="729"/>
      <c r="K43" s="729"/>
      <c r="L43" s="729"/>
      <c r="M43" s="729"/>
      <c r="R43" s="121">
        <v>2050</v>
      </c>
      <c r="S43" s="329">
        <v>18900</v>
      </c>
      <c r="T43" s="329">
        <v>51300</v>
      </c>
      <c r="U43" s="329">
        <v>907600</v>
      </c>
      <c r="V43" s="329">
        <v>88</v>
      </c>
      <c r="AA43">
        <v>7.2</v>
      </c>
    </row>
    <row r="44" spans="1:27" ht="15" customHeight="1" x14ac:dyDescent="0.25">
      <c r="A44" s="730"/>
      <c r="B44" s="729"/>
      <c r="C44" s="729"/>
      <c r="D44" s="729"/>
      <c r="E44" s="729"/>
      <c r="F44" s="729"/>
      <c r="G44" s="729"/>
      <c r="H44" s="729"/>
      <c r="I44" s="729"/>
      <c r="J44" s="729"/>
      <c r="K44" s="729"/>
      <c r="L44" s="729"/>
      <c r="M44" s="729"/>
      <c r="R44" s="121">
        <v>2051</v>
      </c>
      <c r="S44" s="329">
        <v>18900</v>
      </c>
      <c r="T44" s="329">
        <v>51300</v>
      </c>
      <c r="U44" s="329">
        <v>907600</v>
      </c>
      <c r="V44" s="329">
        <v>89</v>
      </c>
      <c r="AA44">
        <v>6.42</v>
      </c>
    </row>
    <row r="45" spans="1:27" ht="15.75" customHeight="1" x14ac:dyDescent="0.25">
      <c r="A45" s="728"/>
      <c r="B45" s="729"/>
      <c r="C45" s="729"/>
      <c r="D45" s="729"/>
      <c r="E45" s="729"/>
      <c r="F45" s="729"/>
      <c r="G45" s="729"/>
      <c r="H45" s="729"/>
      <c r="I45" s="729"/>
      <c r="J45" s="729"/>
      <c r="K45" s="729"/>
      <c r="L45" s="729"/>
      <c r="M45" s="729"/>
      <c r="R45" s="121">
        <v>2052</v>
      </c>
      <c r="S45" s="329">
        <v>18900</v>
      </c>
      <c r="T45" s="329">
        <v>51300</v>
      </c>
      <c r="U45" s="329">
        <v>907600</v>
      </c>
      <c r="V45" s="329">
        <v>90</v>
      </c>
    </row>
    <row r="46" spans="1:27" x14ac:dyDescent="0.25">
      <c r="A46" s="9"/>
      <c r="B46" s="42"/>
      <c r="C46" s="42"/>
      <c r="D46" s="42"/>
      <c r="E46" s="42"/>
      <c r="F46" s="42"/>
      <c r="G46" s="42"/>
      <c r="H46" s="42"/>
      <c r="I46" s="42"/>
      <c r="R46" s="121">
        <v>2053</v>
      </c>
      <c r="S46" s="329">
        <v>18900</v>
      </c>
      <c r="T46" s="329">
        <v>51300</v>
      </c>
      <c r="U46" s="329">
        <v>907600</v>
      </c>
      <c r="V46" s="329">
        <v>91</v>
      </c>
    </row>
    <row r="47" spans="1:27" ht="15" customHeight="1" x14ac:dyDescent="0.25">
      <c r="A47" s="9"/>
      <c r="B47" s="42"/>
      <c r="C47" s="42"/>
      <c r="D47" s="42"/>
      <c r="E47" s="42"/>
      <c r="F47" s="42"/>
      <c r="G47" s="42"/>
      <c r="H47" s="42"/>
      <c r="I47" s="42"/>
    </row>
    <row r="48" spans="1:27" x14ac:dyDescent="0.25">
      <c r="A48" s="9"/>
      <c r="B48" s="42"/>
      <c r="C48" s="42"/>
      <c r="D48" s="42"/>
      <c r="E48" s="42"/>
      <c r="F48" s="42"/>
      <c r="G48" s="42"/>
      <c r="H48" s="42"/>
      <c r="I48" s="42"/>
    </row>
    <row r="49" spans="1:27" x14ac:dyDescent="0.25">
      <c r="A49" s="9"/>
      <c r="B49" s="42"/>
      <c r="C49" s="42"/>
      <c r="D49" s="42"/>
      <c r="E49" s="42"/>
      <c r="F49" s="42"/>
      <c r="G49" s="42"/>
      <c r="H49" s="42"/>
      <c r="I49" s="42"/>
    </row>
    <row r="50" spans="1:27" x14ac:dyDescent="0.25">
      <c r="A50" s="9"/>
      <c r="B50" s="42"/>
      <c r="C50" s="42"/>
      <c r="D50" s="42"/>
      <c r="E50" s="42"/>
      <c r="F50" s="42"/>
      <c r="G50" s="42"/>
      <c r="H50" s="42"/>
      <c r="I50" s="42"/>
    </row>
    <row r="51" spans="1:27" x14ac:dyDescent="0.25">
      <c r="A51" s="9"/>
      <c r="B51" s="49"/>
      <c r="C51" s="49"/>
      <c r="D51" s="572" t="s">
        <v>681</v>
      </c>
      <c r="E51" s="573" t="s">
        <v>682</v>
      </c>
      <c r="F51" s="24"/>
      <c r="G51" s="24"/>
      <c r="H51" s="24"/>
      <c r="I51" s="24"/>
      <c r="N51" s="333"/>
      <c r="O51" s="333"/>
      <c r="P51" s="333"/>
      <c r="AA51">
        <v>1.49</v>
      </c>
    </row>
    <row r="52" spans="1:27" x14ac:dyDescent="0.25">
      <c r="B52" s="49"/>
      <c r="C52" s="49"/>
      <c r="D52" s="574" t="s">
        <v>683</v>
      </c>
      <c r="E52" s="575">
        <f>C33</f>
        <v>2112.1037163600167</v>
      </c>
      <c r="F52" s="24"/>
      <c r="G52" s="24"/>
      <c r="H52" s="24"/>
      <c r="I52" s="24"/>
      <c r="N52" s="333"/>
      <c r="O52" s="333"/>
      <c r="P52" s="333"/>
    </row>
    <row r="53" spans="1:27" x14ac:dyDescent="0.25">
      <c r="B53" s="49"/>
      <c r="C53" s="49"/>
      <c r="D53" s="574" t="s">
        <v>684</v>
      </c>
      <c r="E53" s="575">
        <f>G34</f>
        <v>1517.4393610048387</v>
      </c>
      <c r="F53" s="24"/>
      <c r="G53" s="24"/>
      <c r="H53" s="24"/>
      <c r="I53" s="24"/>
      <c r="J53" s="157"/>
      <c r="L53" s="332"/>
      <c r="M53" s="332"/>
      <c r="N53" s="333"/>
      <c r="O53" s="333"/>
      <c r="P53" s="333"/>
    </row>
    <row r="54" spans="1:27" x14ac:dyDescent="0.25">
      <c r="B54" s="49"/>
      <c r="C54" s="49"/>
      <c r="D54" s="574" t="s">
        <v>685</v>
      </c>
      <c r="E54" s="575">
        <f>H34</f>
        <v>13.781539240560347</v>
      </c>
      <c r="F54" s="24"/>
      <c r="G54" s="24"/>
      <c r="H54" s="24"/>
      <c r="I54" s="24"/>
      <c r="J54" s="157"/>
      <c r="L54" s="332"/>
      <c r="M54" s="332"/>
    </row>
    <row r="55" spans="1:27" x14ac:dyDescent="0.25">
      <c r="A55" s="9"/>
      <c r="B55" s="49"/>
      <c r="C55" s="49"/>
      <c r="D55" s="576" t="s">
        <v>686</v>
      </c>
      <c r="E55" s="577">
        <f>I34</f>
        <v>38.737120078981476</v>
      </c>
      <c r="F55" s="24"/>
      <c r="G55" s="24"/>
      <c r="H55" s="24"/>
      <c r="I55" s="24"/>
      <c r="L55" s="332"/>
      <c r="M55" s="332"/>
    </row>
    <row r="56" spans="1:27" x14ac:dyDescent="0.25">
      <c r="B56" s="49"/>
      <c r="C56" s="49"/>
      <c r="D56" s="49"/>
      <c r="E56" s="49"/>
      <c r="F56" s="24"/>
      <c r="G56" s="24"/>
      <c r="H56" s="24"/>
      <c r="I56" s="24"/>
      <c r="L56" s="332"/>
      <c r="M56" s="332"/>
      <c r="Z56">
        <v>0.12</v>
      </c>
    </row>
    <row r="57" spans="1:27" x14ac:dyDescent="0.25">
      <c r="B57" s="49"/>
      <c r="C57" s="49"/>
      <c r="D57" s="49"/>
      <c r="E57" s="49"/>
      <c r="F57" s="24"/>
      <c r="G57" s="24"/>
      <c r="H57" s="24"/>
      <c r="I57" s="24"/>
      <c r="J57" s="332"/>
      <c r="K57" s="332"/>
      <c r="L57" s="332"/>
      <c r="M57" s="332"/>
      <c r="W57" s="8" t="s">
        <v>478</v>
      </c>
    </row>
    <row r="58" spans="1:27" ht="24" x14ac:dyDescent="0.25">
      <c r="B58" s="49"/>
      <c r="C58" s="49"/>
      <c r="D58" s="49"/>
      <c r="E58" s="49"/>
      <c r="F58" s="24"/>
      <c r="G58" s="24"/>
      <c r="H58" s="24"/>
      <c r="I58" s="24"/>
      <c r="K58" s="332"/>
      <c r="L58" s="332"/>
      <c r="M58" s="332"/>
      <c r="W58" s="368" t="s">
        <v>479</v>
      </c>
      <c r="X58" s="369">
        <f>SUM('Air Quality'!C5:C32)</f>
        <v>2112.1037163600167</v>
      </c>
    </row>
    <row r="59" spans="1:27" ht="24" x14ac:dyDescent="0.25">
      <c r="B59" s="49"/>
      <c r="C59" s="49"/>
      <c r="D59" s="49"/>
      <c r="E59" s="49"/>
      <c r="F59" s="24"/>
      <c r="G59" s="24"/>
      <c r="H59" s="24"/>
      <c r="I59" s="24"/>
      <c r="J59" s="24"/>
      <c r="L59" s="332"/>
      <c r="M59" s="332"/>
      <c r="W59" s="368" t="s">
        <v>480</v>
      </c>
      <c r="X59" s="369">
        <f>SUM('Air Quality'!G5:G32)*1000</f>
        <v>1517.4393610048387</v>
      </c>
      <c r="Z59">
        <v>1.5229999999999999</v>
      </c>
    </row>
    <row r="60" spans="1:27" x14ac:dyDescent="0.25">
      <c r="B60" s="49"/>
      <c r="C60" s="49"/>
      <c r="D60" s="49"/>
      <c r="E60" s="49"/>
      <c r="F60" s="24"/>
      <c r="G60" s="24"/>
      <c r="H60" s="24"/>
      <c r="I60" s="24"/>
      <c r="J60" s="24"/>
      <c r="W60" s="368" t="s">
        <v>481</v>
      </c>
      <c r="X60" s="369" t="s">
        <v>533</v>
      </c>
      <c r="Z60">
        <v>1.3180000000000001</v>
      </c>
    </row>
    <row r="61" spans="1:27" x14ac:dyDescent="0.25">
      <c r="B61" s="49"/>
      <c r="C61" s="49"/>
      <c r="D61" s="49"/>
      <c r="E61" s="49"/>
      <c r="F61" s="24"/>
      <c r="G61" s="24"/>
      <c r="H61" s="24"/>
      <c r="I61" s="24"/>
      <c r="J61" s="24"/>
      <c r="K61" s="24"/>
      <c r="W61" s="368" t="s">
        <v>482</v>
      </c>
      <c r="X61" s="369">
        <f>SUM('Air Quality'!I5:I32)*1000</f>
        <v>38.737120078981476</v>
      </c>
    </row>
    <row r="62" spans="1:27" x14ac:dyDescent="0.25">
      <c r="B62" s="49"/>
      <c r="C62" s="49"/>
      <c r="D62" s="49"/>
      <c r="E62" s="49"/>
      <c r="F62" s="24"/>
      <c r="G62" s="24"/>
      <c r="H62" s="24"/>
      <c r="I62" s="24"/>
      <c r="J62" s="24"/>
      <c r="K62" s="24"/>
    </row>
    <row r="63" spans="1:27" x14ac:dyDescent="0.25">
      <c r="A63" s="9"/>
      <c r="B63" s="49"/>
      <c r="C63" s="49"/>
      <c r="D63" s="49"/>
      <c r="E63" s="49"/>
      <c r="F63" s="24"/>
      <c r="G63" s="24"/>
      <c r="H63" s="24"/>
      <c r="I63" s="24"/>
      <c r="J63" s="24"/>
      <c r="K63" s="24"/>
    </row>
    <row r="64" spans="1:27" x14ac:dyDescent="0.25">
      <c r="J64" s="24"/>
      <c r="K64" s="24"/>
      <c r="W64" t="s">
        <v>479</v>
      </c>
      <c r="X64">
        <v>1141.4232474302319</v>
      </c>
    </row>
    <row r="65" spans="1:24" x14ac:dyDescent="0.25">
      <c r="F65" s="332"/>
      <c r="I65" s="332"/>
      <c r="J65" s="24"/>
      <c r="K65" s="24"/>
      <c r="W65" t="s">
        <v>480</v>
      </c>
      <c r="X65">
        <v>1201.5341539131907</v>
      </c>
    </row>
    <row r="66" spans="1:24" x14ac:dyDescent="0.25">
      <c r="B66" s="332"/>
      <c r="C66" s="332"/>
      <c r="D66" s="332"/>
      <c r="E66" s="332"/>
      <c r="F66" s="332"/>
      <c r="I66" s="332"/>
      <c r="J66" s="24"/>
      <c r="K66" s="24"/>
      <c r="W66" t="s">
        <v>481</v>
      </c>
      <c r="X66">
        <v>6.4079673685350045</v>
      </c>
    </row>
    <row r="67" spans="1:24" x14ac:dyDescent="0.25">
      <c r="J67" s="24"/>
      <c r="K67" s="24"/>
      <c r="W67" t="s">
        <v>482</v>
      </c>
      <c r="X67">
        <v>24.020889083603318</v>
      </c>
    </row>
    <row r="68" spans="1:24" x14ac:dyDescent="0.25">
      <c r="A68" s="9"/>
      <c r="B68" s="24"/>
      <c r="C68" s="24"/>
      <c r="D68" s="24"/>
      <c r="E68" s="24"/>
      <c r="F68" s="24"/>
      <c r="G68" s="24"/>
      <c r="H68" s="24"/>
      <c r="I68" s="24"/>
      <c r="J68" s="24"/>
      <c r="K68" s="24"/>
    </row>
    <row r="69" spans="1:24" x14ac:dyDescent="0.25">
      <c r="B69" s="24"/>
      <c r="C69" s="24"/>
      <c r="D69" s="24"/>
      <c r="E69" s="24"/>
      <c r="F69" s="24"/>
      <c r="G69" s="24"/>
      <c r="H69" s="24"/>
      <c r="J69" s="24"/>
      <c r="K69" s="24"/>
    </row>
    <row r="70" spans="1:24" x14ac:dyDescent="0.25">
      <c r="J70" s="24"/>
      <c r="K70" s="24"/>
    </row>
    <row r="71" spans="1:24" x14ac:dyDescent="0.25">
      <c r="A71" s="9"/>
      <c r="J71" s="24"/>
      <c r="K71" s="24"/>
    </row>
    <row r="72" spans="1:24" x14ac:dyDescent="0.25">
      <c r="J72" s="24"/>
      <c r="K72" s="24"/>
    </row>
    <row r="74" spans="1:24" x14ac:dyDescent="0.25">
      <c r="J74" s="332"/>
    </row>
    <row r="75" spans="1:24" x14ac:dyDescent="0.25">
      <c r="J75" s="332"/>
      <c r="L75" s="24"/>
    </row>
    <row r="77" spans="1:24" x14ac:dyDescent="0.25">
      <c r="J77" s="24"/>
      <c r="K77" s="24"/>
    </row>
  </sheetData>
  <mergeCells count="20">
    <mergeCell ref="B36:M38"/>
    <mergeCell ref="B40:M41"/>
    <mergeCell ref="I3:I4"/>
    <mergeCell ref="J3:J4"/>
    <mergeCell ref="K3:K4"/>
    <mergeCell ref="L3:L4"/>
    <mergeCell ref="M3:M4"/>
    <mergeCell ref="C2:E2"/>
    <mergeCell ref="F2:N2"/>
    <mergeCell ref="O2:P2"/>
    <mergeCell ref="B3:B4"/>
    <mergeCell ref="C3:C4"/>
    <mergeCell ref="D3:D4"/>
    <mergeCell ref="E3:E4"/>
    <mergeCell ref="F3:F4"/>
    <mergeCell ref="G3:G4"/>
    <mergeCell ref="H3:H4"/>
    <mergeCell ref="O3:O4"/>
    <mergeCell ref="P3:P4"/>
    <mergeCell ref="N3:N4"/>
  </mergeCells>
  <phoneticPr fontId="42" type="noConversion"/>
  <pageMargins left="0.25" right="0.25" top="0.75" bottom="0.75" header="0.3" footer="0.3"/>
  <pageSetup paperSize="3" scale="44"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9A43EA-24AD-4B7E-9AD8-332BE36531BF}">
  <sheetPr>
    <tabColor rgb="FF00B050"/>
    <pageSetUpPr fitToPage="1"/>
  </sheetPr>
  <dimension ref="A1:J44"/>
  <sheetViews>
    <sheetView view="pageBreakPreview" topLeftCell="A5" zoomScale="85" zoomScaleNormal="85" zoomScaleSheetLayoutView="85" workbookViewId="0">
      <selection activeCell="B36" sqref="B36:G39"/>
    </sheetView>
  </sheetViews>
  <sheetFormatPr defaultColWidth="9.140625" defaultRowHeight="15" x14ac:dyDescent="0.25"/>
  <cols>
    <col min="1" max="1" width="3.7109375" customWidth="1"/>
    <col min="2" max="7" width="15.85546875" customWidth="1"/>
    <col min="8" max="8" width="32.42578125" bestFit="1" customWidth="1"/>
    <col min="9" max="9" width="7.7109375" customWidth="1"/>
    <col min="10" max="10" width="32" customWidth="1"/>
    <col min="11" max="12" width="20" customWidth="1"/>
  </cols>
  <sheetData>
    <row r="1" spans="2:10" x14ac:dyDescent="0.25">
      <c r="B1">
        <v>1</v>
      </c>
      <c r="C1">
        <f>B1+1</f>
        <v>2</v>
      </c>
      <c r="D1">
        <f t="shared" ref="D1:G1" si="0">C1+1</f>
        <v>3</v>
      </c>
      <c r="E1">
        <f t="shared" si="0"/>
        <v>4</v>
      </c>
      <c r="F1">
        <f t="shared" si="0"/>
        <v>5</v>
      </c>
      <c r="G1">
        <f t="shared" si="0"/>
        <v>6</v>
      </c>
    </row>
    <row r="2" spans="2:10" x14ac:dyDescent="0.25">
      <c r="B2" s="8" t="s">
        <v>37</v>
      </c>
    </row>
    <row r="3" spans="2:10" ht="15.75" thickBot="1" x14ac:dyDescent="0.3">
      <c r="B3" s="8"/>
    </row>
    <row r="4" spans="2:10" ht="35.1" customHeight="1" x14ac:dyDescent="0.25">
      <c r="B4" s="639" t="s">
        <v>0</v>
      </c>
      <c r="C4" s="643" t="s">
        <v>484</v>
      </c>
      <c r="D4" s="677" t="s">
        <v>36</v>
      </c>
      <c r="E4" s="679" t="s">
        <v>1</v>
      </c>
    </row>
    <row r="5" spans="2:10" ht="43.5" customHeight="1" thickBot="1" x14ac:dyDescent="0.3">
      <c r="B5" s="676"/>
      <c r="C5" s="644"/>
      <c r="D5" s="678"/>
      <c r="E5" s="680"/>
      <c r="H5" s="674" t="s">
        <v>501</v>
      </c>
      <c r="I5" s="674"/>
    </row>
    <row r="6" spans="2:10" ht="18" customHeight="1" x14ac:dyDescent="0.25">
      <c r="B6" s="1">
        <v>2026</v>
      </c>
      <c r="C6" s="373">
        <f>_xlfn.XLOOKUP(B6,'VMT Change'!$B$7:$B$34,'VMT Change'!$J$7:$J$34,0)</f>
        <v>0</v>
      </c>
      <c r="D6" s="382">
        <f>C6*$I$14</f>
        <v>0</v>
      </c>
      <c r="E6" s="374">
        <f>D6*(1+0.07)^-($B6-'Project Data and Assumptions'!$C$3)</f>
        <v>0</v>
      </c>
      <c r="H6" s="212" t="s">
        <v>28</v>
      </c>
      <c r="I6" s="375">
        <v>0.46</v>
      </c>
    </row>
    <row r="7" spans="2:10" x14ac:dyDescent="0.25">
      <c r="B7" s="2">
        <f>B6+1</f>
        <v>2027</v>
      </c>
      <c r="C7" s="376">
        <f>_xlfn.XLOOKUP(B7,'VMT Change'!$B$7:$B$34,'VMT Change'!$J$7:$J$34,0)</f>
        <v>0</v>
      </c>
      <c r="D7" s="383">
        <f t="shared" ref="D7:D32" si="1">C7*$I$14</f>
        <v>0</v>
      </c>
      <c r="E7" s="377">
        <f>D7*(1+0.07)^-($B7-'Project Data and Assumptions'!$C$3)</f>
        <v>0</v>
      </c>
      <c r="H7" s="212" t="s">
        <v>29</v>
      </c>
      <c r="I7" s="65">
        <v>1.01</v>
      </c>
    </row>
    <row r="8" spans="2:10" x14ac:dyDescent="0.25">
      <c r="B8" s="2">
        <f t="shared" ref="B8:B32" si="2">B7+1</f>
        <v>2028</v>
      </c>
      <c r="C8" s="376">
        <f>_xlfn.XLOOKUP(B8,'VMT Change'!$B$7:$B$34,'VMT Change'!$J$7:$J$34,0)</f>
        <v>0</v>
      </c>
      <c r="D8" s="383">
        <f t="shared" si="1"/>
        <v>0</v>
      </c>
      <c r="E8" s="377">
        <f>D8*(1+0.07)^-($B8-'Project Data and Assumptions'!$C$3)</f>
        <v>0</v>
      </c>
      <c r="F8" s="61"/>
      <c r="G8" s="61"/>
      <c r="H8" s="125"/>
      <c r="I8" s="63"/>
      <c r="J8" s="61"/>
    </row>
    <row r="9" spans="2:10" ht="14.25" customHeight="1" x14ac:dyDescent="0.25">
      <c r="B9" s="2">
        <f t="shared" si="2"/>
        <v>2029</v>
      </c>
      <c r="C9" s="376">
        <f>_xlfn.XLOOKUP(B9,'VMT Change'!$B$7:$B$34,'VMT Change'!$J$7:$J$34,0)</f>
        <v>0</v>
      </c>
      <c r="D9" s="383">
        <f t="shared" si="1"/>
        <v>0</v>
      </c>
      <c r="E9" s="377">
        <f>D9*(1+0.07)^-($B9-'Project Data and Assumptions'!$C$3)</f>
        <v>0</v>
      </c>
      <c r="H9" s="674" t="s">
        <v>502</v>
      </c>
      <c r="I9" s="674"/>
    </row>
    <row r="10" spans="2:10" x14ac:dyDescent="0.25">
      <c r="B10" s="2">
        <f t="shared" si="2"/>
        <v>2030</v>
      </c>
      <c r="C10" s="376">
        <f>_xlfn.XLOOKUP(B10,'VMT Change'!$B$7:$B$34,'VMT Change'!$J$7:$J$34,0)</f>
        <v>31505.470507500235</v>
      </c>
      <c r="D10" s="383">
        <f t="shared" si="1"/>
        <v>14492.516433450108</v>
      </c>
      <c r="E10" s="377">
        <f>D10*(1+0.07)^-($B10-'Project Data and Assumptions'!$C$3)</f>
        <v>7882.968703108786</v>
      </c>
      <c r="H10" s="212" t="s">
        <v>30</v>
      </c>
      <c r="I10" s="64">
        <v>1</v>
      </c>
    </row>
    <row r="11" spans="2:10" x14ac:dyDescent="0.25">
      <c r="B11" s="2">
        <f t="shared" si="2"/>
        <v>2031</v>
      </c>
      <c r="C11" s="376">
        <f>_xlfn.XLOOKUP(B11,'VMT Change'!$B$7:$B$34,'VMT Change'!$J$7:$J$34,0)</f>
        <v>155746.2848734906</v>
      </c>
      <c r="D11" s="383">
        <f t="shared" si="1"/>
        <v>71643.291041805685</v>
      </c>
      <c r="E11" s="377">
        <f>D11*(1+0.07)^-($B11-'Project Data and Assumptions'!$C$3)</f>
        <v>36419.816287303489</v>
      </c>
      <c r="H11" s="212" t="s">
        <v>31</v>
      </c>
      <c r="I11" s="64">
        <v>0</v>
      </c>
    </row>
    <row r="12" spans="2:10" x14ac:dyDescent="0.25">
      <c r="B12" s="2">
        <f t="shared" si="2"/>
        <v>2032</v>
      </c>
      <c r="C12" s="376">
        <f>_xlfn.XLOOKUP(B12,'VMT Change'!$B$7:$B$34,'VMT Change'!$J$7:$J$34,0)</f>
        <v>166738.63073938165</v>
      </c>
      <c r="D12" s="383">
        <f t="shared" si="1"/>
        <v>76699.770140115565</v>
      </c>
      <c r="E12" s="377">
        <f>D12*(1+0.07)^-($B12-'Project Data and Assumptions'!$C$3)</f>
        <v>36439.508278152622</v>
      </c>
      <c r="H12" s="125"/>
      <c r="I12" s="58"/>
    </row>
    <row r="13" spans="2:10" ht="15" customHeight="1" x14ac:dyDescent="0.25">
      <c r="B13" s="2">
        <f t="shared" si="2"/>
        <v>2033</v>
      </c>
      <c r="C13" s="376">
        <f>_xlfn.XLOOKUP(B13,'VMT Change'!$B$7:$B$34,'VMT Change'!$J$7:$J$34,0)</f>
        <v>178544.39952268198</v>
      </c>
      <c r="D13" s="383">
        <f t="shared" si="1"/>
        <v>82130.423780433717</v>
      </c>
      <c r="E13" s="377">
        <f>D13*(1+0.07)^-($B13-'Project Data and Assumptions'!$C$3)</f>
        <v>36466.890376022253</v>
      </c>
      <c r="H13" s="89" t="s">
        <v>32</v>
      </c>
      <c r="I13" s="23"/>
    </row>
    <row r="14" spans="2:10" x14ac:dyDescent="0.25">
      <c r="B14" s="2">
        <f t="shared" si="2"/>
        <v>2034</v>
      </c>
      <c r="C14" s="376">
        <f>_xlfn.XLOOKUP(B14,'VMT Change'!$B$7:$B$34,'VMT Change'!$J$7:$J$34,0)</f>
        <v>196875.88447114718</v>
      </c>
      <c r="D14" s="383">
        <f t="shared" si="1"/>
        <v>90562.906856727699</v>
      </c>
      <c r="E14" s="377">
        <f>D14*(1+0.07)^-($B14-'Project Data and Assumptions'!$C$3)</f>
        <v>37580.386642983067</v>
      </c>
      <c r="H14" s="96" t="s">
        <v>33</v>
      </c>
      <c r="I14" s="65">
        <f>I10*I6+I11*I7</f>
        <v>0.46</v>
      </c>
    </row>
    <row r="15" spans="2:10" x14ac:dyDescent="0.25">
      <c r="B15" s="2">
        <f t="shared" si="2"/>
        <v>2035</v>
      </c>
      <c r="C15" s="376">
        <f>_xlfn.XLOOKUP(B15,'VMT Change'!$B$7:$B$34,'VMT Change'!$J$7:$J$34,0)</f>
        <v>210630.40729564699</v>
      </c>
      <c r="D15" s="383">
        <f t="shared" si="1"/>
        <v>96889.987355997626</v>
      </c>
      <c r="E15" s="377">
        <f>D15*(1+0.07)^-($B15-'Project Data and Assumptions'!$C$3)</f>
        <v>37575.60757860649</v>
      </c>
    </row>
    <row r="16" spans="2:10" x14ac:dyDescent="0.25">
      <c r="B16" s="2">
        <f t="shared" si="2"/>
        <v>2036</v>
      </c>
      <c r="C16" s="376">
        <f>_xlfn.XLOOKUP(B16,'VMT Change'!$B$7:$B$34,'VMT Change'!$J$7:$J$34,0)</f>
        <v>225397.25408632928</v>
      </c>
      <c r="D16" s="383">
        <f t="shared" si="1"/>
        <v>103682.73687971148</v>
      </c>
      <c r="E16" s="377">
        <f>D16*(1+0.07)^-($B16-'Project Data and Assumptions'!$C$3)</f>
        <v>37579.395287677515</v>
      </c>
    </row>
    <row r="17" spans="2:5" x14ac:dyDescent="0.25">
      <c r="B17" s="2">
        <f t="shared" si="2"/>
        <v>2037</v>
      </c>
      <c r="C17" s="376">
        <f>_xlfn.XLOOKUP(B17,'VMT Change'!$B$7:$B$34,'VMT Change'!$J$7:$J$34,0)</f>
        <v>241251.67772994514</v>
      </c>
      <c r="D17" s="383">
        <f t="shared" si="1"/>
        <v>110975.77175577477</v>
      </c>
      <c r="E17" s="377">
        <f>D17*(1+0.07)^-($B17-'Project Data and Assumptions'!$C$3)</f>
        <v>37591.333410859414</v>
      </c>
    </row>
    <row r="18" spans="2:5" x14ac:dyDescent="0.25">
      <c r="B18" s="2">
        <f t="shared" si="2"/>
        <v>2038</v>
      </c>
      <c r="C18" s="376">
        <f>_xlfn.XLOOKUP(B18,'VMT Change'!$B$7:$B$34,'VMT Change'!$J$7:$J$34,0)</f>
        <v>258274.53912297796</v>
      </c>
      <c r="D18" s="383">
        <f t="shared" si="1"/>
        <v>118806.28799656987</v>
      </c>
      <c r="E18" s="377">
        <f>D18*(1+0.07)^-($B18-'Project Data and Assumptions'!$C$3)</f>
        <v>37611.028205817638</v>
      </c>
    </row>
    <row r="19" spans="2:5" x14ac:dyDescent="0.25">
      <c r="B19" s="2">
        <f t="shared" si="2"/>
        <v>2039</v>
      </c>
      <c r="C19" s="376">
        <f>_xlfn.XLOOKUP(B19,'VMT Change'!$B$7:$B$34,'VMT Change'!$J$7:$J$34,0)</f>
        <v>276552.72542117484</v>
      </c>
      <c r="D19" s="383">
        <f t="shared" si="1"/>
        <v>127214.25369374044</v>
      </c>
      <c r="E19" s="377">
        <f>D19*(1+0.07)^-($B19-'Project Data and Assumptions'!$C$3)</f>
        <v>37638.107309759391</v>
      </c>
    </row>
    <row r="20" spans="2:5" ht="14.25" customHeight="1" x14ac:dyDescent="0.25">
      <c r="B20" s="2">
        <f t="shared" si="2"/>
        <v>2040</v>
      </c>
      <c r="C20" s="376">
        <f>_xlfn.XLOOKUP(B20,'VMT Change'!$B$7:$B$34,'VMT Change'!$J$7:$J$34,0)</f>
        <v>296179.59949276934</v>
      </c>
      <c r="D20" s="383">
        <f t="shared" si="1"/>
        <v>136242.6157666739</v>
      </c>
      <c r="E20" s="377">
        <f>D20*(1+0.07)^-($B20-'Project Data and Assumptions'!$C$3)</f>
        <v>37672.218570679317</v>
      </c>
    </row>
    <row r="21" spans="2:5" x14ac:dyDescent="0.25">
      <c r="B21" s="2">
        <f t="shared" si="2"/>
        <v>2041</v>
      </c>
      <c r="C21" s="376">
        <f>_xlfn.XLOOKUP(B21,'VMT Change'!$B$7:$B$34,'VMT Change'!$J$7:$J$34,0)</f>
        <v>317255.48290382134</v>
      </c>
      <c r="D21" s="383">
        <f t="shared" si="1"/>
        <v>145937.52213575781</v>
      </c>
      <c r="E21" s="377">
        <f>D21*(1+0.07)^-($B21-'Project Data and Assumptions'!$C$3)</f>
        <v>37713.028943449426</v>
      </c>
    </row>
    <row r="22" spans="2:5" x14ac:dyDescent="0.25">
      <c r="B22" s="2">
        <f t="shared" si="2"/>
        <v>2042</v>
      </c>
      <c r="C22" s="376">
        <f>_xlfn.XLOOKUP(B22,'VMT Change'!$B$7:$B$34,'VMT Change'!$J$7:$J$34,0)</f>
        <v>339888.1749378778</v>
      </c>
      <c r="D22" s="383">
        <f t="shared" si="1"/>
        <v>156348.56047142379</v>
      </c>
      <c r="E22" s="377">
        <f>D22*(1+0.07)^-($B22-'Project Data and Assumptions'!$C$3)</f>
        <v>37760.223447111384</v>
      </c>
    </row>
    <row r="23" spans="2:5" x14ac:dyDescent="0.25">
      <c r="B23" s="2">
        <f t="shared" si="2"/>
        <v>2043</v>
      </c>
      <c r="C23" s="376">
        <f>_xlfn.XLOOKUP(B23,'VMT Change'!$B$7:$B$34,'VMT Change'!$J$7:$J$34,0)</f>
        <v>364193.51033890236</v>
      </c>
      <c r="D23" s="383">
        <f t="shared" si="1"/>
        <v>167529.0147558951</v>
      </c>
      <c r="E23" s="377">
        <f>D23*(1+0.07)^-($B23-'Project Data and Assumptions'!$C$3)</f>
        <v>37813.504179935633</v>
      </c>
    </row>
    <row r="24" spans="2:5" x14ac:dyDescent="0.25">
      <c r="B24" s="2">
        <f t="shared" si="2"/>
        <v>2044</v>
      </c>
      <c r="C24" s="376">
        <f>_xlfn.XLOOKUP(B24,'VMT Change'!$B$7:$B$34,'VMT Change'!$J$7:$J$34,0)</f>
        <v>390295.9586671064</v>
      </c>
      <c r="D24" s="383">
        <f t="shared" si="1"/>
        <v>179536.14098686897</v>
      </c>
      <c r="E24" s="377">
        <f>D24*(1+0.07)^-($B24-'Project Data and Assumptions'!$C$3)</f>
        <v>37872.5893890066</v>
      </c>
    </row>
    <row r="25" spans="2:5" ht="15" customHeight="1" x14ac:dyDescent="0.25">
      <c r="B25" s="2">
        <f t="shared" si="2"/>
        <v>2045</v>
      </c>
      <c r="C25" s="376">
        <f>_xlfn.XLOOKUP(B25,'VMT Change'!$B$7:$B$34,'VMT Change'!$J$7:$J$34,0)</f>
        <v>418329.26837298233</v>
      </c>
      <c r="D25" s="383">
        <f t="shared" si="1"/>
        <v>192431.46345157188</v>
      </c>
      <c r="E25" s="377">
        <f>D25*(1+0.07)^-($B25-'Project Data and Assumptions'!$C$3)</f>
        <v>37937.212591277741</v>
      </c>
    </row>
    <row r="26" spans="2:5" ht="15" customHeight="1" x14ac:dyDescent="0.25">
      <c r="B26" s="2">
        <f t="shared" si="2"/>
        <v>2046</v>
      </c>
      <c r="C26" s="376">
        <f>_xlfn.XLOOKUP(B26,'VMT Change'!$B$7:$B$34,'VMT Change'!$J$7:$J$34,0)</f>
        <v>448437.15892659954</v>
      </c>
      <c r="D26" s="380">
        <f t="shared" si="1"/>
        <v>206281.09310623578</v>
      </c>
      <c r="E26" s="377">
        <f>D26*(1+0.07)^-($B26-'Project Data and Assumptions'!$C$3)</f>
        <v>38007.121743212469</v>
      </c>
    </row>
    <row r="27" spans="2:5" ht="15" customHeight="1" x14ac:dyDescent="0.25">
      <c r="B27" s="2">
        <f t="shared" si="2"/>
        <v>2047</v>
      </c>
      <c r="C27" s="376">
        <f>_xlfn.XLOOKUP(B27,'VMT Change'!$B$7:$B$34,'VMT Change'!$J$7:$J$34,0)</f>
        <v>480774.06458829151</v>
      </c>
      <c r="D27" s="380">
        <f t="shared" si="1"/>
        <v>221156.0697106141</v>
      </c>
      <c r="E27" s="377">
        <f>D27*(1+0.07)^-($B27-'Project Data and Assumptions'!$C$3)</f>
        <v>38082.07845629134</v>
      </c>
    </row>
    <row r="28" spans="2:5" x14ac:dyDescent="0.25">
      <c r="B28" s="2">
        <f t="shared" si="2"/>
        <v>2048</v>
      </c>
      <c r="C28" s="376">
        <f>_xlfn.XLOOKUP(B28,'VMT Change'!$B$7:$B$34,'VMT Change'!$J$7:$J$34,0)</f>
        <v>515505.93367451179</v>
      </c>
      <c r="D28" s="380">
        <f t="shared" si="1"/>
        <v>237132.72949027544</v>
      </c>
      <c r="E28" s="377">
        <f>D28*(1+0.07)^-($B28-'Project Data and Assumptions'!$C$3)</f>
        <v>38161.857255818824</v>
      </c>
    </row>
    <row r="29" spans="2:5" x14ac:dyDescent="0.25">
      <c r="B29" s="2">
        <f t="shared" si="2"/>
        <v>2049</v>
      </c>
      <c r="C29" s="376">
        <f>_xlfn.XLOOKUP(B29,'VMT Change'!$B$7:$B$34,'VMT Change'!$J$7:$J$34,0)</f>
        <v>552811.08746028005</v>
      </c>
      <c r="D29" s="380">
        <f t="shared" si="1"/>
        <v>254293.10023172884</v>
      </c>
      <c r="E29" s="377">
        <f>D29*(1+0.07)^-($B29-'Project Data and Assumptions'!$C$3)</f>
        <v>38246.244880609476</v>
      </c>
    </row>
    <row r="30" spans="2:5" x14ac:dyDescent="0.25">
      <c r="B30" s="2">
        <f t="shared" si="2"/>
        <v>2050</v>
      </c>
      <c r="C30" s="376">
        <f>_xlfn.XLOOKUP(B30,'VMT Change'!$B$7:$B$34,'VMT Change'!$J$7:$J$34,0)</f>
        <v>592881.14316873357</v>
      </c>
      <c r="D30" s="380">
        <f t="shared" si="1"/>
        <v>272725.32585761743</v>
      </c>
      <c r="E30" s="377">
        <f>D30*(1+0.07)^-($B30-'Project Data and Assumptions'!$C$3)</f>
        <v>38335.039621268603</v>
      </c>
    </row>
    <row r="31" spans="2:5" x14ac:dyDescent="0.25">
      <c r="B31" s="2">
        <f t="shared" si="2"/>
        <v>2051</v>
      </c>
      <c r="C31" s="376">
        <f>_xlfn.XLOOKUP(B31,'VMT Change'!$B$7:$B$34,'VMT Change'!$J$7:$J$34,0)</f>
        <v>0</v>
      </c>
      <c r="D31" s="380">
        <f t="shared" si="1"/>
        <v>0</v>
      </c>
      <c r="E31" s="377">
        <f>D31*(1+0.07)^-($B31-'Project Data and Assumptions'!$C$3)</f>
        <v>0</v>
      </c>
    </row>
    <row r="32" spans="2:5" ht="15.75" thickBot="1" x14ac:dyDescent="0.3">
      <c r="B32" s="3">
        <f t="shared" si="2"/>
        <v>2052</v>
      </c>
      <c r="C32" s="378">
        <f>_xlfn.XLOOKUP(B32,'VMT Change'!$B$7:$B$34,'VMT Change'!$J$7:$J$34,0)</f>
        <v>0</v>
      </c>
      <c r="D32" s="381">
        <f t="shared" si="1"/>
        <v>0</v>
      </c>
      <c r="E32" s="379">
        <f>D32*(1+0.07)^-($B32-'Project Data and Assumptions'!$C$3)</f>
        <v>0</v>
      </c>
    </row>
    <row r="33" spans="1:7" ht="15.75" thickBot="1" x14ac:dyDescent="0.3">
      <c r="B33" s="4"/>
      <c r="C33" s="384" t="s">
        <v>2</v>
      </c>
      <c r="D33" s="386">
        <f>SUM(D6:D32)</f>
        <v>3062711.5818989901</v>
      </c>
      <c r="E33" s="385">
        <f>SUM(E6:E32)</f>
        <v>760386.16115895135</v>
      </c>
    </row>
    <row r="35" spans="1:7" x14ac:dyDescent="0.25">
      <c r="B35" s="8" t="s">
        <v>3</v>
      </c>
    </row>
    <row r="36" spans="1:7" ht="15" customHeight="1" x14ac:dyDescent="0.25">
      <c r="A36" s="9" t="s">
        <v>18</v>
      </c>
      <c r="B36" s="624" t="s">
        <v>690</v>
      </c>
      <c r="C36" s="624"/>
      <c r="D36" s="624"/>
      <c r="E36" s="624"/>
      <c r="F36" s="624"/>
      <c r="G36" s="624"/>
    </row>
    <row r="37" spans="1:7" x14ac:dyDescent="0.25">
      <c r="B37" s="624"/>
      <c r="C37" s="624"/>
      <c r="D37" s="624"/>
      <c r="E37" s="624"/>
      <c r="F37" s="624"/>
      <c r="G37" s="624"/>
    </row>
    <row r="38" spans="1:7" x14ac:dyDescent="0.25">
      <c r="B38" s="624"/>
      <c r="C38" s="624"/>
      <c r="D38" s="624"/>
      <c r="E38" s="624"/>
      <c r="F38" s="624"/>
      <c r="G38" s="624"/>
    </row>
    <row r="39" spans="1:7" x14ac:dyDescent="0.25">
      <c r="B39" s="624"/>
      <c r="C39" s="624"/>
      <c r="D39" s="624"/>
      <c r="E39" s="624"/>
      <c r="F39" s="624"/>
      <c r="G39" s="624"/>
    </row>
    <row r="40" spans="1:7" x14ac:dyDescent="0.25">
      <c r="A40" s="9"/>
      <c r="B40" s="675"/>
      <c r="C40" s="675"/>
      <c r="D40" s="675"/>
      <c r="E40" s="675"/>
      <c r="F40" s="675"/>
      <c r="G40" s="675"/>
    </row>
    <row r="41" spans="1:7" x14ac:dyDescent="0.25">
      <c r="B41" s="675"/>
      <c r="C41" s="675"/>
      <c r="D41" s="675"/>
      <c r="E41" s="675"/>
      <c r="F41" s="675"/>
      <c r="G41" s="675"/>
    </row>
    <row r="42" spans="1:7" x14ac:dyDescent="0.25">
      <c r="B42" s="167"/>
      <c r="C42" s="167"/>
      <c r="D42" s="167"/>
      <c r="E42" s="167"/>
      <c r="F42" s="167"/>
      <c r="G42" s="167"/>
    </row>
    <row r="43" spans="1:7" x14ac:dyDescent="0.25">
      <c r="A43" s="9"/>
      <c r="B43" s="675"/>
      <c r="C43" s="675"/>
      <c r="D43" s="675"/>
      <c r="E43" s="675"/>
      <c r="F43" s="675"/>
      <c r="G43" s="675"/>
    </row>
    <row r="44" spans="1:7" x14ac:dyDescent="0.25">
      <c r="B44" s="675"/>
      <c r="C44" s="675"/>
      <c r="D44" s="675"/>
      <c r="E44" s="675"/>
      <c r="F44" s="675"/>
      <c r="G44" s="675"/>
    </row>
  </sheetData>
  <mergeCells count="9">
    <mergeCell ref="H5:I5"/>
    <mergeCell ref="H9:I9"/>
    <mergeCell ref="B40:G41"/>
    <mergeCell ref="B43:G44"/>
    <mergeCell ref="B4:B5"/>
    <mergeCell ref="C4:C5"/>
    <mergeCell ref="D4:D5"/>
    <mergeCell ref="E4:E5"/>
    <mergeCell ref="B36:G39"/>
  </mergeCells>
  <pageMargins left="0.25" right="0.25" top="0.75" bottom="0.75" header="0.3" footer="0.3"/>
  <pageSetup paperSize="11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00000"/>
    <pageSetUpPr fitToPage="1"/>
  </sheetPr>
  <dimension ref="A2:AD41"/>
  <sheetViews>
    <sheetView view="pageBreakPreview" topLeftCell="A10" zoomScale="90" zoomScaleNormal="100" zoomScaleSheetLayoutView="90" workbookViewId="0">
      <selection activeCell="B36" sqref="B36:T41"/>
    </sheetView>
  </sheetViews>
  <sheetFormatPr defaultRowHeight="15" x14ac:dyDescent="0.25"/>
  <cols>
    <col min="1" max="1" width="3.7109375" customWidth="1"/>
    <col min="2" max="2" width="10.5703125" customWidth="1"/>
    <col min="3" max="3" width="6.28515625" style="23" customWidth="1"/>
    <col min="4" max="4" width="12.7109375" customWidth="1"/>
    <col min="5" max="5" width="10.28515625" customWidth="1"/>
    <col min="6" max="6" width="4.85546875" bestFit="1" customWidth="1"/>
    <col min="7" max="7" width="12.7109375" customWidth="1"/>
    <col min="8" max="8" width="11.140625" customWidth="1"/>
    <col min="9" max="9" width="9.140625" customWidth="1"/>
    <col min="10" max="11" width="11.140625" customWidth="1"/>
    <col min="12" max="12" width="4.7109375" customWidth="1"/>
    <col min="13" max="13" width="12.7109375" customWidth="1"/>
    <col min="14" max="14" width="10.42578125" customWidth="1"/>
    <col min="15" max="15" width="4.85546875" bestFit="1" customWidth="1"/>
    <col min="16" max="16" width="12.7109375" customWidth="1"/>
    <col min="17" max="17" width="8.7109375" customWidth="1"/>
    <col min="18" max="18" width="4.85546875" bestFit="1" customWidth="1"/>
    <col min="19" max="19" width="12.7109375" customWidth="1"/>
    <col min="21" max="21" width="4.85546875" bestFit="1" customWidth="1"/>
    <col min="22" max="22" width="12.7109375" customWidth="1"/>
    <col min="23" max="23" width="12.42578125" customWidth="1"/>
    <col min="24" max="24" width="9.7109375" bestFit="1" customWidth="1"/>
    <col min="25" max="25" width="11.42578125" bestFit="1" customWidth="1"/>
    <col min="27" max="28" width="14.28515625" customWidth="1"/>
  </cols>
  <sheetData>
    <row r="2" spans="2:30" x14ac:dyDescent="0.25">
      <c r="B2" s="8" t="s">
        <v>38</v>
      </c>
      <c r="C2" s="62"/>
      <c r="D2" s="8"/>
      <c r="E2" s="8"/>
      <c r="S2" s="687" t="s">
        <v>424</v>
      </c>
      <c r="T2" s="687"/>
      <c r="U2" s="687"/>
      <c r="V2" s="687"/>
      <c r="W2" s="392">
        <f>2500+200+3380</f>
        <v>6080</v>
      </c>
    </row>
    <row r="3" spans="2:30" x14ac:dyDescent="0.25">
      <c r="B3" s="8"/>
      <c r="C3" s="62"/>
      <c r="D3" s="8"/>
      <c r="E3" s="8"/>
      <c r="S3" s="687" t="s">
        <v>489</v>
      </c>
      <c r="T3" s="687"/>
      <c r="U3" s="687"/>
      <c r="V3" s="687"/>
      <c r="W3" s="392">
        <v>26000</v>
      </c>
    </row>
    <row r="4" spans="2:30" ht="15.75" thickBot="1" x14ac:dyDescent="0.3">
      <c r="B4" s="8"/>
      <c r="C4" s="62"/>
      <c r="D4" s="8"/>
      <c r="E4" s="8"/>
      <c r="S4" s="9"/>
    </row>
    <row r="5" spans="2:30" x14ac:dyDescent="0.25">
      <c r="B5" s="8"/>
      <c r="C5" s="688" t="s">
        <v>433</v>
      </c>
      <c r="D5" s="689"/>
      <c r="E5" s="690"/>
      <c r="F5" s="696" t="s">
        <v>535</v>
      </c>
      <c r="G5" s="696"/>
      <c r="H5" s="697"/>
      <c r="I5" s="698" t="s">
        <v>534</v>
      </c>
      <c r="J5" s="696"/>
      <c r="K5" s="697"/>
      <c r="L5" s="688" t="s">
        <v>416</v>
      </c>
      <c r="M5" s="689"/>
      <c r="N5" s="690"/>
      <c r="O5" s="694" t="s">
        <v>240</v>
      </c>
      <c r="P5" s="689"/>
      <c r="Q5" s="695"/>
      <c r="R5" s="695" t="s">
        <v>434</v>
      </c>
      <c r="S5" s="696"/>
      <c r="T5" s="697"/>
      <c r="U5" s="698" t="s">
        <v>672</v>
      </c>
      <c r="V5" s="696"/>
      <c r="W5" s="694"/>
      <c r="X5" s="23"/>
      <c r="AB5" s="233"/>
    </row>
    <row r="6" spans="2:30" ht="15.75" thickBot="1" x14ac:dyDescent="0.3">
      <c r="C6" s="691" t="s">
        <v>506</v>
      </c>
      <c r="D6" s="692"/>
      <c r="E6" s="428">
        <f>'Trail Project Summary'!F3</f>
        <v>1.1000000000000001</v>
      </c>
      <c r="F6" s="691" t="s">
        <v>45</v>
      </c>
      <c r="G6" s="692"/>
      <c r="H6" s="428">
        <f>'Trail Project Summary'!F8</f>
        <v>4.7</v>
      </c>
      <c r="I6" s="691" t="s">
        <v>45</v>
      </c>
      <c r="J6" s="692"/>
      <c r="K6" s="564">
        <f>'Trail Project Summary'!F12</f>
        <v>3.7</v>
      </c>
      <c r="L6" s="691" t="s">
        <v>45</v>
      </c>
      <c r="M6" s="692"/>
      <c r="N6" s="428">
        <f>'Trail Project Summary'!F15</f>
        <v>1.9</v>
      </c>
      <c r="O6" s="693" t="s">
        <v>45</v>
      </c>
      <c r="P6" s="692"/>
      <c r="Q6" s="429">
        <f>'Trail Project Summary'!F18</f>
        <v>2.2999999999999998</v>
      </c>
      <c r="R6" s="692" t="s">
        <v>45</v>
      </c>
      <c r="S6" s="692"/>
      <c r="T6" s="428">
        <f>'Trail Project Summary'!F22</f>
        <v>0.84</v>
      </c>
      <c r="U6" s="692" t="s">
        <v>45</v>
      </c>
      <c r="V6" s="692"/>
      <c r="W6" s="430">
        <f>'Trail Project Summary'!F26</f>
        <v>0.4</v>
      </c>
      <c r="X6" s="39">
        <f>SUM(E6,K6,H6,N6,Q6,W6,T6)</f>
        <v>14.94</v>
      </c>
      <c r="AD6" s="233"/>
    </row>
    <row r="7" spans="2:30" ht="35.1" customHeight="1" x14ac:dyDescent="0.25">
      <c r="B7" s="661" t="s">
        <v>0</v>
      </c>
      <c r="C7" s="685" t="s">
        <v>79</v>
      </c>
      <c r="D7" s="682" t="s">
        <v>39</v>
      </c>
      <c r="E7" s="640" t="s">
        <v>421</v>
      </c>
      <c r="F7" s="685" t="s">
        <v>79</v>
      </c>
      <c r="G7" s="682" t="s">
        <v>39</v>
      </c>
      <c r="H7" s="640" t="s">
        <v>421</v>
      </c>
      <c r="I7" s="685" t="s">
        <v>79</v>
      </c>
      <c r="J7" s="682" t="s">
        <v>39</v>
      </c>
      <c r="K7" s="640" t="s">
        <v>421</v>
      </c>
      <c r="L7" s="640" t="s">
        <v>79</v>
      </c>
      <c r="M7" s="682" t="s">
        <v>39</v>
      </c>
      <c r="N7" s="640" t="s">
        <v>421</v>
      </c>
      <c r="O7" s="640" t="s">
        <v>79</v>
      </c>
      <c r="P7" s="682" t="s">
        <v>39</v>
      </c>
      <c r="Q7" s="640" t="s">
        <v>421</v>
      </c>
      <c r="R7" s="640" t="s">
        <v>79</v>
      </c>
      <c r="S7" s="682" t="s">
        <v>39</v>
      </c>
      <c r="T7" s="640" t="s">
        <v>421</v>
      </c>
      <c r="U7" s="640" t="s">
        <v>79</v>
      </c>
      <c r="V7" s="682" t="s">
        <v>39</v>
      </c>
      <c r="W7" s="640" t="s">
        <v>421</v>
      </c>
      <c r="X7" s="639" t="s">
        <v>435</v>
      </c>
      <c r="Y7" s="683" t="s">
        <v>1</v>
      </c>
    </row>
    <row r="8" spans="2:30" ht="35.1" customHeight="1" thickBot="1" x14ac:dyDescent="0.3">
      <c r="B8" s="681"/>
      <c r="C8" s="686"/>
      <c r="D8" s="681"/>
      <c r="E8" s="676"/>
      <c r="F8" s="686"/>
      <c r="G8" s="681"/>
      <c r="H8" s="676"/>
      <c r="I8" s="686"/>
      <c r="J8" s="681"/>
      <c r="K8" s="676"/>
      <c r="L8" s="676"/>
      <c r="M8" s="681"/>
      <c r="N8" s="676"/>
      <c r="O8" s="676"/>
      <c r="P8" s="681"/>
      <c r="Q8" s="676"/>
      <c r="R8" s="676"/>
      <c r="S8" s="681"/>
      <c r="T8" s="676"/>
      <c r="U8" s="676"/>
      <c r="V8" s="681"/>
      <c r="W8" s="676"/>
      <c r="X8" s="676"/>
      <c r="Y8" s="684"/>
    </row>
    <row r="9" spans="2:30" x14ac:dyDescent="0.25">
      <c r="B9" s="256">
        <v>2027</v>
      </c>
      <c r="C9" s="257">
        <f>IF(D9&gt;0,1,0)</f>
        <v>0</v>
      </c>
      <c r="D9" s="103">
        <f>IF(B9&gt;'QoL Benefits - BCRT'!$Y$5,'Operation and Maintenance'!$E$6*'Operation and Maintenance'!$W$2,0)</f>
        <v>0</v>
      </c>
      <c r="E9" s="102" t="str">
        <f t="shared" ref="E9:E32" si="0">IF(OR(C9=7,C9=14,C9=21),$W$3*E$6,"-")</f>
        <v>-</v>
      </c>
      <c r="F9" s="257">
        <f>IF(G9&gt;0,1,0)</f>
        <v>0</v>
      </c>
      <c r="G9" s="102">
        <f>IF(B9&gt;'QoL Benefits - CP South RT'!$Y$5,'Operation and Maintenance'!$H$6*'Operation and Maintenance'!$W$2,0)</f>
        <v>0</v>
      </c>
      <c r="H9" s="102" t="str">
        <f>IF(OR(F9=7,F9=14,F9=21),$W$3*H$6,"-")</f>
        <v>-</v>
      </c>
      <c r="I9" s="257">
        <f>IF(J9&gt;0,1,0)</f>
        <v>0</v>
      </c>
      <c r="J9" s="102">
        <f>IF(B9&gt;'QoL Benefits - CP North RT'!$Y$5,'Operation and Maintenance'!$K$6*'Operation and Maintenance'!$W$2,0)</f>
        <v>0</v>
      </c>
      <c r="K9" s="102" t="str">
        <f>IF(OR(I9=7,I9=14,I9=21),$W$3*K$6,"-")</f>
        <v>-</v>
      </c>
      <c r="L9" s="257">
        <f>IF(M9&gt;0,1,0)</f>
        <v>0</v>
      </c>
      <c r="M9" s="103">
        <f>IF(B9&gt;'QoL Benefits - Eagle RT'!$Y$5,'Operation and Maintenance'!N$6*'Operation and Maintenance'!$W$2,0)</f>
        <v>0</v>
      </c>
      <c r="N9" s="102" t="str">
        <f>IF(OR(L9=7,L9=14,L9=21),$W$3*N$6,"-")</f>
        <v>-</v>
      </c>
      <c r="O9" s="257">
        <f>IF(P9&gt;0,1,0)</f>
        <v>0</v>
      </c>
      <c r="P9" s="103">
        <f>IF(B9&gt;'QoL Benefits - Med Lake RT'!Y5,'Operation and Maintenance'!Q$6*'Operation and Maintenance'!$W$2,0)</f>
        <v>0</v>
      </c>
      <c r="Q9" s="102" t="str">
        <f>IF(OR(O9=7,O9=14,O9=21),$W$3*Q$6,"-")</f>
        <v>-</v>
      </c>
      <c r="R9" s="257">
        <f>IF(S9&gt;0,1,0)</f>
        <v>0</v>
      </c>
      <c r="S9" s="103">
        <f>IF(B9&gt;'QoL Benefits - Shingle Crk NAR'!Y5,'Operation and Maintenance'!T$6*'Operation and Maintenance'!$W$2,0)</f>
        <v>0</v>
      </c>
      <c r="T9" s="102" t="str">
        <f t="shared" ref="T9:T32" si="1">IF(OR(R9=7,R9=14,R9=21),$W$3*T$6,"-")</f>
        <v>-</v>
      </c>
      <c r="U9" s="257">
        <f>IF(V9&gt;0,1,0)</f>
        <v>0</v>
      </c>
      <c r="V9" s="103">
        <f>IF(B9&gt;'QoL Benefits - Twin Lakes RT'!$Y$5,'Operation and Maintenance'!W$6*'Operation and Maintenance'!$W$2,0)</f>
        <v>0</v>
      </c>
      <c r="W9" s="102" t="str">
        <f t="shared" ref="W9:W32" si="2">IF(OR(U9=7,U9=14,U9=21),$W$3*W$6,"-")</f>
        <v>-</v>
      </c>
      <c r="X9" s="102">
        <f>SUM(D9:E9,G9:H9,M9:N9,P9:Q9,V9:W9,S9:T9)</f>
        <v>0</v>
      </c>
      <c r="Y9" s="102">
        <f>X9*(1+0.07)^-(B9-'Project Data and Assumptions'!$C$3)</f>
        <v>0</v>
      </c>
    </row>
    <row r="10" spans="2:30" x14ac:dyDescent="0.25">
      <c r="B10" s="2">
        <f t="shared" ref="B10:B32" si="3">+B9+1</f>
        <v>2028</v>
      </c>
      <c r="C10" s="257">
        <f t="shared" ref="C10:C32" si="4">IF(D10&gt;0,C9+1,0)</f>
        <v>0</v>
      </c>
      <c r="D10" s="103">
        <f>IF(B10&gt;'QoL Benefits - BCRT'!$Y$5,'Operation and Maintenance'!$E$6*'Operation and Maintenance'!$W$2,0)</f>
        <v>0</v>
      </c>
      <c r="E10" s="102" t="str">
        <f t="shared" si="0"/>
        <v>-</v>
      </c>
      <c r="F10" s="257">
        <f>IF(G10&gt;0,F9+1,0)</f>
        <v>0</v>
      </c>
      <c r="G10" s="102">
        <f>IF(B10&gt;'QoL Benefits - CP South RT'!$Y$5,'Operation and Maintenance'!$H$6*'Operation and Maintenance'!$W$2,0)</f>
        <v>0</v>
      </c>
      <c r="H10" s="102" t="str">
        <f t="shared" ref="H10:H32" si="5">IF(OR(F10=7,F10=14,F10=21),$W$3*H$6,"-")</f>
        <v>-</v>
      </c>
      <c r="I10" s="257">
        <f>IF(J10&gt;0,I9+1,0)</f>
        <v>0</v>
      </c>
      <c r="J10" s="102">
        <f>IF(B10&gt;'QoL Benefits - CP North RT'!$Y$5,'Operation and Maintenance'!$K$6*'Operation and Maintenance'!$W$2,0)</f>
        <v>0</v>
      </c>
      <c r="K10" s="102" t="str">
        <f t="shared" ref="K10:K32" si="6">IF(OR(I10=7,I10=14,I10=21),$W$3*K$6,"-")</f>
        <v>-</v>
      </c>
      <c r="L10" s="257">
        <f>IF(M10&gt;0,L9+1,0)</f>
        <v>0</v>
      </c>
      <c r="M10" s="103">
        <f>IF(B10&gt;'QoL Benefits - Eagle RT'!$Y$5,'Operation and Maintenance'!N$6*'Operation and Maintenance'!$W$2,0)</f>
        <v>0</v>
      </c>
      <c r="N10" s="102" t="str">
        <f t="shared" ref="N10:N32" si="7">IF(OR(L10=7,L10=14,L10=21),$W$3*N$6,"-")</f>
        <v>-</v>
      </c>
      <c r="O10" s="257">
        <f>IF(P10&gt;0,O9+1,0)</f>
        <v>1</v>
      </c>
      <c r="P10" s="103">
        <f>IF(B10&gt;'QoL Benefits - Med Lake RT'!Y6,'Operation and Maintenance'!Q$6*'Operation and Maintenance'!$W$2,0)</f>
        <v>13983.999999999998</v>
      </c>
      <c r="Q10" s="102" t="str">
        <f t="shared" ref="Q10:Q32" si="8">IF(OR(O10=7,O10=14,O10=21),$W$3*Q$6,"-")</f>
        <v>-</v>
      </c>
      <c r="R10" s="257">
        <f>IF(S10&gt;0,R9+1,0)</f>
        <v>1</v>
      </c>
      <c r="S10" s="103">
        <f>IF(B10&gt;'QoL Benefits - Shingle Crk NAR'!Y6,'Operation and Maintenance'!T$6*'Operation and Maintenance'!$W$2,0)</f>
        <v>5107.2</v>
      </c>
      <c r="T10" s="102" t="str">
        <f t="shared" si="1"/>
        <v>-</v>
      </c>
      <c r="U10" s="257">
        <f>IF(V10&gt;0,U9+1,0)</f>
        <v>0</v>
      </c>
      <c r="V10" s="103">
        <f>IF(B10&gt;'QoL Benefits - Twin Lakes RT'!$Y$5,'Operation and Maintenance'!W$6*'Operation and Maintenance'!$W$2,0)</f>
        <v>0</v>
      </c>
      <c r="W10" s="102" t="str">
        <f t="shared" si="2"/>
        <v>-</v>
      </c>
      <c r="X10" s="102">
        <f t="shared" ref="X10:X32" si="9">SUM(D10:E10,G10:H10,M10:N10,P10:Q10,V10:W10,S10:T10)</f>
        <v>19091.199999999997</v>
      </c>
      <c r="Y10" s="102">
        <f>X10*(1+0.07)^-(B10-'Project Data and Assumptions'!$C$3)</f>
        <v>11889.039872267103</v>
      </c>
    </row>
    <row r="11" spans="2:30" x14ac:dyDescent="0.25">
      <c r="B11" s="2">
        <f t="shared" si="3"/>
        <v>2029</v>
      </c>
      <c r="C11" s="257">
        <f t="shared" si="4"/>
        <v>0</v>
      </c>
      <c r="D11" s="103">
        <f>IF(B11&gt;'QoL Benefits - BCRT'!$Y$5,'Operation and Maintenance'!$E$6*'Operation and Maintenance'!$W$2,0)</f>
        <v>0</v>
      </c>
      <c r="E11" s="102" t="str">
        <f t="shared" si="0"/>
        <v>-</v>
      </c>
      <c r="F11" s="257">
        <f t="shared" ref="F11:F32" si="10">IF(G11&gt;0,F10+1,0)</f>
        <v>0</v>
      </c>
      <c r="G11" s="102">
        <f>IF(B11&gt;'QoL Benefits - CP South RT'!$Y$5,'Operation and Maintenance'!$H$6*'Operation and Maintenance'!$W$2,0)</f>
        <v>0</v>
      </c>
      <c r="H11" s="102" t="str">
        <f t="shared" si="5"/>
        <v>-</v>
      </c>
      <c r="I11" s="257">
        <f t="shared" ref="I11:I32" si="11">IF(J11&gt;0,I10+1,0)</f>
        <v>0</v>
      </c>
      <c r="J11" s="102">
        <f>IF(B11&gt;'QoL Benefits - CP North RT'!$Y$5,'Operation and Maintenance'!$K$6*'Operation and Maintenance'!$W$2,0)</f>
        <v>0</v>
      </c>
      <c r="K11" s="102" t="str">
        <f t="shared" si="6"/>
        <v>-</v>
      </c>
      <c r="L11" s="257">
        <f t="shared" ref="L11:L32" si="12">IF(M11&gt;0,L10+1,0)</f>
        <v>0</v>
      </c>
      <c r="M11" s="103">
        <f>IF(B11&gt;'QoL Benefits - Eagle RT'!$Y$5,'Operation and Maintenance'!N$6*'Operation and Maintenance'!$W$2,0)</f>
        <v>0</v>
      </c>
      <c r="N11" s="102" t="str">
        <f t="shared" si="7"/>
        <v>-</v>
      </c>
      <c r="O11" s="257">
        <f t="shared" ref="O11:O32" si="13">IF(P11&gt;0,O10+1,0)</f>
        <v>2</v>
      </c>
      <c r="P11" s="103">
        <f>IF(B11&gt;'QoL Benefits - Med Lake RT'!Y7,'Operation and Maintenance'!Q$6*'Operation and Maintenance'!$W$2,0)</f>
        <v>13983.999999999998</v>
      </c>
      <c r="Q11" s="102" t="str">
        <f t="shared" si="8"/>
        <v>-</v>
      </c>
      <c r="R11" s="257">
        <f t="shared" ref="R11:R32" si="14">IF(S11&gt;0,R10+1,0)</f>
        <v>2</v>
      </c>
      <c r="S11" s="103">
        <f>IF(B11&gt;'QoL Benefits - Shingle Crk NAR'!Y7,'Operation and Maintenance'!T$6*'Operation and Maintenance'!$W$2,0)</f>
        <v>5107.2</v>
      </c>
      <c r="T11" s="102" t="str">
        <f t="shared" si="1"/>
        <v>-</v>
      </c>
      <c r="U11" s="257">
        <f t="shared" ref="U11:U32" si="15">IF(V11&gt;0,U10+1,0)</f>
        <v>0</v>
      </c>
      <c r="V11" s="103">
        <f>IF(B11&gt;'QoL Benefits - Twin Lakes RT'!$Y$5,'Operation and Maintenance'!W$6*'Operation and Maintenance'!$W$2,0)</f>
        <v>0</v>
      </c>
      <c r="W11" s="102" t="str">
        <f t="shared" si="2"/>
        <v>-</v>
      </c>
      <c r="X11" s="102">
        <f t="shared" si="9"/>
        <v>19091.199999999997</v>
      </c>
      <c r="Y11" s="102">
        <f>X11*(1+0.07)^-(B11-'Project Data and Assumptions'!$C$3)</f>
        <v>11111.25221707206</v>
      </c>
      <c r="AA11" t="s">
        <v>423</v>
      </c>
    </row>
    <row r="12" spans="2:30" x14ac:dyDescent="0.25">
      <c r="B12" s="2">
        <f t="shared" si="3"/>
        <v>2030</v>
      </c>
      <c r="C12" s="257">
        <f t="shared" si="4"/>
        <v>0</v>
      </c>
      <c r="D12" s="103">
        <f>IF(B12&gt;'QoL Benefits - BCRT'!$Y$5,'Operation and Maintenance'!$E$6*'Operation and Maintenance'!$W$2,0)</f>
        <v>0</v>
      </c>
      <c r="E12" s="102" t="str">
        <f t="shared" si="0"/>
        <v>-</v>
      </c>
      <c r="F12" s="257">
        <f t="shared" si="10"/>
        <v>0</v>
      </c>
      <c r="G12" s="102">
        <f>IF(B12&gt;'QoL Benefits - CP South RT'!$Y$5,'Operation and Maintenance'!$H$6*'Operation and Maintenance'!$W$2,0)</f>
        <v>0</v>
      </c>
      <c r="H12" s="102" t="str">
        <f t="shared" si="5"/>
        <v>-</v>
      </c>
      <c r="I12" s="257">
        <f t="shared" si="11"/>
        <v>0</v>
      </c>
      <c r="J12" s="102">
        <f>IF(B12&gt;'QoL Benefits - CP North RT'!$Y$5,'Operation and Maintenance'!$K$6*'Operation and Maintenance'!$W$2,0)</f>
        <v>0</v>
      </c>
      <c r="K12" s="102" t="str">
        <f t="shared" si="6"/>
        <v>-</v>
      </c>
      <c r="L12" s="257">
        <f t="shared" si="12"/>
        <v>0</v>
      </c>
      <c r="M12" s="104">
        <f>IF(B12&gt;'QoL Benefits - Eagle RT'!$Y$5,'Operation and Maintenance'!N$6*'Operation and Maintenance'!$W$2,0)</f>
        <v>0</v>
      </c>
      <c r="N12" s="102" t="str">
        <f t="shared" si="7"/>
        <v>-</v>
      </c>
      <c r="O12" s="257">
        <f t="shared" si="13"/>
        <v>3</v>
      </c>
      <c r="P12" s="103">
        <f>IF(B12&gt;'QoL Benefits - Med Lake RT'!Y8,'Operation and Maintenance'!Q$6*'Operation and Maintenance'!$W$2,0)</f>
        <v>13983.999999999998</v>
      </c>
      <c r="Q12" s="102" t="str">
        <f t="shared" si="8"/>
        <v>-</v>
      </c>
      <c r="R12" s="257">
        <f t="shared" si="14"/>
        <v>3</v>
      </c>
      <c r="S12" s="104">
        <f>IF(B12&gt;'QoL Benefits - Shingle Crk NAR'!Y8,'Operation and Maintenance'!T$6*'Operation and Maintenance'!$W$2,0)</f>
        <v>5107.2</v>
      </c>
      <c r="T12" s="102" t="str">
        <f t="shared" si="1"/>
        <v>-</v>
      </c>
      <c r="U12" s="257">
        <f t="shared" si="15"/>
        <v>0</v>
      </c>
      <c r="V12" s="103">
        <f>IF(B12&gt;'QoL Benefits - Twin Lakes RT'!$Y$5,'Operation and Maintenance'!W$6*'Operation and Maintenance'!$W$2,0)</f>
        <v>0</v>
      </c>
      <c r="W12" s="102" t="str">
        <f t="shared" si="2"/>
        <v>-</v>
      </c>
      <c r="X12" s="102">
        <f t="shared" si="9"/>
        <v>19091.199999999997</v>
      </c>
      <c r="Y12" s="102">
        <f>X12*(1+0.07)^-(B12-'Project Data and Assumptions'!$C$3)</f>
        <v>10384.347866422486</v>
      </c>
      <c r="AA12" t="s">
        <v>422</v>
      </c>
    </row>
    <row r="13" spans="2:30" x14ac:dyDescent="0.25">
      <c r="B13" s="2">
        <f t="shared" si="3"/>
        <v>2031</v>
      </c>
      <c r="C13" s="257">
        <f t="shared" si="4"/>
        <v>1</v>
      </c>
      <c r="D13" s="103">
        <f>IF(B13&gt;'QoL Benefits - BCRT'!$Y$5,'Operation and Maintenance'!$E$6*'Operation and Maintenance'!$W$2,0)</f>
        <v>6688.0000000000009</v>
      </c>
      <c r="E13" s="102" t="str">
        <f t="shared" si="0"/>
        <v>-</v>
      </c>
      <c r="F13" s="257">
        <f t="shared" si="10"/>
        <v>0</v>
      </c>
      <c r="G13" s="102">
        <f>IF(B13&gt;'QoL Benefits - CP South RT'!$Y$5,'Operation and Maintenance'!$H$6*'Operation and Maintenance'!$W$2,0)</f>
        <v>0</v>
      </c>
      <c r="H13" s="102" t="str">
        <f t="shared" si="5"/>
        <v>-</v>
      </c>
      <c r="I13" s="257">
        <f t="shared" si="11"/>
        <v>0</v>
      </c>
      <c r="J13" s="102">
        <f>IF(B13&gt;'QoL Benefits - CP North RT'!$Y$5,'Operation and Maintenance'!$K$6*'Operation and Maintenance'!$W$2,0)</f>
        <v>0</v>
      </c>
      <c r="K13" s="102" t="str">
        <f t="shared" si="6"/>
        <v>-</v>
      </c>
      <c r="L13" s="257">
        <f t="shared" si="12"/>
        <v>1</v>
      </c>
      <c r="M13" s="104">
        <f>IF(B13&gt;'QoL Benefits - Eagle RT'!$Y$5,'Operation and Maintenance'!N$6*'Operation and Maintenance'!$W$2,0)</f>
        <v>11552</v>
      </c>
      <c r="N13" s="102" t="str">
        <f t="shared" si="7"/>
        <v>-</v>
      </c>
      <c r="O13" s="257">
        <f t="shared" si="13"/>
        <v>4</v>
      </c>
      <c r="P13" s="103">
        <f>IF(B13&gt;'QoL Benefits - Med Lake RT'!Y9,'Operation and Maintenance'!Q$6*'Operation and Maintenance'!$W$2,0)</f>
        <v>13983.999999999998</v>
      </c>
      <c r="Q13" s="102" t="str">
        <f t="shared" si="8"/>
        <v>-</v>
      </c>
      <c r="R13" s="257">
        <f t="shared" si="14"/>
        <v>4</v>
      </c>
      <c r="S13" s="104">
        <f>IF(B13&gt;'QoL Benefits - Shingle Crk NAR'!Y9,'Operation and Maintenance'!T$6*'Operation and Maintenance'!$W$2,0)</f>
        <v>5107.2</v>
      </c>
      <c r="T13" s="102" t="str">
        <f t="shared" si="1"/>
        <v>-</v>
      </c>
      <c r="U13" s="257">
        <f t="shared" si="15"/>
        <v>0</v>
      </c>
      <c r="V13" s="103">
        <f>IF(B13&gt;'QoL Benefits - Twin Lakes RT'!$Y$5,'Operation and Maintenance'!W$6*'Operation and Maintenance'!$W$2,0)</f>
        <v>0</v>
      </c>
      <c r="W13" s="102" t="str">
        <f t="shared" si="2"/>
        <v>-</v>
      </c>
      <c r="X13" s="102">
        <f t="shared" si="9"/>
        <v>37331.199999999997</v>
      </c>
      <c r="Y13" s="102">
        <f>X13*(1+0.07)^-(B13-'Project Data and Assumptions'!$C$3)</f>
        <v>18977.289094539577</v>
      </c>
    </row>
    <row r="14" spans="2:30" x14ac:dyDescent="0.25">
      <c r="B14" s="2">
        <f t="shared" si="3"/>
        <v>2032</v>
      </c>
      <c r="C14" s="257">
        <f t="shared" si="4"/>
        <v>2</v>
      </c>
      <c r="D14" s="103">
        <f>IF(B14&gt;'QoL Benefits - BCRT'!$Y$5,'Operation and Maintenance'!$E$6*'Operation and Maintenance'!$W$2,0)</f>
        <v>6688.0000000000009</v>
      </c>
      <c r="E14" s="102" t="str">
        <f t="shared" si="0"/>
        <v>-</v>
      </c>
      <c r="F14" s="257">
        <f t="shared" si="10"/>
        <v>1</v>
      </c>
      <c r="G14" s="102">
        <f>IF(B14&gt;'QoL Benefits - CP South RT'!$Y$5,'Operation and Maintenance'!$H$6*'Operation and Maintenance'!$W$2,0)</f>
        <v>28576</v>
      </c>
      <c r="H14" s="102" t="str">
        <f t="shared" si="5"/>
        <v>-</v>
      </c>
      <c r="I14" s="257">
        <f t="shared" si="11"/>
        <v>1</v>
      </c>
      <c r="J14" s="102">
        <f>IF(B14&gt;'QoL Benefits - CP North RT'!$Y$5,'Operation and Maintenance'!$K$6*'Operation and Maintenance'!$W$2,0)</f>
        <v>22496</v>
      </c>
      <c r="K14" s="102" t="str">
        <f t="shared" si="6"/>
        <v>-</v>
      </c>
      <c r="L14" s="257">
        <f t="shared" si="12"/>
        <v>2</v>
      </c>
      <c r="M14" s="104">
        <f>IF(B14&gt;'QoL Benefits - Eagle RT'!$Y$5,'Operation and Maintenance'!N$6*'Operation and Maintenance'!$W$2,0)</f>
        <v>11552</v>
      </c>
      <c r="N14" s="102" t="str">
        <f t="shared" si="7"/>
        <v>-</v>
      </c>
      <c r="O14" s="257">
        <f t="shared" si="13"/>
        <v>5</v>
      </c>
      <c r="P14" s="103">
        <f>IF(B14&gt;'QoL Benefits - Med Lake RT'!Y10,'Operation and Maintenance'!Q$6*'Operation and Maintenance'!$W$2,0)</f>
        <v>13983.999999999998</v>
      </c>
      <c r="Q14" s="102" t="str">
        <f t="shared" si="8"/>
        <v>-</v>
      </c>
      <c r="R14" s="257">
        <f t="shared" si="14"/>
        <v>5</v>
      </c>
      <c r="S14" s="104">
        <f>IF(B14&gt;'QoL Benefits - Shingle Crk NAR'!Y10,'Operation and Maintenance'!T$6*'Operation and Maintenance'!$W$2,0)</f>
        <v>5107.2</v>
      </c>
      <c r="T14" s="102" t="str">
        <f t="shared" si="1"/>
        <v>-</v>
      </c>
      <c r="U14" s="257">
        <f t="shared" si="15"/>
        <v>1</v>
      </c>
      <c r="V14" s="103">
        <f>IF(B14&gt;'QoL Benefits - Twin Lakes RT'!$Y$5,'Operation and Maintenance'!W$6*'Operation and Maintenance'!$W$2,0)</f>
        <v>2432</v>
      </c>
      <c r="W14" s="102" t="str">
        <f t="shared" si="2"/>
        <v>-</v>
      </c>
      <c r="X14" s="102">
        <f t="shared" si="9"/>
        <v>68339.199999999997</v>
      </c>
      <c r="Y14" s="102">
        <f>X14*(1+0.07)^-(B14-'Project Data and Assumptions'!$C$3)</f>
        <v>32467.461630890561</v>
      </c>
      <c r="AA14" s="427" t="s">
        <v>505</v>
      </c>
    </row>
    <row r="15" spans="2:30" x14ac:dyDescent="0.25">
      <c r="B15" s="2">
        <f t="shared" si="3"/>
        <v>2033</v>
      </c>
      <c r="C15" s="257">
        <f t="shared" si="4"/>
        <v>3</v>
      </c>
      <c r="D15" s="103">
        <f>IF(B15&gt;'QoL Benefits - BCRT'!$Y$5,'Operation and Maintenance'!$E$6*'Operation and Maintenance'!$W$2,0)</f>
        <v>6688.0000000000009</v>
      </c>
      <c r="E15" s="102" t="str">
        <f t="shared" si="0"/>
        <v>-</v>
      </c>
      <c r="F15" s="257">
        <f t="shared" si="10"/>
        <v>2</v>
      </c>
      <c r="G15" s="102">
        <f>IF(B15&gt;'QoL Benefits - CP South RT'!$Y$5,'Operation and Maintenance'!$H$6*'Operation and Maintenance'!$W$2,0)</f>
        <v>28576</v>
      </c>
      <c r="H15" s="102" t="str">
        <f t="shared" si="5"/>
        <v>-</v>
      </c>
      <c r="I15" s="257">
        <f t="shared" si="11"/>
        <v>2</v>
      </c>
      <c r="J15" s="102">
        <f>IF(B15&gt;'QoL Benefits - CP North RT'!$Y$5,'Operation and Maintenance'!$K$6*'Operation and Maintenance'!$W$2,0)</f>
        <v>22496</v>
      </c>
      <c r="K15" s="102" t="str">
        <f t="shared" si="6"/>
        <v>-</v>
      </c>
      <c r="L15" s="257">
        <f t="shared" si="12"/>
        <v>3</v>
      </c>
      <c r="M15" s="104">
        <f>IF(B15&gt;'QoL Benefits - Eagle RT'!$Y$5,'Operation and Maintenance'!N$6*'Operation and Maintenance'!$W$2,0)</f>
        <v>11552</v>
      </c>
      <c r="N15" s="102" t="str">
        <f t="shared" si="7"/>
        <v>-</v>
      </c>
      <c r="O15" s="257">
        <f t="shared" si="13"/>
        <v>6</v>
      </c>
      <c r="P15" s="103">
        <f>IF(B15&gt;'QoL Benefits - Med Lake RT'!Y11,'Operation and Maintenance'!Q$6*'Operation and Maintenance'!$W$2,0)</f>
        <v>13983.999999999998</v>
      </c>
      <c r="Q15" s="102" t="str">
        <f t="shared" si="8"/>
        <v>-</v>
      </c>
      <c r="R15" s="257">
        <f t="shared" si="14"/>
        <v>6</v>
      </c>
      <c r="S15" s="104">
        <f>IF(B15&gt;'QoL Benefits - Shingle Crk NAR'!Y11,'Operation and Maintenance'!T$6*'Operation and Maintenance'!$W$2,0)</f>
        <v>5107.2</v>
      </c>
      <c r="T15" s="102" t="str">
        <f t="shared" si="1"/>
        <v>-</v>
      </c>
      <c r="U15" s="257">
        <f t="shared" si="15"/>
        <v>2</v>
      </c>
      <c r="V15" s="103">
        <f>IF(B15&gt;'QoL Benefits - Twin Lakes RT'!$Y$5,'Operation and Maintenance'!W$6*'Operation and Maintenance'!$W$2,0)</f>
        <v>2432</v>
      </c>
      <c r="W15" s="102" t="str">
        <f t="shared" si="2"/>
        <v>-</v>
      </c>
      <c r="X15" s="102">
        <f t="shared" si="9"/>
        <v>68339.199999999997</v>
      </c>
      <c r="Y15" s="102">
        <f>X15*(1+0.07)^-(B15-'Project Data and Assumptions'!$C$3)</f>
        <v>30343.422084944454</v>
      </c>
      <c r="AA15" t="s">
        <v>109</v>
      </c>
      <c r="AB15" t="s">
        <v>110</v>
      </c>
    </row>
    <row r="16" spans="2:30" x14ac:dyDescent="0.25">
      <c r="B16" s="2">
        <f t="shared" si="3"/>
        <v>2034</v>
      </c>
      <c r="C16" s="257">
        <f t="shared" si="4"/>
        <v>4</v>
      </c>
      <c r="D16" s="103">
        <f>IF(B16&gt;'QoL Benefits - BCRT'!$Y$5,'Operation and Maintenance'!$E$6*'Operation and Maintenance'!$W$2,0)</f>
        <v>6688.0000000000009</v>
      </c>
      <c r="E16" s="102" t="str">
        <f t="shared" si="0"/>
        <v>-</v>
      </c>
      <c r="F16" s="257">
        <f t="shared" si="10"/>
        <v>3</v>
      </c>
      <c r="G16" s="102">
        <f>IF(B16&gt;'QoL Benefits - CP South RT'!$Y$5,'Operation and Maintenance'!$H$6*'Operation and Maintenance'!$W$2,0)</f>
        <v>28576</v>
      </c>
      <c r="H16" s="102" t="str">
        <f t="shared" si="5"/>
        <v>-</v>
      </c>
      <c r="I16" s="257">
        <f t="shared" si="11"/>
        <v>3</v>
      </c>
      <c r="J16" s="102">
        <f>IF(B16&gt;'QoL Benefits - CP North RT'!$Y$5,'Operation and Maintenance'!$K$6*'Operation and Maintenance'!$W$2,0)</f>
        <v>22496</v>
      </c>
      <c r="K16" s="102" t="str">
        <f t="shared" si="6"/>
        <v>-</v>
      </c>
      <c r="L16" s="257">
        <f t="shared" si="12"/>
        <v>4</v>
      </c>
      <c r="M16" s="104">
        <f>IF(B16&gt;'QoL Benefits - Eagle RT'!$Y$5,'Operation and Maintenance'!N$6*'Operation and Maintenance'!$W$2,0)</f>
        <v>11552</v>
      </c>
      <c r="N16" s="102" t="str">
        <f t="shared" si="7"/>
        <v>-</v>
      </c>
      <c r="O16" s="257">
        <f t="shared" si="13"/>
        <v>7</v>
      </c>
      <c r="P16" s="103">
        <f>IF(B16&gt;'QoL Benefits - Med Lake RT'!Y12,'Operation and Maintenance'!Q$6*'Operation and Maintenance'!$W$2,0)</f>
        <v>13983.999999999998</v>
      </c>
      <c r="Q16" s="102">
        <f t="shared" si="8"/>
        <v>59799.999999999993</v>
      </c>
      <c r="R16" s="257">
        <f t="shared" si="14"/>
        <v>7</v>
      </c>
      <c r="S16" s="104">
        <f>IF(B16&gt;'QoL Benefits - Shingle Crk NAR'!Y12,'Operation and Maintenance'!T$6*'Operation and Maintenance'!$W$2,0)</f>
        <v>5107.2</v>
      </c>
      <c r="T16" s="102">
        <f t="shared" si="1"/>
        <v>21840</v>
      </c>
      <c r="U16" s="257">
        <f t="shared" si="15"/>
        <v>3</v>
      </c>
      <c r="V16" s="103">
        <f>IF(B16&gt;'QoL Benefits - Twin Lakes RT'!$Y$5,'Operation and Maintenance'!W$6*'Operation and Maintenance'!$W$2,0)</f>
        <v>2432</v>
      </c>
      <c r="W16" s="102" t="str">
        <f t="shared" si="2"/>
        <v>-</v>
      </c>
      <c r="X16" s="102">
        <f t="shared" si="9"/>
        <v>149979.20000000001</v>
      </c>
      <c r="Y16" s="102">
        <f>X16*(1+0.07)^-(B16-'Project Data and Assumptions'!$C$3)</f>
        <v>62236.03592276456</v>
      </c>
      <c r="AA16" t="s">
        <v>111</v>
      </c>
      <c r="AB16" t="s">
        <v>110</v>
      </c>
    </row>
    <row r="17" spans="2:28" x14ac:dyDescent="0.25">
      <c r="B17" s="2">
        <f t="shared" si="3"/>
        <v>2035</v>
      </c>
      <c r="C17" s="257">
        <f t="shared" si="4"/>
        <v>5</v>
      </c>
      <c r="D17" s="103">
        <f>IF(B17&gt;'QoL Benefits - BCRT'!$Y$5,'Operation and Maintenance'!$E$6*'Operation and Maintenance'!$W$2,0)</f>
        <v>6688.0000000000009</v>
      </c>
      <c r="E17" s="102" t="str">
        <f t="shared" si="0"/>
        <v>-</v>
      </c>
      <c r="F17" s="257">
        <f t="shared" si="10"/>
        <v>4</v>
      </c>
      <c r="G17" s="102">
        <f>IF(B17&gt;'QoL Benefits - CP South RT'!$Y$5,'Operation and Maintenance'!$H$6*'Operation and Maintenance'!$W$2,0)</f>
        <v>28576</v>
      </c>
      <c r="H17" s="102" t="str">
        <f t="shared" si="5"/>
        <v>-</v>
      </c>
      <c r="I17" s="257">
        <f t="shared" si="11"/>
        <v>4</v>
      </c>
      <c r="J17" s="102">
        <f>IF(B17&gt;'QoL Benefits - CP North RT'!$Y$5,'Operation and Maintenance'!$K$6*'Operation and Maintenance'!$W$2,0)</f>
        <v>22496</v>
      </c>
      <c r="K17" s="102" t="str">
        <f t="shared" si="6"/>
        <v>-</v>
      </c>
      <c r="L17" s="257">
        <f t="shared" si="12"/>
        <v>5</v>
      </c>
      <c r="M17" s="104">
        <f>IF(B17&gt;'QoL Benefits - Eagle RT'!$Y$5,'Operation and Maintenance'!N$6*'Operation and Maintenance'!$W$2,0)</f>
        <v>11552</v>
      </c>
      <c r="N17" s="102" t="str">
        <f t="shared" si="7"/>
        <v>-</v>
      </c>
      <c r="O17" s="257">
        <f t="shared" si="13"/>
        <v>8</v>
      </c>
      <c r="P17" s="103">
        <f>IF(B17&gt;'QoL Benefits - Med Lake RT'!Y13,'Operation and Maintenance'!Q$6*'Operation and Maintenance'!$W$2,0)</f>
        <v>13983.999999999998</v>
      </c>
      <c r="Q17" s="102" t="str">
        <f t="shared" si="8"/>
        <v>-</v>
      </c>
      <c r="R17" s="257">
        <f t="shared" si="14"/>
        <v>8</v>
      </c>
      <c r="S17" s="104">
        <f>IF(B17&gt;'QoL Benefits - Shingle Crk NAR'!Y13,'Operation and Maintenance'!T$6*'Operation and Maintenance'!$W$2,0)</f>
        <v>5107.2</v>
      </c>
      <c r="T17" s="102" t="str">
        <f t="shared" si="1"/>
        <v>-</v>
      </c>
      <c r="U17" s="257">
        <f t="shared" si="15"/>
        <v>4</v>
      </c>
      <c r="V17" s="103">
        <f>IF(B17&gt;'QoL Benefits - Twin Lakes RT'!$Y$5,'Operation and Maintenance'!W$6*'Operation and Maintenance'!$W$2,0)</f>
        <v>2432</v>
      </c>
      <c r="W17" s="102" t="str">
        <f t="shared" si="2"/>
        <v>-</v>
      </c>
      <c r="X17" s="102">
        <f t="shared" si="9"/>
        <v>68339.199999999997</v>
      </c>
      <c r="Y17" s="102">
        <f>X17*(1+0.07)^-(B17-'Project Data and Assumptions'!$C$3)</f>
        <v>26503.119997331167</v>
      </c>
      <c r="AA17" t="s">
        <v>112</v>
      </c>
      <c r="AB17" t="s">
        <v>110</v>
      </c>
    </row>
    <row r="18" spans="2:28" x14ac:dyDescent="0.25">
      <c r="B18" s="2">
        <f t="shared" si="3"/>
        <v>2036</v>
      </c>
      <c r="C18" s="257">
        <f t="shared" si="4"/>
        <v>6</v>
      </c>
      <c r="D18" s="103">
        <f>IF(B18&gt;'QoL Benefits - BCRT'!$Y$5,'Operation and Maintenance'!$E$6*'Operation and Maintenance'!$W$2,0)</f>
        <v>6688.0000000000009</v>
      </c>
      <c r="E18" s="102" t="str">
        <f t="shared" si="0"/>
        <v>-</v>
      </c>
      <c r="F18" s="257">
        <f t="shared" si="10"/>
        <v>5</v>
      </c>
      <c r="G18" s="102">
        <f>IF(B18&gt;'QoL Benefits - CP South RT'!$Y$5,'Operation and Maintenance'!$H$6*'Operation and Maintenance'!$W$2,0)</f>
        <v>28576</v>
      </c>
      <c r="H18" s="102" t="str">
        <f t="shared" si="5"/>
        <v>-</v>
      </c>
      <c r="I18" s="257">
        <f t="shared" si="11"/>
        <v>5</v>
      </c>
      <c r="J18" s="102">
        <f>IF(B18&gt;'QoL Benefits - CP North RT'!$Y$5,'Operation and Maintenance'!$K$6*'Operation and Maintenance'!$W$2,0)</f>
        <v>22496</v>
      </c>
      <c r="K18" s="102" t="str">
        <f t="shared" si="6"/>
        <v>-</v>
      </c>
      <c r="L18" s="257">
        <f t="shared" si="12"/>
        <v>6</v>
      </c>
      <c r="M18" s="104">
        <f>IF(B18&gt;'QoL Benefits - Eagle RT'!$Y$5,'Operation and Maintenance'!N$6*'Operation and Maintenance'!$W$2,0)</f>
        <v>11552</v>
      </c>
      <c r="N18" s="102" t="str">
        <f t="shared" si="7"/>
        <v>-</v>
      </c>
      <c r="O18" s="257">
        <f t="shared" si="13"/>
        <v>9</v>
      </c>
      <c r="P18" s="103">
        <f>IF(B18&gt;'QoL Benefits - Med Lake RT'!Y14,'Operation and Maintenance'!Q$6*'Operation and Maintenance'!$W$2,0)</f>
        <v>13983.999999999998</v>
      </c>
      <c r="Q18" s="102" t="str">
        <f t="shared" si="8"/>
        <v>-</v>
      </c>
      <c r="R18" s="257">
        <f t="shared" si="14"/>
        <v>9</v>
      </c>
      <c r="S18" s="104">
        <f>IF(B18&gt;'QoL Benefits - Shingle Crk NAR'!Y14,'Operation and Maintenance'!T$6*'Operation and Maintenance'!$W$2,0)</f>
        <v>5107.2</v>
      </c>
      <c r="T18" s="102" t="str">
        <f t="shared" si="1"/>
        <v>-</v>
      </c>
      <c r="U18" s="257">
        <f t="shared" si="15"/>
        <v>5</v>
      </c>
      <c r="V18" s="103">
        <f>IF(B18&gt;'QoL Benefits - Twin Lakes RT'!$Y$5,'Operation and Maintenance'!W$6*'Operation and Maintenance'!$W$2,0)</f>
        <v>2432</v>
      </c>
      <c r="W18" s="102" t="str">
        <f t="shared" si="2"/>
        <v>-</v>
      </c>
      <c r="X18" s="102">
        <f t="shared" si="9"/>
        <v>68339.199999999997</v>
      </c>
      <c r="Y18" s="102">
        <f>X18*(1+0.07)^-(B18-'Project Data and Assumptions'!$C$3)</f>
        <v>24769.271025543145</v>
      </c>
      <c r="AA18" t="s">
        <v>113</v>
      </c>
      <c r="AB18" t="s">
        <v>114</v>
      </c>
    </row>
    <row r="19" spans="2:28" x14ac:dyDescent="0.25">
      <c r="B19" s="2">
        <f t="shared" si="3"/>
        <v>2037</v>
      </c>
      <c r="C19" s="257">
        <f t="shared" si="4"/>
        <v>7</v>
      </c>
      <c r="D19" s="103">
        <f>IF(B19&gt;'QoL Benefits - BCRT'!$Y$5,'Operation and Maintenance'!$E$6*'Operation and Maintenance'!$W$2,0)</f>
        <v>6688.0000000000009</v>
      </c>
      <c r="E19" s="102">
        <f t="shared" si="0"/>
        <v>28600.000000000004</v>
      </c>
      <c r="F19" s="257">
        <f t="shared" si="10"/>
        <v>6</v>
      </c>
      <c r="G19" s="102">
        <f>IF(B19&gt;'QoL Benefits - CP South RT'!$Y$5,'Operation and Maintenance'!$H$6*'Operation and Maintenance'!$W$2,0)</f>
        <v>28576</v>
      </c>
      <c r="H19" s="102" t="str">
        <f t="shared" si="5"/>
        <v>-</v>
      </c>
      <c r="I19" s="257">
        <f t="shared" si="11"/>
        <v>6</v>
      </c>
      <c r="J19" s="102">
        <f>IF(B19&gt;'QoL Benefits - CP North RT'!$Y$5,'Operation and Maintenance'!$K$6*'Operation and Maintenance'!$W$2,0)</f>
        <v>22496</v>
      </c>
      <c r="K19" s="102" t="str">
        <f t="shared" si="6"/>
        <v>-</v>
      </c>
      <c r="L19" s="257">
        <f t="shared" si="12"/>
        <v>7</v>
      </c>
      <c r="M19" s="104">
        <f>IF(B19&gt;'QoL Benefits - Eagle RT'!$Y$5,'Operation and Maintenance'!N$6*'Operation and Maintenance'!$W$2,0)</f>
        <v>11552</v>
      </c>
      <c r="N19" s="102">
        <f t="shared" si="7"/>
        <v>49400</v>
      </c>
      <c r="O19" s="257">
        <f t="shared" si="13"/>
        <v>10</v>
      </c>
      <c r="P19" s="103">
        <f>IF(B19&gt;'QoL Benefits - Med Lake RT'!Y15,'Operation and Maintenance'!Q$6*'Operation and Maintenance'!$W$2,0)</f>
        <v>13983.999999999998</v>
      </c>
      <c r="Q19" s="102" t="str">
        <f t="shared" si="8"/>
        <v>-</v>
      </c>
      <c r="R19" s="257">
        <f t="shared" si="14"/>
        <v>10</v>
      </c>
      <c r="S19" s="104">
        <f>IF(B19&gt;'QoL Benefits - Shingle Crk NAR'!Y15,'Operation and Maintenance'!T$6*'Operation and Maintenance'!$W$2,0)</f>
        <v>5107.2</v>
      </c>
      <c r="T19" s="102" t="str">
        <f t="shared" si="1"/>
        <v>-</v>
      </c>
      <c r="U19" s="257">
        <f t="shared" si="15"/>
        <v>6</v>
      </c>
      <c r="V19" s="103">
        <f>IF(B19&gt;'QoL Benefits - Twin Lakes RT'!$Y$5,'Operation and Maintenance'!W$6*'Operation and Maintenance'!$W$2,0)</f>
        <v>2432</v>
      </c>
      <c r="W19" s="102" t="str">
        <f t="shared" si="2"/>
        <v>-</v>
      </c>
      <c r="X19" s="102">
        <f t="shared" si="9"/>
        <v>146339.20000000001</v>
      </c>
      <c r="Y19" s="102">
        <f>X19*(1+0.07)^-(B19-'Project Data and Assumptions'!$C$3)</f>
        <v>49570.150053875899</v>
      </c>
    </row>
    <row r="20" spans="2:28" x14ac:dyDescent="0.25">
      <c r="B20" s="2">
        <f t="shared" si="3"/>
        <v>2038</v>
      </c>
      <c r="C20" s="257">
        <f t="shared" ref="C20:C22" si="16">IF(D20&gt;0,C19+1,0)</f>
        <v>8</v>
      </c>
      <c r="D20" s="103">
        <f>IF(B20&gt;'QoL Benefits - BCRT'!$Y$5,'Operation and Maintenance'!$E$6*'Operation and Maintenance'!$W$2,0)</f>
        <v>6688.0000000000009</v>
      </c>
      <c r="E20" s="102" t="str">
        <f t="shared" si="0"/>
        <v>-</v>
      </c>
      <c r="F20" s="257">
        <f t="shared" ref="F20:F22" si="17">IF(G20&gt;0,F19+1,0)</f>
        <v>7</v>
      </c>
      <c r="G20" s="102">
        <f>IF(B20&gt;'QoL Benefits - CP South RT'!$Y$5,'Operation and Maintenance'!$H$6*'Operation and Maintenance'!$W$2,0)</f>
        <v>28576</v>
      </c>
      <c r="H20" s="102">
        <f t="shared" ref="H20:H22" si="18">IF(OR(F20=7,F20=14,F20=21),$W$3*H$6,"-")</f>
        <v>122200</v>
      </c>
      <c r="I20" s="257">
        <f t="shared" si="11"/>
        <v>7</v>
      </c>
      <c r="J20" s="102">
        <f>IF(B20&gt;'QoL Benefits - CP North RT'!$Y$5,'Operation and Maintenance'!$K$6*'Operation and Maintenance'!$W$2,0)</f>
        <v>22496</v>
      </c>
      <c r="K20" s="102">
        <f t="shared" si="6"/>
        <v>96200</v>
      </c>
      <c r="L20" s="257">
        <f t="shared" ref="L20:L22" si="19">IF(M20&gt;0,L19+1,0)</f>
        <v>8</v>
      </c>
      <c r="M20" s="104">
        <f>IF(B20&gt;'QoL Benefits - Eagle RT'!$Y$5,'Operation and Maintenance'!N$6*'Operation and Maintenance'!$W$2,0)</f>
        <v>11552</v>
      </c>
      <c r="N20" s="102" t="str">
        <f t="shared" ref="N20:N22" si="20">IF(OR(L20=7,L20=14,L20=21),$W$3*N$6,"-")</f>
        <v>-</v>
      </c>
      <c r="O20" s="257">
        <f t="shared" ref="O20:O22" si="21">IF(P20&gt;0,O19+1,0)</f>
        <v>11</v>
      </c>
      <c r="P20" s="103">
        <f>IF(B20&gt;'QoL Benefits - Med Lake RT'!Y16,'Operation and Maintenance'!Q$6*'Operation and Maintenance'!$W$2,0)</f>
        <v>13983.999999999998</v>
      </c>
      <c r="Q20" s="102" t="str">
        <f t="shared" ref="Q20:Q22" si="22">IF(OR(O20=7,O20=14,O20=21),$W$3*Q$6,"-")</f>
        <v>-</v>
      </c>
      <c r="R20" s="257">
        <f t="shared" ref="R20:R22" si="23">IF(S20&gt;0,R19+1,0)</f>
        <v>11</v>
      </c>
      <c r="S20" s="104">
        <f>IF(B20&gt;'QoL Benefits - Shingle Crk NAR'!Y16,'Operation and Maintenance'!T$6*'Operation and Maintenance'!$W$2,0)</f>
        <v>5107.2</v>
      </c>
      <c r="T20" s="102" t="str">
        <f t="shared" si="1"/>
        <v>-</v>
      </c>
      <c r="U20" s="257">
        <f t="shared" si="15"/>
        <v>7</v>
      </c>
      <c r="V20" s="103">
        <f>IF(B20&gt;'QoL Benefits - Twin Lakes RT'!$Y$5,'Operation and Maintenance'!W$6*'Operation and Maintenance'!$W$2,0)</f>
        <v>2432</v>
      </c>
      <c r="W20" s="102">
        <f t="shared" si="2"/>
        <v>10400</v>
      </c>
      <c r="X20" s="102">
        <f t="shared" si="9"/>
        <v>200939.2</v>
      </c>
      <c r="Y20" s="102">
        <f>X20*(1+0.07)^-(B20-'Project Data and Assumptions'!$C$3)</f>
        <v>63612.204760345929</v>
      </c>
    </row>
    <row r="21" spans="2:28" x14ac:dyDescent="0.25">
      <c r="B21" s="2">
        <f t="shared" si="3"/>
        <v>2039</v>
      </c>
      <c r="C21" s="257">
        <f t="shared" si="16"/>
        <v>9</v>
      </c>
      <c r="D21" s="103">
        <f>IF(B21&gt;'QoL Benefits - BCRT'!$Y$5,'Operation and Maintenance'!$E$6*'Operation and Maintenance'!$W$2,0)</f>
        <v>6688.0000000000009</v>
      </c>
      <c r="E21" s="102" t="str">
        <f t="shared" si="0"/>
        <v>-</v>
      </c>
      <c r="F21" s="257">
        <f t="shared" si="17"/>
        <v>8</v>
      </c>
      <c r="G21" s="102">
        <f>IF(B21&gt;'QoL Benefits - CP South RT'!$Y$5,'Operation and Maintenance'!$H$6*'Operation and Maintenance'!$W$2,0)</f>
        <v>28576</v>
      </c>
      <c r="H21" s="102" t="str">
        <f t="shared" si="18"/>
        <v>-</v>
      </c>
      <c r="I21" s="257">
        <f t="shared" si="11"/>
        <v>8</v>
      </c>
      <c r="J21" s="102">
        <f>IF(B21&gt;'QoL Benefits - CP North RT'!$Y$5,'Operation and Maintenance'!$K$6*'Operation and Maintenance'!$W$2,0)</f>
        <v>22496</v>
      </c>
      <c r="K21" s="102" t="str">
        <f t="shared" si="6"/>
        <v>-</v>
      </c>
      <c r="L21" s="257">
        <f t="shared" si="19"/>
        <v>9</v>
      </c>
      <c r="M21" s="104">
        <f>IF(B21&gt;'QoL Benefits - Eagle RT'!$Y$5,'Operation and Maintenance'!N$6*'Operation and Maintenance'!$W$2,0)</f>
        <v>11552</v>
      </c>
      <c r="N21" s="102" t="str">
        <f t="shared" si="20"/>
        <v>-</v>
      </c>
      <c r="O21" s="257">
        <f t="shared" si="21"/>
        <v>12</v>
      </c>
      <c r="P21" s="103">
        <f>IF(B21&gt;'QoL Benefits - Med Lake RT'!Y17,'Operation and Maintenance'!Q$6*'Operation and Maintenance'!$W$2,0)</f>
        <v>13983.999999999998</v>
      </c>
      <c r="Q21" s="102" t="str">
        <f t="shared" si="22"/>
        <v>-</v>
      </c>
      <c r="R21" s="257">
        <f t="shared" si="23"/>
        <v>12</v>
      </c>
      <c r="S21" s="104">
        <f>IF(B21&gt;'QoL Benefits - Shingle Crk NAR'!Y17,'Operation and Maintenance'!T$6*'Operation and Maintenance'!$W$2,0)</f>
        <v>5107.2</v>
      </c>
      <c r="T21" s="102" t="str">
        <f t="shared" si="1"/>
        <v>-</v>
      </c>
      <c r="U21" s="257">
        <f t="shared" si="15"/>
        <v>8</v>
      </c>
      <c r="V21" s="103">
        <f>IF(B21&gt;'QoL Benefits - Twin Lakes RT'!$Y$5,'Operation and Maintenance'!W$6*'Operation and Maintenance'!$W$2,0)</f>
        <v>2432</v>
      </c>
      <c r="W21" s="102" t="str">
        <f t="shared" si="2"/>
        <v>-</v>
      </c>
      <c r="X21" s="102">
        <f t="shared" si="9"/>
        <v>68339.199999999997</v>
      </c>
      <c r="Y21" s="102">
        <f>X21*(1+0.07)^-(B21-'Project Data and Assumptions'!$C$3)</f>
        <v>20219.103350284968</v>
      </c>
    </row>
    <row r="22" spans="2:28" x14ac:dyDescent="0.25">
      <c r="B22" s="2">
        <f t="shared" si="3"/>
        <v>2040</v>
      </c>
      <c r="C22" s="257">
        <f t="shared" si="16"/>
        <v>10</v>
      </c>
      <c r="D22" s="103">
        <f>IF(B22&gt;'QoL Benefits - BCRT'!$Y$5,'Operation and Maintenance'!$E$6*'Operation and Maintenance'!$W$2,0)</f>
        <v>6688.0000000000009</v>
      </c>
      <c r="E22" s="102" t="str">
        <f t="shared" si="0"/>
        <v>-</v>
      </c>
      <c r="F22" s="257">
        <f t="shared" si="17"/>
        <v>9</v>
      </c>
      <c r="G22" s="102">
        <f>IF(B22&gt;'QoL Benefits - CP South RT'!$Y$5,'Operation and Maintenance'!$H$6*'Operation and Maintenance'!$W$2,0)</f>
        <v>28576</v>
      </c>
      <c r="H22" s="102" t="str">
        <f t="shared" si="18"/>
        <v>-</v>
      </c>
      <c r="I22" s="257">
        <f t="shared" si="11"/>
        <v>9</v>
      </c>
      <c r="J22" s="102">
        <f>IF(B22&gt;'QoL Benefits - CP North RT'!$Y$5,'Operation and Maintenance'!$K$6*'Operation and Maintenance'!$W$2,0)</f>
        <v>22496</v>
      </c>
      <c r="K22" s="102" t="str">
        <f t="shared" si="6"/>
        <v>-</v>
      </c>
      <c r="L22" s="257">
        <f t="shared" si="19"/>
        <v>10</v>
      </c>
      <c r="M22" s="104">
        <f>IF(B22&gt;'QoL Benefits - Eagle RT'!$Y$5,'Operation and Maintenance'!N$6*'Operation and Maintenance'!$W$2,0)</f>
        <v>11552</v>
      </c>
      <c r="N22" s="102" t="str">
        <f t="shared" si="20"/>
        <v>-</v>
      </c>
      <c r="O22" s="257">
        <f t="shared" si="21"/>
        <v>13</v>
      </c>
      <c r="P22" s="103">
        <f>IF(B22&gt;'QoL Benefits - Med Lake RT'!Y18,'Operation and Maintenance'!Q$6*'Operation and Maintenance'!$W$2,0)</f>
        <v>13983.999999999998</v>
      </c>
      <c r="Q22" s="102" t="str">
        <f t="shared" si="22"/>
        <v>-</v>
      </c>
      <c r="R22" s="257">
        <f t="shared" si="23"/>
        <v>13</v>
      </c>
      <c r="S22" s="104">
        <f>IF(B22&gt;'QoL Benefits - Shingle Crk NAR'!Y18,'Operation and Maintenance'!T$6*'Operation and Maintenance'!$W$2,0)</f>
        <v>5107.2</v>
      </c>
      <c r="T22" s="102" t="str">
        <f t="shared" si="1"/>
        <v>-</v>
      </c>
      <c r="U22" s="257">
        <f t="shared" si="15"/>
        <v>9</v>
      </c>
      <c r="V22" s="103">
        <f>IF(B22&gt;'QoL Benefits - Twin Lakes RT'!$Y$5,'Operation and Maintenance'!W$6*'Operation and Maintenance'!$W$2,0)</f>
        <v>2432</v>
      </c>
      <c r="W22" s="102" t="str">
        <f t="shared" si="2"/>
        <v>-</v>
      </c>
      <c r="X22" s="102">
        <f t="shared" si="9"/>
        <v>68339.199999999997</v>
      </c>
      <c r="Y22" s="102">
        <f>X22*(1+0.07)^-(B22-'Project Data and Assumptions'!$C$3)</f>
        <v>18896.358271294361</v>
      </c>
    </row>
    <row r="23" spans="2:28" x14ac:dyDescent="0.25">
      <c r="B23" s="2">
        <f t="shared" si="3"/>
        <v>2041</v>
      </c>
      <c r="C23" s="257">
        <f t="shared" si="4"/>
        <v>11</v>
      </c>
      <c r="D23" s="103">
        <f>IF(B23&gt;'QoL Benefits - BCRT'!$Y$5,'Operation and Maintenance'!$E$6*'Operation and Maintenance'!$W$2,0)</f>
        <v>6688.0000000000009</v>
      </c>
      <c r="E23" s="102" t="str">
        <f t="shared" si="0"/>
        <v>-</v>
      </c>
      <c r="F23" s="257">
        <f t="shared" si="10"/>
        <v>10</v>
      </c>
      <c r="G23" s="102">
        <f>IF(B23&gt;'QoL Benefits - CP South RT'!$Y$5,'Operation and Maintenance'!$H$6*'Operation and Maintenance'!$W$2,0)</f>
        <v>28576</v>
      </c>
      <c r="H23" s="102" t="str">
        <f t="shared" si="5"/>
        <v>-</v>
      </c>
      <c r="I23" s="257">
        <f t="shared" si="11"/>
        <v>10</v>
      </c>
      <c r="J23" s="102">
        <f>IF(B23&gt;'QoL Benefits - CP North RT'!$Y$5,'Operation and Maintenance'!$K$6*'Operation and Maintenance'!$W$2,0)</f>
        <v>22496</v>
      </c>
      <c r="K23" s="102" t="str">
        <f t="shared" si="6"/>
        <v>-</v>
      </c>
      <c r="L23" s="257">
        <f t="shared" si="12"/>
        <v>11</v>
      </c>
      <c r="M23" s="104">
        <f>IF(B23&gt;'QoL Benefits - Eagle RT'!$Y$5,'Operation and Maintenance'!N$6*'Operation and Maintenance'!$W$2,0)</f>
        <v>11552</v>
      </c>
      <c r="N23" s="102" t="str">
        <f t="shared" si="7"/>
        <v>-</v>
      </c>
      <c r="O23" s="257">
        <f t="shared" si="13"/>
        <v>14</v>
      </c>
      <c r="P23" s="103">
        <f>IF(B23&gt;'QoL Benefits - Med Lake RT'!Y19,'Operation and Maintenance'!Q$6*'Operation and Maintenance'!$W$2,0)</f>
        <v>13983.999999999998</v>
      </c>
      <c r="Q23" s="102">
        <f t="shared" si="8"/>
        <v>59799.999999999993</v>
      </c>
      <c r="R23" s="257">
        <f t="shared" si="14"/>
        <v>14</v>
      </c>
      <c r="S23" s="104">
        <f>IF(B23&gt;'QoL Benefits - Shingle Crk NAR'!Y20,'Operation and Maintenance'!T$6*'Operation and Maintenance'!$W$2,0)</f>
        <v>5107.2</v>
      </c>
      <c r="T23" s="102">
        <f t="shared" si="1"/>
        <v>21840</v>
      </c>
      <c r="U23" s="257">
        <f t="shared" si="15"/>
        <v>10</v>
      </c>
      <c r="V23" s="103">
        <f>IF(B23&gt;'QoL Benefits - Twin Lakes RT'!$Y$5,'Operation and Maintenance'!W$6*'Operation and Maintenance'!$W$2,0)</f>
        <v>2432</v>
      </c>
      <c r="W23" s="102" t="str">
        <f t="shared" si="2"/>
        <v>-</v>
      </c>
      <c r="X23" s="102">
        <f t="shared" si="9"/>
        <v>149979.20000000001</v>
      </c>
      <c r="Y23" s="102">
        <f>X23*(1+0.07)^-(B23-'Project Data and Assumptions'!$C$3)</f>
        <v>38757.475306821783</v>
      </c>
    </row>
    <row r="24" spans="2:28" x14ac:dyDescent="0.25">
      <c r="B24" s="2">
        <f t="shared" si="3"/>
        <v>2042</v>
      </c>
      <c r="C24" s="257">
        <f t="shared" si="4"/>
        <v>12</v>
      </c>
      <c r="D24" s="103">
        <f>IF(B24&gt;'QoL Benefits - BCRT'!$Y$5,'Operation and Maintenance'!$E$6*'Operation and Maintenance'!$W$2,0)</f>
        <v>6688.0000000000009</v>
      </c>
      <c r="E24" s="102" t="str">
        <f t="shared" si="0"/>
        <v>-</v>
      </c>
      <c r="F24" s="257">
        <f t="shared" si="10"/>
        <v>11</v>
      </c>
      <c r="G24" s="102">
        <f>IF(B24&gt;'QoL Benefits - CP South RT'!$Y$5,'Operation and Maintenance'!$H$6*'Operation and Maintenance'!$W$2,0)</f>
        <v>28576</v>
      </c>
      <c r="H24" s="102" t="str">
        <f t="shared" si="5"/>
        <v>-</v>
      </c>
      <c r="I24" s="257">
        <f t="shared" si="11"/>
        <v>11</v>
      </c>
      <c r="J24" s="102">
        <f>IF(B24&gt;'QoL Benefits - CP North RT'!$Y$5,'Operation and Maintenance'!$K$6*'Operation and Maintenance'!$W$2,0)</f>
        <v>22496</v>
      </c>
      <c r="K24" s="102" t="str">
        <f t="shared" si="6"/>
        <v>-</v>
      </c>
      <c r="L24" s="257">
        <f t="shared" si="12"/>
        <v>12</v>
      </c>
      <c r="M24" s="104">
        <f>IF(B24&gt;'QoL Benefits - Eagle RT'!$Y$5,'Operation and Maintenance'!N$6*'Operation and Maintenance'!$W$2,0)</f>
        <v>11552</v>
      </c>
      <c r="N24" s="102" t="str">
        <f t="shared" si="7"/>
        <v>-</v>
      </c>
      <c r="O24" s="257">
        <f t="shared" si="13"/>
        <v>15</v>
      </c>
      <c r="P24" s="103">
        <f>IF(B24&gt;'QoL Benefits - Med Lake RT'!Y20,'Operation and Maintenance'!Q$6*'Operation and Maintenance'!$W$2,0)</f>
        <v>13983.999999999998</v>
      </c>
      <c r="Q24" s="102" t="str">
        <f t="shared" si="8"/>
        <v>-</v>
      </c>
      <c r="R24" s="257">
        <f t="shared" si="14"/>
        <v>15</v>
      </c>
      <c r="S24" s="104">
        <f>IF(B24&gt;'QoL Benefits - Shingle Crk NAR'!Y21,'Operation and Maintenance'!T$6*'Operation and Maintenance'!$W$2,0)</f>
        <v>5107.2</v>
      </c>
      <c r="T24" s="102" t="str">
        <f t="shared" si="1"/>
        <v>-</v>
      </c>
      <c r="U24" s="257">
        <f t="shared" si="15"/>
        <v>11</v>
      </c>
      <c r="V24" s="103">
        <f>IF(B24&gt;'QoL Benefits - Twin Lakes RT'!$Y$5,'Operation and Maintenance'!W$6*'Operation and Maintenance'!$W$2,0)</f>
        <v>2432</v>
      </c>
      <c r="W24" s="102" t="str">
        <f t="shared" si="2"/>
        <v>-</v>
      </c>
      <c r="X24" s="102">
        <f t="shared" si="9"/>
        <v>68339.199999999997</v>
      </c>
      <c r="Y24" s="102">
        <f>X24*(1+0.07)^-(B24-'Project Data and Assumptions'!$C$3)</f>
        <v>16504.811137474331</v>
      </c>
    </row>
    <row r="25" spans="2:28" x14ac:dyDescent="0.25">
      <c r="B25" s="2">
        <f t="shared" si="3"/>
        <v>2043</v>
      </c>
      <c r="C25" s="257">
        <f t="shared" si="4"/>
        <v>13</v>
      </c>
      <c r="D25" s="103">
        <f>IF(B25&gt;'QoL Benefits - BCRT'!$Y$5,'Operation and Maintenance'!$E$6*'Operation and Maintenance'!$W$2,0)</f>
        <v>6688.0000000000009</v>
      </c>
      <c r="E25" s="102" t="str">
        <f t="shared" si="0"/>
        <v>-</v>
      </c>
      <c r="F25" s="257">
        <f t="shared" si="10"/>
        <v>12</v>
      </c>
      <c r="G25" s="102">
        <f>IF(B25&gt;'QoL Benefits - CP South RT'!$Y$5,'Operation and Maintenance'!$H$6*'Operation and Maintenance'!$W$2,0)</f>
        <v>28576</v>
      </c>
      <c r="H25" s="102" t="str">
        <f t="shared" si="5"/>
        <v>-</v>
      </c>
      <c r="I25" s="257">
        <f t="shared" si="11"/>
        <v>12</v>
      </c>
      <c r="J25" s="102">
        <f>IF(B25&gt;'QoL Benefits - CP North RT'!$Y$5,'Operation and Maintenance'!$K$6*'Operation and Maintenance'!$W$2,0)</f>
        <v>22496</v>
      </c>
      <c r="K25" s="102" t="str">
        <f t="shared" si="6"/>
        <v>-</v>
      </c>
      <c r="L25" s="257">
        <f t="shared" si="12"/>
        <v>13</v>
      </c>
      <c r="M25" s="104">
        <f>IF(B25&gt;'QoL Benefits - Eagle RT'!$Y$5,'Operation and Maintenance'!N$6*'Operation and Maintenance'!$W$2,0)</f>
        <v>11552</v>
      </c>
      <c r="N25" s="102" t="str">
        <f t="shared" si="7"/>
        <v>-</v>
      </c>
      <c r="O25" s="257">
        <f t="shared" si="13"/>
        <v>16</v>
      </c>
      <c r="P25" s="103">
        <f>IF(B25&gt;'QoL Benefits - Med Lake RT'!Y21,'Operation and Maintenance'!Q$6*'Operation and Maintenance'!$W$2,0)</f>
        <v>13983.999999999998</v>
      </c>
      <c r="Q25" s="102" t="str">
        <f t="shared" si="8"/>
        <v>-</v>
      </c>
      <c r="R25" s="257">
        <f t="shared" si="14"/>
        <v>16</v>
      </c>
      <c r="S25" s="104">
        <f>IF(B25&gt;'QoL Benefits - Shingle Crk NAR'!Y22,'Operation and Maintenance'!T$6*'Operation and Maintenance'!$W$2,0)</f>
        <v>5107.2</v>
      </c>
      <c r="T25" s="102" t="str">
        <f t="shared" si="1"/>
        <v>-</v>
      </c>
      <c r="U25" s="257">
        <f t="shared" si="15"/>
        <v>12</v>
      </c>
      <c r="V25" s="103">
        <f>IF(B25&gt;'QoL Benefits - Twin Lakes RT'!$Y$5,'Operation and Maintenance'!W$6*'Operation and Maintenance'!$W$2,0)</f>
        <v>2432</v>
      </c>
      <c r="W25" s="102" t="str">
        <f t="shared" si="2"/>
        <v>-</v>
      </c>
      <c r="X25" s="102">
        <f t="shared" si="9"/>
        <v>68339.199999999997</v>
      </c>
      <c r="Y25" s="102">
        <f>X25*(1+0.07)^-(B25-'Project Data and Assumptions'!$C$3)</f>
        <v>15425.057137826479</v>
      </c>
    </row>
    <row r="26" spans="2:28" x14ac:dyDescent="0.25">
      <c r="B26" s="2">
        <f t="shared" si="3"/>
        <v>2044</v>
      </c>
      <c r="C26" s="257">
        <f t="shared" ref="C26:C30" si="24">IF(D26&gt;0,C25+1,0)</f>
        <v>14</v>
      </c>
      <c r="D26" s="103">
        <f>IF(B26&gt;'QoL Benefits - BCRT'!$Y$5,'Operation and Maintenance'!$E$6*'Operation and Maintenance'!$W$2,0)</f>
        <v>6688.0000000000009</v>
      </c>
      <c r="E26" s="102">
        <f t="shared" si="0"/>
        <v>28600.000000000004</v>
      </c>
      <c r="F26" s="257">
        <f t="shared" ref="F26:F30" si="25">IF(G26&gt;0,F25+1,0)</f>
        <v>13</v>
      </c>
      <c r="G26" s="102">
        <f>IF(B26&gt;'QoL Benefits - CP South RT'!$Y$5,'Operation and Maintenance'!$H$6*'Operation and Maintenance'!$W$2,0)</f>
        <v>28576</v>
      </c>
      <c r="H26" s="102" t="str">
        <f t="shared" ref="H26:H30" si="26">IF(OR(F26=7,F26=14,F26=21),$W$3*H$6,"-")</f>
        <v>-</v>
      </c>
      <c r="I26" s="257">
        <f t="shared" si="11"/>
        <v>13</v>
      </c>
      <c r="J26" s="102">
        <f>IF(B26&gt;'QoL Benefits - CP North RT'!$Y$5,'Operation and Maintenance'!$K$6*'Operation and Maintenance'!$W$2,0)</f>
        <v>22496</v>
      </c>
      <c r="K26" s="102" t="str">
        <f t="shared" si="6"/>
        <v>-</v>
      </c>
      <c r="L26" s="257">
        <f t="shared" ref="L26:L30" si="27">IF(M26&gt;0,L25+1,0)</f>
        <v>14</v>
      </c>
      <c r="M26" s="104">
        <f>IF(B26&gt;'QoL Benefits - Eagle RT'!$Y$5,'Operation and Maintenance'!N$6*'Operation and Maintenance'!$W$2,0)</f>
        <v>11552</v>
      </c>
      <c r="N26" s="102">
        <f t="shared" ref="N26:N30" si="28">IF(OR(L26=7,L26=14,L26=21),$W$3*N$6,"-")</f>
        <v>49400</v>
      </c>
      <c r="O26" s="257">
        <f t="shared" ref="O26:O30" si="29">IF(P26&gt;0,O25+1,0)</f>
        <v>17</v>
      </c>
      <c r="P26" s="103">
        <f>IF(B26&gt;'QoL Benefits - Med Lake RT'!Y22,'Operation and Maintenance'!Q$6*'Operation and Maintenance'!$W$2,0)</f>
        <v>13983.999999999998</v>
      </c>
      <c r="Q26" s="102" t="str">
        <f t="shared" ref="Q26:Q30" si="30">IF(OR(O26=7,O26=14,O26=21),$W$3*Q$6,"-")</f>
        <v>-</v>
      </c>
      <c r="R26" s="257">
        <f t="shared" ref="R26:R30" si="31">IF(S26&gt;0,R25+1,0)</f>
        <v>17</v>
      </c>
      <c r="S26" s="104">
        <f>IF(B26&gt;'QoL Benefits - Shingle Crk NAR'!Y23,'Operation and Maintenance'!T$6*'Operation and Maintenance'!$W$2,0)</f>
        <v>5107.2</v>
      </c>
      <c r="T26" s="102" t="str">
        <f t="shared" si="1"/>
        <v>-</v>
      </c>
      <c r="U26" s="257">
        <f t="shared" si="15"/>
        <v>13</v>
      </c>
      <c r="V26" s="103">
        <f>IF(B26&gt;'QoL Benefits - Twin Lakes RT'!$Y$5,'Operation and Maintenance'!W$6*'Operation and Maintenance'!$W$2,0)</f>
        <v>2432</v>
      </c>
      <c r="W26" s="102" t="str">
        <f t="shared" si="2"/>
        <v>-</v>
      </c>
      <c r="X26" s="102">
        <f t="shared" si="9"/>
        <v>146339.20000000001</v>
      </c>
      <c r="Y26" s="102">
        <f>X26*(1+0.07)^-(B26-'Project Data and Assumptions'!$C$3)</f>
        <v>30869.798151231666</v>
      </c>
    </row>
    <row r="27" spans="2:28" x14ac:dyDescent="0.25">
      <c r="B27" s="2">
        <f t="shared" si="3"/>
        <v>2045</v>
      </c>
      <c r="C27" s="257">
        <f t="shared" si="24"/>
        <v>15</v>
      </c>
      <c r="D27" s="103">
        <f>IF(B27&gt;'QoL Benefits - BCRT'!$Y$5,'Operation and Maintenance'!$E$6*'Operation and Maintenance'!$W$2,0)</f>
        <v>6688.0000000000009</v>
      </c>
      <c r="E27" s="102" t="str">
        <f t="shared" si="0"/>
        <v>-</v>
      </c>
      <c r="F27" s="257">
        <f t="shared" si="25"/>
        <v>14</v>
      </c>
      <c r="G27" s="102">
        <f>IF(B27&gt;'QoL Benefits - CP South RT'!$Y$5,'Operation and Maintenance'!$H$6*'Operation and Maintenance'!$W$2,0)</f>
        <v>28576</v>
      </c>
      <c r="H27" s="102">
        <f t="shared" si="26"/>
        <v>122200</v>
      </c>
      <c r="I27" s="257">
        <f t="shared" si="11"/>
        <v>14</v>
      </c>
      <c r="J27" s="102">
        <f>IF(B27&gt;'QoL Benefits - CP North RT'!$Y$5,'Operation and Maintenance'!$K$6*'Operation and Maintenance'!$W$2,0)</f>
        <v>22496</v>
      </c>
      <c r="K27" s="102">
        <f t="shared" si="6"/>
        <v>96200</v>
      </c>
      <c r="L27" s="257">
        <f t="shared" si="27"/>
        <v>15</v>
      </c>
      <c r="M27" s="104">
        <f>IF(B27&gt;'QoL Benefits - Eagle RT'!$Y$5,'Operation and Maintenance'!N$6*'Operation and Maintenance'!$W$2,0)</f>
        <v>11552</v>
      </c>
      <c r="N27" s="102" t="str">
        <f t="shared" si="28"/>
        <v>-</v>
      </c>
      <c r="O27" s="257">
        <f t="shared" si="29"/>
        <v>18</v>
      </c>
      <c r="P27" s="103">
        <f>IF(B27&gt;'QoL Benefits - Med Lake RT'!Y23,'Operation and Maintenance'!Q$6*'Operation and Maintenance'!$W$2,0)</f>
        <v>13983.999999999998</v>
      </c>
      <c r="Q27" s="102" t="str">
        <f t="shared" si="30"/>
        <v>-</v>
      </c>
      <c r="R27" s="257">
        <f t="shared" si="31"/>
        <v>18</v>
      </c>
      <c r="S27" s="104">
        <f>IF(B27&gt;'QoL Benefits - Shingle Crk NAR'!Y24,'Operation and Maintenance'!T$6*'Operation and Maintenance'!$W$2,0)</f>
        <v>5107.2</v>
      </c>
      <c r="T27" s="102" t="str">
        <f t="shared" si="1"/>
        <v>-</v>
      </c>
      <c r="U27" s="257">
        <f t="shared" si="15"/>
        <v>14</v>
      </c>
      <c r="V27" s="103">
        <f>IF(B27&gt;'QoL Benefits - Twin Lakes RT'!$Y$5,'Operation and Maintenance'!W$6*'Operation and Maintenance'!$W$2,0)</f>
        <v>2432</v>
      </c>
      <c r="W27" s="102">
        <f t="shared" si="2"/>
        <v>10400</v>
      </c>
      <c r="X27" s="102">
        <f t="shared" si="9"/>
        <v>200939.2</v>
      </c>
      <c r="Y27" s="102">
        <f>X27*(1+0.07)^-(B27-'Project Data and Assumptions'!$C$3)</f>
        <v>39614.484095215186</v>
      </c>
    </row>
    <row r="28" spans="2:28" x14ac:dyDescent="0.25">
      <c r="B28" s="2">
        <f t="shared" si="3"/>
        <v>2046</v>
      </c>
      <c r="C28" s="257">
        <f t="shared" si="24"/>
        <v>16</v>
      </c>
      <c r="D28" s="103">
        <f>IF(B28&gt;'QoL Benefits - BCRT'!$Y$5,'Operation and Maintenance'!$E$6*'Operation and Maintenance'!$W$2,0)</f>
        <v>6688.0000000000009</v>
      </c>
      <c r="E28" s="102" t="str">
        <f t="shared" si="0"/>
        <v>-</v>
      </c>
      <c r="F28" s="257">
        <f t="shared" si="25"/>
        <v>15</v>
      </c>
      <c r="G28" s="102">
        <f>IF(B28&gt;'QoL Benefits - CP South RT'!$Y$5,'Operation and Maintenance'!$H$6*'Operation and Maintenance'!$W$2,0)</f>
        <v>28576</v>
      </c>
      <c r="H28" s="102" t="str">
        <f t="shared" si="26"/>
        <v>-</v>
      </c>
      <c r="I28" s="257">
        <f t="shared" si="11"/>
        <v>15</v>
      </c>
      <c r="J28" s="102">
        <f>IF(B28&gt;'QoL Benefits - CP North RT'!$Y$5,'Operation and Maintenance'!$K$6*'Operation and Maintenance'!$W$2,0)</f>
        <v>22496</v>
      </c>
      <c r="K28" s="102" t="str">
        <f t="shared" si="6"/>
        <v>-</v>
      </c>
      <c r="L28" s="257">
        <f t="shared" si="27"/>
        <v>16</v>
      </c>
      <c r="M28" s="104">
        <f>IF(B28&gt;'QoL Benefits - Eagle RT'!$Y$5,'Operation and Maintenance'!N$6*'Operation and Maintenance'!$W$2,0)</f>
        <v>11552</v>
      </c>
      <c r="N28" s="102" t="str">
        <f t="shared" si="28"/>
        <v>-</v>
      </c>
      <c r="O28" s="257">
        <f t="shared" si="29"/>
        <v>19</v>
      </c>
      <c r="P28" s="103">
        <f>IF(B28&gt;'QoL Benefits - Med Lake RT'!Y24,'Operation and Maintenance'!Q$6*'Operation and Maintenance'!$W$2,0)</f>
        <v>13983.999999999998</v>
      </c>
      <c r="Q28" s="102" t="str">
        <f t="shared" si="30"/>
        <v>-</v>
      </c>
      <c r="R28" s="257">
        <f t="shared" si="31"/>
        <v>19</v>
      </c>
      <c r="S28" s="104">
        <f>IF(B28&gt;'QoL Benefits - Shingle Crk NAR'!Y25,'Operation and Maintenance'!T$6*'Operation and Maintenance'!$W$2,0)</f>
        <v>5107.2</v>
      </c>
      <c r="T28" s="102" t="str">
        <f t="shared" si="1"/>
        <v>-</v>
      </c>
      <c r="U28" s="257">
        <f t="shared" si="15"/>
        <v>15</v>
      </c>
      <c r="V28" s="103">
        <f>IF(B28&gt;'QoL Benefits - Twin Lakes RT'!$Y$5,'Operation and Maintenance'!W$6*'Operation and Maintenance'!$W$2,0)</f>
        <v>2432</v>
      </c>
      <c r="W28" s="102" t="str">
        <f t="shared" si="2"/>
        <v>-</v>
      </c>
      <c r="X28" s="102">
        <f t="shared" si="9"/>
        <v>68339.199999999997</v>
      </c>
      <c r="Y28" s="102">
        <f>X28*(1+0.07)^-(B28-'Project Data and Assumptions'!$C$3)</f>
        <v>12591.441392527833</v>
      </c>
    </row>
    <row r="29" spans="2:28" x14ac:dyDescent="0.25">
      <c r="B29" s="2">
        <f t="shared" si="3"/>
        <v>2047</v>
      </c>
      <c r="C29" s="257">
        <f t="shared" si="24"/>
        <v>17</v>
      </c>
      <c r="D29" s="103">
        <f>IF(B29&gt;'QoL Benefits - BCRT'!$Y$5,'Operation and Maintenance'!$E$6*'Operation and Maintenance'!$W$2,0)</f>
        <v>6688.0000000000009</v>
      </c>
      <c r="E29" s="102" t="str">
        <f t="shared" si="0"/>
        <v>-</v>
      </c>
      <c r="F29" s="257">
        <f t="shared" si="25"/>
        <v>16</v>
      </c>
      <c r="G29" s="102">
        <f>IF(B29&gt;'QoL Benefits - CP South RT'!$Y$5,'Operation and Maintenance'!$H$6*'Operation and Maintenance'!$W$2,0)</f>
        <v>28576</v>
      </c>
      <c r="H29" s="102" t="str">
        <f t="shared" si="26"/>
        <v>-</v>
      </c>
      <c r="I29" s="257">
        <f t="shared" si="11"/>
        <v>16</v>
      </c>
      <c r="J29" s="102">
        <f>IF(B29&gt;'QoL Benefits - CP North RT'!$Y$5,'Operation and Maintenance'!$K$6*'Operation and Maintenance'!$W$2,0)</f>
        <v>22496</v>
      </c>
      <c r="K29" s="102" t="str">
        <f t="shared" si="6"/>
        <v>-</v>
      </c>
      <c r="L29" s="257">
        <f t="shared" si="27"/>
        <v>17</v>
      </c>
      <c r="M29" s="104">
        <f>IF(B29&gt;'QoL Benefits - Eagle RT'!$Y$5,'Operation and Maintenance'!N$6*'Operation and Maintenance'!$W$2,0)</f>
        <v>11552</v>
      </c>
      <c r="N29" s="102" t="str">
        <f t="shared" si="28"/>
        <v>-</v>
      </c>
      <c r="O29" s="257">
        <f t="shared" si="29"/>
        <v>20</v>
      </c>
      <c r="P29" s="103">
        <f>IF(B29&gt;'QoL Benefits - Med Lake RT'!Y25,'Operation and Maintenance'!Q$6*'Operation and Maintenance'!$W$2,0)</f>
        <v>13983.999999999998</v>
      </c>
      <c r="Q29" s="102" t="str">
        <f t="shared" si="30"/>
        <v>-</v>
      </c>
      <c r="R29" s="257">
        <f t="shared" si="31"/>
        <v>20</v>
      </c>
      <c r="S29" s="104">
        <f>IF(B29&gt;'QoL Benefits - Shingle Crk NAR'!Y26,'Operation and Maintenance'!T$6*'Operation and Maintenance'!$W$2,0)</f>
        <v>5107.2</v>
      </c>
      <c r="T29" s="102" t="str">
        <f t="shared" si="1"/>
        <v>-</v>
      </c>
      <c r="U29" s="257">
        <f t="shared" si="15"/>
        <v>16</v>
      </c>
      <c r="V29" s="103">
        <f>IF(B29&gt;'QoL Benefits - Twin Lakes RT'!$Y$5,'Operation and Maintenance'!W$6*'Operation and Maintenance'!$W$2,0)</f>
        <v>2432</v>
      </c>
      <c r="W29" s="102" t="str">
        <f t="shared" si="2"/>
        <v>-</v>
      </c>
      <c r="X29" s="102">
        <f t="shared" si="9"/>
        <v>68339.199999999997</v>
      </c>
      <c r="Y29" s="102">
        <f>X29*(1+0.07)^-(B29-'Project Data and Assumptions'!$C$3)</f>
        <v>11767.702236007324</v>
      </c>
    </row>
    <row r="30" spans="2:28" x14ac:dyDescent="0.25">
      <c r="B30" s="2">
        <f t="shared" si="3"/>
        <v>2048</v>
      </c>
      <c r="C30" s="257">
        <f t="shared" si="24"/>
        <v>18</v>
      </c>
      <c r="D30" s="103">
        <f>IF(B30&gt;'QoL Benefits - BCRT'!$Y$5,'Operation and Maintenance'!$E$6*'Operation and Maintenance'!$W$2,0)</f>
        <v>6688.0000000000009</v>
      </c>
      <c r="E30" s="102" t="str">
        <f t="shared" si="0"/>
        <v>-</v>
      </c>
      <c r="F30" s="257">
        <f t="shared" si="25"/>
        <v>17</v>
      </c>
      <c r="G30" s="102">
        <f>IF(B30&gt;'QoL Benefits - CP South RT'!$Y$5,'Operation and Maintenance'!$H$6*'Operation and Maintenance'!$W$2,0)</f>
        <v>28576</v>
      </c>
      <c r="H30" s="102" t="str">
        <f t="shared" si="26"/>
        <v>-</v>
      </c>
      <c r="I30" s="257">
        <f t="shared" si="11"/>
        <v>17</v>
      </c>
      <c r="J30" s="102">
        <f>IF(B30&gt;'QoL Benefits - CP North RT'!$Y$5,'Operation and Maintenance'!$K$6*'Operation and Maintenance'!$W$2,0)</f>
        <v>22496</v>
      </c>
      <c r="K30" s="102" t="str">
        <f t="shared" si="6"/>
        <v>-</v>
      </c>
      <c r="L30" s="257">
        <f t="shared" si="27"/>
        <v>18</v>
      </c>
      <c r="M30" s="104">
        <f>IF(B30&gt;'QoL Benefits - Eagle RT'!$Y$5,'Operation and Maintenance'!N$6*'Operation and Maintenance'!$W$2,0)</f>
        <v>11552</v>
      </c>
      <c r="N30" s="102" t="str">
        <f t="shared" si="28"/>
        <v>-</v>
      </c>
      <c r="O30" s="257">
        <f t="shared" si="29"/>
        <v>21</v>
      </c>
      <c r="P30" s="103">
        <f>IF(B30&gt;'QoL Benefits - Med Lake RT'!Y26,'Operation and Maintenance'!Q$6*'Operation and Maintenance'!$W$2,0)</f>
        <v>13983.999999999998</v>
      </c>
      <c r="Q30" s="102">
        <f t="shared" si="30"/>
        <v>59799.999999999993</v>
      </c>
      <c r="R30" s="257">
        <f t="shared" si="31"/>
        <v>21</v>
      </c>
      <c r="S30" s="104">
        <f>IF(B30&gt;'QoL Benefits - Shingle Crk NAR'!Y27,'Operation and Maintenance'!T$6*'Operation and Maintenance'!$W$2,0)</f>
        <v>5107.2</v>
      </c>
      <c r="T30" s="102">
        <f t="shared" si="1"/>
        <v>21840</v>
      </c>
      <c r="U30" s="257">
        <f t="shared" si="15"/>
        <v>17</v>
      </c>
      <c r="V30" s="103">
        <f>IF(B30&gt;'QoL Benefits - Twin Lakes RT'!$Y$5,'Operation and Maintenance'!W$6*'Operation and Maintenance'!$W$2,0)</f>
        <v>2432</v>
      </c>
      <c r="W30" s="102" t="str">
        <f t="shared" si="2"/>
        <v>-</v>
      </c>
      <c r="X30" s="102">
        <f t="shared" si="9"/>
        <v>149979.20000000001</v>
      </c>
      <c r="Y30" s="102">
        <f>X30*(1+0.07)^-(B30-'Project Data and Assumptions'!$C$3)</f>
        <v>24136.207743421674</v>
      </c>
    </row>
    <row r="31" spans="2:28" x14ac:dyDescent="0.25">
      <c r="B31" s="2">
        <f t="shared" si="3"/>
        <v>2049</v>
      </c>
      <c r="C31" s="257">
        <f t="shared" si="4"/>
        <v>19</v>
      </c>
      <c r="D31" s="103">
        <f>IF(B31&gt;'QoL Benefits - BCRT'!$Y$5,'Operation and Maintenance'!$E$6*'Operation and Maintenance'!$W$2,0)</f>
        <v>6688.0000000000009</v>
      </c>
      <c r="E31" s="102" t="str">
        <f t="shared" si="0"/>
        <v>-</v>
      </c>
      <c r="F31" s="257">
        <f t="shared" si="10"/>
        <v>18</v>
      </c>
      <c r="G31" s="102">
        <f>IF(B31&gt;'QoL Benefits - CP South RT'!$Y$5,'Operation and Maintenance'!$H$6*'Operation and Maintenance'!$W$2,0)</f>
        <v>28576</v>
      </c>
      <c r="H31" s="102" t="str">
        <f t="shared" si="5"/>
        <v>-</v>
      </c>
      <c r="I31" s="257">
        <f t="shared" si="11"/>
        <v>18</v>
      </c>
      <c r="J31" s="102">
        <f>IF(B31&gt;'QoL Benefits - CP North RT'!$Y$5,'Operation and Maintenance'!$K$6*'Operation and Maintenance'!$W$2,0)</f>
        <v>22496</v>
      </c>
      <c r="K31" s="102" t="str">
        <f t="shared" si="6"/>
        <v>-</v>
      </c>
      <c r="L31" s="257">
        <f t="shared" si="12"/>
        <v>19</v>
      </c>
      <c r="M31" s="104">
        <f>IF(B31&gt;'QoL Benefits - Eagle RT'!$Y$5,'Operation and Maintenance'!N$6*'Operation and Maintenance'!$W$2,0)</f>
        <v>11552</v>
      </c>
      <c r="N31" s="102" t="str">
        <f t="shared" si="7"/>
        <v>-</v>
      </c>
      <c r="O31" s="257">
        <f t="shared" si="13"/>
        <v>22</v>
      </c>
      <c r="P31" s="103">
        <f>IF(B31&gt;'QoL Benefits - Med Lake RT'!Y27,'Operation and Maintenance'!Q$6*'Operation and Maintenance'!$W$2,0)</f>
        <v>13983.999999999998</v>
      </c>
      <c r="Q31" s="102" t="str">
        <f t="shared" si="8"/>
        <v>-</v>
      </c>
      <c r="R31" s="257">
        <f t="shared" si="14"/>
        <v>22</v>
      </c>
      <c r="S31" s="104">
        <f>IF(B31&gt;'QoL Benefits - Shingle Crk NAR'!Y29,'Operation and Maintenance'!T$6*'Operation and Maintenance'!$W$2,0)</f>
        <v>5107.2</v>
      </c>
      <c r="T31" s="102" t="str">
        <f t="shared" si="1"/>
        <v>-</v>
      </c>
      <c r="U31" s="257">
        <f t="shared" si="15"/>
        <v>18</v>
      </c>
      <c r="V31" s="103">
        <f>IF(B31&gt;'QoL Benefits - Twin Lakes RT'!$Y$5,'Operation and Maintenance'!W$6*'Operation and Maintenance'!$W$2,0)</f>
        <v>2432</v>
      </c>
      <c r="W31" s="102" t="str">
        <f t="shared" si="2"/>
        <v>-</v>
      </c>
      <c r="X31" s="102">
        <f t="shared" si="9"/>
        <v>68339.199999999997</v>
      </c>
      <c r="Y31" s="102">
        <f>X31*(1+0.07)^-(B31-'Project Data and Assumptions'!$C$3)</f>
        <v>10278.366875716065</v>
      </c>
    </row>
    <row r="32" spans="2:28" ht="15.75" thickBot="1" x14ac:dyDescent="0.3">
      <c r="B32" s="3">
        <f t="shared" si="3"/>
        <v>2050</v>
      </c>
      <c r="C32" s="434">
        <f t="shared" si="4"/>
        <v>20</v>
      </c>
      <c r="D32" s="435">
        <f>IF(B32&gt;'QoL Benefits - BCRT'!$Y$5,'Operation and Maintenance'!$E$6*'Operation and Maintenance'!$W$2,0)</f>
        <v>6688.0000000000009</v>
      </c>
      <c r="E32" s="436" t="str">
        <f t="shared" si="0"/>
        <v>-</v>
      </c>
      <c r="F32" s="434">
        <f t="shared" si="10"/>
        <v>19</v>
      </c>
      <c r="G32" s="436">
        <f>IF(B32&gt;'QoL Benefits - CP South RT'!$Y$5,'Operation and Maintenance'!$H$6*'Operation and Maintenance'!$W$2,0)</f>
        <v>28576</v>
      </c>
      <c r="H32" s="436" t="str">
        <f t="shared" si="5"/>
        <v>-</v>
      </c>
      <c r="I32" s="434">
        <f t="shared" si="11"/>
        <v>19</v>
      </c>
      <c r="J32" s="102">
        <f>IF(B32&gt;'QoL Benefits - CP North RT'!$Y$5,'Operation and Maintenance'!$K$6*'Operation and Maintenance'!$W$2,0)</f>
        <v>22496</v>
      </c>
      <c r="K32" s="436" t="str">
        <f t="shared" si="6"/>
        <v>-</v>
      </c>
      <c r="L32" s="434">
        <f t="shared" si="12"/>
        <v>20</v>
      </c>
      <c r="M32" s="435">
        <f>IF(B32&gt;'QoL Benefits - Eagle RT'!$Y$5,'Operation and Maintenance'!N$6*'Operation and Maintenance'!$W$2,0)</f>
        <v>11552</v>
      </c>
      <c r="N32" s="436" t="str">
        <f t="shared" si="7"/>
        <v>-</v>
      </c>
      <c r="O32" s="434">
        <f t="shared" si="13"/>
        <v>23</v>
      </c>
      <c r="P32" s="103">
        <f>IF(B32&gt;'QoL Benefits - Med Lake RT'!Y28,'Operation and Maintenance'!Q$6*'Operation and Maintenance'!$W$2,0)</f>
        <v>13983.999999999998</v>
      </c>
      <c r="Q32" s="436" t="str">
        <f t="shared" si="8"/>
        <v>-</v>
      </c>
      <c r="R32" s="434">
        <f t="shared" si="14"/>
        <v>23</v>
      </c>
      <c r="S32" s="435">
        <f>IF(B32&gt;'QoL Benefits - Shingle Crk NAR'!Y30,'Operation and Maintenance'!T$6*'Operation and Maintenance'!$W$2,0)</f>
        <v>5107.2</v>
      </c>
      <c r="T32" s="436" t="str">
        <f t="shared" si="1"/>
        <v>-</v>
      </c>
      <c r="U32" s="434">
        <f t="shared" si="15"/>
        <v>19</v>
      </c>
      <c r="V32" s="103">
        <f>IF(B32&gt;'QoL Benefits - Twin Lakes RT'!$Y$5,'Operation and Maintenance'!W$6*'Operation and Maintenance'!$W$2,0)</f>
        <v>2432</v>
      </c>
      <c r="W32" s="436" t="str">
        <f t="shared" si="2"/>
        <v>-</v>
      </c>
      <c r="X32" s="102">
        <f t="shared" si="9"/>
        <v>68339.199999999997</v>
      </c>
      <c r="Y32" s="436">
        <f>X32*(1+0.07)^-(B32-'Project Data and Assumptions'!$C$3)</f>
        <v>9605.9503511365092</v>
      </c>
    </row>
    <row r="33" spans="1:25" ht="15.75" thickBot="1" x14ac:dyDescent="0.3">
      <c r="B33" s="258"/>
      <c r="C33" s="13"/>
      <c r="D33" s="259"/>
      <c r="E33" s="259"/>
      <c r="F33" s="4"/>
      <c r="G33" s="4"/>
      <c r="H33" s="4"/>
      <c r="I33" s="4"/>
      <c r="J33" s="4"/>
      <c r="K33" s="4"/>
      <c r="L33" s="4"/>
      <c r="M33" s="4"/>
      <c r="N33" s="4"/>
      <c r="O33" s="4"/>
      <c r="P33" s="4"/>
      <c r="Q33" s="4"/>
      <c r="R33" s="4"/>
      <c r="S33" s="4"/>
      <c r="T33" s="4"/>
      <c r="U33" s="4"/>
      <c r="X33" s="70" t="s">
        <v>4</v>
      </c>
      <c r="Y33" s="433">
        <f>SUM(Y9:Y32)</f>
        <v>590530.35057495488</v>
      </c>
    </row>
    <row r="35" spans="1:25" x14ac:dyDescent="0.25">
      <c r="B35" s="8" t="s">
        <v>3</v>
      </c>
      <c r="C35" s="62"/>
      <c r="D35" s="8"/>
      <c r="E35" s="8"/>
    </row>
    <row r="36" spans="1:25" ht="15" customHeight="1" x14ac:dyDescent="0.25">
      <c r="A36" s="9" t="s">
        <v>18</v>
      </c>
      <c r="B36" s="624" t="s">
        <v>500</v>
      </c>
      <c r="C36" s="624"/>
      <c r="D36" s="624"/>
      <c r="E36" s="624"/>
      <c r="F36" s="624"/>
      <c r="G36" s="624"/>
      <c r="H36" s="624"/>
      <c r="I36" s="624"/>
      <c r="J36" s="624"/>
      <c r="K36" s="624"/>
      <c r="L36" s="624"/>
      <c r="M36" s="624"/>
      <c r="N36" s="624"/>
      <c r="O36" s="624"/>
      <c r="P36" s="624"/>
      <c r="Q36" s="624"/>
      <c r="R36" s="624"/>
      <c r="S36" s="624"/>
      <c r="T36" s="624"/>
      <c r="U36" s="42"/>
    </row>
    <row r="37" spans="1:25" x14ac:dyDescent="0.25">
      <c r="B37" s="624"/>
      <c r="C37" s="624"/>
      <c r="D37" s="624"/>
      <c r="E37" s="624"/>
      <c r="F37" s="624"/>
      <c r="G37" s="624"/>
      <c r="H37" s="624"/>
      <c r="I37" s="624"/>
      <c r="J37" s="624"/>
      <c r="K37" s="624"/>
      <c r="L37" s="624"/>
      <c r="M37" s="624"/>
      <c r="N37" s="624"/>
      <c r="O37" s="624"/>
      <c r="P37" s="624"/>
      <c r="Q37" s="624"/>
      <c r="R37" s="624"/>
      <c r="S37" s="624"/>
      <c r="T37" s="624"/>
      <c r="U37" s="42"/>
    </row>
    <row r="38" spans="1:25" x14ac:dyDescent="0.25">
      <c r="B38" s="624"/>
      <c r="C38" s="624"/>
      <c r="D38" s="624"/>
      <c r="E38" s="624"/>
      <c r="F38" s="624"/>
      <c r="G38" s="624"/>
      <c r="H38" s="624"/>
      <c r="I38" s="624"/>
      <c r="J38" s="624"/>
      <c r="K38" s="624"/>
      <c r="L38" s="624"/>
      <c r="M38" s="624"/>
      <c r="N38" s="624"/>
      <c r="O38" s="624"/>
      <c r="P38" s="624"/>
      <c r="Q38" s="624"/>
      <c r="R38" s="624"/>
      <c r="S38" s="624"/>
      <c r="T38" s="624"/>
      <c r="U38" s="42"/>
    </row>
    <row r="39" spans="1:25" x14ac:dyDescent="0.25">
      <c r="B39" s="624"/>
      <c r="C39" s="624"/>
      <c r="D39" s="624"/>
      <c r="E39" s="624"/>
      <c r="F39" s="624"/>
      <c r="G39" s="624"/>
      <c r="H39" s="624"/>
      <c r="I39" s="624"/>
      <c r="J39" s="624"/>
      <c r="K39" s="624"/>
      <c r="L39" s="624"/>
      <c r="M39" s="624"/>
      <c r="N39" s="624"/>
      <c r="O39" s="624"/>
      <c r="P39" s="624"/>
      <c r="Q39" s="624"/>
      <c r="R39" s="624"/>
      <c r="S39" s="624"/>
      <c r="T39" s="624"/>
      <c r="U39" s="42"/>
    </row>
    <row r="40" spans="1:25" x14ac:dyDescent="0.25">
      <c r="B40" s="624"/>
      <c r="C40" s="624"/>
      <c r="D40" s="624"/>
      <c r="E40" s="624"/>
      <c r="F40" s="624"/>
      <c r="G40" s="624"/>
      <c r="H40" s="624"/>
      <c r="I40" s="624"/>
      <c r="J40" s="624"/>
      <c r="K40" s="624"/>
      <c r="L40" s="624"/>
      <c r="M40" s="624"/>
      <c r="N40" s="624"/>
      <c r="O40" s="624"/>
      <c r="P40" s="624"/>
      <c r="Q40" s="624"/>
      <c r="R40" s="624"/>
      <c r="S40" s="624"/>
      <c r="T40" s="624"/>
      <c r="U40" s="42"/>
    </row>
    <row r="41" spans="1:25" x14ac:dyDescent="0.25">
      <c r="B41" s="624"/>
      <c r="C41" s="624"/>
      <c r="D41" s="624"/>
      <c r="E41" s="624"/>
      <c r="F41" s="624"/>
      <c r="G41" s="624"/>
      <c r="H41" s="624"/>
      <c r="I41" s="624"/>
      <c r="J41" s="624"/>
      <c r="K41" s="624"/>
      <c r="L41" s="624"/>
      <c r="M41" s="624"/>
      <c r="N41" s="624"/>
      <c r="O41" s="624"/>
      <c r="P41" s="624"/>
      <c r="Q41" s="624"/>
      <c r="R41" s="624"/>
      <c r="S41" s="624"/>
      <c r="T41" s="624"/>
      <c r="U41" s="42"/>
    </row>
  </sheetData>
  <mergeCells count="41">
    <mergeCell ref="U6:V6"/>
    <mergeCell ref="R6:S6"/>
    <mergeCell ref="U7:U8"/>
    <mergeCell ref="U5:W5"/>
    <mergeCell ref="R5:T5"/>
    <mergeCell ref="T7:T8"/>
    <mergeCell ref="F6:G6"/>
    <mergeCell ref="I6:J6"/>
    <mergeCell ref="J7:J8"/>
    <mergeCell ref="K7:K8"/>
    <mergeCell ref="I5:K5"/>
    <mergeCell ref="S3:V3"/>
    <mergeCell ref="S2:V2"/>
    <mergeCell ref="C5:E5"/>
    <mergeCell ref="S7:S8"/>
    <mergeCell ref="L6:M6"/>
    <mergeCell ref="P7:P8"/>
    <mergeCell ref="Q7:Q8"/>
    <mergeCell ref="V7:V8"/>
    <mergeCell ref="C6:D6"/>
    <mergeCell ref="O6:P6"/>
    <mergeCell ref="O5:Q5"/>
    <mergeCell ref="L5:N5"/>
    <mergeCell ref="F5:H5"/>
    <mergeCell ref="F7:F8"/>
    <mergeCell ref="G7:G8"/>
    <mergeCell ref="H7:H8"/>
    <mergeCell ref="B7:B8"/>
    <mergeCell ref="M7:M8"/>
    <mergeCell ref="Y7:Y8"/>
    <mergeCell ref="B36:T41"/>
    <mergeCell ref="N7:N8"/>
    <mergeCell ref="D7:D8"/>
    <mergeCell ref="E7:E8"/>
    <mergeCell ref="W7:W8"/>
    <mergeCell ref="C7:C8"/>
    <mergeCell ref="R7:R8"/>
    <mergeCell ref="X7:X8"/>
    <mergeCell ref="L7:L8"/>
    <mergeCell ref="O7:O8"/>
    <mergeCell ref="I7:I8"/>
  </mergeCells>
  <pageMargins left="0.25" right="0.25" top="0.75" bottom="0.75" header="0.3" footer="0.3"/>
  <pageSetup scale="57"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C00000"/>
  </sheetPr>
  <dimension ref="A2:Q68"/>
  <sheetViews>
    <sheetView view="pageBreakPreview" topLeftCell="A8" zoomScale="85" zoomScaleNormal="85" zoomScaleSheetLayoutView="85" workbookViewId="0">
      <selection activeCell="L22" sqref="L22"/>
    </sheetView>
  </sheetViews>
  <sheetFormatPr defaultRowHeight="15" x14ac:dyDescent="0.25"/>
  <cols>
    <col min="1" max="1" width="3.5703125" customWidth="1"/>
    <col min="2" max="8" width="15.7109375" customWidth="1"/>
    <col min="9" max="9" width="22.7109375" customWidth="1"/>
    <col min="10" max="11" width="21.140625" customWidth="1"/>
    <col min="12" max="12" width="38.85546875" customWidth="1"/>
    <col min="13" max="13" width="17.7109375" customWidth="1"/>
    <col min="14" max="14" width="15.7109375" customWidth="1"/>
    <col min="15" max="15" width="30.28515625" customWidth="1"/>
    <col min="16" max="16" width="19.5703125" customWidth="1"/>
    <col min="17" max="17" width="25" customWidth="1"/>
  </cols>
  <sheetData>
    <row r="2" spans="2:17" x14ac:dyDescent="0.25">
      <c r="B2" s="8" t="s">
        <v>22</v>
      </c>
    </row>
    <row r="3" spans="2:17" ht="15.75" thickBot="1" x14ac:dyDescent="0.3">
      <c r="B3" s="8"/>
    </row>
    <row r="4" spans="2:17" ht="30.75" thickBot="1" x14ac:dyDescent="0.3">
      <c r="C4" s="651" t="s">
        <v>8</v>
      </c>
      <c r="D4" s="652"/>
      <c r="E4" s="106" t="s">
        <v>16</v>
      </c>
      <c r="F4" s="107" t="s">
        <v>16</v>
      </c>
      <c r="I4" s="8" t="s">
        <v>376</v>
      </c>
      <c r="J4" s="57"/>
      <c r="K4" s="57"/>
      <c r="L4" s="57"/>
      <c r="M4" s="57"/>
      <c r="O4" s="699" t="s">
        <v>677</v>
      </c>
      <c r="P4" s="699"/>
    </row>
    <row r="5" spans="2:17" x14ac:dyDescent="0.25">
      <c r="B5" s="639" t="s">
        <v>0</v>
      </c>
      <c r="C5" s="700" t="s">
        <v>21</v>
      </c>
      <c r="D5" s="679" t="s">
        <v>1</v>
      </c>
      <c r="E5" s="677" t="s">
        <v>41</v>
      </c>
      <c r="F5" s="679" t="s">
        <v>1</v>
      </c>
      <c r="I5" s="62" t="s">
        <v>377</v>
      </c>
      <c r="J5" s="62" t="s">
        <v>378</v>
      </c>
      <c r="K5" s="62" t="s">
        <v>676</v>
      </c>
      <c r="L5" s="62"/>
      <c r="M5" s="62"/>
      <c r="O5" s="568" t="s">
        <v>678</v>
      </c>
      <c r="P5" s="569">
        <f>118.895/127.192</f>
        <v>0.93476790993144221</v>
      </c>
    </row>
    <row r="6" spans="2:17" ht="15.75" customHeight="1" thickBot="1" x14ac:dyDescent="0.3">
      <c r="B6" s="676"/>
      <c r="C6" s="701"/>
      <c r="D6" s="680"/>
      <c r="E6" s="678"/>
      <c r="F6" s="680"/>
      <c r="I6" s="25">
        <v>2026</v>
      </c>
      <c r="J6" s="432">
        <f>SUMIF('Project Costs'!$D$3:$J$3,'Capital Costs'!I6,'Project Costs'!$D$9:$J$9)</f>
        <v>0</v>
      </c>
      <c r="K6" s="372">
        <f t="shared" ref="K6:K11" si="0">J6*$P$5</f>
        <v>0</v>
      </c>
      <c r="L6" s="122"/>
      <c r="M6" s="122"/>
    </row>
    <row r="7" spans="2:17" ht="15.75" customHeight="1" x14ac:dyDescent="0.25">
      <c r="B7" s="232">
        <f>'Project Data and Assumptions'!C3</f>
        <v>2021</v>
      </c>
      <c r="C7" s="68">
        <f t="shared" ref="C7:C38" si="1">IFERROR(_xlfn.XLOOKUP($B7,$I$6:$I$11,$K$6:$K$11),0)</f>
        <v>0</v>
      </c>
      <c r="D7" s="66">
        <f>C7*(1+0.07)^-(B7-'Project Data and Assumptions'!$C$3)</f>
        <v>0</v>
      </c>
      <c r="E7" s="207">
        <f t="shared" ref="E7:E38" si="2">IF($B7=MAX($K$20:$K$26)+20-1+1,SUM($N$20:$N$26),0)</f>
        <v>0</v>
      </c>
      <c r="F7" s="211">
        <f>E7*(1+0.07)^-($B7-'Project Data and Assumptions'!$C$3)</f>
        <v>0</v>
      </c>
      <c r="I7" s="25">
        <f>I6+1</f>
        <v>2027</v>
      </c>
      <c r="J7" s="432">
        <f>SUMIF('Project Costs'!$D$3:$J$3,'Capital Costs'!I7,'Project Costs'!$D$9:$J$9)</f>
        <v>0</v>
      </c>
      <c r="K7" s="372">
        <f t="shared" si="0"/>
        <v>0</v>
      </c>
      <c r="L7" s="122"/>
      <c r="M7" s="122"/>
      <c r="P7" t="s">
        <v>109</v>
      </c>
      <c r="Q7" t="s">
        <v>110</v>
      </c>
    </row>
    <row r="8" spans="2:17" ht="15.75" customHeight="1" x14ac:dyDescent="0.25">
      <c r="B8" s="202">
        <f>B7+1</f>
        <v>2022</v>
      </c>
      <c r="C8" s="278">
        <f t="shared" si="1"/>
        <v>0</v>
      </c>
      <c r="D8" s="273">
        <f>C8*(1+0.07)^-(B8-'Project Data and Assumptions'!$C$3)</f>
        <v>0</v>
      </c>
      <c r="E8" s="274">
        <f t="shared" si="2"/>
        <v>0</v>
      </c>
      <c r="F8" s="275">
        <f>E8*(1+0.07)^-($B8-'Project Data and Assumptions'!$C$3)</f>
        <v>0</v>
      </c>
      <c r="I8" s="25">
        <f t="shared" ref="I8:I11" si="3">I7+1</f>
        <v>2028</v>
      </c>
      <c r="J8" s="432">
        <f>SUMIF('Project Costs'!$D$3:$J$3,'Capital Costs'!I8,'Project Costs'!$D$9:$J$9)</f>
        <v>7818308.2198774694</v>
      </c>
      <c r="K8" s="372">
        <f t="shared" si="0"/>
        <v>7308303.6338946763</v>
      </c>
      <c r="L8" s="122" t="s">
        <v>689</v>
      </c>
      <c r="M8" s="122"/>
      <c r="P8" t="s">
        <v>111</v>
      </c>
      <c r="Q8" t="s">
        <v>110</v>
      </c>
    </row>
    <row r="9" spans="2:17" ht="15.75" customHeight="1" x14ac:dyDescent="0.25">
      <c r="B9" s="202">
        <f t="shared" ref="B9:B38" si="4">B8+1</f>
        <v>2023</v>
      </c>
      <c r="C9" s="278">
        <f t="shared" si="1"/>
        <v>0</v>
      </c>
      <c r="D9" s="6">
        <f>C9*(1+0.07)^-(B9-'Project Data and Assumptions'!$C$3)</f>
        <v>0</v>
      </c>
      <c r="E9" s="76">
        <f t="shared" si="2"/>
        <v>0</v>
      </c>
      <c r="F9" s="6">
        <f>E9*(1+0.07)^-($B9-'Project Data and Assumptions'!$C$3)</f>
        <v>0</v>
      </c>
      <c r="I9" s="25">
        <f t="shared" si="3"/>
        <v>2029</v>
      </c>
      <c r="J9" s="432">
        <f>SUMIF('Project Costs'!$D$3:$J$3,'Capital Costs'!I9,'Project Costs'!$D$9:$J$9)</f>
        <v>18308969.84262253</v>
      </c>
      <c r="K9" s="372">
        <f t="shared" si="0"/>
        <v>17114637.472786069</v>
      </c>
      <c r="L9" s="122"/>
      <c r="M9" s="122"/>
      <c r="P9" t="s">
        <v>112</v>
      </c>
      <c r="Q9" t="s">
        <v>110</v>
      </c>
    </row>
    <row r="10" spans="2:17" ht="15.75" customHeight="1" x14ac:dyDescent="0.25">
      <c r="B10" s="202">
        <f t="shared" si="4"/>
        <v>2024</v>
      </c>
      <c r="C10" s="278">
        <f t="shared" si="1"/>
        <v>0</v>
      </c>
      <c r="D10" s="6">
        <f>C10*(1+0.07)^-(B10-'Project Data and Assumptions'!$C$3)</f>
        <v>0</v>
      </c>
      <c r="E10" s="76">
        <f t="shared" si="2"/>
        <v>0</v>
      </c>
      <c r="F10" s="6">
        <f>E10*(1+0.07)^-($B10-'Project Data and Assumptions'!$C$3)</f>
        <v>0</v>
      </c>
      <c r="I10" s="25">
        <f t="shared" si="3"/>
        <v>2030</v>
      </c>
      <c r="J10" s="432">
        <f>SUMIF('Project Costs'!$D$3:$J$3,'Capital Costs'!I10,'Project Costs'!$D$9:$J$9)</f>
        <v>0</v>
      </c>
      <c r="K10" s="372">
        <f t="shared" si="0"/>
        <v>0</v>
      </c>
      <c r="L10" s="122"/>
      <c r="M10" s="122"/>
      <c r="P10" t="s">
        <v>113</v>
      </c>
      <c r="Q10" t="s">
        <v>114</v>
      </c>
    </row>
    <row r="11" spans="2:17" ht="15.75" customHeight="1" x14ac:dyDescent="0.25">
      <c r="B11" s="202">
        <f t="shared" si="4"/>
        <v>2025</v>
      </c>
      <c r="C11" s="278">
        <f t="shared" si="1"/>
        <v>0</v>
      </c>
      <c r="D11" s="6">
        <f>C11*(1+0.07)^-(B11-'Project Data and Assumptions'!$C$3)</f>
        <v>0</v>
      </c>
      <c r="E11" s="76">
        <f t="shared" si="2"/>
        <v>0</v>
      </c>
      <c r="F11" s="6">
        <f>E11*(1+0.07)^-($B11-'Project Data and Assumptions'!$C$3)</f>
        <v>0</v>
      </c>
      <c r="I11" s="25">
        <f t="shared" si="3"/>
        <v>2031</v>
      </c>
      <c r="J11" s="432">
        <f>SUMIF('Project Costs'!$D$3:$J$3,'Capital Costs'!I11,'Project Costs'!$D$9:$J$9)</f>
        <v>0</v>
      </c>
      <c r="K11" s="372">
        <f t="shared" si="0"/>
        <v>0</v>
      </c>
      <c r="L11" s="122"/>
      <c r="M11" s="122"/>
    </row>
    <row r="12" spans="2:17" ht="15.75" customHeight="1" x14ac:dyDescent="0.25">
      <c r="B12" s="43">
        <f t="shared" si="4"/>
        <v>2026</v>
      </c>
      <c r="C12" s="278">
        <f t="shared" si="1"/>
        <v>0</v>
      </c>
      <c r="D12" s="6">
        <f>C12*(1+0.07)^-(B12-'Project Data and Assumptions'!$C$3)</f>
        <v>0</v>
      </c>
      <c r="E12" s="209">
        <f t="shared" si="2"/>
        <v>0</v>
      </c>
      <c r="F12" s="6">
        <f>E12*(1+0.07)^-($B12-'Project Data and Assumptions'!$C$3)</f>
        <v>0</v>
      </c>
      <c r="I12" s="205" t="s">
        <v>23</v>
      </c>
      <c r="J12" s="203">
        <f>SUM(J6:J11)</f>
        <v>26127278.0625</v>
      </c>
      <c r="K12" s="204">
        <f>SUM(K6:K11)</f>
        <v>24422941.106680743</v>
      </c>
      <c r="L12" s="285"/>
      <c r="M12" s="285"/>
    </row>
    <row r="13" spans="2:17" ht="15.75" customHeight="1" x14ac:dyDescent="0.25">
      <c r="B13" s="43">
        <f t="shared" si="4"/>
        <v>2027</v>
      </c>
      <c r="C13" s="278">
        <f t="shared" si="1"/>
        <v>0</v>
      </c>
      <c r="D13" s="6">
        <f>C13*(1+0.07)^-(B13-'Project Data and Assumptions'!$C$3)</f>
        <v>0</v>
      </c>
      <c r="E13" s="209">
        <f t="shared" si="2"/>
        <v>0</v>
      </c>
      <c r="F13" s="6">
        <f>E13*(1+0.07)^-($B13-'Project Data and Assumptions'!$C$3)</f>
        <v>0</v>
      </c>
    </row>
    <row r="14" spans="2:17" ht="15.75" customHeight="1" x14ac:dyDescent="0.25">
      <c r="B14" s="43">
        <f t="shared" si="4"/>
        <v>2028</v>
      </c>
      <c r="C14" s="278">
        <f t="shared" si="1"/>
        <v>7308303.6338946763</v>
      </c>
      <c r="D14" s="6">
        <f>C14*(1+0.07)^-(B14-'Project Data and Assumptions'!$C$3)</f>
        <v>4551244.2016221285</v>
      </c>
      <c r="E14" s="209">
        <f t="shared" si="2"/>
        <v>0</v>
      </c>
      <c r="F14" s="6">
        <f>E14*(1+0.07)^-($B14-'Project Data and Assumptions'!$C$3)</f>
        <v>0</v>
      </c>
      <c r="I14" s="96" t="s">
        <v>508</v>
      </c>
      <c r="J14" s="96">
        <f>MAX($J$20:$J$26)</f>
        <v>2029</v>
      </c>
    </row>
    <row r="15" spans="2:17" ht="15.75" customHeight="1" x14ac:dyDescent="0.25">
      <c r="B15" s="43">
        <f t="shared" si="4"/>
        <v>2029</v>
      </c>
      <c r="C15" s="278">
        <f t="shared" si="1"/>
        <v>17114637.472786069</v>
      </c>
      <c r="D15" s="6">
        <f>C15*(1+0.07)^-(B15-'Project Data and Assumptions'!$C$3)</f>
        <v>9960874.830491472</v>
      </c>
      <c r="E15" s="209">
        <f t="shared" si="2"/>
        <v>0</v>
      </c>
      <c r="F15" s="6">
        <f>E15*(1+0.07)^-($B15-'Project Data and Assumptions'!$C$3)</f>
        <v>0</v>
      </c>
      <c r="I15" s="96" t="s">
        <v>379</v>
      </c>
      <c r="J15" s="206">
        <v>30</v>
      </c>
    </row>
    <row r="16" spans="2:17" ht="15.75" customHeight="1" x14ac:dyDescent="0.25">
      <c r="B16" s="43">
        <f t="shared" si="4"/>
        <v>2030</v>
      </c>
      <c r="C16" s="278">
        <f t="shared" si="1"/>
        <v>0</v>
      </c>
      <c r="D16" s="6">
        <f>C16*(1+0.07)^-(B16-'Project Data and Assumptions'!$C$3)</f>
        <v>0</v>
      </c>
      <c r="E16" s="209">
        <f t="shared" si="2"/>
        <v>0</v>
      </c>
      <c r="F16" s="6">
        <f>E16*(1+0.07)^-($B16-'Project Data and Assumptions'!$C$3)</f>
        <v>0</v>
      </c>
      <c r="I16" s="96" t="s">
        <v>380</v>
      </c>
      <c r="J16" s="206">
        <v>20</v>
      </c>
    </row>
    <row r="17" spans="1:14" ht="15.75" customHeight="1" x14ac:dyDescent="0.25">
      <c r="B17" s="43">
        <f t="shared" si="4"/>
        <v>2031</v>
      </c>
      <c r="C17" s="278">
        <f t="shared" si="1"/>
        <v>0</v>
      </c>
      <c r="D17" s="6">
        <f>C17*(1+0.07)^-(B17-'Project Data and Assumptions'!$C$3)</f>
        <v>0</v>
      </c>
      <c r="E17" s="209">
        <f t="shared" si="2"/>
        <v>0</v>
      </c>
      <c r="F17" s="6">
        <f>E17*(1+0.07)^-($B17-'Project Data and Assumptions'!$C$3)</f>
        <v>0</v>
      </c>
      <c r="K17" s="27"/>
    </row>
    <row r="18" spans="1:14" ht="15.75" customHeight="1" x14ac:dyDescent="0.25">
      <c r="B18" s="43">
        <f t="shared" si="4"/>
        <v>2032</v>
      </c>
      <c r="C18" s="278">
        <f t="shared" si="1"/>
        <v>0</v>
      </c>
      <c r="D18" s="6">
        <f>C18*(1+0.07)^-(B18-'Project Data and Assumptions'!$C$3)</f>
        <v>0</v>
      </c>
      <c r="E18" s="209">
        <f t="shared" si="2"/>
        <v>0</v>
      </c>
      <c r="F18" s="6">
        <f>E18*(1+0.07)^-($B18-'Project Data and Assumptions'!$C$3)</f>
        <v>0</v>
      </c>
      <c r="I18" s="8" t="s">
        <v>493</v>
      </c>
      <c r="K18" s="27"/>
    </row>
    <row r="19" spans="1:14" ht="15.75" customHeight="1" x14ac:dyDescent="0.25">
      <c r="B19" s="43">
        <f t="shared" si="4"/>
        <v>2033</v>
      </c>
      <c r="C19" s="278">
        <f t="shared" si="1"/>
        <v>0</v>
      </c>
      <c r="D19" s="6">
        <f>C19*(1+0.07)^-(B19-'Project Data and Assumptions'!$C$3)</f>
        <v>0</v>
      </c>
      <c r="E19" s="209">
        <f t="shared" si="2"/>
        <v>0</v>
      </c>
      <c r="F19" s="6">
        <f>E19*(1+0.07)^-($B19-'Project Data and Assumptions'!$C$3)</f>
        <v>0</v>
      </c>
      <c r="I19" s="96" t="s">
        <v>443</v>
      </c>
      <c r="J19" s="25" t="s">
        <v>440</v>
      </c>
      <c r="K19" s="431" t="s">
        <v>508</v>
      </c>
      <c r="L19" s="25" t="s">
        <v>688</v>
      </c>
      <c r="M19" s="25" t="s">
        <v>441</v>
      </c>
      <c r="N19" s="25" t="s">
        <v>442</v>
      </c>
    </row>
    <row r="20" spans="1:14" ht="15.75" customHeight="1" x14ac:dyDescent="0.25">
      <c r="B20" s="43">
        <f t="shared" si="4"/>
        <v>2034</v>
      </c>
      <c r="C20" s="278">
        <f t="shared" si="1"/>
        <v>0</v>
      </c>
      <c r="D20" s="6">
        <f>C20*(1+0.07)^-(B20-'Project Data and Assumptions'!$C$3)</f>
        <v>0</v>
      </c>
      <c r="E20" s="209">
        <f t="shared" si="2"/>
        <v>0</v>
      </c>
      <c r="F20" s="6">
        <f>E20*(1+0.07)^-($B20-'Project Data and Assumptions'!$C$3)</f>
        <v>0</v>
      </c>
      <c r="I20" s="283" t="s">
        <v>104</v>
      </c>
      <c r="J20" s="25">
        <f>_xlfn.XLOOKUP(I20,'Project Costs'!$D$5:$J$5,'Project Costs'!$D$3:$J$3)</f>
        <v>2028</v>
      </c>
      <c r="K20" s="284">
        <f>J20+1</f>
        <v>2029</v>
      </c>
      <c r="L20" s="25">
        <f>30-($J$14+20-K20)</f>
        <v>10</v>
      </c>
      <c r="M20" s="86">
        <f>_xlfn.XLOOKUP('Capital Costs'!I20,'Project Costs'!$D$5:$J$5,'Project Costs'!$D$13:$J$13)</f>
        <v>1216162.308347157</v>
      </c>
      <c r="N20" s="372">
        <f>M20*L20/30</f>
        <v>405387.43611571903</v>
      </c>
    </row>
    <row r="21" spans="1:14" ht="15.75" customHeight="1" x14ac:dyDescent="0.25">
      <c r="B21" s="43">
        <f t="shared" si="4"/>
        <v>2035</v>
      </c>
      <c r="C21" s="278">
        <f t="shared" si="1"/>
        <v>0</v>
      </c>
      <c r="D21" s="6">
        <f>C21*(1+0.07)^-(B21-'Project Data and Assumptions'!$C$3)</f>
        <v>0</v>
      </c>
      <c r="E21" s="209">
        <f t="shared" si="2"/>
        <v>0</v>
      </c>
      <c r="F21" s="6">
        <f>E21*(1+0.07)^-($B21-'Project Data and Assumptions'!$C$3)</f>
        <v>0</v>
      </c>
      <c r="I21" s="133" t="s">
        <v>534</v>
      </c>
      <c r="J21" s="25">
        <f>_xlfn.XLOOKUP(I21,'Project Costs'!$D$5:$J$5,'Project Costs'!$D$3:$J$3)</f>
        <v>2029</v>
      </c>
      <c r="K21" s="284">
        <f t="shared" ref="K21:K25" si="5">J21+1</f>
        <v>2030</v>
      </c>
      <c r="L21" s="25">
        <f t="shared" ref="L21:L25" si="6">30-($J$14+20-K21)</f>
        <v>11</v>
      </c>
      <c r="M21" s="86">
        <f>_xlfn.XLOOKUP('Capital Costs'!I21,'Project Costs'!$D$5:$J$5,'Project Costs'!$D$13:$J$13)</f>
        <v>9236056.1240246575</v>
      </c>
      <c r="N21" s="372">
        <f t="shared" ref="N21:N26" si="7">M21*L21/30</f>
        <v>3386553.9121423746</v>
      </c>
    </row>
    <row r="22" spans="1:14" ht="15.75" customHeight="1" x14ac:dyDescent="0.25">
      <c r="B22" s="43">
        <f t="shared" si="4"/>
        <v>2036</v>
      </c>
      <c r="C22" s="278">
        <f t="shared" si="1"/>
        <v>0</v>
      </c>
      <c r="D22" s="6">
        <f>C22*(1+0.07)^-(B22-'Project Data and Assumptions'!$C$3)</f>
        <v>0</v>
      </c>
      <c r="E22" s="209">
        <f t="shared" si="2"/>
        <v>0</v>
      </c>
      <c r="F22" s="6">
        <f>E22*(1+0.07)^-($B22-'Project Data and Assumptions'!$C$3)</f>
        <v>0</v>
      </c>
      <c r="I22" s="133" t="s">
        <v>535</v>
      </c>
      <c r="J22" s="25">
        <f>_xlfn.XLOOKUP(I22,'Project Costs'!$D$5:$J$5,'Project Costs'!$D$3:$J$3)</f>
        <v>2029</v>
      </c>
      <c r="K22" s="284">
        <f t="shared" ref="K22" si="8">J22+1</f>
        <v>2030</v>
      </c>
      <c r="L22" s="25">
        <f t="shared" ref="L22" si="9">30-($J$14+20-K22)</f>
        <v>11</v>
      </c>
      <c r="M22" s="86">
        <f>_xlfn.XLOOKUP('Capital Costs'!I22,'Project Costs'!$D$5:$J$5,'Project Costs'!$D$13:$J$13)</f>
        <v>7313728.2280391939</v>
      </c>
      <c r="N22" s="372">
        <f t="shared" ref="N22" si="10">M22*L22/30</f>
        <v>2681700.3502810379</v>
      </c>
    </row>
    <row r="23" spans="1:14" ht="15.75" customHeight="1" x14ac:dyDescent="0.25">
      <c r="A23" s="9"/>
      <c r="B23" s="43">
        <f t="shared" si="4"/>
        <v>2037</v>
      </c>
      <c r="C23" s="278">
        <f t="shared" si="1"/>
        <v>0</v>
      </c>
      <c r="D23" s="6">
        <f>C23*(1+0.07)^-(B23-'Project Data and Assumptions'!$C$3)</f>
        <v>0</v>
      </c>
      <c r="E23" s="209">
        <f t="shared" si="2"/>
        <v>0</v>
      </c>
      <c r="F23" s="6">
        <f>E23*(1+0.07)^-($B23-'Project Data and Assumptions'!$C$3)</f>
        <v>0</v>
      </c>
      <c r="I23" s="133" t="s">
        <v>105</v>
      </c>
      <c r="J23" s="25">
        <f>_xlfn.XLOOKUP(I23,'Project Costs'!$D$5:$J$5,'Project Costs'!$D$3:$J$3)</f>
        <v>2028</v>
      </c>
      <c r="K23" s="284">
        <f t="shared" si="5"/>
        <v>2029</v>
      </c>
      <c r="L23" s="25">
        <f t="shared" si="6"/>
        <v>10</v>
      </c>
      <c r="M23" s="86">
        <f>_xlfn.XLOOKUP('Capital Costs'!I23,'Project Costs'!$D$5:$J$5,'Project Costs'!$D$13:$J$13)</f>
        <v>2861082.2882808987</v>
      </c>
      <c r="N23" s="372">
        <f t="shared" si="7"/>
        <v>953694.09609363286</v>
      </c>
    </row>
    <row r="24" spans="1:14" ht="15.75" customHeight="1" x14ac:dyDescent="0.25">
      <c r="B24" s="43">
        <f t="shared" si="4"/>
        <v>2038</v>
      </c>
      <c r="C24" s="278">
        <f t="shared" si="1"/>
        <v>0</v>
      </c>
      <c r="D24" s="6">
        <f>C24*(1+0.07)^-(B24-'Project Data and Assumptions'!$C$3)</f>
        <v>0</v>
      </c>
      <c r="E24" s="209">
        <f t="shared" si="2"/>
        <v>0</v>
      </c>
      <c r="F24" s="6">
        <f>E24*(1+0.07)^-($B24-'Project Data and Assumptions'!$C$3)</f>
        <v>0</v>
      </c>
      <c r="I24" s="133" t="s">
        <v>106</v>
      </c>
      <c r="J24" s="25">
        <f>_xlfn.XLOOKUP(I24,'Project Costs'!$D$5:$J$5,'Project Costs'!$D$3:$J$3)</f>
        <v>2028</v>
      </c>
      <c r="K24" s="284">
        <f t="shared" si="5"/>
        <v>2029</v>
      </c>
      <c r="L24" s="25">
        <f t="shared" si="6"/>
        <v>10</v>
      </c>
      <c r="M24" s="86">
        <f>_xlfn.XLOOKUP('Capital Costs'!I24,'Project Costs'!$D$5:$J$5,'Project Costs'!$D$13:$J$13)</f>
        <v>1872379.7055656274</v>
      </c>
      <c r="N24" s="372">
        <f t="shared" si="7"/>
        <v>624126.56852187577</v>
      </c>
    </row>
    <row r="25" spans="1:14" ht="15.75" customHeight="1" x14ac:dyDescent="0.25">
      <c r="B25" s="43">
        <f t="shared" si="4"/>
        <v>2039</v>
      </c>
      <c r="C25" s="278">
        <f t="shared" si="1"/>
        <v>0</v>
      </c>
      <c r="D25" s="6">
        <f>C25*(1+0.07)^-(B25-'Project Data and Assumptions'!$C$3)</f>
        <v>0</v>
      </c>
      <c r="E25" s="209">
        <f t="shared" si="2"/>
        <v>0</v>
      </c>
      <c r="F25" s="6">
        <f>E25*(1+0.07)^-($B25-'Project Data and Assumptions'!$C$3)</f>
        <v>0</v>
      </c>
      <c r="I25" s="133" t="s">
        <v>107</v>
      </c>
      <c r="J25" s="25">
        <f>_xlfn.XLOOKUP(I25,'Project Costs'!$D$5:$J$5,'Project Costs'!$D$3:$J$3)</f>
        <v>2028</v>
      </c>
      <c r="K25" s="284">
        <f t="shared" si="5"/>
        <v>2029</v>
      </c>
      <c r="L25" s="25">
        <f t="shared" si="6"/>
        <v>10</v>
      </c>
      <c r="M25" s="86">
        <f>_xlfn.XLOOKUP('Capital Costs'!I25,'Project Costs'!$D$5:$J$5,'Project Costs'!$D$13:$J$13)</f>
        <v>1358679.331700993</v>
      </c>
      <c r="N25" s="372">
        <f t="shared" si="7"/>
        <v>452893.11056699767</v>
      </c>
    </row>
    <row r="26" spans="1:14" ht="15.75" customHeight="1" x14ac:dyDescent="0.25">
      <c r="B26" s="43">
        <f t="shared" si="4"/>
        <v>2040</v>
      </c>
      <c r="C26" s="278">
        <f t="shared" si="1"/>
        <v>0</v>
      </c>
      <c r="D26" s="6">
        <f>C26*(1+0.07)^-(B26-'Project Data and Assumptions'!$C$3)</f>
        <v>0</v>
      </c>
      <c r="E26" s="209">
        <f t="shared" si="2"/>
        <v>0</v>
      </c>
      <c r="F26" s="6">
        <f>E26*(1+0.07)^-($B26-'Project Data and Assumptions'!$C$3)</f>
        <v>0</v>
      </c>
      <c r="I26" s="133" t="s">
        <v>565</v>
      </c>
      <c r="J26" s="25">
        <f>_xlfn.XLOOKUP(I26,'Project Costs'!$D$5:$J$5,'Project Costs'!$D$3:$J$3)</f>
        <v>2029</v>
      </c>
      <c r="K26" s="284">
        <f t="shared" ref="K26" si="11">J26+1</f>
        <v>2030</v>
      </c>
      <c r="L26" s="25">
        <f t="shared" ref="L26" si="12">30-($J$14+20-K26)</f>
        <v>11</v>
      </c>
      <c r="M26" s="86">
        <f>_xlfn.XLOOKUP('Capital Costs'!I26,'Project Costs'!$D$5:$J$5,'Project Costs'!$D$13:$J$13)</f>
        <v>564853.1207222176</v>
      </c>
      <c r="N26" s="372">
        <f t="shared" si="7"/>
        <v>207112.81093147976</v>
      </c>
    </row>
    <row r="27" spans="1:14" ht="15.75" customHeight="1" x14ac:dyDescent="0.25">
      <c r="B27" s="43">
        <f t="shared" si="4"/>
        <v>2041</v>
      </c>
      <c r="C27" s="278">
        <f t="shared" si="1"/>
        <v>0</v>
      </c>
      <c r="D27" s="6">
        <f>C27*(1+0.07)^-(B27-'Project Data and Assumptions'!$C$3)</f>
        <v>0</v>
      </c>
      <c r="E27" s="209">
        <f t="shared" si="2"/>
        <v>0</v>
      </c>
      <c r="F27" s="6">
        <f>E27*(1+0.07)^-($B27-'Project Data and Assumptions'!$C$3)</f>
        <v>0</v>
      </c>
    </row>
    <row r="28" spans="1:14" ht="15.75" customHeight="1" x14ac:dyDescent="0.25">
      <c r="B28" s="43">
        <f t="shared" si="4"/>
        <v>2042</v>
      </c>
      <c r="C28" s="278">
        <f t="shared" si="1"/>
        <v>0</v>
      </c>
      <c r="D28" s="6">
        <f>C28*(1+0.07)^-(B28-'Project Data and Assumptions'!$C$3)</f>
        <v>0</v>
      </c>
      <c r="E28" s="209">
        <f t="shared" si="2"/>
        <v>0</v>
      </c>
      <c r="F28" s="6">
        <f>E28*(1+0.07)^-($B28-'Project Data and Assumptions'!$C$3)</f>
        <v>0</v>
      </c>
    </row>
    <row r="29" spans="1:14" ht="15.75" customHeight="1" x14ac:dyDescent="0.25">
      <c r="B29" s="43">
        <f t="shared" si="4"/>
        <v>2043</v>
      </c>
      <c r="C29" s="278">
        <f t="shared" si="1"/>
        <v>0</v>
      </c>
      <c r="D29" s="6">
        <f>C29*(1+0.07)^-(B29-'Project Data and Assumptions'!$C$3)</f>
        <v>0</v>
      </c>
      <c r="E29" s="209">
        <f t="shared" si="2"/>
        <v>0</v>
      </c>
      <c r="F29" s="6">
        <f>E29*(1+0.07)^-($B29-'Project Data and Assumptions'!$C$3)</f>
        <v>0</v>
      </c>
    </row>
    <row r="30" spans="1:14" ht="15.75" customHeight="1" x14ac:dyDescent="0.25">
      <c r="B30" s="43">
        <f t="shared" si="4"/>
        <v>2044</v>
      </c>
      <c r="C30" s="278">
        <f t="shared" si="1"/>
        <v>0</v>
      </c>
      <c r="D30" s="6">
        <f>C30*(1+0.07)^-(B30-'Project Data and Assumptions'!$C$3)</f>
        <v>0</v>
      </c>
      <c r="E30" s="209">
        <f t="shared" si="2"/>
        <v>0</v>
      </c>
      <c r="F30" s="6">
        <f>E30*(1+0.07)^-($B30-'Project Data and Assumptions'!$C$3)</f>
        <v>0</v>
      </c>
    </row>
    <row r="31" spans="1:14" ht="15.75" customHeight="1" x14ac:dyDescent="0.25">
      <c r="B31" s="43">
        <f t="shared" si="4"/>
        <v>2045</v>
      </c>
      <c r="C31" s="278">
        <f t="shared" si="1"/>
        <v>0</v>
      </c>
      <c r="D31" s="6">
        <f>C31*(1+0.07)^-(B31-'Project Data and Assumptions'!$C$3)</f>
        <v>0</v>
      </c>
      <c r="E31" s="209">
        <f t="shared" si="2"/>
        <v>0</v>
      </c>
      <c r="F31" s="6">
        <f>E31*(1+0.07)^-($B31-'Project Data and Assumptions'!$C$3)</f>
        <v>0</v>
      </c>
    </row>
    <row r="32" spans="1:14" ht="15.75" customHeight="1" x14ac:dyDescent="0.25">
      <c r="B32" s="43">
        <f t="shared" si="4"/>
        <v>2046</v>
      </c>
      <c r="C32" s="278">
        <f t="shared" si="1"/>
        <v>0</v>
      </c>
      <c r="D32" s="6">
        <f>C32*(1+0.07)^-(B32-'Project Data and Assumptions'!$C$3)</f>
        <v>0</v>
      </c>
      <c r="E32" s="209">
        <f t="shared" si="2"/>
        <v>0</v>
      </c>
      <c r="F32" s="6">
        <f>E32*(1+0.07)^-($B32-'Project Data and Assumptions'!$C$3)</f>
        <v>0</v>
      </c>
    </row>
    <row r="33" spans="1:8" ht="15.75" customHeight="1" x14ac:dyDescent="0.25">
      <c r="B33" s="43">
        <f t="shared" si="4"/>
        <v>2047</v>
      </c>
      <c r="C33" s="278">
        <f t="shared" si="1"/>
        <v>0</v>
      </c>
      <c r="D33" s="6">
        <f>C33*(1+0.07)^-(B33-'Project Data and Assumptions'!$C$3)</f>
        <v>0</v>
      </c>
      <c r="E33" s="209">
        <f t="shared" si="2"/>
        <v>0</v>
      </c>
      <c r="F33" s="6">
        <f>E33*(1+0.07)^-($B33-'Project Data and Assumptions'!$C$3)</f>
        <v>0</v>
      </c>
    </row>
    <row r="34" spans="1:8" ht="15.75" customHeight="1" x14ac:dyDescent="0.25">
      <c r="B34" s="43">
        <f t="shared" si="4"/>
        <v>2048</v>
      </c>
      <c r="C34" s="278">
        <f t="shared" si="1"/>
        <v>0</v>
      </c>
      <c r="D34" s="6">
        <f>C34*(1+0.07)^-(B34-'Project Data and Assumptions'!$C$3)</f>
        <v>0</v>
      </c>
      <c r="E34" s="209">
        <f t="shared" si="2"/>
        <v>0</v>
      </c>
      <c r="F34" s="6">
        <f>E34*(1+0.07)^-($B34-'Project Data and Assumptions'!$C$3)</f>
        <v>0</v>
      </c>
    </row>
    <row r="35" spans="1:8" ht="15.75" customHeight="1" x14ac:dyDescent="0.25">
      <c r="B35" s="43">
        <f t="shared" si="4"/>
        <v>2049</v>
      </c>
      <c r="C35" s="278">
        <f t="shared" si="1"/>
        <v>0</v>
      </c>
      <c r="D35" s="6">
        <f>C35*(1+0.07)^-(B35-'Project Data and Assumptions'!$C$3)</f>
        <v>0</v>
      </c>
      <c r="E35" s="209">
        <f t="shared" si="2"/>
        <v>0</v>
      </c>
      <c r="F35" s="6">
        <f>E35*(1+0.07)^-($B35-'Project Data and Assumptions'!$C$3)</f>
        <v>0</v>
      </c>
    </row>
    <row r="36" spans="1:8" ht="15.75" customHeight="1" x14ac:dyDescent="0.25">
      <c r="B36" s="43">
        <f t="shared" si="4"/>
        <v>2050</v>
      </c>
      <c r="C36" s="278">
        <f t="shared" si="1"/>
        <v>0</v>
      </c>
      <c r="D36" s="6">
        <f>C36*(1+0.07)^-(B36-'Project Data and Assumptions'!$C$3)</f>
        <v>0</v>
      </c>
      <c r="E36" s="209">
        <f>IF($B36=MAX($K$20:$K$26)+20-1+1,SUM($N$20:$N$26),0)</f>
        <v>8711468.2846531179</v>
      </c>
      <c r="F36" s="6">
        <f>E36*(1+0.07)^-($B36-'Project Data and Assumptions'!$C$3)</f>
        <v>1224508.507970216</v>
      </c>
      <c r="G36" s="42"/>
    </row>
    <row r="37" spans="1:8" ht="15.75" customHeight="1" x14ac:dyDescent="0.25">
      <c r="B37" s="43">
        <f t="shared" si="4"/>
        <v>2051</v>
      </c>
      <c r="C37" s="278">
        <f t="shared" si="1"/>
        <v>0</v>
      </c>
      <c r="D37" s="6">
        <f>C37*(1+0.07)^-(B37-'Project Data and Assumptions'!$C$3)</f>
        <v>0</v>
      </c>
      <c r="E37" s="209">
        <f t="shared" ref="E37:E38" si="13">IF($B37=MAX($K$20:$K$26)+20-1+1,SUM($N$20:$N$26),0)</f>
        <v>0</v>
      </c>
      <c r="F37" s="6">
        <f>E37*(1+0.07)^-($B37-'Project Data and Assumptions'!$C$3)</f>
        <v>0</v>
      </c>
      <c r="G37" s="42"/>
      <c r="H37" s="42"/>
    </row>
    <row r="38" spans="1:8" ht="15.75" customHeight="1" thickBot="1" x14ac:dyDescent="0.3">
      <c r="B38" s="276">
        <f t="shared" si="4"/>
        <v>2052</v>
      </c>
      <c r="C38" s="279">
        <f t="shared" si="1"/>
        <v>0</v>
      </c>
      <c r="D38" s="7">
        <f>C38*(1+0.07)^-(B38-'Project Data and Assumptions'!$C$3)</f>
        <v>0</v>
      </c>
      <c r="E38" s="208">
        <f t="shared" si="13"/>
        <v>0</v>
      </c>
      <c r="F38" s="7">
        <f>E38*(1+0.07)^-($B38-'Project Data and Assumptions'!$C$3)</f>
        <v>0</v>
      </c>
      <c r="G38" s="42"/>
      <c r="H38" s="42"/>
    </row>
    <row r="39" spans="1:8" ht="15.75" customHeight="1" thickBot="1" x14ac:dyDescent="0.3">
      <c r="D39" s="277">
        <f>SUM(D7:D38)</f>
        <v>14512119.032113601</v>
      </c>
      <c r="E39" s="11"/>
      <c r="F39" s="277">
        <f>SUM(F7:F38)</f>
        <v>1224508.507970216</v>
      </c>
      <c r="G39" s="42"/>
      <c r="H39" s="42"/>
    </row>
    <row r="40" spans="1:8" ht="15.75" customHeight="1" x14ac:dyDescent="0.25">
      <c r="B40" s="4"/>
      <c r="C40" s="5"/>
      <c r="G40" s="42"/>
      <c r="H40" s="42"/>
    </row>
    <row r="41" spans="1:8" ht="15.75" customHeight="1" x14ac:dyDescent="0.25">
      <c r="B41" s="4"/>
      <c r="C41" s="4"/>
      <c r="D41" s="5"/>
      <c r="E41" s="11"/>
      <c r="F41" s="12"/>
      <c r="G41" s="42"/>
      <c r="H41" s="42"/>
    </row>
    <row r="42" spans="1:8" ht="15.75" customHeight="1" x14ac:dyDescent="0.25">
      <c r="B42" s="8" t="s">
        <v>3</v>
      </c>
      <c r="G42" s="42"/>
      <c r="H42" s="42"/>
    </row>
    <row r="43" spans="1:8" ht="15.75" customHeight="1" x14ac:dyDescent="0.25">
      <c r="A43" s="48" t="s">
        <v>18</v>
      </c>
      <c r="B43" s="731" t="s">
        <v>691</v>
      </c>
      <c r="C43" s="731"/>
      <c r="D43" s="731"/>
      <c r="E43" s="731"/>
      <c r="F43" s="731"/>
      <c r="G43" s="42"/>
      <c r="H43" s="42"/>
    </row>
    <row r="44" spans="1:8" ht="15.75" customHeight="1" x14ac:dyDescent="0.25">
      <c r="A44" s="48"/>
      <c r="B44" s="731"/>
      <c r="C44" s="731"/>
      <c r="D44" s="731"/>
      <c r="E44" s="731"/>
      <c r="F44" s="731"/>
      <c r="G44" s="42"/>
      <c r="H44" s="42"/>
    </row>
    <row r="45" spans="1:8" ht="15.75" customHeight="1" x14ac:dyDescent="0.25">
      <c r="B45" s="731"/>
      <c r="C45" s="731"/>
      <c r="D45" s="731"/>
      <c r="E45" s="731"/>
      <c r="F45" s="731"/>
      <c r="G45" s="42"/>
      <c r="H45" s="42"/>
    </row>
    <row r="46" spans="1:8" x14ac:dyDescent="0.25">
      <c r="A46" s="48"/>
      <c r="B46" s="732"/>
      <c r="C46" s="732"/>
      <c r="D46" s="732"/>
      <c r="E46" s="732"/>
      <c r="F46" s="732"/>
      <c r="G46" s="42"/>
      <c r="H46" s="42"/>
    </row>
    <row r="47" spans="1:8" ht="15" customHeight="1" x14ac:dyDescent="0.25">
      <c r="A47" s="48" t="s">
        <v>17</v>
      </c>
      <c r="B47" s="731" t="s">
        <v>692</v>
      </c>
      <c r="C47" s="731"/>
      <c r="D47" s="731"/>
      <c r="E47" s="731"/>
      <c r="F47" s="731"/>
      <c r="G47" s="42"/>
      <c r="H47" s="42"/>
    </row>
    <row r="48" spans="1:8" x14ac:dyDescent="0.25">
      <c r="A48" s="49"/>
      <c r="B48" s="731"/>
      <c r="C48" s="731"/>
      <c r="D48" s="731"/>
      <c r="E48" s="731"/>
      <c r="F48" s="731"/>
      <c r="H48" s="42"/>
    </row>
    <row r="49" spans="1:6" x14ac:dyDescent="0.25">
      <c r="A49" s="49"/>
      <c r="B49" s="731"/>
      <c r="C49" s="731"/>
      <c r="D49" s="731"/>
      <c r="E49" s="731"/>
      <c r="F49" s="731"/>
    </row>
    <row r="50" spans="1:6" x14ac:dyDescent="0.25">
      <c r="A50" s="48"/>
      <c r="B50" s="731"/>
      <c r="C50" s="731"/>
      <c r="D50" s="731"/>
      <c r="E50" s="731"/>
      <c r="F50" s="731"/>
    </row>
    <row r="51" spans="1:6" x14ac:dyDescent="0.25">
      <c r="B51" s="731"/>
      <c r="C51" s="731"/>
      <c r="D51" s="731"/>
      <c r="E51" s="731"/>
      <c r="F51" s="731"/>
    </row>
    <row r="52" spans="1:6" x14ac:dyDescent="0.25">
      <c r="B52" s="731"/>
      <c r="C52" s="731"/>
      <c r="D52" s="731"/>
      <c r="E52" s="731"/>
      <c r="F52" s="731"/>
    </row>
    <row r="53" spans="1:6" x14ac:dyDescent="0.25">
      <c r="A53" s="9"/>
      <c r="B53" s="731"/>
      <c r="C53" s="731"/>
      <c r="D53" s="731"/>
      <c r="E53" s="731"/>
      <c r="F53" s="731"/>
    </row>
    <row r="54" spans="1:6" ht="15" customHeight="1" x14ac:dyDescent="0.25">
      <c r="A54" s="49"/>
      <c r="B54" s="731"/>
      <c r="C54" s="731"/>
      <c r="D54" s="731"/>
      <c r="E54" s="731"/>
      <c r="F54" s="731"/>
    </row>
    <row r="55" spans="1:6" x14ac:dyDescent="0.25">
      <c r="A55" s="48"/>
      <c r="B55" s="731"/>
      <c r="C55" s="731"/>
      <c r="D55" s="731"/>
      <c r="E55" s="731"/>
      <c r="F55" s="731"/>
    </row>
    <row r="56" spans="1:6" x14ac:dyDescent="0.25">
      <c r="A56" s="48"/>
    </row>
    <row r="57" spans="1:6" x14ac:dyDescent="0.25">
      <c r="A57" s="49"/>
    </row>
    <row r="60" spans="1:6" ht="15" customHeight="1" x14ac:dyDescent="0.25"/>
    <row r="62" spans="1:6" x14ac:dyDescent="0.25">
      <c r="A62" s="9"/>
    </row>
    <row r="68" spans="1:1" x14ac:dyDescent="0.25">
      <c r="A68" s="9"/>
    </row>
  </sheetData>
  <mergeCells count="9">
    <mergeCell ref="O4:P4"/>
    <mergeCell ref="B43:F45"/>
    <mergeCell ref="C4:D4"/>
    <mergeCell ref="B5:B6"/>
    <mergeCell ref="C5:C6"/>
    <mergeCell ref="D5:D6"/>
    <mergeCell ref="F5:F6"/>
    <mergeCell ref="E5:E6"/>
    <mergeCell ref="B47:F55"/>
  </mergeCells>
  <pageMargins left="0.25" right="0.25" top="0.75" bottom="0.75" header="0.3" footer="0.3"/>
  <pageSetup scale="51" fitToHeight="2"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A49A8-2825-428F-8EE4-C82E68F36D87}">
  <sheetPr>
    <tabColor theme="2" tint="-0.499984740745262"/>
    <pageSetUpPr fitToPage="1"/>
  </sheetPr>
  <dimension ref="B1:R37"/>
  <sheetViews>
    <sheetView view="pageBreakPreview" zoomScale="85" zoomScaleNormal="85" zoomScaleSheetLayoutView="85" workbookViewId="0">
      <selection activeCell="J35" sqref="J35"/>
    </sheetView>
  </sheetViews>
  <sheetFormatPr defaultRowHeight="15" x14ac:dyDescent="0.25"/>
  <cols>
    <col min="1" max="1" width="3.5703125" customWidth="1"/>
    <col min="2" max="2" width="20.7109375" customWidth="1"/>
    <col min="3" max="3" width="16.28515625" bestFit="1" customWidth="1"/>
    <col min="4" max="10" width="13.28515625" customWidth="1"/>
  </cols>
  <sheetData>
    <row r="1" spans="2:18" ht="23.25" x14ac:dyDescent="0.35">
      <c r="B1" s="26"/>
      <c r="C1" s="26"/>
    </row>
    <row r="3" spans="2:18" ht="15.75" x14ac:dyDescent="0.25">
      <c r="B3" s="33"/>
      <c r="C3" s="33"/>
    </row>
    <row r="4" spans="2:18" s="45" customFormat="1" ht="16.5" thickBot="1" x14ac:dyDescent="0.3">
      <c r="B4" s="46"/>
      <c r="C4" s="702"/>
      <c r="D4" s="702"/>
      <c r="E4" s="702"/>
      <c r="F4" s="702"/>
      <c r="G4" s="702"/>
      <c r="H4" s="702"/>
      <c r="I4" s="702"/>
      <c r="J4" s="702"/>
    </row>
    <row r="5" spans="2:18" ht="35.1" customHeight="1" x14ac:dyDescent="0.25">
      <c r="B5" s="611" t="s">
        <v>0</v>
      </c>
      <c r="C5" s="703" t="s">
        <v>451</v>
      </c>
      <c r="D5" s="704"/>
      <c r="E5" s="704"/>
      <c r="F5" s="704"/>
      <c r="G5" s="704"/>
      <c r="H5" s="704"/>
      <c r="I5" s="704"/>
      <c r="J5" s="705"/>
    </row>
    <row r="6" spans="2:18" ht="35.1" customHeight="1" thickBot="1" x14ac:dyDescent="0.3">
      <c r="B6" s="612"/>
      <c r="C6" s="297" t="s">
        <v>326</v>
      </c>
      <c r="D6" s="298" t="s">
        <v>535</v>
      </c>
      <c r="E6" s="298" t="s">
        <v>534</v>
      </c>
      <c r="F6" s="298" t="s">
        <v>416</v>
      </c>
      <c r="G6" s="298" t="s">
        <v>240</v>
      </c>
      <c r="H6" s="298" t="s">
        <v>439</v>
      </c>
      <c r="I6" s="560" t="s">
        <v>672</v>
      </c>
      <c r="J6" s="299" t="s">
        <v>23</v>
      </c>
      <c r="L6" s="55"/>
      <c r="M6" s="56"/>
    </row>
    <row r="7" spans="2:18" ht="15" customHeight="1" x14ac:dyDescent="0.25">
      <c r="B7" s="67">
        <f>'Project Data and Assumptions'!C4</f>
        <v>2028</v>
      </c>
      <c r="C7" s="334">
        <f>_xlfn.XLOOKUP($B7,'QoL Benefits - BCRT'!$B$7:$B$31,'QoL Benefits - BCRT'!$A$7:$A$31,0)</f>
        <v>0</v>
      </c>
      <c r="D7" s="335">
        <f>_xlfn.XLOOKUP($B7,'QoL Benefits - CP South RT'!$B$7:$B$31,'QoL Benefits - CP South RT'!$A$7:$A$31,0)</f>
        <v>0</v>
      </c>
      <c r="E7" s="335">
        <f>_xlfn.XLOOKUP($B7,'QoL Benefits - CP North RT'!$B$7:$B$31,'QoL Benefits - CP North RT'!$A$7:$A$31,0)</f>
        <v>0</v>
      </c>
      <c r="F7" s="335">
        <f>_xlfn.XLOOKUP($B7,'QoL Benefits - Eagle RT'!$B$7:$B$31,'QoL Benefits - Eagle RT'!$A$7:$A$31,0)</f>
        <v>0</v>
      </c>
      <c r="G7" s="335">
        <f>_xlfn.XLOOKUP($B7,'QoL Benefits - Med Lake RT'!$B$7:$B$31,'QoL Benefits - Med Lake RT'!$A$7:$A$31,0)</f>
        <v>0</v>
      </c>
      <c r="H7" s="335">
        <f>_xlfn.XLOOKUP($B7,'QoL Benefits - Shingle Crk NAR'!$B$7:$B$31,'QoL Benefits - Shingle Crk NAR'!$A$7:$A$31,0)</f>
        <v>0</v>
      </c>
      <c r="I7" s="335">
        <f>_xlfn.XLOOKUP($B7,'QoL Benefits - Twin Lakes RT'!$B$7:$B$31,'QoL Benefits - Twin Lakes RT'!$A$7:$A$31,0)</f>
        <v>0</v>
      </c>
      <c r="J7" s="336">
        <f t="shared" ref="J7:J34" si="0">SUM(C7:I7)</f>
        <v>0</v>
      </c>
    </row>
    <row r="8" spans="2:18" ht="15" customHeight="1" x14ac:dyDescent="0.25">
      <c r="B8" s="310">
        <f>B7+1</f>
        <v>2029</v>
      </c>
      <c r="C8" s="337">
        <f>_xlfn.XLOOKUP($B8,'QoL Benefits - BCRT'!$B$7:$B$31,'QoL Benefits - BCRT'!$A$7:$A$31,0)</f>
        <v>0</v>
      </c>
      <c r="D8" s="338">
        <f>_xlfn.XLOOKUP($B8,'QoL Benefits - CP South RT'!$B$7:$B$31,'QoL Benefits - CP South RT'!$A$7:$A$31,0)</f>
        <v>0</v>
      </c>
      <c r="E8" s="338">
        <f>_xlfn.XLOOKUP($B8,'QoL Benefits - CP North RT'!$B$7:$B$31,'QoL Benefits - CP North RT'!$A$7:$A$31,0)</f>
        <v>0</v>
      </c>
      <c r="F8" s="338">
        <f>_xlfn.XLOOKUP($B8,'QoL Benefits - Eagle RT'!$B$7:$B$31,'QoL Benefits - Eagle RT'!$A$7:$A$31,0)</f>
        <v>0</v>
      </c>
      <c r="G8" s="338">
        <f>_xlfn.XLOOKUP($B8,'QoL Benefits - Med Lake RT'!$B$7:$B$31,'QoL Benefits - Med Lake RT'!$A$7:$A$31,0)</f>
        <v>0</v>
      </c>
      <c r="H8" s="338">
        <f>_xlfn.XLOOKUP($B8,'QoL Benefits - Shingle Crk NAR'!$B$7:$B$31,'QoL Benefits - Shingle Crk NAR'!$A$7:$A$31,0)</f>
        <v>0</v>
      </c>
      <c r="I8" s="338">
        <f>_xlfn.XLOOKUP($B8,'QoL Benefits - Twin Lakes RT'!$B$7:$B$31,'QoL Benefits - Twin Lakes RT'!$A$7:$A$31,0)</f>
        <v>0</v>
      </c>
      <c r="J8" s="339">
        <f t="shared" si="0"/>
        <v>0</v>
      </c>
      <c r="K8" s="5"/>
    </row>
    <row r="9" spans="2:18" ht="15" customHeight="1" x14ac:dyDescent="0.25">
      <c r="B9" s="306">
        <f t="shared" ref="B9:B34" si="1">B8+1</f>
        <v>2030</v>
      </c>
      <c r="C9" s="340">
        <f>_xlfn.XLOOKUP($B9,'QoL Benefits - BCRT'!$B$7:$B$31,'QoL Benefits - BCRT'!$A$7:$A$31,0)</f>
        <v>0</v>
      </c>
      <c r="D9" s="341">
        <f>_xlfn.XLOOKUP($B9,'QoL Benefits - CP South RT'!$B$7:$B$31,'QoL Benefits - CP South RT'!$A$7:$A$31,0)</f>
        <v>0</v>
      </c>
      <c r="E9" s="341">
        <f>_xlfn.XLOOKUP($B9,'QoL Benefits - CP North RT'!$B$7:$B$31,'QoL Benefits - CP North RT'!$A$7:$A$31,0)</f>
        <v>0</v>
      </c>
      <c r="F9" s="341">
        <f>_xlfn.XLOOKUP($B9,'QoL Benefits - Eagle RT'!$B$7:$B$31,'QoL Benefits - Eagle RT'!$A$7:$A$31,0)</f>
        <v>24617.085718868908</v>
      </c>
      <c r="G9" s="341">
        <f>_xlfn.XLOOKUP($B9,'QoL Benefits - Med Lake RT'!$B$7:$B$31,'QoL Benefits - Med Lake RT'!$A$7:$A$31,0)</f>
        <v>3567.8088467103539</v>
      </c>
      <c r="H9" s="341">
        <f>_xlfn.XLOOKUP($B9,'QoL Benefits - Shingle Crk NAR'!$B$7:$B$31,'QoL Benefits - Shingle Crk NAR'!$A$7:$A$31,0)</f>
        <v>3320.5759419209712</v>
      </c>
      <c r="I9" s="341">
        <f>_xlfn.XLOOKUP($B9,'QoL Benefits - Twin Lakes RT'!$B$7:$B$31,'QoL Benefits - Twin Lakes RT'!$A$7:$A$31,0)</f>
        <v>0</v>
      </c>
      <c r="J9" s="342">
        <f t="shared" si="0"/>
        <v>31505.470507500235</v>
      </c>
      <c r="L9" s="122"/>
      <c r="M9" s="122"/>
      <c r="N9" s="122"/>
      <c r="O9" s="122"/>
      <c r="P9" s="122"/>
      <c r="Q9" s="122"/>
      <c r="R9" s="122"/>
    </row>
    <row r="10" spans="2:18" ht="15" customHeight="1" x14ac:dyDescent="0.25">
      <c r="B10" s="60">
        <f t="shared" si="1"/>
        <v>2031</v>
      </c>
      <c r="C10" s="343">
        <f>_xlfn.XLOOKUP($B10,'QoL Benefits - BCRT'!$B$7:$B$31,'QoL Benefits - BCRT'!$A$7:$A$31,0)</f>
        <v>0</v>
      </c>
      <c r="D10" s="344">
        <f>_xlfn.XLOOKUP($B10,'QoL Benefits - CP South RT'!$B$7:$B$31,'QoL Benefits - CP South RT'!$A$7:$A$31,0)</f>
        <v>66973.568138126779</v>
      </c>
      <c r="E10" s="344">
        <f>_xlfn.XLOOKUP($B10,'QoL Benefits - CP North RT'!$B$7:$B$31,'QoL Benefits - CP North RT'!$A$7:$A$31,0)</f>
        <v>52723.872789589164</v>
      </c>
      <c r="F10" s="344">
        <f>_xlfn.XLOOKUP($B10,'QoL Benefits - Eagle RT'!$B$7:$B$31,'QoL Benefits - Eagle RT'!$A$7:$A$31,0)</f>
        <v>26402.895184936981</v>
      </c>
      <c r="G10" s="344">
        <f>_xlfn.XLOOKUP($B10,'QoL Benefits - Med Lake RT'!$B$7:$B$31,'QoL Benefits - Med Lake RT'!$A$7:$A$31,0)</f>
        <v>3625.3685665680996</v>
      </c>
      <c r="H10" s="344">
        <f>_xlfn.XLOOKUP($B10,'QoL Benefits - Shingle Crk NAR'!$B$7:$B$31,'QoL Benefits - Shingle Crk NAR'!$A$7:$A$31,0)</f>
        <v>3350.3634912502034</v>
      </c>
      <c r="I10" s="344">
        <f>_xlfn.XLOOKUP($B10,'QoL Benefits - Twin Lakes RT'!$B$7:$B$31,'QoL Benefits - Twin Lakes RT'!$A$7:$A$31,0)</f>
        <v>2670.2167030193764</v>
      </c>
      <c r="J10" s="339">
        <f t="shared" si="0"/>
        <v>155746.2848734906</v>
      </c>
      <c r="L10" s="122"/>
      <c r="M10" s="122"/>
      <c r="N10" s="122"/>
      <c r="O10" s="122"/>
      <c r="P10" s="122"/>
      <c r="Q10" s="122"/>
      <c r="R10" s="122"/>
    </row>
    <row r="11" spans="2:18" ht="15" customHeight="1" x14ac:dyDescent="0.25">
      <c r="B11" s="60">
        <f t="shared" si="1"/>
        <v>2032</v>
      </c>
      <c r="C11" s="343">
        <f>_xlfn.XLOOKUP($B11,'QoL Benefits - BCRT'!$B$7:$B$31,'QoL Benefits - BCRT'!$A$7:$A$31,0)</f>
        <v>0</v>
      </c>
      <c r="D11" s="344">
        <f>_xlfn.XLOOKUP($B11,'QoL Benefits - CP South RT'!$B$7:$B$31,'QoL Benefits - CP South RT'!$A$7:$A$31,0)</f>
        <v>71996.262828678475</v>
      </c>
      <c r="E11" s="344">
        <f>_xlfn.XLOOKUP($B11,'QoL Benefits - CP North RT'!$B$7:$B$31,'QoL Benefits - CP North RT'!$A$7:$A$31,0)</f>
        <v>56677.909035342629</v>
      </c>
      <c r="F11" s="344">
        <f>_xlfn.XLOOKUP($B11,'QoL Benefits - Eagle RT'!$B$7:$B$31,'QoL Benefits - Eagle RT'!$A$7:$A$31,0)</f>
        <v>28318.253513348813</v>
      </c>
      <c r="G11" s="344">
        <f>_xlfn.XLOOKUP($B11,'QoL Benefits - Med Lake RT'!$B$7:$B$31,'QoL Benefits - Med Lake RT'!$A$7:$A$31,0)</f>
        <v>3683.8569015766125</v>
      </c>
      <c r="H11" s="344">
        <f>_xlfn.XLOOKUP($B11,'QoL Benefits - Shingle Crk NAR'!$B$7:$B$31,'QoL Benefits - Shingle Crk NAR'!$A$7:$A$31,0)</f>
        <v>3380.4182526867803</v>
      </c>
      <c r="I11" s="344">
        <f>_xlfn.XLOOKUP($B11,'QoL Benefits - Twin Lakes RT'!$B$7:$B$31,'QoL Benefits - Twin Lakes RT'!$A$7:$A$31,0)</f>
        <v>2681.9302077483503</v>
      </c>
      <c r="J11" s="339">
        <f t="shared" si="0"/>
        <v>166738.63073938165</v>
      </c>
      <c r="L11" s="122"/>
      <c r="M11" s="122"/>
      <c r="N11" s="122"/>
      <c r="O11" s="122"/>
      <c r="P11" s="122"/>
      <c r="Q11" s="122"/>
      <c r="R11" s="122"/>
    </row>
    <row r="12" spans="2:18" ht="15" customHeight="1" x14ac:dyDescent="0.25">
      <c r="B12" s="60">
        <f t="shared" si="1"/>
        <v>2033</v>
      </c>
      <c r="C12" s="343">
        <f>_xlfn.XLOOKUP($B12,'QoL Benefits - BCRT'!$B$7:$B$31,'QoL Benefits - BCRT'!$A$7:$A$31,0)</f>
        <v>0</v>
      </c>
      <c r="D12" s="344">
        <f>_xlfn.XLOOKUP($B12,'QoL Benefits - CP South RT'!$B$7:$B$31,'QoL Benefits - CP South RT'!$A$7:$A$31,0)</f>
        <v>77395.635403592969</v>
      </c>
      <c r="E12" s="344">
        <f>_xlfn.XLOOKUP($B12,'QoL Benefits - CP North RT'!$B$7:$B$31,'QoL Benefits - CP North RT'!$A$7:$A$31,0)</f>
        <v>60928.478934743398</v>
      </c>
      <c r="F12" s="344">
        <f>_xlfn.XLOOKUP($B12,'QoL Benefits - Eagle RT'!$B$7:$B$31,'QoL Benefits - Eagle RT'!$A$7:$A$31,0)</f>
        <v>30372.558631516848</v>
      </c>
      <c r="G12" s="344">
        <f>_xlfn.XLOOKUP($B12,'QoL Benefits - Med Lake RT'!$B$7:$B$31,'QoL Benefits - Med Lake RT'!$A$7:$A$31,0)</f>
        <v>3743.2888331517247</v>
      </c>
      <c r="H12" s="344">
        <f>_xlfn.XLOOKUP($B12,'QoL Benefits - Shingle Crk NAR'!$B$7:$B$31,'QoL Benefits - Shingle Crk NAR'!$A$7:$A$31,0)</f>
        <v>3410.7426232828925</v>
      </c>
      <c r="I12" s="344">
        <f>_xlfn.XLOOKUP($B12,'QoL Benefits - Twin Lakes RT'!$B$7:$B$31,'QoL Benefits - Twin Lakes RT'!$A$7:$A$31,0)</f>
        <v>2693.6950963941736</v>
      </c>
      <c r="J12" s="339">
        <f t="shared" si="0"/>
        <v>178544.39952268198</v>
      </c>
      <c r="L12" s="122"/>
      <c r="M12" s="122"/>
      <c r="N12" s="122"/>
      <c r="O12" s="122"/>
      <c r="P12" s="122"/>
      <c r="Q12" s="122"/>
      <c r="R12" s="122"/>
    </row>
    <row r="13" spans="2:18" ht="15" customHeight="1" x14ac:dyDescent="0.25">
      <c r="B13" s="60">
        <f t="shared" si="1"/>
        <v>2034</v>
      </c>
      <c r="C13" s="343">
        <f>_xlfn.XLOOKUP($B13,'QoL Benefits - BCRT'!$B$7:$B$31,'QoL Benefits - BCRT'!$A$7:$A$31,0)</f>
        <v>5651.7080753630535</v>
      </c>
      <c r="D13" s="344">
        <f>_xlfn.XLOOKUP($B13,'QoL Benefits - CP South RT'!$B$7:$B$31,'QoL Benefits - CP South RT'!$A$7:$A$31,0)</f>
        <v>83199.934888007076</v>
      </c>
      <c r="E13" s="344">
        <f>_xlfn.XLOOKUP($B13,'QoL Benefits - CP North RT'!$B$7:$B$31,'QoL Benefits - CP North RT'!$A$7:$A$31,0)</f>
        <v>65497.821082048111</v>
      </c>
      <c r="F13" s="344">
        <f>_xlfn.XLOOKUP($B13,'QoL Benefits - Eagle RT'!$B$7:$B$31,'QoL Benefits - Eagle RT'!$A$7:$A$31,0)</f>
        <v>32575.890225365743</v>
      </c>
      <c r="G13" s="344">
        <f>_xlfn.XLOOKUP($B13,'QoL Benefits - Med Lake RT'!$B$7:$B$31,'QoL Benefits - Med Lake RT'!$A$7:$A$31,0)</f>
        <v>3803.6795844055373</v>
      </c>
      <c r="H13" s="344">
        <f>_xlfn.XLOOKUP($B13,'QoL Benefits - Shingle Crk NAR'!$B$7:$B$31,'QoL Benefits - Shingle Crk NAR'!$A$7:$A$31,0)</f>
        <v>3441.339021593717</v>
      </c>
      <c r="I13" s="344">
        <f>_xlfn.XLOOKUP($B13,'QoL Benefits - Twin Lakes RT'!$B$7:$B$31,'QoL Benefits - Twin Lakes RT'!$A$7:$A$31,0)</f>
        <v>2705.5115943639253</v>
      </c>
      <c r="J13" s="339">
        <f t="shared" si="0"/>
        <v>196875.88447114718</v>
      </c>
      <c r="L13" s="122"/>
      <c r="M13" s="122"/>
      <c r="N13" s="122"/>
      <c r="O13" s="122"/>
      <c r="P13" s="122"/>
      <c r="Q13" s="122"/>
      <c r="R13" s="122"/>
    </row>
    <row r="14" spans="2:18" ht="15" customHeight="1" x14ac:dyDescent="0.25">
      <c r="B14" s="60">
        <f t="shared" si="1"/>
        <v>2035</v>
      </c>
      <c r="C14" s="343">
        <f>_xlfn.XLOOKUP($B14,'QoL Benefits - BCRT'!$B$7:$B$31,'QoL Benefits - BCRT'!$A$7:$A$31,0)</f>
        <v>5787.3429526045848</v>
      </c>
      <c r="D14" s="344">
        <f>_xlfn.XLOOKUP($B14,'QoL Benefits - CP South RT'!$B$7:$B$31,'QoL Benefits - CP South RT'!$A$7:$A$31,0)</f>
        <v>89439.528847737369</v>
      </c>
      <c r="E14" s="344">
        <f>_xlfn.XLOOKUP($B14,'QoL Benefits - CP North RT'!$B$7:$B$31,'QoL Benefits - CP North RT'!$A$7:$A$31,0)</f>
        <v>70409.841858857078</v>
      </c>
      <c r="F14" s="344">
        <f>_xlfn.XLOOKUP($B14,'QoL Benefits - Eagle RT'!$B$7:$B$31,'QoL Benefits - Eagle RT'!$A$7:$A$31,0)</f>
        <v>34939.05919647844</v>
      </c>
      <c r="G14" s="344">
        <f>_xlfn.XLOOKUP($B14,'QoL Benefits - Med Lake RT'!$B$7:$B$31,'QoL Benefits - Med Lake RT'!$A$7:$A$31,0)</f>
        <v>3865.0446240457295</v>
      </c>
      <c r="H14" s="344">
        <f>_xlfn.XLOOKUP($B14,'QoL Benefits - Shingle Crk NAR'!$B$7:$B$31,'QoL Benefits - Shingle Crk NAR'!$A$7:$A$31,0)</f>
        <v>3472.2098878703155</v>
      </c>
      <c r="I14" s="344">
        <f>_xlfn.XLOOKUP($B14,'QoL Benefits - Twin Lakes RT'!$B$7:$B$31,'QoL Benefits - Twin Lakes RT'!$A$7:$A$31,0)</f>
        <v>2717.3799280534868</v>
      </c>
      <c r="J14" s="339">
        <f t="shared" si="0"/>
        <v>210630.40729564699</v>
      </c>
      <c r="L14" s="122"/>
      <c r="M14" s="122"/>
      <c r="N14" s="122"/>
      <c r="O14" s="122"/>
      <c r="P14" s="122"/>
      <c r="Q14" s="122"/>
      <c r="R14" s="122"/>
    </row>
    <row r="15" spans="2:18" ht="15" customHeight="1" x14ac:dyDescent="0.25">
      <c r="B15" s="60">
        <f t="shared" si="1"/>
        <v>2036</v>
      </c>
      <c r="C15" s="343">
        <f>_xlfn.XLOOKUP($B15,'QoL Benefits - BCRT'!$B$7:$B$31,'QoL Benefits - BCRT'!$A$7:$A$31,0)</f>
        <v>5926.2329201089196</v>
      </c>
      <c r="D15" s="344">
        <f>_xlfn.XLOOKUP($B15,'QoL Benefits - CP South RT'!$B$7:$B$31,'QoL Benefits - CP South RT'!$A$7:$A$31,0)</f>
        <v>96147.062269616377</v>
      </c>
      <c r="E15" s="344">
        <f>_xlfn.XLOOKUP($B15,'QoL Benefits - CP North RT'!$B$7:$B$31,'QoL Benefits - CP North RT'!$A$7:$A$31,0)</f>
        <v>75690.24051012352</v>
      </c>
      <c r="F15" s="344">
        <f>_xlfn.XLOOKUP($B15,'QoL Benefits - Eagle RT'!$B$7:$B$31,'QoL Benefits - Eagle RT'!$A$7:$A$31,0)</f>
        <v>37473.660707036557</v>
      </c>
      <c r="G15" s="344">
        <f>_xlfn.XLOOKUP($B15,'QoL Benefits - Med Lake RT'!$B$7:$B$31,'QoL Benefits - Med Lake RT'!$A$7:$A$31,0)</f>
        <v>3927.3996703377629</v>
      </c>
      <c r="H15" s="344">
        <f>_xlfn.XLOOKUP($B15,'QoL Benefits - Shingle Crk NAR'!$B$7:$B$31,'QoL Benefits - Shingle Crk NAR'!$A$7:$A$31,0)</f>
        <v>3503.357684254262</v>
      </c>
      <c r="I15" s="344">
        <f>_xlfn.XLOOKUP($B15,'QoL Benefits - Twin Lakes RT'!$B$7:$B$31,'QoL Benefits - Twin Lakes RT'!$A$7:$A$31,0)</f>
        <v>2729.3003248518748</v>
      </c>
      <c r="J15" s="339">
        <f t="shared" si="0"/>
        <v>225397.25408632928</v>
      </c>
      <c r="L15" s="122"/>
      <c r="M15" s="122"/>
      <c r="N15" s="122"/>
      <c r="O15" s="122"/>
      <c r="P15" s="122"/>
      <c r="Q15" s="122"/>
      <c r="R15" s="122"/>
    </row>
    <row r="16" spans="2:18" ht="15" customHeight="1" x14ac:dyDescent="0.25">
      <c r="B16" s="60">
        <f t="shared" si="1"/>
        <v>2037</v>
      </c>
      <c r="C16" s="343">
        <f>_xlfn.XLOOKUP($B16,'QoL Benefits - BCRT'!$B$7:$B$31,'QoL Benefits - BCRT'!$A$7:$A$31,0)</f>
        <v>6068.4560965195415</v>
      </c>
      <c r="D16" s="344">
        <f>_xlfn.XLOOKUP($B16,'QoL Benefits - CP South RT'!$B$7:$B$31,'QoL Benefits - CP South RT'!$A$7:$A$31,0)</f>
        <v>103357.62835708799</v>
      </c>
      <c r="E16" s="344">
        <f>_xlfn.XLOOKUP($B16,'QoL Benefits - CP North RT'!$B$7:$B$31,'QoL Benefits - CP North RT'!$A$7:$A$31,0)</f>
        <v>81366.643600260766</v>
      </c>
      <c r="F16" s="344">
        <f>_xlfn.XLOOKUP($B16,'QoL Benefits - Eagle RT'!$B$7:$B$31,'QoL Benefits - Eagle RT'!$A$7:$A$31,0)</f>
        <v>40192.131072826225</v>
      </c>
      <c r="G16" s="344">
        <f>_xlfn.XLOOKUP($B16,'QoL Benefits - Med Lake RT'!$B$7:$B$31,'QoL Benefits - Med Lake RT'!$A$7:$A$31,0)</f>
        <v>3990.7606951310268</v>
      </c>
      <c r="H16" s="344">
        <f>_xlfn.XLOOKUP($B16,'QoL Benefits - Shingle Crk NAR'!$B$7:$B$31,'QoL Benefits - Shingle Crk NAR'!$A$7:$A$31,0)</f>
        <v>3534.7848949740073</v>
      </c>
      <c r="I16" s="344">
        <f>_xlfn.XLOOKUP($B16,'QoL Benefits - Twin Lakes RT'!$B$7:$B$31,'QoL Benefits - Twin Lakes RT'!$A$7:$A$31,0)</f>
        <v>2741.2730131455969</v>
      </c>
      <c r="J16" s="339">
        <f t="shared" si="0"/>
        <v>241251.67772994514</v>
      </c>
      <c r="L16" s="122"/>
      <c r="M16" s="122"/>
      <c r="N16" s="122"/>
      <c r="O16" s="122"/>
      <c r="P16" s="122"/>
      <c r="Q16" s="122"/>
      <c r="R16" s="122"/>
    </row>
    <row r="17" spans="2:18" ht="15" customHeight="1" x14ac:dyDescent="0.25">
      <c r="B17" s="60">
        <f t="shared" si="1"/>
        <v>2038</v>
      </c>
      <c r="C17" s="343">
        <f>_xlfn.XLOOKUP($B17,'QoL Benefits - BCRT'!$B$7:$B$31,'QoL Benefits - BCRT'!$A$7:$A$31,0)</f>
        <v>6214.0924752428336</v>
      </c>
      <c r="D17" s="344">
        <f>_xlfn.XLOOKUP($B17,'QoL Benefits - CP South RT'!$B$7:$B$31,'QoL Benefits - CP South RT'!$A$7:$A$31,0)</f>
        <v>111108.95213464898</v>
      </c>
      <c r="E17" s="344">
        <f>_xlfn.XLOOKUP($B17,'QoL Benefits - CP North RT'!$B$7:$B$31,'QoL Benefits - CP North RT'!$A$7:$A$31,0)</f>
        <v>87468.74955280876</v>
      </c>
      <c r="F17" s="344">
        <f>_xlfn.XLOOKUP($B17,'QoL Benefits - Eagle RT'!$B$7:$B$31,'QoL Benefits - Eagle RT'!$A$7:$A$31,0)</f>
        <v>43107.808783461398</v>
      </c>
      <c r="G17" s="344">
        <f>_xlfn.XLOOKUP($B17,'QoL Benefits - Med Lake RT'!$B$7:$B$31,'QoL Benefits - Med Lake RT'!$A$7:$A$31,0)</f>
        <v>4055.143927949915</v>
      </c>
      <c r="H17" s="344">
        <f>_xlfn.XLOOKUP($B17,'QoL Benefits - Shingle Crk NAR'!$B$7:$B$31,'QoL Benefits - Shingle Crk NAR'!$A$7:$A$31,0)</f>
        <v>3566.4940265430187</v>
      </c>
      <c r="I17" s="344">
        <f>_xlfn.XLOOKUP($B17,'QoL Benefits - Twin Lakes RT'!$B$7:$B$31,'QoL Benefits - Twin Lakes RT'!$A$7:$A$31,0)</f>
        <v>2753.2982223230324</v>
      </c>
      <c r="J17" s="339">
        <f t="shared" si="0"/>
        <v>258274.53912297796</v>
      </c>
      <c r="L17" s="122"/>
      <c r="M17" s="122"/>
      <c r="N17" s="122"/>
      <c r="O17" s="122"/>
      <c r="P17" s="122"/>
      <c r="Q17" s="122"/>
      <c r="R17" s="122"/>
    </row>
    <row r="18" spans="2:18" ht="15" customHeight="1" x14ac:dyDescent="0.25">
      <c r="B18" s="60">
        <f t="shared" si="1"/>
        <v>2039</v>
      </c>
      <c r="C18" s="343">
        <f>_xlfn.XLOOKUP($B18,'QoL Benefits - BCRT'!$B$7:$B$31,'QoL Benefits - BCRT'!$A$7:$A$31,0)</f>
        <v>6363.2239694403543</v>
      </c>
      <c r="D18" s="344">
        <f>_xlfn.XLOOKUP($B18,'QoL Benefits - CP South RT'!$B$7:$B$31,'QoL Benefits - CP South RT'!$A$7:$A$31,0)</f>
        <v>119441.58782173833</v>
      </c>
      <c r="E18" s="344">
        <f>_xlfn.XLOOKUP($B18,'QoL Benefits - CP North RT'!$B$7:$B$31,'QoL Benefits - CP North RT'!$A$7:$A$31,0)</f>
        <v>94028.48402987911</v>
      </c>
      <c r="F18" s="344">
        <f>_xlfn.XLOOKUP($B18,'QoL Benefits - Eagle RT'!$B$7:$B$31,'QoL Benefits - Eagle RT'!$A$7:$A$31,0)</f>
        <v>46234.999949227669</v>
      </c>
      <c r="G18" s="344">
        <f>_xlfn.XLOOKUP($B18,'QoL Benefits - Med Lake RT'!$B$7:$B$31,'QoL Benefits - Med Lake RT'!$A$7:$A$31,0)</f>
        <v>4120.5658601509203</v>
      </c>
      <c r="H18" s="344">
        <f>_xlfn.XLOOKUP($B18,'QoL Benefits - Shingle Crk NAR'!$B$7:$B$31,'QoL Benefits - Shingle Crk NAR'!$A$7:$A$31,0)</f>
        <v>3598.4876079596811</v>
      </c>
      <c r="I18" s="344">
        <f>_xlfn.XLOOKUP($B18,'QoL Benefits - Twin Lakes RT'!$B$7:$B$31,'QoL Benefits - Twin Lakes RT'!$A$7:$A$31,0)</f>
        <v>2765.3761827788212</v>
      </c>
      <c r="J18" s="339">
        <f t="shared" si="0"/>
        <v>276552.72542117484</v>
      </c>
      <c r="L18" s="122"/>
      <c r="M18" s="122"/>
      <c r="N18" s="122"/>
      <c r="O18" s="122"/>
      <c r="P18" s="122"/>
      <c r="Q18" s="122"/>
      <c r="R18" s="122"/>
    </row>
    <row r="19" spans="2:18" ht="15" customHeight="1" x14ac:dyDescent="0.25">
      <c r="B19" s="60">
        <f t="shared" si="1"/>
        <v>2040</v>
      </c>
      <c r="C19" s="343">
        <f>_xlfn.XLOOKUP($B19,'QoL Benefits - BCRT'!$B$7:$B$31,'QoL Benefits - BCRT'!$A$7:$A$31,0)</f>
        <v>6515.9344581008954</v>
      </c>
      <c r="D19" s="344">
        <f>_xlfn.XLOOKUP($B19,'QoL Benefits - CP South RT'!$B$7:$B$31,'QoL Benefits - CP South RT'!$A$7:$A$31,0)</f>
        <v>128399.13100871671</v>
      </c>
      <c r="E19" s="344">
        <f>_xlfn.XLOOKUP($B19,'QoL Benefits - CP North RT'!$B$7:$B$31,'QoL Benefits - CP North RT'!$A$7:$A$31,0)</f>
        <v>101080.16696430891</v>
      </c>
      <c r="F19" s="344">
        <f>_xlfn.XLOOKUP($B19,'QoL Benefits - Eagle RT'!$B$7:$B$31,'QoL Benefits - Eagle RT'!$A$7:$A$31,0)</f>
        <v>49589.048495668736</v>
      </c>
      <c r="G19" s="344">
        <f>_xlfn.XLOOKUP($B19,'QoL Benefits - Med Lake RT'!$B$7:$B$31,'QoL Benefits - Med Lake RT'!$A$7:$A$31,0)</f>
        <v>4187.0432491467918</v>
      </c>
      <c r="H19" s="344">
        <f>_xlfn.XLOOKUP($B19,'QoL Benefits - Shingle Crk NAR'!$B$7:$B$31,'QoL Benefits - Shingle Crk NAR'!$A$7:$A$31,0)</f>
        <v>3630.7681909090115</v>
      </c>
      <c r="I19" s="344">
        <f>_xlfn.XLOOKUP($B19,'QoL Benefits - Twin Lakes RT'!$B$7:$B$31,'QoL Benefits - Twin Lakes RT'!$A$7:$A$31,0)</f>
        <v>2777.5071259182841</v>
      </c>
      <c r="J19" s="339">
        <f t="shared" si="0"/>
        <v>296179.59949276934</v>
      </c>
      <c r="L19" s="122"/>
      <c r="M19" s="122"/>
      <c r="N19" s="122"/>
      <c r="O19" s="122"/>
      <c r="P19" s="122"/>
      <c r="Q19" s="122"/>
      <c r="R19" s="122"/>
    </row>
    <row r="20" spans="2:18" ht="15" customHeight="1" x14ac:dyDescent="0.25">
      <c r="B20" s="60">
        <f t="shared" si="1"/>
        <v>2041</v>
      </c>
      <c r="C20" s="343">
        <f>_xlfn.XLOOKUP($B20,'QoL Benefits - BCRT'!$B$7:$B$31,'QoL Benefits - BCRT'!$A$7:$A$31,0)</f>
        <v>6672.3098332181962</v>
      </c>
      <c r="D20" s="344">
        <f>_xlfn.XLOOKUP($B20,'QoL Benefits - CP South RT'!$B$7:$B$31,'QoL Benefits - CP South RT'!$A$7:$A$31,0)</f>
        <v>138028.44674502136</v>
      </c>
      <c r="E20" s="344">
        <f>_xlfn.XLOOKUP($B20,'QoL Benefits - CP North RT'!$B$7:$B$31,'QoL Benefits - CP North RT'!$A$7:$A$31,0)</f>
        <v>108660.69211842107</v>
      </c>
      <c r="F20" s="344">
        <f>_xlfn.XLOOKUP($B20,'QoL Benefits - Eagle RT'!$B$7:$B$31,'QoL Benefits - Eagle RT'!$A$7:$A$31,0)</f>
        <v>53186.411450333828</v>
      </c>
      <c r="G20" s="344">
        <f>_xlfn.XLOOKUP($B20,'QoL Benefits - Med Lake RT'!$B$7:$B$31,'QoL Benefits - Med Lake RT'!$A$7:$A$31,0)</f>
        <v>4254.5931226988359</v>
      </c>
      <c r="H20" s="344">
        <f>_xlfn.XLOOKUP($B20,'QoL Benefits - Shingle Crk NAR'!$B$7:$B$31,'QoL Benefits - Shingle Crk NAR'!$A$7:$A$31,0)</f>
        <v>3663.3383499661604</v>
      </c>
      <c r="I20" s="344">
        <f>_xlfn.XLOOKUP($B20,'QoL Benefits - Twin Lakes RT'!$B$7:$B$31,'QoL Benefits - Twin Lakes RT'!$A$7:$A$31,0)</f>
        <v>2789.6912841618509</v>
      </c>
      <c r="J20" s="339">
        <f t="shared" si="0"/>
        <v>317255.48290382134</v>
      </c>
      <c r="L20" s="122"/>
      <c r="M20" s="122"/>
      <c r="N20" s="122"/>
      <c r="O20" s="122"/>
      <c r="P20" s="122"/>
      <c r="Q20" s="122"/>
      <c r="R20" s="122"/>
    </row>
    <row r="21" spans="2:18" ht="15" customHeight="1" x14ac:dyDescent="0.25">
      <c r="B21" s="60">
        <f t="shared" si="1"/>
        <v>2042</v>
      </c>
      <c r="C21" s="343">
        <f>_xlfn.XLOOKUP($B21,'QoL Benefits - BCRT'!$B$7:$B$31,'QoL Benefits - BCRT'!$A$7:$A$31,0)</f>
        <v>6832.4380481008966</v>
      </c>
      <c r="D21" s="344">
        <f>_xlfn.XLOOKUP($B21,'QoL Benefits - CP South RT'!$B$7:$B$31,'QoL Benefits - CP South RT'!$A$7:$A$31,0)</f>
        <v>148379.91473283267</v>
      </c>
      <c r="E21" s="344">
        <f>_xlfn.XLOOKUP($B21,'QoL Benefits - CP North RT'!$B$7:$B$31,'QoL Benefits - CP North RT'!$A$7:$A$31,0)</f>
        <v>116809.72010882571</v>
      </c>
      <c r="F21" s="344">
        <f>_xlfn.XLOOKUP($B21,'QoL Benefits - Eagle RT'!$B$7:$B$31,'QoL Benefits - Eagle RT'!$A$7:$A$31,0)</f>
        <v>57044.739691088776</v>
      </c>
      <c r="G21" s="344">
        <f>_xlfn.XLOOKUP($B21,'QoL Benefits - Med Lake RT'!$B$7:$B$31,'QoL Benefits - Med Lake RT'!$A$7:$A$31,0)</f>
        <v>4323.2327832784749</v>
      </c>
      <c r="H21" s="344">
        <f>_xlfn.XLOOKUP($B21,'QoL Benefits - Shingle Crk NAR'!$B$7:$B$31,'QoL Benefits - Shingle Crk NAR'!$A$7:$A$31,0)</f>
        <v>3696.2006828017579</v>
      </c>
      <c r="I21" s="344">
        <f>_xlfn.XLOOKUP($B21,'QoL Benefits - Twin Lakes RT'!$B$7:$B$31,'QoL Benefits - Twin Lakes RT'!$A$7:$A$31,0)</f>
        <v>2801.9288909495153</v>
      </c>
      <c r="J21" s="339">
        <f t="shared" si="0"/>
        <v>339888.1749378778</v>
      </c>
      <c r="L21" s="122"/>
      <c r="M21" s="122"/>
      <c r="N21" s="122"/>
      <c r="O21" s="122"/>
      <c r="P21" s="122"/>
      <c r="Q21" s="122"/>
      <c r="R21" s="122"/>
    </row>
    <row r="22" spans="2:18" ht="15" customHeight="1" x14ac:dyDescent="0.25">
      <c r="B22" s="60">
        <f t="shared" si="1"/>
        <v>2043</v>
      </c>
      <c r="C22" s="343">
        <f>_xlfn.XLOOKUP($B22,'QoL Benefits - BCRT'!$B$7:$B$31,'QoL Benefits - BCRT'!$A$7:$A$31,0)</f>
        <v>6996.409166841845</v>
      </c>
      <c r="D22" s="344">
        <f>_xlfn.XLOOKUP($B22,'QoL Benefits - CP South RT'!$B$7:$B$31,'QoL Benefits - CP South RT'!$A$7:$A$31,0)</f>
        <v>159507.69290908379</v>
      </c>
      <c r="E22" s="344">
        <f>_xlfn.XLOOKUP($B22,'QoL Benefits - CP North RT'!$B$7:$B$31,'QoL Benefits - CP North RT'!$A$7:$A$31,0)</f>
        <v>125569.88590715107</v>
      </c>
      <c r="F22" s="344">
        <f>_xlfn.XLOOKUP($B22,'QoL Benefits - Eagle RT'!$B$7:$B$31,'QoL Benefits - Eagle RT'!$A$7:$A$31,0)</f>
        <v>61182.964552192119</v>
      </c>
      <c r="G22" s="344">
        <f>_xlfn.XLOOKUP($B22,'QoL Benefits - Med Lake RT'!$B$7:$B$31,'QoL Benefits - Med Lake RT'!$A$7:$A$31,0)</f>
        <v>4392.9798124991612</v>
      </c>
      <c r="H22" s="344">
        <f>_xlfn.XLOOKUP($B22,'QoL Benefits - Shingle Crk NAR'!$B$7:$B$31,'QoL Benefits - Shingle Crk NAR'!$A$7:$A$31,0)</f>
        <v>3729.3578103890895</v>
      </c>
      <c r="I22" s="344">
        <f>_xlfn.XLOOKUP($B22,'QoL Benefits - Twin Lakes RT'!$B$7:$B$31,'QoL Benefits - Twin Lakes RT'!$A$7:$A$31,0)</f>
        <v>2814.2201807453116</v>
      </c>
      <c r="J22" s="339">
        <f t="shared" si="0"/>
        <v>364193.51033890236</v>
      </c>
      <c r="L22" s="122"/>
      <c r="M22" s="122"/>
      <c r="N22" s="122"/>
      <c r="O22" s="122"/>
      <c r="P22" s="122"/>
      <c r="Q22" s="122"/>
      <c r="R22" s="122"/>
    </row>
    <row r="23" spans="2:18" ht="15" customHeight="1" x14ac:dyDescent="0.25">
      <c r="B23" s="60">
        <f t="shared" si="1"/>
        <v>2044</v>
      </c>
      <c r="C23" s="343">
        <f>_xlfn.XLOOKUP($B23,'QoL Benefits - BCRT'!$B$7:$B$31,'QoL Benefits - BCRT'!$A$7:$A$31,0)</f>
        <v>7164.3154149746551</v>
      </c>
      <c r="D23" s="344">
        <f>_xlfn.XLOOKUP($B23,'QoL Benefits - CP South RT'!$B$7:$B$31,'QoL Benefits - CP South RT'!$A$7:$A$31,0)</f>
        <v>171470.00079484985</v>
      </c>
      <c r="E23" s="344">
        <f>_xlfn.XLOOKUP($B23,'QoL Benefits - CP North RT'!$B$7:$B$31,'QoL Benefits - CP North RT'!$A$7:$A$31,0)</f>
        <v>134987.02190232862</v>
      </c>
      <c r="F23" s="344">
        <f>_xlfn.XLOOKUP($B23,'QoL Benefits - Eagle RT'!$B$7:$B$31,'QoL Benefits - Eagle RT'!$A$7:$A$31,0)</f>
        <v>65621.390713078566</v>
      </c>
      <c r="G23" s="344">
        <f>_xlfn.XLOOKUP($B23,'QoL Benefits - Med Lake RT'!$B$7:$B$31,'QoL Benefits - Med Lake RT'!$A$7:$A$31,0)</f>
        <v>4463.8520756197931</v>
      </c>
      <c r="H23" s="344">
        <f>_xlfn.XLOOKUP($B23,'QoL Benefits - Shingle Crk NAR'!$B$7:$B$31,'QoL Benefits - Shingle Crk NAR'!$A$7:$A$31,0)</f>
        <v>3762.8123772131389</v>
      </c>
      <c r="I23" s="344">
        <f>_xlfn.XLOOKUP($B23,'QoL Benefits - Twin Lakes RT'!$B$7:$B$31,'QoL Benefits - Twin Lakes RT'!$A$7:$A$31,0)</f>
        <v>2826.5653890417989</v>
      </c>
      <c r="J23" s="339">
        <f t="shared" si="0"/>
        <v>390295.9586671064</v>
      </c>
      <c r="L23" s="122"/>
      <c r="M23" s="122"/>
      <c r="N23" s="122"/>
      <c r="O23" s="122"/>
      <c r="P23" s="122"/>
      <c r="Q23" s="122"/>
      <c r="R23" s="122"/>
    </row>
    <row r="24" spans="2:18" ht="15" customHeight="1" x14ac:dyDescent="0.25">
      <c r="B24" s="60">
        <f t="shared" si="1"/>
        <v>2045</v>
      </c>
      <c r="C24" s="343">
        <f>_xlfn.XLOOKUP($B24,'QoL Benefits - BCRT'!$B$7:$B$31,'QoL Benefits - BCRT'!$A$7:$A$31,0)</f>
        <v>7336.2512313459356</v>
      </c>
      <c r="D24" s="344">
        <f>_xlfn.XLOOKUP($B24,'QoL Benefits - CP South RT'!$B$7:$B$31,'QoL Benefits - CP South RT'!$A$7:$A$31,0)</f>
        <v>184329.42409457549</v>
      </c>
      <c r="E24" s="344">
        <f>_xlfn.XLOOKUP($B24,'QoL Benefits - CP North RT'!$B$7:$B$31,'QoL Benefits - CP North RT'!$A$7:$A$31,0)</f>
        <v>145110.39769147433</v>
      </c>
      <c r="F24" s="344">
        <f>_xlfn.XLOOKUP($B24,'QoL Benefits - Eagle RT'!$B$7:$B$31,'QoL Benefits - Eagle RT'!$A$7:$A$31,0)</f>
        <v>70381.795825619702</v>
      </c>
      <c r="G24" s="344">
        <f>_xlfn.XLOOKUP($B24,'QoL Benefits - Med Lake RT'!$B$7:$B$31,'QoL Benefits - Med Lake RT'!$A$7:$A$31,0)</f>
        <v>4535.8677261207995</v>
      </c>
      <c r="H24" s="344">
        <f>_xlfn.XLOOKUP($B24,'QoL Benefits - Shingle Crk NAR'!$B$7:$B$31,'QoL Benefits - Shingle Crk NAR'!$A$7:$A$31,0)</f>
        <v>3796.5670514814947</v>
      </c>
      <c r="I24" s="344">
        <f>_xlfn.XLOOKUP($B24,'QoL Benefits - Twin Lakes RT'!$B$7:$B$31,'QoL Benefits - Twin Lakes RT'!$A$7:$A$31,0)</f>
        <v>2838.9647523645799</v>
      </c>
      <c r="J24" s="339">
        <f t="shared" si="0"/>
        <v>418329.26837298233</v>
      </c>
      <c r="L24" s="122"/>
      <c r="M24" s="122"/>
      <c r="N24" s="122"/>
      <c r="O24" s="122"/>
      <c r="P24" s="122"/>
      <c r="Q24" s="122"/>
      <c r="R24" s="122"/>
    </row>
    <row r="25" spans="2:18" ht="15" customHeight="1" x14ac:dyDescent="0.25">
      <c r="B25" s="60">
        <f t="shared" si="1"/>
        <v>2046</v>
      </c>
      <c r="C25" s="343">
        <f>_xlfn.XLOOKUP($B25,'QoL Benefits - BCRT'!$B$7:$B$31,'QoL Benefits - BCRT'!$A$7:$A$31,0)</f>
        <v>7512.3133212324028</v>
      </c>
      <c r="D25" s="344">
        <f>_xlfn.XLOOKUP($B25,'QoL Benefits - CP South RT'!$B$7:$B$31,'QoL Benefits - CP South RT'!$A$7:$A$31,0)</f>
        <v>198153.24213877524</v>
      </c>
      <c r="E25" s="344">
        <f>_xlfn.XLOOKUP($B25,'QoL Benefits - CP North RT'!$B$7:$B$31,'QoL Benefits - CP North RT'!$A$7:$A$31,0)</f>
        <v>155992.97785392942</v>
      </c>
      <c r="F25" s="344">
        <f>_xlfn.XLOOKUP($B25,'QoL Benefits - Eagle RT'!$B$7:$B$31,'QoL Benefits - Eagle RT'!$A$7:$A$31,0)</f>
        <v>75487.53736869448</v>
      </c>
      <c r="G25" s="344">
        <f>_xlfn.XLOOKUP($B25,'QoL Benefits - Med Lake RT'!$B$7:$B$31,'QoL Benefits - Med Lake RT'!$A$7:$A$31,0)</f>
        <v>4609.045210354021</v>
      </c>
      <c r="H25" s="344">
        <f>_xlfn.XLOOKUP($B25,'QoL Benefits - Shingle Crk NAR'!$B$7:$B$31,'QoL Benefits - Shingle Crk NAR'!$A$7:$A$31,0)</f>
        <v>3830.6245253371649</v>
      </c>
      <c r="I25" s="344">
        <f>_xlfn.XLOOKUP($B25,'QoL Benefits - Twin Lakes RT'!$B$7:$B$31,'QoL Benefits - Twin Lakes RT'!$A$7:$A$31,0)</f>
        <v>2851.4185082768286</v>
      </c>
      <c r="J25" s="339">
        <f t="shared" si="0"/>
        <v>448437.15892659954</v>
      </c>
      <c r="L25" s="122"/>
      <c r="M25" s="122"/>
      <c r="N25" s="122"/>
      <c r="O25" s="122"/>
      <c r="P25" s="122"/>
      <c r="Q25" s="122"/>
      <c r="R25" s="122"/>
    </row>
    <row r="26" spans="2:18" ht="15" customHeight="1" x14ac:dyDescent="0.25">
      <c r="B26" s="60">
        <f t="shared" si="1"/>
        <v>2047</v>
      </c>
      <c r="C26" s="343">
        <f>_xlfn.XLOOKUP($B26,'QoL Benefits - BCRT'!$B$7:$B$31,'QoL Benefits - BCRT'!$A$7:$A$31,0)</f>
        <v>7692.6007107327578</v>
      </c>
      <c r="D26" s="344">
        <f>_xlfn.XLOOKUP($B26,'QoL Benefits - CP South RT'!$B$7:$B$31,'QoL Benefits - CP South RT'!$A$7:$A$31,0)</f>
        <v>213013.77988335828</v>
      </c>
      <c r="E26" s="344">
        <f>_xlfn.XLOOKUP($B26,'QoL Benefits - CP North RT'!$B$7:$B$31,'QoL Benefits - CP North RT'!$A$7:$A$31,0)</f>
        <v>167691.69905711184</v>
      </c>
      <c r="F26" s="344">
        <f>_xlfn.XLOOKUP($B26,'QoL Benefits - Eagle RT'!$B$7:$B$31,'QoL Benefits - Eagle RT'!$A$7:$A$31,0)</f>
        <v>80963.667254363841</v>
      </c>
      <c r="G26" s="344">
        <f>_xlfn.XLOOKUP($B26,'QoL Benefits - Med Lake RT'!$B$7:$B$31,'QoL Benefits - Med Lake RT'!$A$7:$A$31,0)</f>
        <v>4683.4032722676448</v>
      </c>
      <c r="H26" s="344">
        <f>_xlfn.XLOOKUP($B26,'QoL Benefits - Shingle Crk NAR'!$B$7:$B$31,'QoL Benefits - Shingle Crk NAR'!$A$7:$A$31,0)</f>
        <v>3864.9875150732878</v>
      </c>
      <c r="I26" s="344">
        <f>_xlfn.XLOOKUP($B26,'QoL Benefits - Twin Lakes RT'!$B$7:$B$31,'QoL Benefits - Twin Lakes RT'!$A$7:$A$31,0)</f>
        <v>2863.9268953838437</v>
      </c>
      <c r="J26" s="339">
        <f t="shared" si="0"/>
        <v>480774.06458829151</v>
      </c>
      <c r="L26" s="122"/>
      <c r="M26" s="122"/>
      <c r="N26" s="122"/>
      <c r="O26" s="122"/>
      <c r="P26" s="122"/>
      <c r="Q26" s="122"/>
      <c r="R26" s="122"/>
    </row>
    <row r="27" spans="2:18" ht="15" customHeight="1" x14ac:dyDescent="0.25">
      <c r="B27" s="60">
        <f t="shared" si="1"/>
        <v>2048</v>
      </c>
      <c r="C27" s="343">
        <f>_xlfn.XLOOKUP($B27,'QoL Benefits - BCRT'!$B$7:$B$31,'QoL Benefits - BCRT'!$A$7:$A$31,0)</f>
        <v>7877.2148024648995</v>
      </c>
      <c r="D27" s="344">
        <f>_xlfn.XLOOKUP($B27,'QoL Benefits - CP South RT'!$B$7:$B$31,'QoL Benefits - CP South RT'!$A$7:$A$31,0)</f>
        <v>228988.78630720472</v>
      </c>
      <c r="E27" s="344">
        <f>_xlfn.XLOOKUP($B27,'QoL Benefits - CP North RT'!$B$7:$B$31,'QoL Benefits - CP North RT'!$A$7:$A$31,0)</f>
        <v>180267.76794396967</v>
      </c>
      <c r="F27" s="344">
        <f>_xlfn.XLOOKUP($B27,'QoL Benefits - Eagle RT'!$B$7:$B$31,'QoL Benefits - Eagle RT'!$A$7:$A$31,0)</f>
        <v>86837.054747977818</v>
      </c>
      <c r="G27" s="344">
        <f>_xlfn.XLOOKUP($B27,'QoL Benefits - Med Lake RT'!$B$7:$B$31,'QoL Benefits - Med Lake RT'!$A$7:$A$31,0)</f>
        <v>4758.960958207329</v>
      </c>
      <c r="H27" s="344">
        <f>_xlfn.XLOOKUP($B27,'QoL Benefits - Shingle Crk NAR'!$B$7:$B$31,'QoL Benefits - Shingle Crk NAR'!$A$7:$A$31,0)</f>
        <v>3899.6587613497722</v>
      </c>
      <c r="I27" s="344">
        <f>_xlfn.XLOOKUP($B27,'QoL Benefits - Twin Lakes RT'!$B$7:$B$31,'QoL Benefits - Twin Lakes RT'!$A$7:$A$31,0)</f>
        <v>2876.4901533376196</v>
      </c>
      <c r="J27" s="339">
        <f t="shared" si="0"/>
        <v>515505.93367451179</v>
      </c>
      <c r="L27" s="122"/>
      <c r="M27" s="122"/>
      <c r="N27" s="122"/>
      <c r="O27" s="122"/>
      <c r="P27" s="122"/>
      <c r="Q27" s="122"/>
      <c r="R27" s="122"/>
    </row>
    <row r="28" spans="2:18" ht="15" customHeight="1" x14ac:dyDescent="0.25">
      <c r="B28" s="60">
        <f t="shared" si="1"/>
        <v>2049</v>
      </c>
      <c r="C28" s="343">
        <f>_xlfn.XLOOKUP($B28,'QoL Benefits - BCRT'!$B$7:$B$31,'QoL Benefits - BCRT'!$A$7:$A$31,0)</f>
        <v>8066.2594325998116</v>
      </c>
      <c r="D28" s="344">
        <f>_xlfn.XLOOKUP($B28,'QoL Benefits - CP South RT'!$B$7:$B$31,'QoL Benefits - CP South RT'!$A$7:$A$31,0)</f>
        <v>246161.84118773634</v>
      </c>
      <c r="E28" s="344">
        <f>_xlfn.XLOOKUP($B28,'QoL Benefits - CP North RT'!$B$7:$B$31,'QoL Benefits - CP North RT'!$A$7:$A$31,0)</f>
        <v>193786.98136055842</v>
      </c>
      <c r="F28" s="344">
        <f>_xlfn.XLOOKUP($B28,'QoL Benefits - Eagle RT'!$B$7:$B$31,'QoL Benefits - Eagle RT'!$A$7:$A$31,0)</f>
        <v>93136.518305337348</v>
      </c>
      <c r="G28" s="344">
        <f>_xlfn.XLOOKUP($B28,'QoL Benefits - Med Lake RT'!$B$7:$B$31,'QoL Benefits - Med Lake RT'!$A$7:$A$31,0)</f>
        <v>4835.7376217948213</v>
      </c>
      <c r="H28" s="344">
        <f>_xlfn.XLOOKUP($B28,'QoL Benefits - Shingle Crk NAR'!$B$7:$B$31,'QoL Benefits - Shingle Crk NAR'!$A$7:$A$31,0)</f>
        <v>3934.6410294118837</v>
      </c>
      <c r="I28" s="344">
        <f>_xlfn.XLOOKUP($B28,'QoL Benefits - Twin Lakes RT'!$B$7:$B$31,'QoL Benefits - Twin Lakes RT'!$A$7:$A$31,0)</f>
        <v>2889.108522841439</v>
      </c>
      <c r="J28" s="339">
        <f t="shared" si="0"/>
        <v>552811.08746028005</v>
      </c>
      <c r="L28" s="122"/>
      <c r="M28" s="122"/>
      <c r="N28" s="122"/>
      <c r="O28" s="122"/>
      <c r="P28" s="122"/>
      <c r="Q28" s="122"/>
      <c r="R28" s="122"/>
    </row>
    <row r="29" spans="2:18" ht="15" customHeight="1" x14ac:dyDescent="0.25">
      <c r="B29" s="60">
        <f t="shared" si="1"/>
        <v>2050</v>
      </c>
      <c r="C29" s="343">
        <f>_xlfn.XLOOKUP($B29,'QoL Benefits - BCRT'!$B$7:$B$31,'QoL Benefits - BCRT'!$A$7:$A$31,0)</f>
        <v>8259.8409292642082</v>
      </c>
      <c r="D29" s="344">
        <f>_xlfn.XLOOKUP($B29,'QoL Benefits - CP South RT'!$B$7:$B$31,'QoL Benefits - CP South RT'!$A$7:$A$31,0)</f>
        <v>264622.79238269321</v>
      </c>
      <c r="E29" s="344">
        <f>_xlfn.XLOOKUP($B29,'QoL Benefits - CP North RT'!$B$7:$B$31,'QoL Benefits - CP North RT'!$A$7:$A$31,0)</f>
        <v>208320.07059914141</v>
      </c>
      <c r="F29" s="344">
        <f>_xlfn.XLOOKUP($B29,'QoL Benefits - Eagle RT'!$B$7:$B$31,'QoL Benefits - Eagle RT'!$A$7:$A$31,0)</f>
        <v>99892.966973784176</v>
      </c>
      <c r="G29" s="344">
        <f>_xlfn.XLOOKUP($B29,'QoL Benefits - Med Lake RT'!$B$7:$B$31,'QoL Benefits - Med Lake RT'!$A$7:$A$31,0)</f>
        <v>4913.7529288852529</v>
      </c>
      <c r="H29" s="344">
        <f>_xlfn.XLOOKUP($B29,'QoL Benefits - Shingle Crk NAR'!$B$7:$B$31,'QoL Benefits - Shingle Crk NAR'!$A$7:$A$31,0)</f>
        <v>3969.9371093107898</v>
      </c>
      <c r="I29" s="344">
        <f>_xlfn.XLOOKUP($B29,'QoL Benefits - Twin Lakes RT'!$B$7:$B$31,'QoL Benefits - Twin Lakes RT'!$A$7:$A$31,0)</f>
        <v>2901.7822456544804</v>
      </c>
      <c r="J29" s="339">
        <f t="shared" si="0"/>
        <v>592881.14316873357</v>
      </c>
      <c r="L29" s="122"/>
      <c r="M29" s="122"/>
      <c r="N29" s="122"/>
      <c r="O29" s="122"/>
      <c r="P29" s="122"/>
      <c r="Q29" s="122"/>
      <c r="R29" s="122"/>
    </row>
    <row r="30" spans="2:18" ht="15" customHeight="1" x14ac:dyDescent="0.25">
      <c r="B30" s="60">
        <f t="shared" si="1"/>
        <v>2051</v>
      </c>
      <c r="C30" s="343">
        <f>_xlfn.XLOOKUP($B30,'QoL Benefits - BCRT'!$B$7:$B$31,'QoL Benefits - BCRT'!$A$7:$A$31,0)</f>
        <v>0</v>
      </c>
      <c r="D30" s="344">
        <f>_xlfn.XLOOKUP($B30,'QoL Benefits - CP South RT'!$B$7:$B$31,'QoL Benefits - CP South RT'!$A$7:$A$31,0)</f>
        <v>0</v>
      </c>
      <c r="E30" s="344">
        <f>_xlfn.XLOOKUP($B30,'QoL Benefits - CP North RT'!$B$7:$B$31,'QoL Benefits - CP North RT'!$A$7:$A$31,0)</f>
        <v>0</v>
      </c>
      <c r="F30" s="344">
        <f>_xlfn.XLOOKUP($B30,'QoL Benefits - Eagle RT'!$B$7:$B$31,'QoL Benefits - Eagle RT'!$A$7:$A$31,0)</f>
        <v>0</v>
      </c>
      <c r="G30" s="344">
        <f>_xlfn.XLOOKUP($B30,'QoL Benefits - Med Lake RT'!$B$7:$B$31,'QoL Benefits - Med Lake RT'!$A$7:$A$31,0)</f>
        <v>0</v>
      </c>
      <c r="H30" s="344">
        <f>_xlfn.XLOOKUP($B30,'QoL Benefits - Shingle Crk NAR'!$B$7:$B$31,'QoL Benefits - Shingle Crk NAR'!$A$7:$A$31,0)</f>
        <v>0</v>
      </c>
      <c r="I30" s="344">
        <f>_xlfn.XLOOKUP($B30,'QoL Benefits - Twin Lakes RT'!$B$7:$B$31,'QoL Benefits - Twin Lakes RT'!$A$7:$A$31,0)</f>
        <v>0</v>
      </c>
      <c r="J30" s="339">
        <f t="shared" si="0"/>
        <v>0</v>
      </c>
      <c r="L30" s="122"/>
      <c r="M30" s="122"/>
      <c r="N30" s="122"/>
      <c r="O30" s="122"/>
      <c r="P30" s="122"/>
      <c r="Q30" s="122"/>
      <c r="R30" s="122"/>
    </row>
    <row r="31" spans="2:18" ht="15" customHeight="1" x14ac:dyDescent="0.25">
      <c r="B31" s="60">
        <f t="shared" si="1"/>
        <v>2052</v>
      </c>
      <c r="C31" s="343">
        <f>_xlfn.XLOOKUP($B31,'QoL Benefits - BCRT'!$B$7:$B$31,'QoL Benefits - BCRT'!$A$7:$A$31,0)</f>
        <v>0</v>
      </c>
      <c r="D31" s="344">
        <f>_xlfn.XLOOKUP($B31,'QoL Benefits - CP South RT'!$B$7:$B$31,'QoL Benefits - CP South RT'!$A$7:$A$31,0)</f>
        <v>0</v>
      </c>
      <c r="E31" s="344">
        <f>_xlfn.XLOOKUP($B31,'QoL Benefits - CP North RT'!$B$7:$B$31,'QoL Benefits - CP North RT'!$A$7:$A$31,0)</f>
        <v>0</v>
      </c>
      <c r="F31" s="344">
        <f>_xlfn.XLOOKUP($B31,'QoL Benefits - Eagle RT'!$B$7:$B$31,'QoL Benefits - Eagle RT'!$A$7:$A$31,0)</f>
        <v>0</v>
      </c>
      <c r="G31" s="344">
        <f>_xlfn.XLOOKUP($B31,'QoL Benefits - Med Lake RT'!$B$7:$B$31,'QoL Benefits - Med Lake RT'!$A$7:$A$31,0)</f>
        <v>0</v>
      </c>
      <c r="H31" s="344">
        <f>_xlfn.XLOOKUP($B31,'QoL Benefits - Shingle Crk NAR'!$B$7:$B$31,'QoL Benefits - Shingle Crk NAR'!$A$7:$A$31,0)</f>
        <v>0</v>
      </c>
      <c r="I31" s="344">
        <f>_xlfn.XLOOKUP($B31,'QoL Benefits - Twin Lakes RT'!$B$7:$B$31,'QoL Benefits - Twin Lakes RT'!$A$7:$A$31,0)</f>
        <v>0</v>
      </c>
      <c r="J31" s="339">
        <f t="shared" si="0"/>
        <v>0</v>
      </c>
      <c r="L31" s="122"/>
      <c r="M31" s="122"/>
      <c r="N31" s="122"/>
      <c r="O31" s="122"/>
      <c r="P31" s="122"/>
      <c r="Q31" s="122"/>
      <c r="R31" s="122"/>
    </row>
    <row r="32" spans="2:18" ht="15" customHeight="1" x14ac:dyDescent="0.25">
      <c r="B32" s="60">
        <f t="shared" si="1"/>
        <v>2053</v>
      </c>
      <c r="C32" s="343">
        <f>_xlfn.XLOOKUP($B32,'QoL Benefits - BCRT'!$B$7:$B$31,'QoL Benefits - BCRT'!$A$7:$A$31,0)</f>
        <v>0</v>
      </c>
      <c r="D32" s="344">
        <f>_xlfn.XLOOKUP($B32,'QoL Benefits - CP South RT'!$B$7:$B$31,'QoL Benefits - CP South RT'!$A$7:$A$31,0)</f>
        <v>0</v>
      </c>
      <c r="E32" s="344">
        <f>_xlfn.XLOOKUP($B32,'QoL Benefits - CP North RT'!$B$7:$B$31,'QoL Benefits - CP North RT'!$A$7:$A$31,0)</f>
        <v>0</v>
      </c>
      <c r="F32" s="344">
        <f>_xlfn.XLOOKUP($B32,'QoL Benefits - Eagle RT'!$B$7:$B$31,'QoL Benefits - Eagle RT'!$A$7:$A$31,0)</f>
        <v>0</v>
      </c>
      <c r="G32" s="344">
        <f>_xlfn.XLOOKUP($B32,'QoL Benefits - Med Lake RT'!$B$7:$B$31,'QoL Benefits - Med Lake RT'!$A$7:$A$31,0)</f>
        <v>0</v>
      </c>
      <c r="H32" s="344">
        <f>_xlfn.XLOOKUP($B32,'QoL Benefits - Shingle Crk NAR'!$B$7:$B$31,'QoL Benefits - Shingle Crk NAR'!$A$7:$A$31,0)</f>
        <v>0</v>
      </c>
      <c r="I32" s="344">
        <f>_xlfn.XLOOKUP($B32,'QoL Benefits - Twin Lakes RT'!$B$7:$B$31,'QoL Benefits - Twin Lakes RT'!$A$7:$A$31,0)</f>
        <v>0</v>
      </c>
      <c r="J32" s="339">
        <f t="shared" si="0"/>
        <v>0</v>
      </c>
      <c r="L32" s="122"/>
      <c r="M32" s="122"/>
      <c r="N32" s="122"/>
      <c r="O32" s="122"/>
      <c r="P32" s="122"/>
      <c r="Q32" s="122"/>
      <c r="R32" s="122"/>
    </row>
    <row r="33" spans="2:18" ht="15" customHeight="1" x14ac:dyDescent="0.25">
      <c r="B33" s="60">
        <f t="shared" si="1"/>
        <v>2054</v>
      </c>
      <c r="C33" s="345">
        <f>_xlfn.XLOOKUP($B33,'QoL Benefits - BCRT'!$B$7:$B$31,'QoL Benefits - BCRT'!$A$7:$A$31,0)</f>
        <v>0</v>
      </c>
      <c r="D33" s="346">
        <f>_xlfn.XLOOKUP($B33,'QoL Benefits - CP South RT'!$B$7:$B$31,'QoL Benefits - CP South RT'!$A$7:$A$31,0)</f>
        <v>0</v>
      </c>
      <c r="E33" s="346">
        <f>_xlfn.XLOOKUP($B33,'QoL Benefits - CP North RT'!$B$7:$B$31,'QoL Benefits - CP North RT'!$A$7:$A$31,0)</f>
        <v>0</v>
      </c>
      <c r="F33" s="346">
        <f>_xlfn.XLOOKUP($B33,'QoL Benefits - Eagle RT'!$B$7:$B$31,'QoL Benefits - Eagle RT'!$A$7:$A$31,0)</f>
        <v>0</v>
      </c>
      <c r="G33" s="346">
        <f>_xlfn.XLOOKUP($B33,'QoL Benefits - Med Lake RT'!$B$7:$B$31,'QoL Benefits - Med Lake RT'!$A$7:$A$31,0)</f>
        <v>0</v>
      </c>
      <c r="H33" s="346">
        <f>_xlfn.XLOOKUP($B33,'QoL Benefits - Shingle Crk NAR'!$B$7:$B$31,'QoL Benefits - Shingle Crk NAR'!$A$7:$A$31,0)</f>
        <v>0</v>
      </c>
      <c r="I33" s="346">
        <f>_xlfn.XLOOKUP($B33,'QoL Benefits - Twin Lakes RT'!$B$7:$B$31,'QoL Benefits - Twin Lakes RT'!$A$7:$A$31,0)</f>
        <v>0</v>
      </c>
      <c r="J33" s="347">
        <f t="shared" si="0"/>
        <v>0</v>
      </c>
      <c r="L33" s="122"/>
      <c r="M33" s="122"/>
      <c r="N33" s="122"/>
      <c r="O33" s="122"/>
      <c r="P33" s="122"/>
      <c r="Q33" s="122"/>
      <c r="R33" s="122"/>
    </row>
    <row r="34" spans="2:18" ht="15" customHeight="1" thickBot="1" x14ac:dyDescent="0.3">
      <c r="B34" s="60">
        <f t="shared" si="1"/>
        <v>2055</v>
      </c>
      <c r="C34" s="348">
        <f>_xlfn.XLOOKUP($B34,'QoL Benefits - BCRT'!$B$7:$B$31,'QoL Benefits - BCRT'!$A$7:$A$31,0)</f>
        <v>0</v>
      </c>
      <c r="D34" s="349">
        <f>_xlfn.XLOOKUP($B34,'QoL Benefits - CP South RT'!$B$7:$B$31,'QoL Benefits - CP South RT'!$A$7:$A$31,0)</f>
        <v>0</v>
      </c>
      <c r="E34" s="349">
        <f>_xlfn.XLOOKUP($B34,'QoL Benefits - CP North RT'!$B$7:$B$31,'QoL Benefits - CP North RT'!$A$7:$A$31,0)</f>
        <v>0</v>
      </c>
      <c r="F34" s="349">
        <f>_xlfn.XLOOKUP($B34,'QoL Benefits - Eagle RT'!$B$7:$B$31,'QoL Benefits - Eagle RT'!$A$7:$A$31,0)</f>
        <v>0</v>
      </c>
      <c r="G34" s="349">
        <f>_xlfn.XLOOKUP($B34,'QoL Benefits - Med Lake RT'!$B$7:$B$31,'QoL Benefits - Med Lake RT'!$A$7:$A$31,0)</f>
        <v>0</v>
      </c>
      <c r="H34" s="349">
        <f>_xlfn.XLOOKUP($B34,'QoL Benefits - Shingle Crk NAR'!$B$7:$B$31,'QoL Benefits - Shingle Crk NAR'!$A$7:$A$31,0)</f>
        <v>0</v>
      </c>
      <c r="I34" s="349">
        <f>_xlfn.XLOOKUP($B34,'QoL Benefits - Twin Lakes RT'!$B$7:$B$31,'QoL Benefits - Twin Lakes RT'!$A$7:$A$31,0)</f>
        <v>0</v>
      </c>
      <c r="J34" s="350">
        <f t="shared" si="0"/>
        <v>0</v>
      </c>
      <c r="L34" s="122"/>
      <c r="M34" s="122"/>
      <c r="N34" s="122"/>
      <c r="O34" s="122"/>
      <c r="P34" s="122"/>
      <c r="Q34" s="122"/>
      <c r="R34" s="122"/>
    </row>
    <row r="35" spans="2:18" ht="15" customHeight="1" x14ac:dyDescent="0.25">
      <c r="B35" s="13"/>
      <c r="C35" s="50"/>
      <c r="D35" s="50"/>
      <c r="E35" s="50"/>
      <c r="F35" s="50"/>
      <c r="G35" s="50"/>
      <c r="H35" s="426" t="s">
        <v>23</v>
      </c>
      <c r="I35" s="426"/>
      <c r="J35" s="84">
        <f>SUM(J7:J34)</f>
        <v>6658068.6563021522</v>
      </c>
    </row>
    <row r="36" spans="2:18" ht="16.5" customHeight="1" x14ac:dyDescent="0.25">
      <c r="B36" s="123"/>
      <c r="C36" s="124"/>
    </row>
    <row r="37" spans="2:18" x14ac:dyDescent="0.25">
      <c r="B37" s="31"/>
      <c r="C37" s="31"/>
    </row>
  </sheetData>
  <mergeCells count="3">
    <mergeCell ref="C4:J4"/>
    <mergeCell ref="B5:B6"/>
    <mergeCell ref="C5:J5"/>
  </mergeCells>
  <pageMargins left="0.25" right="0.25" top="0.75" bottom="0.75" header="0.3" footer="0.3"/>
  <pageSetup scale="88"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39498-DBD8-4FC7-B644-7462C3F79D78}">
  <sheetPr>
    <tabColor theme="9" tint="0.39997558519241921"/>
  </sheetPr>
  <dimension ref="A1:K13"/>
  <sheetViews>
    <sheetView zoomScale="85" zoomScaleNormal="85" workbookViewId="0">
      <selection activeCell="D3" sqref="D3:J3"/>
    </sheetView>
  </sheetViews>
  <sheetFormatPr defaultRowHeight="15" x14ac:dyDescent="0.25"/>
  <cols>
    <col min="3" max="3" width="53.28515625" customWidth="1"/>
    <col min="4" max="10" width="15.7109375" customWidth="1"/>
    <col min="11" max="11" width="18.42578125" customWidth="1"/>
    <col min="12" max="12" width="15.28515625" bestFit="1" customWidth="1"/>
    <col min="13" max="13" width="13.28515625" customWidth="1"/>
    <col min="14" max="14" width="16" customWidth="1"/>
  </cols>
  <sheetData>
    <row r="1" spans="1:11" x14ac:dyDescent="0.25">
      <c r="A1" t="s">
        <v>103</v>
      </c>
    </row>
    <row r="2" spans="1:11" x14ac:dyDescent="0.25">
      <c r="C2" t="s">
        <v>483</v>
      </c>
      <c r="D2">
        <v>2022</v>
      </c>
      <c r="E2">
        <v>2022</v>
      </c>
      <c r="F2">
        <v>2022</v>
      </c>
      <c r="G2">
        <v>2022</v>
      </c>
      <c r="H2">
        <v>2022</v>
      </c>
      <c r="I2">
        <v>2022</v>
      </c>
      <c r="J2">
        <v>2022</v>
      </c>
    </row>
    <row r="3" spans="1:11" x14ac:dyDescent="0.25">
      <c r="C3" t="s">
        <v>436</v>
      </c>
      <c r="D3">
        <f>'Trail Project Summary'!J3</f>
        <v>2028</v>
      </c>
      <c r="E3">
        <f>'Trail Project Summary'!J8</f>
        <v>2029</v>
      </c>
      <c r="F3">
        <f>'Trail Project Summary'!J12</f>
        <v>2029</v>
      </c>
      <c r="G3">
        <f>'Trail Project Summary'!J15</f>
        <v>2028</v>
      </c>
      <c r="H3">
        <f>'Trail Project Summary'!J18</f>
        <v>2028</v>
      </c>
      <c r="I3">
        <f>'Trail Project Summary'!J22</f>
        <v>2028</v>
      </c>
      <c r="J3">
        <f>'Trail Project Summary'!J26</f>
        <v>2029</v>
      </c>
    </row>
    <row r="4" spans="1:11" x14ac:dyDescent="0.25">
      <c r="C4" s="438" t="s">
        <v>437</v>
      </c>
      <c r="D4" s="438">
        <f>D3+1</f>
        <v>2029</v>
      </c>
      <c r="E4" s="438">
        <f>E3+1</f>
        <v>2030</v>
      </c>
      <c r="F4" s="438">
        <f t="shared" ref="F4:I4" si="0">F3+1</f>
        <v>2030</v>
      </c>
      <c r="G4" s="438">
        <f t="shared" si="0"/>
        <v>2029</v>
      </c>
      <c r="H4" s="438">
        <f t="shared" si="0"/>
        <v>2029</v>
      </c>
      <c r="I4" s="438">
        <f t="shared" si="0"/>
        <v>2029</v>
      </c>
      <c r="J4" s="438">
        <f>J3+1</f>
        <v>2030</v>
      </c>
    </row>
    <row r="5" spans="1:11" ht="30" x14ac:dyDescent="0.25">
      <c r="C5" s="96"/>
      <c r="D5" s="282" t="s">
        <v>104</v>
      </c>
      <c r="E5" s="282" t="s">
        <v>535</v>
      </c>
      <c r="F5" s="282" t="s">
        <v>534</v>
      </c>
      <c r="G5" s="282" t="s">
        <v>105</v>
      </c>
      <c r="H5" s="282" t="s">
        <v>106</v>
      </c>
      <c r="I5" s="282" t="s">
        <v>107</v>
      </c>
      <c r="J5" s="282" t="s">
        <v>565</v>
      </c>
      <c r="K5" s="198" t="s">
        <v>44</v>
      </c>
    </row>
    <row r="6" spans="1:11" x14ac:dyDescent="0.25">
      <c r="C6" s="523" t="s">
        <v>584</v>
      </c>
      <c r="D6" s="370">
        <f>'Cost Est. Breakdown'!D67</f>
        <v>991125</v>
      </c>
      <c r="E6" s="570">
        <f>'Cost Est. Breakdown'!D130</f>
        <v>5960404.166666667</v>
      </c>
      <c r="F6" s="570">
        <f>'Cost Est. Breakdown'!D106</f>
        <v>7527026.666666667</v>
      </c>
      <c r="G6" s="570">
        <f>'Cost Est. Breakdown'!D49</f>
        <v>2331670.8333333335</v>
      </c>
      <c r="H6" s="570">
        <f>'Cost Est. Breakdown'!D84</f>
        <v>1525916.6666666667</v>
      </c>
      <c r="I6" s="570">
        <f>'Cost Est. Breakdown'!D10</f>
        <v>1107270.8333333335</v>
      </c>
      <c r="J6" s="570">
        <f>'Cost Est. Breakdown'!D25</f>
        <v>460333.33333333337</v>
      </c>
      <c r="K6" s="371">
        <f t="shared" ref="K6:K8" si="1">SUM(D6:J6)</f>
        <v>19903747.5</v>
      </c>
    </row>
    <row r="7" spans="1:11" x14ac:dyDescent="0.25">
      <c r="C7" s="539" t="s">
        <v>585</v>
      </c>
      <c r="D7" s="370">
        <f>'Cost Est. Breakdown'!D68</f>
        <v>198225</v>
      </c>
      <c r="E7" s="570">
        <f>'Cost Est. Breakdown'!D131</f>
        <v>1192080.833333333</v>
      </c>
      <c r="F7" s="570">
        <f>'Cost Est. Breakdown'!D107</f>
        <v>1505405.333333333</v>
      </c>
      <c r="G7" s="570">
        <f>'Cost Est. Breakdown'!D50</f>
        <v>466334.16666666651</v>
      </c>
      <c r="H7" s="570">
        <f>'Cost Est. Breakdown'!D85</f>
        <v>305183.33333333326</v>
      </c>
      <c r="I7" s="570">
        <f>'Cost Est. Breakdown'!D11</f>
        <v>221454.16666666651</v>
      </c>
      <c r="J7" s="570">
        <f>'Cost Est. Breakdown'!D26</f>
        <v>92066.666666666628</v>
      </c>
      <c r="K7" s="371">
        <f t="shared" si="1"/>
        <v>3980749.4999999991</v>
      </c>
    </row>
    <row r="8" spans="1:11" x14ac:dyDescent="0.25">
      <c r="C8" s="539" t="s">
        <v>679</v>
      </c>
      <c r="D8" s="370">
        <f>D6*0.075+750000*D6/$K$6</f>
        <v>111681.29924127668</v>
      </c>
      <c r="E8" s="370">
        <f t="shared" ref="E8:J8" si="2">E6*0.075+750000*E6/$K$6</f>
        <v>671626.36532874499</v>
      </c>
      <c r="F8" s="370">
        <f t="shared" si="2"/>
        <v>848155.49759825377</v>
      </c>
      <c r="G8" s="370">
        <f t="shared" si="2"/>
        <v>262735.80836893123</v>
      </c>
      <c r="H8" s="370">
        <f t="shared" si="2"/>
        <v>171942.34417177594</v>
      </c>
      <c r="I8" s="370">
        <f t="shared" si="2"/>
        <v>124768.76809548524</v>
      </c>
      <c r="J8" s="370">
        <f t="shared" si="2"/>
        <v>51870.979695532209</v>
      </c>
      <c r="K8" s="371">
        <f t="shared" si="1"/>
        <v>2242781.0625</v>
      </c>
    </row>
    <row r="9" spans="1:11" x14ac:dyDescent="0.25">
      <c r="C9" s="536" t="s">
        <v>583</v>
      </c>
      <c r="D9" s="370">
        <f>SUM(D6:D8)</f>
        <v>1301031.2992412767</v>
      </c>
      <c r="E9" s="370">
        <f t="shared" ref="E9:J9" si="3">SUM(E6:E8)</f>
        <v>7824111.365328745</v>
      </c>
      <c r="F9" s="370">
        <f t="shared" si="3"/>
        <v>9880587.4975982532</v>
      </c>
      <c r="G9" s="370">
        <f t="shared" si="3"/>
        <v>3060740.8083689311</v>
      </c>
      <c r="H9" s="370">
        <f t="shared" si="3"/>
        <v>2003042.344171776</v>
      </c>
      <c r="I9" s="370">
        <f t="shared" si="3"/>
        <v>1453493.7680954852</v>
      </c>
      <c r="J9" s="370">
        <f t="shared" si="3"/>
        <v>604270.97969553224</v>
      </c>
      <c r="K9" s="371">
        <f>SUM(D9:J9)</f>
        <v>26127278.062500004</v>
      </c>
    </row>
    <row r="10" spans="1:11" x14ac:dyDescent="0.25">
      <c r="C10" s="439" t="s">
        <v>438</v>
      </c>
      <c r="D10" s="440" t="e">
        <f>#REF!/2</f>
        <v>#REF!</v>
      </c>
      <c r="E10" s="440" t="e">
        <f>#REF!/2</f>
        <v>#REF!</v>
      </c>
      <c r="F10" s="440" t="e">
        <f>#REF!/2</f>
        <v>#REF!</v>
      </c>
      <c r="G10" s="440" t="e">
        <f>#REF!/2</f>
        <v>#REF!</v>
      </c>
      <c r="H10" s="440" t="e">
        <f>#REF!/2</f>
        <v>#REF!</v>
      </c>
      <c r="I10" s="440" t="e">
        <f>#REF!/2</f>
        <v>#REF!</v>
      </c>
      <c r="J10" s="440" t="e">
        <f>#REF!/2</f>
        <v>#REF!</v>
      </c>
      <c r="K10" s="132"/>
    </row>
    <row r="11" spans="1:11" x14ac:dyDescent="0.25">
      <c r="D11" s="134"/>
      <c r="E11" s="135"/>
      <c r="F11" s="135"/>
      <c r="G11" s="135"/>
      <c r="H11" s="135"/>
      <c r="I11" s="135"/>
      <c r="J11" s="135"/>
      <c r="K11" s="135"/>
    </row>
    <row r="13" spans="1:11" x14ac:dyDescent="0.25">
      <c r="C13" s="281" t="s">
        <v>680</v>
      </c>
      <c r="D13" s="571">
        <f>D9*'Capital Costs'!$P$5</f>
        <v>1216162.308347157</v>
      </c>
      <c r="E13" s="571">
        <f>E9*'Capital Costs'!$P$5</f>
        <v>7313728.2280391939</v>
      </c>
      <c r="F13" s="571">
        <f>F9*'Capital Costs'!$P$5</f>
        <v>9236056.1240246575</v>
      </c>
      <c r="G13" s="571">
        <f>G9*'Capital Costs'!$P$5</f>
        <v>2861082.2882808987</v>
      </c>
      <c r="H13" s="571">
        <f>H9*'Capital Costs'!$P$5</f>
        <v>1872379.7055656274</v>
      </c>
      <c r="I13" s="571">
        <f>I9*'Capital Costs'!$P$5</f>
        <v>1358679.331700993</v>
      </c>
      <c r="J13" s="571">
        <f>J9*'Capital Costs'!$P$5</f>
        <v>564853.1207222176</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04AF33-AB74-49F8-BAF7-54C128BA0330}">
  <sheetPr>
    <tabColor theme="9" tint="0.39997558519241921"/>
  </sheetPr>
  <dimension ref="A1:L150"/>
  <sheetViews>
    <sheetView topLeftCell="A85" zoomScale="80" zoomScaleNormal="80" workbookViewId="0">
      <selection activeCell="D95" sqref="D95"/>
    </sheetView>
  </sheetViews>
  <sheetFormatPr defaultRowHeight="15" x14ac:dyDescent="0.25"/>
  <cols>
    <col min="1" max="1" width="48.28515625" customWidth="1"/>
    <col min="2" max="3" width="18.85546875" customWidth="1"/>
    <col min="4" max="4" width="18.7109375" customWidth="1"/>
    <col min="5" max="5" width="71.28515625" customWidth="1"/>
    <col min="7" max="8" width="20.85546875" bestFit="1" customWidth="1"/>
    <col min="11" max="11" width="11.42578125" customWidth="1"/>
  </cols>
  <sheetData>
    <row r="1" spans="1:7" x14ac:dyDescent="0.25">
      <c r="A1" s="496" t="s">
        <v>570</v>
      </c>
    </row>
    <row r="3" spans="1:7" x14ac:dyDescent="0.25">
      <c r="A3" s="497" t="s">
        <v>571</v>
      </c>
      <c r="B3" s="498" t="s">
        <v>572</v>
      </c>
      <c r="C3" s="498" t="s">
        <v>573</v>
      </c>
      <c r="D3" s="499" t="s">
        <v>574</v>
      </c>
      <c r="E3" s="500" t="s">
        <v>202</v>
      </c>
      <c r="G3" s="501"/>
    </row>
    <row r="4" spans="1:7" x14ac:dyDescent="0.25">
      <c r="A4" s="502" t="s">
        <v>575</v>
      </c>
      <c r="B4" s="503">
        <v>4435</v>
      </c>
      <c r="C4" s="504">
        <v>235</v>
      </c>
      <c r="D4" s="504">
        <f>Table13410[[#This Row],[Trail Length]]*Table13410[[#This Row],[Cost per LF]]</f>
        <v>1042225</v>
      </c>
      <c r="E4" s="505" t="s">
        <v>576</v>
      </c>
    </row>
    <row r="5" spans="1:7" x14ac:dyDescent="0.25">
      <c r="A5" s="502" t="s">
        <v>577</v>
      </c>
      <c r="B5" s="503">
        <v>13</v>
      </c>
      <c r="C5" s="504">
        <v>5000</v>
      </c>
      <c r="D5" s="504">
        <f>Table13410[[#This Row],[Trail Length]]*Table13410[[#This Row],[Cost per LF]]</f>
        <v>65000</v>
      </c>
      <c r="E5" s="505"/>
    </row>
    <row r="6" spans="1:7" x14ac:dyDescent="0.25">
      <c r="A6" s="506" t="s">
        <v>578</v>
      </c>
      <c r="B6" s="507">
        <v>1</v>
      </c>
      <c r="C6" s="508">
        <v>13000</v>
      </c>
      <c r="D6" s="508">
        <f>Table13410[[#This Row],[Trail Length]]*Table13410[[#This Row],[Cost per LF]]</f>
        <v>13000</v>
      </c>
      <c r="E6" s="509" t="s">
        <v>579</v>
      </c>
    </row>
    <row r="7" spans="1:7" x14ac:dyDescent="0.25">
      <c r="A7" s="506" t="s">
        <v>580</v>
      </c>
      <c r="B7" s="507">
        <v>2</v>
      </c>
      <c r="C7" s="508">
        <v>100000</v>
      </c>
      <c r="D7" s="508">
        <f>Table13410[[#This Row],[Trail Length]]*Table13410[[#This Row],[Cost per LF]]</f>
        <v>200000</v>
      </c>
      <c r="E7" s="509" t="s">
        <v>581</v>
      </c>
    </row>
    <row r="8" spans="1:7" x14ac:dyDescent="0.25">
      <c r="A8" s="506" t="s">
        <v>582</v>
      </c>
      <c r="B8" s="507">
        <v>1</v>
      </c>
      <c r="C8" s="508">
        <v>8500</v>
      </c>
      <c r="D8" s="508">
        <f>Table13410[[#This Row],[Trail Length]]*Table13410[[#This Row],[Cost per LF]]</f>
        <v>8500</v>
      </c>
      <c r="E8" s="505"/>
    </row>
    <row r="9" spans="1:7" x14ac:dyDescent="0.25">
      <c r="A9" s="510" t="s">
        <v>583</v>
      </c>
      <c r="B9" s="511"/>
      <c r="C9" s="512"/>
      <c r="D9" s="512">
        <f>SUBTOTAL(109,D4:D8)</f>
        <v>1328725</v>
      </c>
      <c r="E9" s="513"/>
    </row>
    <row r="10" spans="1:7" x14ac:dyDescent="0.25">
      <c r="A10" s="510" t="s">
        <v>584</v>
      </c>
      <c r="B10" s="511"/>
      <c r="C10" s="512"/>
      <c r="D10" s="512">
        <f>D9/1.2</f>
        <v>1107270.8333333335</v>
      </c>
      <c r="E10" s="513"/>
    </row>
    <row r="11" spans="1:7" x14ac:dyDescent="0.25">
      <c r="A11" s="514" t="s">
        <v>585</v>
      </c>
      <c r="B11" s="511"/>
      <c r="C11" s="512"/>
      <c r="D11" s="512">
        <f>D9-D10</f>
        <v>221454.16666666651</v>
      </c>
      <c r="E11" s="513"/>
    </row>
    <row r="12" spans="1:7" x14ac:dyDescent="0.25">
      <c r="A12" s="514" t="s">
        <v>586</v>
      </c>
      <c r="B12" s="511"/>
      <c r="C12" s="512"/>
      <c r="D12" s="512">
        <f>D10*0.215</f>
        <v>238063.22916666669</v>
      </c>
      <c r="E12" s="515" t="s">
        <v>587</v>
      </c>
    </row>
    <row r="13" spans="1:7" x14ac:dyDescent="0.25">
      <c r="A13" s="516"/>
      <c r="B13" s="516"/>
      <c r="C13" s="517"/>
      <c r="D13" s="517"/>
      <c r="E13" s="518"/>
    </row>
    <row r="16" spans="1:7" x14ac:dyDescent="0.25">
      <c r="A16" s="496" t="s">
        <v>588</v>
      </c>
      <c r="B16" s="516"/>
      <c r="C16" s="517"/>
      <c r="D16" s="517"/>
      <c r="E16" s="518"/>
    </row>
    <row r="17" spans="1:8" x14ac:dyDescent="0.25">
      <c r="A17" s="519"/>
      <c r="B17" s="516"/>
      <c r="C17" s="517"/>
      <c r="D17" s="517"/>
      <c r="E17" s="518"/>
    </row>
    <row r="18" spans="1:8" x14ac:dyDescent="0.25">
      <c r="A18" s="520" t="s">
        <v>571</v>
      </c>
      <c r="B18" s="520" t="s">
        <v>572</v>
      </c>
      <c r="C18" s="521" t="s">
        <v>573</v>
      </c>
      <c r="D18" s="521" t="s">
        <v>574</v>
      </c>
      <c r="E18" s="522" t="s">
        <v>202</v>
      </c>
    </row>
    <row r="19" spans="1:8" x14ac:dyDescent="0.25">
      <c r="A19" s="523" t="s">
        <v>575</v>
      </c>
      <c r="B19" s="523">
        <v>280</v>
      </c>
      <c r="C19" s="524">
        <v>235</v>
      </c>
      <c r="D19" s="524">
        <f>B19*C19</f>
        <v>65800</v>
      </c>
      <c r="E19" s="525" t="s">
        <v>589</v>
      </c>
    </row>
    <row r="20" spans="1:8" x14ac:dyDescent="0.25">
      <c r="A20" s="520" t="s">
        <v>575</v>
      </c>
      <c r="B20" s="526">
        <v>2080</v>
      </c>
      <c r="C20" s="521">
        <v>170</v>
      </c>
      <c r="D20" s="527">
        <f>B20*C20</f>
        <v>353600</v>
      </c>
      <c r="E20" s="522" t="s">
        <v>590</v>
      </c>
    </row>
    <row r="21" spans="1:8" x14ac:dyDescent="0.25">
      <c r="A21" s="523" t="s">
        <v>577</v>
      </c>
      <c r="B21" s="523">
        <v>9</v>
      </c>
      <c r="C21" s="524">
        <v>5000</v>
      </c>
      <c r="D21" s="524">
        <f>B21*C21</f>
        <v>45000</v>
      </c>
      <c r="E21" s="528" t="s">
        <v>591</v>
      </c>
    </row>
    <row r="22" spans="1:8" x14ac:dyDescent="0.25">
      <c r="A22" s="529" t="s">
        <v>578</v>
      </c>
      <c r="B22" s="530">
        <v>1</v>
      </c>
      <c r="C22" s="531">
        <v>13000</v>
      </c>
      <c r="D22" s="532">
        <f>B22*C22</f>
        <v>13000</v>
      </c>
      <c r="E22" s="533" t="s">
        <v>579</v>
      </c>
    </row>
    <row r="23" spans="1:8" x14ac:dyDescent="0.25">
      <c r="A23" s="523" t="s">
        <v>592</v>
      </c>
      <c r="B23" s="523">
        <v>1</v>
      </c>
      <c r="C23" s="534">
        <v>75000</v>
      </c>
      <c r="D23" s="534">
        <f>B23*C23</f>
        <v>75000</v>
      </c>
      <c r="E23" s="535" t="s">
        <v>593</v>
      </c>
    </row>
    <row r="24" spans="1:8" x14ac:dyDescent="0.25">
      <c r="A24" s="536" t="s">
        <v>583</v>
      </c>
      <c r="B24" s="536" t="s">
        <v>591</v>
      </c>
      <c r="C24" s="537" t="s">
        <v>591</v>
      </c>
      <c r="D24" s="537">
        <f>SUM(D19:D23)</f>
        <v>552400</v>
      </c>
      <c r="E24" s="538" t="s">
        <v>591</v>
      </c>
    </row>
    <row r="25" spans="1:8" x14ac:dyDescent="0.25">
      <c r="A25" s="523" t="s">
        <v>584</v>
      </c>
      <c r="B25" s="523" t="s">
        <v>591</v>
      </c>
      <c r="C25" s="534" t="s">
        <v>591</v>
      </c>
      <c r="D25" s="534">
        <f>D24/1.2</f>
        <v>460333.33333333337</v>
      </c>
      <c r="E25" s="525" t="s">
        <v>591</v>
      </c>
    </row>
    <row r="26" spans="1:8" x14ac:dyDescent="0.25">
      <c r="A26" s="539" t="s">
        <v>585</v>
      </c>
      <c r="B26" s="539" t="s">
        <v>591</v>
      </c>
      <c r="C26" s="540" t="s">
        <v>591</v>
      </c>
      <c r="D26" s="540">
        <f>D24-D25</f>
        <v>92066.666666666628</v>
      </c>
      <c r="E26" s="541" t="s">
        <v>591</v>
      </c>
    </row>
    <row r="27" spans="1:8" x14ac:dyDescent="0.25">
      <c r="A27" s="510" t="s">
        <v>586</v>
      </c>
      <c r="B27" s="510"/>
      <c r="C27" s="504"/>
      <c r="D27" s="504">
        <f>D25*0.27629</f>
        <v>127185.49666666667</v>
      </c>
      <c r="E27" s="542" t="s">
        <v>594</v>
      </c>
    </row>
    <row r="28" spans="1:8" x14ac:dyDescent="0.25">
      <c r="A28" s="516"/>
      <c r="B28" s="516"/>
      <c r="C28" s="517"/>
      <c r="D28" s="517"/>
      <c r="E28" s="518"/>
    </row>
    <row r="29" spans="1:8" x14ac:dyDescent="0.25">
      <c r="A29" s="516"/>
      <c r="B29" s="516"/>
      <c r="C29" s="517"/>
      <c r="D29" s="517"/>
      <c r="E29" s="518"/>
    </row>
    <row r="30" spans="1:8" x14ac:dyDescent="0.25">
      <c r="A30" s="516"/>
      <c r="B30" s="516"/>
      <c r="C30" s="517"/>
      <c r="D30" s="517"/>
      <c r="E30" s="518"/>
    </row>
    <row r="31" spans="1:8" x14ac:dyDescent="0.25">
      <c r="A31" s="496" t="s">
        <v>595</v>
      </c>
      <c r="D31">
        <f>(B34+B35)/5280</f>
        <v>1.1013257575757576</v>
      </c>
      <c r="E31">
        <f>(B37+B38)/5280</f>
        <v>0.33257575757575758</v>
      </c>
      <c r="F31" s="127">
        <f>C39/5280</f>
        <v>9.2803030303030304E-2</v>
      </c>
    </row>
    <row r="32" spans="1:8" x14ac:dyDescent="0.25">
      <c r="G32" t="s">
        <v>596</v>
      </c>
      <c r="H32" t="s">
        <v>597</v>
      </c>
    </row>
    <row r="33" spans="1:12" x14ac:dyDescent="0.25">
      <c r="A33" s="497" t="s">
        <v>571</v>
      </c>
      <c r="B33" s="498" t="s">
        <v>572</v>
      </c>
      <c r="C33" s="498" t="s">
        <v>573</v>
      </c>
      <c r="D33" s="499" t="s">
        <v>574</v>
      </c>
      <c r="E33" s="500" t="s">
        <v>202</v>
      </c>
      <c r="G33">
        <v>865</v>
      </c>
      <c r="H33">
        <v>500</v>
      </c>
      <c r="K33">
        <v>1788</v>
      </c>
      <c r="L33">
        <f>K33/5280</f>
        <v>0.33863636363636362</v>
      </c>
    </row>
    <row r="34" spans="1:12" x14ac:dyDescent="0.25">
      <c r="A34" s="502" t="s">
        <v>598</v>
      </c>
      <c r="B34" s="503">
        <v>2400</v>
      </c>
      <c r="C34" s="504">
        <v>125</v>
      </c>
      <c r="D34" s="504">
        <f>Table17[[#This Row],[Trail Length]]*Table17[[#This Row],[Cost per LF]]</f>
        <v>300000</v>
      </c>
      <c r="E34" s="505" t="s">
        <v>599</v>
      </c>
      <c r="G34">
        <v>300</v>
      </c>
      <c r="K34">
        <v>2250</v>
      </c>
      <c r="L34">
        <f>K34/5280</f>
        <v>0.42613636363636365</v>
      </c>
    </row>
    <row r="35" spans="1:12" x14ac:dyDescent="0.25">
      <c r="A35" s="502" t="s">
        <v>575</v>
      </c>
      <c r="B35" s="503">
        <v>3415</v>
      </c>
      <c r="C35" s="504">
        <v>170</v>
      </c>
      <c r="D35" s="504">
        <f>Table17[[#This Row],[Trail Length]]*Table17[[#This Row],[Cost per LF]]</f>
        <v>580550</v>
      </c>
      <c r="E35" s="505" t="s">
        <v>600</v>
      </c>
      <c r="G35">
        <v>250</v>
      </c>
    </row>
    <row r="36" spans="1:12" x14ac:dyDescent="0.25">
      <c r="A36" s="502" t="s">
        <v>601</v>
      </c>
      <c r="B36" s="503">
        <v>500</v>
      </c>
      <c r="C36" s="504">
        <v>490</v>
      </c>
      <c r="D36" s="504">
        <f>Table17[[#This Row],[Trail Length]]*Table17[[#This Row],[Cost per LF]]</f>
        <v>245000</v>
      </c>
      <c r="E36" s="505" t="s">
        <v>602</v>
      </c>
      <c r="G36">
        <v>600</v>
      </c>
      <c r="K36">
        <v>1066</v>
      </c>
      <c r="L36">
        <f>K36/5280</f>
        <v>0.2018939393939394</v>
      </c>
    </row>
    <row r="37" spans="1:12" x14ac:dyDescent="0.25">
      <c r="A37" s="502" t="s">
        <v>598</v>
      </c>
      <c r="B37" s="543">
        <v>1066</v>
      </c>
      <c r="C37" s="504">
        <v>125</v>
      </c>
      <c r="D37" s="504">
        <f>Table17[[#This Row],[Trail Length]]*Table17[[#This Row],[Cost per LF]]</f>
        <v>133250</v>
      </c>
      <c r="E37" s="505" t="s">
        <v>603</v>
      </c>
      <c r="G37">
        <v>170</v>
      </c>
      <c r="K37">
        <v>690</v>
      </c>
      <c r="L37">
        <f>K37/5280</f>
        <v>0.13068181818181818</v>
      </c>
    </row>
    <row r="38" spans="1:12" x14ac:dyDescent="0.25">
      <c r="A38" s="502" t="s">
        <v>575</v>
      </c>
      <c r="B38" s="543">
        <v>690</v>
      </c>
      <c r="C38" s="504">
        <v>225</v>
      </c>
      <c r="D38" s="504">
        <f>Table17[[#This Row],[Trail Length]]*Table17[[#This Row],[Cost per LF]]</f>
        <v>155250</v>
      </c>
      <c r="E38" s="505" t="s">
        <v>603</v>
      </c>
      <c r="G38">
        <v>600</v>
      </c>
    </row>
    <row r="39" spans="1:12" x14ac:dyDescent="0.25">
      <c r="A39" s="502" t="s">
        <v>601</v>
      </c>
      <c r="B39" s="543">
        <v>2250</v>
      </c>
      <c r="C39" s="504">
        <v>490</v>
      </c>
      <c r="D39" s="504">
        <f>Table17[[#This Row],[Trail Length]]*Table17[[#This Row],[Cost per LF]]</f>
        <v>1102500</v>
      </c>
      <c r="E39" s="505" t="s">
        <v>603</v>
      </c>
      <c r="G39">
        <v>60</v>
      </c>
      <c r="K39">
        <v>2400</v>
      </c>
      <c r="L39">
        <f>K39/5280</f>
        <v>0.45454545454545453</v>
      </c>
    </row>
    <row r="40" spans="1:12" x14ac:dyDescent="0.25">
      <c r="A40" s="502" t="s">
        <v>577</v>
      </c>
      <c r="B40" s="503">
        <v>22</v>
      </c>
      <c r="C40" s="504">
        <v>5000</v>
      </c>
      <c r="D40" s="504">
        <f>Table17[[#This Row],[Trail Length]]*Table17[[#This Row],[Cost per LF]]</f>
        <v>110000</v>
      </c>
      <c r="E40" s="505"/>
      <c r="G40">
        <v>230</v>
      </c>
      <c r="K40">
        <v>3415</v>
      </c>
      <c r="L40">
        <f>K40/5280</f>
        <v>0.64678030303030298</v>
      </c>
    </row>
    <row r="41" spans="1:12" x14ac:dyDescent="0.25">
      <c r="A41" s="506" t="s">
        <v>578</v>
      </c>
      <c r="B41" s="507">
        <v>1</v>
      </c>
      <c r="C41" s="508">
        <v>26000</v>
      </c>
      <c r="D41" s="508">
        <f>Table17[[#This Row],[Trail Length]]*Table17[[#This Row],[Cost per LF]]</f>
        <v>26000</v>
      </c>
      <c r="E41" s="509" t="s">
        <v>579</v>
      </c>
    </row>
    <row r="42" spans="1:12" x14ac:dyDescent="0.25">
      <c r="A42" s="502" t="s">
        <v>604</v>
      </c>
      <c r="B42" s="503">
        <v>6955</v>
      </c>
      <c r="C42" s="504">
        <v>1</v>
      </c>
      <c r="D42" s="504">
        <f>Table17[[#This Row],[Trail Length]]*Table17[[#This Row],[Cost per LF]]</f>
        <v>6955</v>
      </c>
      <c r="E42" s="505"/>
      <c r="G42">
        <v>340</v>
      </c>
    </row>
    <row r="43" spans="1:12" x14ac:dyDescent="0.25">
      <c r="A43" s="506" t="s">
        <v>580</v>
      </c>
      <c r="B43" s="507">
        <v>1</v>
      </c>
      <c r="C43" s="508">
        <v>100000</v>
      </c>
      <c r="D43" s="508">
        <f>Table17[[#This Row],[Trail Length]]*Table17[[#This Row],[Cost per LF]]</f>
        <v>100000</v>
      </c>
      <c r="E43" s="509" t="s">
        <v>581</v>
      </c>
    </row>
    <row r="44" spans="1:12" x14ac:dyDescent="0.25">
      <c r="A44" s="506" t="s">
        <v>605</v>
      </c>
      <c r="B44" s="507">
        <v>1</v>
      </c>
      <c r="C44" s="508">
        <v>2000</v>
      </c>
      <c r="D44" s="508">
        <f>Table17[[#This Row],[Trail Length]]*Table17[[#This Row],[Cost per LF]]</f>
        <v>2000</v>
      </c>
      <c r="E44" s="509" t="s">
        <v>606</v>
      </c>
    </row>
    <row r="45" spans="1:12" x14ac:dyDescent="0.25">
      <c r="A45" s="506" t="s">
        <v>607</v>
      </c>
      <c r="B45" s="507">
        <v>3</v>
      </c>
      <c r="C45" s="508">
        <v>6000</v>
      </c>
      <c r="D45" s="508">
        <f>Table17[[#This Row],[Trail Length]]*Table17[[#This Row],[Cost per LF]]</f>
        <v>18000</v>
      </c>
      <c r="E45" s="505"/>
    </row>
    <row r="46" spans="1:12" x14ac:dyDescent="0.25">
      <c r="A46" s="506" t="s">
        <v>582</v>
      </c>
      <c r="B46" s="507">
        <v>1</v>
      </c>
      <c r="C46" s="508">
        <v>8500</v>
      </c>
      <c r="D46" s="508">
        <f>Table17[[#This Row],[Trail Length]]*Table17[[#This Row],[Cost per LF]]</f>
        <v>8500</v>
      </c>
      <c r="E46" s="505"/>
    </row>
    <row r="47" spans="1:12" x14ac:dyDescent="0.25">
      <c r="A47" s="506" t="s">
        <v>608</v>
      </c>
      <c r="B47" s="507">
        <v>2</v>
      </c>
      <c r="C47" s="508">
        <v>5000</v>
      </c>
      <c r="D47" s="508">
        <f>Table17[[#This Row],[Trail Length]]*Table17[[#This Row],[Cost per LF]]</f>
        <v>10000</v>
      </c>
      <c r="E47" s="505"/>
    </row>
    <row r="48" spans="1:12" x14ac:dyDescent="0.25">
      <c r="A48" s="510" t="s">
        <v>583</v>
      </c>
      <c r="B48" s="511"/>
      <c r="C48" s="512"/>
      <c r="D48" s="512">
        <f>SUBTOTAL(109,D34:D47)</f>
        <v>2798005</v>
      </c>
      <c r="E48" s="513"/>
      <c r="G48">
        <v>2400</v>
      </c>
      <c r="H48" t="s">
        <v>609</v>
      </c>
    </row>
    <row r="49" spans="1:9" x14ac:dyDescent="0.25">
      <c r="A49" s="510" t="s">
        <v>584</v>
      </c>
      <c r="B49" s="511"/>
      <c r="C49" s="512"/>
      <c r="D49" s="512">
        <f>D48/1.2</f>
        <v>2331670.8333333335</v>
      </c>
      <c r="E49" s="513"/>
      <c r="G49" s="8">
        <f>SUM(G33:G48)</f>
        <v>5815</v>
      </c>
      <c r="I49">
        <f>2.5*5280</f>
        <v>13200</v>
      </c>
    </row>
    <row r="50" spans="1:9" x14ac:dyDescent="0.25">
      <c r="A50" s="514" t="s">
        <v>585</v>
      </c>
      <c r="B50" s="511"/>
      <c r="C50" s="512"/>
      <c r="D50" s="512">
        <f>D48-D49</f>
        <v>466334.16666666651</v>
      </c>
      <c r="E50" s="513"/>
      <c r="G50">
        <f>G49-G48</f>
        <v>3415</v>
      </c>
      <c r="H50" t="s">
        <v>610</v>
      </c>
      <c r="I50">
        <f>I49-G49-H33</f>
        <v>6885</v>
      </c>
    </row>
    <row r="51" spans="1:9" x14ac:dyDescent="0.25">
      <c r="A51" s="514" t="s">
        <v>586</v>
      </c>
      <c r="B51" s="511"/>
      <c r="C51" s="512"/>
      <c r="D51" s="512">
        <f>D49*0.215</f>
        <v>501309.22916666669</v>
      </c>
      <c r="E51" s="513" t="s">
        <v>587</v>
      </c>
    </row>
    <row r="52" spans="1:9" x14ac:dyDescent="0.25">
      <c r="A52" s="516"/>
      <c r="B52" s="516"/>
      <c r="C52" s="517"/>
      <c r="D52" s="517"/>
      <c r="E52" s="518"/>
    </row>
    <row r="53" spans="1:9" x14ac:dyDescent="0.25">
      <c r="A53" s="516"/>
      <c r="B53" s="516"/>
      <c r="C53" s="517"/>
      <c r="D53" s="517"/>
      <c r="E53" s="518"/>
    </row>
    <row r="54" spans="1:9" x14ac:dyDescent="0.25">
      <c r="G54">
        <v>2165</v>
      </c>
      <c r="H54">
        <f>G54/5280</f>
        <v>0.41003787878787878</v>
      </c>
    </row>
    <row r="55" spans="1:9" x14ac:dyDescent="0.25">
      <c r="A55" s="496" t="s">
        <v>611</v>
      </c>
      <c r="D55" s="132"/>
      <c r="G55">
        <v>750</v>
      </c>
      <c r="H55">
        <f>G55/5280</f>
        <v>0.14204545454545456</v>
      </c>
    </row>
    <row r="56" spans="1:9" x14ac:dyDescent="0.25">
      <c r="G56">
        <v>1700</v>
      </c>
      <c r="H56">
        <f>G56/5280</f>
        <v>0.32196969696969696</v>
      </c>
    </row>
    <row r="57" spans="1:9" x14ac:dyDescent="0.25">
      <c r="A57" s="497" t="s">
        <v>571</v>
      </c>
      <c r="B57" s="498" t="s">
        <v>572</v>
      </c>
      <c r="C57" s="498" t="s">
        <v>612</v>
      </c>
      <c r="D57" s="499" t="s">
        <v>574</v>
      </c>
      <c r="E57" s="500" t="s">
        <v>202</v>
      </c>
      <c r="G57">
        <v>1315</v>
      </c>
      <c r="H57">
        <f>G57/5280</f>
        <v>0.2490530303030303</v>
      </c>
    </row>
    <row r="58" spans="1:9" x14ac:dyDescent="0.25">
      <c r="A58" s="502" t="s">
        <v>598</v>
      </c>
      <c r="B58" s="503">
        <v>2165</v>
      </c>
      <c r="C58" s="504">
        <v>125</v>
      </c>
      <c r="D58" s="504">
        <f>Table13511[[#This Row],[Trail Length]]*Table13511[[#This Row],[Cost per LF/EA]]</f>
        <v>270625</v>
      </c>
      <c r="E58" s="505" t="s">
        <v>613</v>
      </c>
      <c r="G58">
        <f>SUM(G54:G57)</f>
        <v>5930</v>
      </c>
    </row>
    <row r="59" spans="1:9" x14ac:dyDescent="0.25">
      <c r="A59" s="502" t="s">
        <v>575</v>
      </c>
      <c r="B59" s="503">
        <v>1315</v>
      </c>
      <c r="C59" s="504">
        <v>225</v>
      </c>
      <c r="D59" s="504">
        <f>Table13511[[#This Row],[Trail Length]]*Table13511[[#This Row],[Cost per LF/EA]]</f>
        <v>295875</v>
      </c>
      <c r="E59" s="505" t="s">
        <v>614</v>
      </c>
      <c r="G59">
        <f>G58/5280</f>
        <v>1.1231060606060606</v>
      </c>
    </row>
    <row r="60" spans="1:9" x14ac:dyDescent="0.25">
      <c r="A60" s="502" t="s">
        <v>575</v>
      </c>
      <c r="B60" s="503">
        <v>750</v>
      </c>
      <c r="C60" s="504">
        <v>225</v>
      </c>
      <c r="D60" s="504">
        <f>Table13511[[#This Row],[Trail Length]]*Table13511[[#This Row],[Cost per LF/EA]]</f>
        <v>168750</v>
      </c>
      <c r="E60" s="505" t="s">
        <v>615</v>
      </c>
    </row>
    <row r="61" spans="1:9" x14ac:dyDescent="0.25">
      <c r="A61" s="502" t="s">
        <v>575</v>
      </c>
      <c r="B61" s="503">
        <v>1700</v>
      </c>
      <c r="C61" s="504">
        <v>250</v>
      </c>
      <c r="D61" s="504">
        <f>Table13511[[#This Row],[Trail Length]]*Table13511[[#This Row],[Cost per LF/EA]]</f>
        <v>425000</v>
      </c>
      <c r="E61" s="505" t="s">
        <v>616</v>
      </c>
    </row>
    <row r="62" spans="1:9" x14ac:dyDescent="0.25">
      <c r="A62" s="502" t="s">
        <v>577</v>
      </c>
      <c r="B62" s="503">
        <v>2</v>
      </c>
      <c r="C62" s="504">
        <v>5000</v>
      </c>
      <c r="D62" s="504">
        <f>Table13511[[#This Row],[Trail Length]]*Table13511[[#This Row],[Cost per LF/EA]]</f>
        <v>10000</v>
      </c>
      <c r="E62" s="505"/>
    </row>
    <row r="63" spans="1:9" x14ac:dyDescent="0.25">
      <c r="A63" s="506" t="s">
        <v>578</v>
      </c>
      <c r="B63" s="507">
        <v>1</v>
      </c>
      <c r="C63" s="508">
        <v>10000</v>
      </c>
      <c r="D63" s="508">
        <f>Table13511[[#This Row],[Trail Length]]*Table13511[[#This Row],[Cost per LF/EA]]</f>
        <v>10000</v>
      </c>
      <c r="E63" s="509" t="s">
        <v>579</v>
      </c>
    </row>
    <row r="64" spans="1:9" x14ac:dyDescent="0.25">
      <c r="A64" s="506" t="s">
        <v>617</v>
      </c>
      <c r="B64" s="507">
        <v>2</v>
      </c>
      <c r="C64" s="508">
        <v>300</v>
      </c>
      <c r="D64" s="508">
        <f>Table13511[[#This Row],[Trail Length]]*Table13511[[#This Row],[Cost per LF/EA]]</f>
        <v>600</v>
      </c>
      <c r="E64" s="509" t="s">
        <v>618</v>
      </c>
      <c r="G64" t="s">
        <v>619</v>
      </c>
    </row>
    <row r="65" spans="1:11" x14ac:dyDescent="0.25">
      <c r="A65" s="506" t="s">
        <v>582</v>
      </c>
      <c r="B65" s="507">
        <v>1</v>
      </c>
      <c r="C65" s="508">
        <v>8500</v>
      </c>
      <c r="D65" s="508">
        <f>Table13511[[#This Row],[Trail Length]]*Table13511[[#This Row],[Cost per LF/EA]]</f>
        <v>8500</v>
      </c>
      <c r="E65" s="505"/>
    </row>
    <row r="66" spans="1:11" x14ac:dyDescent="0.25">
      <c r="A66" s="510" t="s">
        <v>583</v>
      </c>
      <c r="B66" s="511"/>
      <c r="C66" s="512"/>
      <c r="D66" s="512">
        <f>SUBTOTAL(109,D58:D65)</f>
        <v>1189350</v>
      </c>
      <c r="E66" s="513"/>
    </row>
    <row r="67" spans="1:11" x14ac:dyDescent="0.25">
      <c r="A67" s="510" t="s">
        <v>584</v>
      </c>
      <c r="B67" s="511"/>
      <c r="C67" s="512"/>
      <c r="D67" s="512">
        <f>D66/1.2</f>
        <v>991125</v>
      </c>
      <c r="E67" s="513"/>
    </row>
    <row r="68" spans="1:11" x14ac:dyDescent="0.25">
      <c r="A68" s="514" t="s">
        <v>585</v>
      </c>
      <c r="B68" s="511"/>
      <c r="C68" s="512"/>
      <c r="D68" s="512">
        <f>D66-D67</f>
        <v>198225</v>
      </c>
      <c r="E68" s="513"/>
    </row>
    <row r="69" spans="1:11" x14ac:dyDescent="0.25">
      <c r="A69" s="514" t="s">
        <v>586</v>
      </c>
      <c r="B69" s="511"/>
      <c r="C69" s="512"/>
      <c r="D69" s="512">
        <f>D67*0.215</f>
        <v>213091.875</v>
      </c>
      <c r="E69" s="513" t="s">
        <v>587</v>
      </c>
    </row>
    <row r="70" spans="1:11" x14ac:dyDescent="0.25">
      <c r="A70" s="516"/>
      <c r="B70" s="544"/>
      <c r="C70" s="545"/>
      <c r="D70" s="517"/>
      <c r="E70" s="518"/>
    </row>
    <row r="71" spans="1:11" x14ac:dyDescent="0.25">
      <c r="B71" s="546"/>
      <c r="C71" s="546"/>
      <c r="G71" t="s">
        <v>620</v>
      </c>
      <c r="H71" t="s">
        <v>621</v>
      </c>
      <c r="J71" s="547">
        <v>2500</v>
      </c>
      <c r="K71">
        <f>J71/5280</f>
        <v>0.47348484848484851</v>
      </c>
    </row>
    <row r="72" spans="1:11" x14ac:dyDescent="0.25">
      <c r="G72">
        <v>1200</v>
      </c>
      <c r="J72">
        <v>70</v>
      </c>
    </row>
    <row r="73" spans="1:11" x14ac:dyDescent="0.25">
      <c r="A73" s="496" t="s">
        <v>622</v>
      </c>
      <c r="G73">
        <v>3000</v>
      </c>
      <c r="J73">
        <f>J71-J72</f>
        <v>2430</v>
      </c>
    </row>
    <row r="74" spans="1:11" x14ac:dyDescent="0.25">
      <c r="G74">
        <v>500</v>
      </c>
    </row>
    <row r="75" spans="1:11" x14ac:dyDescent="0.25">
      <c r="A75" s="497" t="s">
        <v>571</v>
      </c>
      <c r="B75" s="498" t="s">
        <v>572</v>
      </c>
      <c r="C75" s="498" t="s">
        <v>612</v>
      </c>
      <c r="D75" s="499" t="s">
        <v>574</v>
      </c>
      <c r="E75" s="500" t="s">
        <v>202</v>
      </c>
      <c r="G75">
        <v>280</v>
      </c>
    </row>
    <row r="76" spans="1:11" x14ac:dyDescent="0.25">
      <c r="A76" s="502" t="s">
        <v>598</v>
      </c>
      <c r="B76" s="503">
        <v>7040</v>
      </c>
      <c r="C76" s="504">
        <v>125</v>
      </c>
      <c r="D76" s="504">
        <f>Table139[[#This Row],[Trail Length]]*Table139[[#This Row],[Cost per LF/EA]]</f>
        <v>880000</v>
      </c>
      <c r="E76" s="505"/>
    </row>
    <row r="77" spans="1:11" x14ac:dyDescent="0.25">
      <c r="A77" s="502" t="s">
        <v>575</v>
      </c>
      <c r="B77" s="503">
        <v>4980</v>
      </c>
      <c r="C77" s="504">
        <v>170</v>
      </c>
      <c r="D77" s="504">
        <f>Table139[[#This Row],[Trail Length]]*Table139[[#This Row],[Cost per LF/EA]]</f>
        <v>846600</v>
      </c>
      <c r="E77" s="505" t="s">
        <v>623</v>
      </c>
      <c r="G77">
        <f>SUM(G72:G76)</f>
        <v>4980</v>
      </c>
    </row>
    <row r="78" spans="1:11" x14ac:dyDescent="0.25">
      <c r="A78" s="502" t="s">
        <v>577</v>
      </c>
      <c r="B78" s="503">
        <v>14</v>
      </c>
      <c r="C78" s="504">
        <v>5000</v>
      </c>
      <c r="D78" s="504">
        <f>Table139[[#This Row],[Trail Length]]*Table139[[#This Row],[Cost per LF/EA]]</f>
        <v>70000</v>
      </c>
      <c r="E78" s="505"/>
      <c r="I78">
        <f>2.75*5280</f>
        <v>14520</v>
      </c>
    </row>
    <row r="79" spans="1:11" x14ac:dyDescent="0.25">
      <c r="A79" s="506" t="s">
        <v>578</v>
      </c>
      <c r="B79" s="507">
        <v>1</v>
      </c>
      <c r="C79" s="508">
        <v>10000</v>
      </c>
      <c r="D79" s="508">
        <f>Table139[[#This Row],[Trail Length]]*Table139[[#This Row],[Cost per LF/EA]]</f>
        <v>10000</v>
      </c>
      <c r="E79" s="509" t="s">
        <v>579</v>
      </c>
    </row>
    <row r="80" spans="1:11" x14ac:dyDescent="0.25">
      <c r="A80" s="506" t="s">
        <v>607</v>
      </c>
      <c r="B80" s="507">
        <v>1</v>
      </c>
      <c r="C80" s="508">
        <v>6000</v>
      </c>
      <c r="D80" s="504">
        <f>Table139[[#This Row],[Trail Length]]*Table139[[#This Row],[Cost per LF/EA]]</f>
        <v>6000</v>
      </c>
      <c r="E80" s="505"/>
    </row>
    <row r="81" spans="1:9" x14ac:dyDescent="0.25">
      <c r="A81" s="506" t="s">
        <v>582</v>
      </c>
      <c r="B81" s="507">
        <v>1</v>
      </c>
      <c r="C81" s="508">
        <v>8500</v>
      </c>
      <c r="D81" s="504">
        <f>Table139[[#This Row],[Trail Length]]*Table139[[#This Row],[Cost per LF/EA]]</f>
        <v>8500</v>
      </c>
      <c r="E81" s="505"/>
    </row>
    <row r="82" spans="1:9" x14ac:dyDescent="0.25">
      <c r="A82" s="506" t="s">
        <v>608</v>
      </c>
      <c r="B82" s="507">
        <v>2</v>
      </c>
      <c r="C82" s="508">
        <v>5000</v>
      </c>
      <c r="D82" s="504">
        <f>Table139[[#This Row],[Trail Length]]*Table139[[#This Row],[Cost per LF/EA]]</f>
        <v>10000</v>
      </c>
      <c r="E82" s="505"/>
    </row>
    <row r="83" spans="1:9" x14ac:dyDescent="0.25">
      <c r="A83" s="510" t="s">
        <v>583</v>
      </c>
      <c r="B83" s="511"/>
      <c r="C83" s="512"/>
      <c r="D83" s="512">
        <f>SUBTOTAL(109,D76:D82)</f>
        <v>1831100</v>
      </c>
      <c r="E83" s="513"/>
      <c r="I83">
        <f>I78-G77</f>
        <v>9540</v>
      </c>
    </row>
    <row r="84" spans="1:9" x14ac:dyDescent="0.25">
      <c r="A84" s="510" t="s">
        <v>584</v>
      </c>
      <c r="B84" s="511"/>
      <c r="C84" s="512"/>
      <c r="D84" s="512">
        <f>D83/1.2</f>
        <v>1525916.6666666667</v>
      </c>
      <c r="E84" s="513"/>
    </row>
    <row r="85" spans="1:9" x14ac:dyDescent="0.25">
      <c r="A85" s="514" t="s">
        <v>585</v>
      </c>
      <c r="B85" s="511"/>
      <c r="C85" s="512"/>
      <c r="D85" s="512">
        <f>D83-D84</f>
        <v>305183.33333333326</v>
      </c>
      <c r="E85" s="513"/>
    </row>
    <row r="86" spans="1:9" x14ac:dyDescent="0.25">
      <c r="A86" s="514" t="s">
        <v>586</v>
      </c>
      <c r="B86" s="511"/>
      <c r="C86" s="512"/>
      <c r="D86" s="512">
        <f>D84*0.215</f>
        <v>328072.08333333337</v>
      </c>
      <c r="E86" s="513" t="s">
        <v>587</v>
      </c>
    </row>
    <row r="87" spans="1:9" x14ac:dyDescent="0.25">
      <c r="A87" s="514"/>
      <c r="B87" s="511"/>
      <c r="C87" s="512"/>
      <c r="D87" s="512"/>
      <c r="E87" s="513"/>
      <c r="I87">
        <f>0.84*5280</f>
        <v>4435.2</v>
      </c>
    </row>
    <row r="88" spans="1:9" x14ac:dyDescent="0.25">
      <c r="I88" t="s">
        <v>624</v>
      </c>
    </row>
    <row r="90" spans="1:9" x14ac:dyDescent="0.25">
      <c r="A90" s="496" t="s">
        <v>625</v>
      </c>
    </row>
    <row r="92" spans="1:9" x14ac:dyDescent="0.25">
      <c r="A92" s="497" t="s">
        <v>571</v>
      </c>
      <c r="B92" s="498" t="s">
        <v>572</v>
      </c>
      <c r="C92" s="498" t="s">
        <v>612</v>
      </c>
      <c r="D92" s="499" t="s">
        <v>574</v>
      </c>
      <c r="E92" s="500" t="s">
        <v>202</v>
      </c>
      <c r="G92" t="s">
        <v>626</v>
      </c>
    </row>
    <row r="93" spans="1:9" x14ac:dyDescent="0.25">
      <c r="A93" s="548" t="s">
        <v>627</v>
      </c>
      <c r="B93" s="503">
        <v>5782</v>
      </c>
      <c r="C93" s="504">
        <v>1</v>
      </c>
      <c r="D93" s="504">
        <f>Table1356813[[#This Row],[Trail Length]]*Table1356813[[#This Row],[Cost per LF/EA]]</f>
        <v>5782</v>
      </c>
      <c r="E93" s="505" t="s">
        <v>628</v>
      </c>
    </row>
    <row r="94" spans="1:9" x14ac:dyDescent="0.25">
      <c r="A94" s="502" t="s">
        <v>629</v>
      </c>
      <c r="B94" s="503">
        <v>7380</v>
      </c>
      <c r="C94" s="504">
        <v>490</v>
      </c>
      <c r="D94" s="504">
        <f>Table1356813[[#This Row],[Trail Length]]*Table1356813[[#This Row],[Cost per LF/EA]]</f>
        <v>3616200</v>
      </c>
      <c r="E94" s="505"/>
    </row>
    <row r="95" spans="1:9" x14ac:dyDescent="0.25">
      <c r="A95" s="502" t="s">
        <v>575</v>
      </c>
      <c r="B95" s="503">
        <v>11986</v>
      </c>
      <c r="C95" s="504">
        <v>225</v>
      </c>
      <c r="D95" s="504">
        <f>Table1356813[[#This Row],[Trail Length]]*Table1356813[[#This Row],[Cost per LF/EA]]</f>
        <v>2696850</v>
      </c>
      <c r="E95" s="505"/>
    </row>
    <row r="96" spans="1:9" x14ac:dyDescent="0.25">
      <c r="A96" s="506" t="s">
        <v>630</v>
      </c>
      <c r="B96" s="507">
        <v>1</v>
      </c>
      <c r="C96" s="508">
        <f>182000+50000</f>
        <v>232000</v>
      </c>
      <c r="D96" s="508">
        <f>Table1356813[[#This Row],[Trail Length]]*Table1356813[[#This Row],[Cost per LF/EA]]</f>
        <v>232000</v>
      </c>
      <c r="E96" s="509" t="s">
        <v>631</v>
      </c>
    </row>
    <row r="97" spans="1:9" x14ac:dyDescent="0.25">
      <c r="A97" s="506" t="s">
        <v>605</v>
      </c>
      <c r="B97" s="507">
        <v>1</v>
      </c>
      <c r="C97" s="508">
        <v>70000</v>
      </c>
      <c r="D97" s="508">
        <f>Table1356813[[#This Row],[Trail Length]]*Table1356813[[#This Row],[Cost per LF/EA]]</f>
        <v>70000</v>
      </c>
      <c r="E97" s="509" t="s">
        <v>632</v>
      </c>
    </row>
    <row r="98" spans="1:9" x14ac:dyDescent="0.25">
      <c r="A98" s="502" t="s">
        <v>633</v>
      </c>
      <c r="B98" s="503">
        <v>1220</v>
      </c>
      <c r="C98" s="504">
        <v>200</v>
      </c>
      <c r="D98" s="504">
        <f>Table1356813[[#This Row],[Trail Length]]*Table1356813[[#This Row],[Cost per LF/EA]]</f>
        <v>244000</v>
      </c>
      <c r="E98" s="505" t="s">
        <v>634</v>
      </c>
    </row>
    <row r="99" spans="1:9" x14ac:dyDescent="0.25">
      <c r="A99" s="502" t="s">
        <v>635</v>
      </c>
      <c r="B99" s="543">
        <v>3930</v>
      </c>
      <c r="C99" s="504">
        <v>220</v>
      </c>
      <c r="D99" s="504">
        <f>Table1356813[[#This Row],[Trail Length]]*Table1356813[[#This Row],[Cost per LF/EA]]</f>
        <v>864600</v>
      </c>
      <c r="E99" s="505"/>
    </row>
    <row r="100" spans="1:9" x14ac:dyDescent="0.25">
      <c r="A100" s="502" t="s">
        <v>636</v>
      </c>
      <c r="B100" s="543">
        <v>34</v>
      </c>
      <c r="C100" s="504">
        <v>20000</v>
      </c>
      <c r="D100" s="504">
        <f>Table1356813[[#This Row],[Trail Length]]*Table1356813[[#This Row],[Cost per LF/EA]]</f>
        <v>680000</v>
      </c>
      <c r="E100" s="505"/>
    </row>
    <row r="101" spans="1:9" x14ac:dyDescent="0.25">
      <c r="A101" s="502" t="s">
        <v>577</v>
      </c>
      <c r="B101" s="503">
        <v>23</v>
      </c>
      <c r="C101" s="504">
        <v>5000</v>
      </c>
      <c r="D101" s="504">
        <f>Table1356813[[#This Row],[Trail Length]]*Table1356813[[#This Row],[Cost per LF/EA]]</f>
        <v>115000</v>
      </c>
      <c r="E101" s="505"/>
    </row>
    <row r="102" spans="1:9" x14ac:dyDescent="0.25">
      <c r="A102" s="506" t="s">
        <v>578</v>
      </c>
      <c r="B102" s="507">
        <v>1</v>
      </c>
      <c r="C102" s="508">
        <v>196000</v>
      </c>
      <c r="D102" s="508">
        <f>Table1356813[[#This Row],[Trail Length]]*Table1356813[[#This Row],[Cost per LF/EA]]</f>
        <v>196000</v>
      </c>
      <c r="E102" s="509" t="s">
        <v>579</v>
      </c>
    </row>
    <row r="103" spans="1:9" x14ac:dyDescent="0.25">
      <c r="A103" s="506" t="s">
        <v>580</v>
      </c>
      <c r="B103" s="507">
        <v>3</v>
      </c>
      <c r="C103" s="508">
        <v>100000</v>
      </c>
      <c r="D103" s="508">
        <f>Table1356813[[#This Row],[Trail Length]]*Table1356813[[#This Row],[Cost per LF/EA]]</f>
        <v>300000</v>
      </c>
      <c r="E103" s="509" t="s">
        <v>581</v>
      </c>
    </row>
    <row r="104" spans="1:9" x14ac:dyDescent="0.25">
      <c r="A104" s="506" t="s">
        <v>607</v>
      </c>
      <c r="B104" s="507">
        <v>2</v>
      </c>
      <c r="C104" s="508">
        <v>6000</v>
      </c>
      <c r="D104" s="508">
        <f>Table1356813[[#This Row],[Trail Length]]*Table1356813[[#This Row],[Cost per LF/EA]]</f>
        <v>12000</v>
      </c>
      <c r="E104" s="505"/>
    </row>
    <row r="105" spans="1:9" x14ac:dyDescent="0.25">
      <c r="A105" s="510" t="s">
        <v>583</v>
      </c>
      <c r="B105" s="511"/>
      <c r="C105" s="512"/>
      <c r="D105" s="512">
        <f>SUBTOTAL(109,D93:D104)</f>
        <v>9032432</v>
      </c>
      <c r="E105" s="513"/>
    </row>
    <row r="106" spans="1:9" x14ac:dyDescent="0.25">
      <c r="A106" s="510" t="s">
        <v>584</v>
      </c>
      <c r="B106" s="511"/>
      <c r="C106" s="512"/>
      <c r="D106" s="512">
        <f>D105/1.2</f>
        <v>7527026.666666667</v>
      </c>
      <c r="E106" s="513"/>
    </row>
    <row r="107" spans="1:9" x14ac:dyDescent="0.25">
      <c r="A107" s="514" t="s">
        <v>585</v>
      </c>
      <c r="B107" s="511"/>
      <c r="C107" s="512"/>
      <c r="D107" s="512">
        <f>D105-D106</f>
        <v>1505405.333333333</v>
      </c>
      <c r="E107" s="513"/>
    </row>
    <row r="108" spans="1:9" x14ac:dyDescent="0.25">
      <c r="A108" s="514" t="s">
        <v>586</v>
      </c>
      <c r="B108" s="511"/>
      <c r="C108" s="512"/>
      <c r="D108" s="512">
        <f>D106*0.27629</f>
        <v>2079642.1977333333</v>
      </c>
      <c r="E108" s="513" t="s">
        <v>594</v>
      </c>
    </row>
    <row r="109" spans="1:9" x14ac:dyDescent="0.25">
      <c r="B109" s="546"/>
    </row>
    <row r="110" spans="1:9" x14ac:dyDescent="0.25">
      <c r="B110" s="546"/>
    </row>
    <row r="111" spans="1:9" x14ac:dyDescent="0.25">
      <c r="G111">
        <f>I111*5280</f>
        <v>6864</v>
      </c>
      <c r="I111">
        <v>1.3</v>
      </c>
    </row>
    <row r="112" spans="1:9" x14ac:dyDescent="0.25">
      <c r="A112" s="496" t="s">
        <v>637</v>
      </c>
      <c r="G112">
        <f t="shared" ref="G112" si="0">I112*5280</f>
        <v>2112</v>
      </c>
      <c r="I112">
        <v>0.4</v>
      </c>
    </row>
    <row r="113" spans="1:11" x14ac:dyDescent="0.25">
      <c r="G113">
        <v>115</v>
      </c>
      <c r="I113">
        <v>115</v>
      </c>
    </row>
    <row r="114" spans="1:11" x14ac:dyDescent="0.25">
      <c r="A114" s="497" t="s">
        <v>571</v>
      </c>
      <c r="B114" s="498" t="s">
        <v>572</v>
      </c>
      <c r="C114" s="498" t="s">
        <v>612</v>
      </c>
      <c r="D114" s="499" t="s">
        <v>574</v>
      </c>
      <c r="E114" s="500" t="s">
        <v>202</v>
      </c>
      <c r="G114">
        <f>I114*5280</f>
        <v>15840</v>
      </c>
      <c r="I114">
        <v>3</v>
      </c>
      <c r="K114" s="83">
        <f>G114*10/9*114</f>
        <v>2006400</v>
      </c>
    </row>
    <row r="115" spans="1:11" x14ac:dyDescent="0.25">
      <c r="A115" s="502" t="s">
        <v>598</v>
      </c>
      <c r="B115" s="503">
        <f>G114+G115</f>
        <v>16340</v>
      </c>
      <c r="C115" s="504">
        <v>125</v>
      </c>
      <c r="D115" s="504">
        <f>Table135612[[#This Row],[Trail Length]]*Table135612[[#This Row],[Cost per LF/EA]]</f>
        <v>2042500</v>
      </c>
      <c r="E115" s="505" t="s">
        <v>638</v>
      </c>
      <c r="G115">
        <v>500</v>
      </c>
      <c r="H115" t="s">
        <v>639</v>
      </c>
    </row>
    <row r="116" spans="1:11" x14ac:dyDescent="0.25">
      <c r="A116" s="502" t="s">
        <v>629</v>
      </c>
      <c r="B116" s="503">
        <v>6864</v>
      </c>
      <c r="C116" s="504">
        <v>490</v>
      </c>
      <c r="D116" s="504">
        <f>Table135612[[#This Row],[Trail Length]]*Table135612[[#This Row],[Cost per LF/EA]]</f>
        <v>3363360</v>
      </c>
      <c r="E116" s="505"/>
      <c r="G116">
        <v>1610</v>
      </c>
      <c r="H116" t="s">
        <v>640</v>
      </c>
    </row>
    <row r="117" spans="1:11" x14ac:dyDescent="0.25">
      <c r="A117" s="502" t="s">
        <v>575</v>
      </c>
      <c r="B117" s="503">
        <f>G116+G113</f>
        <v>1725</v>
      </c>
      <c r="C117" s="504">
        <v>225</v>
      </c>
      <c r="D117" s="504">
        <f>Table135612[[#This Row],[Trail Length]]*Table135612[[#This Row],[Cost per LF/EA]]</f>
        <v>388125</v>
      </c>
      <c r="E117" s="505" t="s">
        <v>641</v>
      </c>
    </row>
    <row r="118" spans="1:11" x14ac:dyDescent="0.25">
      <c r="A118" s="506" t="s">
        <v>630</v>
      </c>
      <c r="B118" s="507">
        <v>1</v>
      </c>
      <c r="C118" s="508">
        <f>200000+50000</f>
        <v>250000</v>
      </c>
      <c r="D118" s="508">
        <f>Table135612[[#This Row],[Trail Length]]*Table135612[[#This Row],[Cost per LF/EA]]</f>
        <v>250000</v>
      </c>
      <c r="E118" s="509" t="s">
        <v>631</v>
      </c>
    </row>
    <row r="119" spans="1:11" x14ac:dyDescent="0.25">
      <c r="A119" s="502" t="s">
        <v>642</v>
      </c>
      <c r="B119" s="503">
        <v>1</v>
      </c>
      <c r="C119" s="504">
        <v>100000</v>
      </c>
      <c r="D119" s="504">
        <f>Table135612[[#This Row],[Trail Length]]*Table135612[[#This Row],[Cost per LF/EA]]</f>
        <v>100000</v>
      </c>
      <c r="E119" s="505" t="s">
        <v>643</v>
      </c>
    </row>
    <row r="120" spans="1:11" s="441" customFormat="1" x14ac:dyDescent="0.25">
      <c r="A120" s="549" t="s">
        <v>605</v>
      </c>
      <c r="B120" s="550">
        <v>1</v>
      </c>
      <c r="C120" s="551">
        <v>75000</v>
      </c>
      <c r="D120" s="551">
        <f>Table135612[[#This Row],[Trail Length]]*Table135612[[#This Row],[Cost per LF/EA]]</f>
        <v>75000</v>
      </c>
      <c r="E120" s="552" t="s">
        <v>644</v>
      </c>
    </row>
    <row r="121" spans="1:11" x14ac:dyDescent="0.25">
      <c r="A121" s="502" t="s">
        <v>645</v>
      </c>
      <c r="B121" s="543">
        <v>1</v>
      </c>
      <c r="C121" s="504">
        <v>25000</v>
      </c>
      <c r="D121" s="504">
        <f>Table135612[[#This Row],[Trail Length]]*Table135612[[#This Row],[Cost per LF/EA]]</f>
        <v>25000</v>
      </c>
      <c r="E121" s="505"/>
    </row>
    <row r="122" spans="1:11" x14ac:dyDescent="0.25">
      <c r="A122" s="502" t="s">
        <v>633</v>
      </c>
      <c r="B122" s="543">
        <v>250</v>
      </c>
      <c r="C122" s="504">
        <v>200</v>
      </c>
      <c r="D122" s="504">
        <f>Table135612[[#This Row],[Trail Length]]*Table135612[[#This Row],[Cost per LF/EA]]</f>
        <v>50000</v>
      </c>
      <c r="E122" s="505" t="s">
        <v>646</v>
      </c>
    </row>
    <row r="123" spans="1:11" x14ac:dyDescent="0.25">
      <c r="A123" s="502" t="s">
        <v>577</v>
      </c>
      <c r="B123" s="503">
        <v>60</v>
      </c>
      <c r="C123" s="504">
        <v>5000</v>
      </c>
      <c r="D123" s="504">
        <f>Table135612[[#This Row],[Trail Length]]*Table135612[[#This Row],[Cost per LF/EA]]</f>
        <v>300000</v>
      </c>
      <c r="E123" s="505"/>
    </row>
    <row r="124" spans="1:11" x14ac:dyDescent="0.25">
      <c r="A124" s="506" t="s">
        <v>578</v>
      </c>
      <c r="B124" s="507">
        <v>1</v>
      </c>
      <c r="C124" s="508">
        <v>122000</v>
      </c>
      <c r="D124" s="508">
        <f>Table135612[[#This Row],[Trail Length]]*Table135612[[#This Row],[Cost per LF/EA]]</f>
        <v>122000</v>
      </c>
      <c r="E124" s="509" t="s">
        <v>579</v>
      </c>
    </row>
    <row r="125" spans="1:11" x14ac:dyDescent="0.25">
      <c r="A125" s="506" t="s">
        <v>580</v>
      </c>
      <c r="B125" s="507">
        <v>4</v>
      </c>
      <c r="C125" s="508">
        <v>100000</v>
      </c>
      <c r="D125" s="508">
        <f>Table135612[[#This Row],[Trail Length]]*Table135612[[#This Row],[Cost per LF/EA]]</f>
        <v>400000</v>
      </c>
      <c r="E125" s="509" t="s">
        <v>581</v>
      </c>
    </row>
    <row r="126" spans="1:11" x14ac:dyDescent="0.25">
      <c r="A126" s="506" t="s">
        <v>607</v>
      </c>
      <c r="B126" s="507">
        <v>3</v>
      </c>
      <c r="C126" s="508">
        <v>6000</v>
      </c>
      <c r="D126" s="508">
        <f>Table135612[[#This Row],[Trail Length]]*Table135612[[#This Row],[Cost per LF/EA]]</f>
        <v>18000</v>
      </c>
      <c r="E126" s="505"/>
    </row>
    <row r="127" spans="1:11" x14ac:dyDescent="0.25">
      <c r="A127" s="506" t="s">
        <v>582</v>
      </c>
      <c r="B127" s="507">
        <v>1</v>
      </c>
      <c r="C127" s="508">
        <v>8500</v>
      </c>
      <c r="D127" s="508">
        <f>Table135612[[#This Row],[Trail Length]]*Table135612[[#This Row],[Cost per LF/EA]]</f>
        <v>8500</v>
      </c>
      <c r="E127" s="505"/>
    </row>
    <row r="128" spans="1:11" x14ac:dyDescent="0.25">
      <c r="A128" s="506" t="s">
        <v>608</v>
      </c>
      <c r="B128" s="507">
        <v>2</v>
      </c>
      <c r="C128" s="508">
        <v>5000</v>
      </c>
      <c r="D128" s="508">
        <f>Table135612[[#This Row],[Trail Length]]*Table135612[[#This Row],[Cost per LF/EA]]</f>
        <v>10000</v>
      </c>
      <c r="E128" s="505"/>
    </row>
    <row r="129" spans="1:8" x14ac:dyDescent="0.25">
      <c r="A129" s="510" t="s">
        <v>583</v>
      </c>
      <c r="B129" s="511"/>
      <c r="C129" s="512"/>
      <c r="D129" s="512">
        <f>SUBTOTAL(109,D115:D128)</f>
        <v>7152485</v>
      </c>
      <c r="E129" s="513"/>
    </row>
    <row r="130" spans="1:8" x14ac:dyDescent="0.25">
      <c r="A130" s="510" t="s">
        <v>584</v>
      </c>
      <c r="B130" s="511"/>
      <c r="C130" s="512"/>
      <c r="D130" s="512">
        <f>D129/1.2</f>
        <v>5960404.166666667</v>
      </c>
      <c r="E130" s="513"/>
    </row>
    <row r="131" spans="1:8" x14ac:dyDescent="0.25">
      <c r="A131" s="514" t="s">
        <v>585</v>
      </c>
      <c r="B131" s="511"/>
      <c r="C131" s="512"/>
      <c r="D131" s="512">
        <f>D129-D130</f>
        <v>1192080.833333333</v>
      </c>
      <c r="E131" s="513"/>
    </row>
    <row r="132" spans="1:8" x14ac:dyDescent="0.25">
      <c r="A132" s="514" t="s">
        <v>586</v>
      </c>
      <c r="B132" s="511"/>
      <c r="C132" s="512"/>
      <c r="D132" s="512">
        <f>D130*0.27629</f>
        <v>1646800.0672083334</v>
      </c>
      <c r="E132" s="513" t="s">
        <v>594</v>
      </c>
    </row>
    <row r="136" spans="1:8" x14ac:dyDescent="0.25">
      <c r="C136" s="9" t="s">
        <v>647</v>
      </c>
      <c r="D136" s="132">
        <f>D105+D129+D66+D9+D83+D48+D24</f>
        <v>23884497</v>
      </c>
    </row>
    <row r="137" spans="1:8" x14ac:dyDescent="0.25">
      <c r="C137" s="9" t="s">
        <v>648</v>
      </c>
      <c r="D137" s="132">
        <f>D106+D130+D67+D10+D84+D49+D25</f>
        <v>19903747.5</v>
      </c>
      <c r="G137" s="127">
        <f>D137*0.8</f>
        <v>15922998</v>
      </c>
      <c r="H137" s="127">
        <f>D137*0.2</f>
        <v>3980749.5</v>
      </c>
    </row>
    <row r="138" spans="1:8" x14ac:dyDescent="0.25">
      <c r="C138" s="9" t="s">
        <v>649</v>
      </c>
      <c r="D138" s="132">
        <f>D12+D27+D51+D69+D86+D108+D132</f>
        <v>5134164.1782750003</v>
      </c>
      <c r="G138" s="127"/>
      <c r="H138" s="127"/>
    </row>
    <row r="139" spans="1:8" x14ac:dyDescent="0.25">
      <c r="C139" s="9" t="s">
        <v>650</v>
      </c>
      <c r="D139" s="132">
        <f>D107+D131+D68+D11+D85+D50+D26</f>
        <v>3980749.4999999991</v>
      </c>
      <c r="G139" s="127">
        <f>D139*0.8</f>
        <v>3184599.5999999996</v>
      </c>
      <c r="H139" s="127">
        <f>D139*0.2</f>
        <v>796149.89999999991</v>
      </c>
    </row>
    <row r="140" spans="1:8" x14ac:dyDescent="0.25">
      <c r="C140" s="553" t="s">
        <v>651</v>
      </c>
      <c r="D140" s="127">
        <f>D137*0.075+750000</f>
        <v>2242781.0625</v>
      </c>
      <c r="E140" s="157" t="s">
        <v>652</v>
      </c>
    </row>
    <row r="141" spans="1:8" x14ac:dyDescent="0.25">
      <c r="C141" s="9" t="s">
        <v>653</v>
      </c>
      <c r="D141" s="132">
        <f>SUM(D137:D140)</f>
        <v>31261442.240775</v>
      </c>
    </row>
    <row r="143" spans="1:8" x14ac:dyDescent="0.25">
      <c r="C143" s="9"/>
    </row>
    <row r="144" spans="1:8" x14ac:dyDescent="0.25">
      <c r="B144" t="s">
        <v>654</v>
      </c>
      <c r="C144" s="9"/>
      <c r="D144" s="127">
        <f>D137+D138+D139</f>
        <v>29018661.178275</v>
      </c>
    </row>
    <row r="145" spans="2:4" x14ac:dyDescent="0.25">
      <c r="B145" t="s">
        <v>655</v>
      </c>
      <c r="C145" s="9"/>
      <c r="D145" s="132">
        <f>D140</f>
        <v>2242781.0625</v>
      </c>
    </row>
    <row r="146" spans="2:4" x14ac:dyDescent="0.25">
      <c r="C146" s="9"/>
    </row>
    <row r="147" spans="2:4" x14ac:dyDescent="0.25">
      <c r="C147" s="9"/>
      <c r="D147" s="132"/>
    </row>
    <row r="148" spans="2:4" x14ac:dyDescent="0.25">
      <c r="C148" s="9"/>
      <c r="D148" s="132"/>
    </row>
    <row r="149" spans="2:4" x14ac:dyDescent="0.25">
      <c r="C149" s="9"/>
    </row>
    <row r="150" spans="2:4" x14ac:dyDescent="0.25">
      <c r="C150" s="9"/>
      <c r="D150" s="127"/>
    </row>
  </sheetData>
  <pageMargins left="0.7" right="0.7" top="0.75" bottom="0.75" header="0.3" footer="0.3"/>
  <pageSetup orientation="portrait" r:id="rId1"/>
  <tableParts count="6">
    <tablePart r:id="rId2"/>
    <tablePart r:id="rId3"/>
    <tablePart r:id="rId4"/>
    <tablePart r:id="rId5"/>
    <tablePart r:id="rId6"/>
    <tablePart r:id="rId7"/>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7924E-F68F-4E0B-BD7A-B35A20E2A951}">
  <sheetPr>
    <tabColor theme="9" tint="0.39997558519241921"/>
  </sheetPr>
  <dimension ref="A1:E13"/>
  <sheetViews>
    <sheetView workbookViewId="0">
      <selection activeCell="E6" sqref="E6"/>
    </sheetView>
  </sheetViews>
  <sheetFormatPr defaultRowHeight="15" x14ac:dyDescent="0.25"/>
  <cols>
    <col min="1" max="1" width="14.85546875" customWidth="1"/>
    <col min="2" max="2" width="16.42578125" customWidth="1"/>
    <col min="3" max="3" width="61.7109375" customWidth="1"/>
    <col min="4" max="4" width="16.85546875" customWidth="1"/>
  </cols>
  <sheetData>
    <row r="1" spans="1:5" ht="15.75" thickBot="1" x14ac:dyDescent="0.3">
      <c r="A1" s="181" t="s">
        <v>343</v>
      </c>
      <c r="B1" s="182"/>
      <c r="C1" s="182"/>
      <c r="D1" s="182" t="s">
        <v>503</v>
      </c>
    </row>
    <row r="2" spans="1:5" ht="15.75" thickBot="1" x14ac:dyDescent="0.3">
      <c r="A2" s="183"/>
      <c r="B2" s="184"/>
      <c r="C2" s="184"/>
      <c r="D2" s="184"/>
    </row>
    <row r="3" spans="1:5" ht="15.75" thickBot="1" x14ac:dyDescent="0.3">
      <c r="A3" s="185" t="s">
        <v>93</v>
      </c>
      <c r="B3" s="186"/>
      <c r="C3" s="186"/>
      <c r="D3" s="409">
        <v>1991</v>
      </c>
      <c r="E3" t="s">
        <v>675</v>
      </c>
    </row>
    <row r="4" spans="1:5" ht="15.75" thickBot="1" x14ac:dyDescent="0.3">
      <c r="A4" s="187" t="s">
        <v>95</v>
      </c>
      <c r="B4" s="188"/>
      <c r="C4" s="188"/>
      <c r="D4" s="407">
        <v>1981</v>
      </c>
    </row>
    <row r="5" spans="1:5" ht="15.75" thickBot="1" x14ac:dyDescent="0.3">
      <c r="A5" s="187" t="s">
        <v>97</v>
      </c>
      <c r="B5" s="188"/>
      <c r="C5" s="188"/>
      <c r="D5" s="407">
        <v>1997</v>
      </c>
      <c r="E5" t="s">
        <v>687</v>
      </c>
    </row>
    <row r="6" spans="1:5" ht="15.75" thickBot="1" x14ac:dyDescent="0.3">
      <c r="A6" s="187" t="s">
        <v>96</v>
      </c>
      <c r="B6" s="188"/>
      <c r="C6" s="188"/>
      <c r="D6" s="407">
        <v>1990</v>
      </c>
    </row>
    <row r="7" spans="1:5" ht="15.75" thickBot="1" x14ac:dyDescent="0.3">
      <c r="A7" s="187" t="s">
        <v>89</v>
      </c>
      <c r="B7" s="188"/>
      <c r="C7" s="188"/>
      <c r="D7" s="407">
        <v>2004</v>
      </c>
      <c r="E7" t="s">
        <v>673</v>
      </c>
    </row>
    <row r="8" spans="1:5" ht="15.75" thickBot="1" x14ac:dyDescent="0.3">
      <c r="A8" s="187" t="s">
        <v>94</v>
      </c>
      <c r="B8" s="234"/>
      <c r="C8" s="234"/>
      <c r="D8" s="408">
        <v>2000</v>
      </c>
    </row>
    <row r="9" spans="1:5" ht="15.75" thickBot="1" x14ac:dyDescent="0.3">
      <c r="A9" s="187" t="s">
        <v>91</v>
      </c>
      <c r="B9" s="234"/>
      <c r="C9" s="234"/>
      <c r="D9" s="408">
        <v>2019</v>
      </c>
    </row>
    <row r="10" spans="1:5" ht="15.75" thickBot="1" x14ac:dyDescent="0.3">
      <c r="A10" s="187" t="s">
        <v>92</v>
      </c>
      <c r="B10" s="234"/>
      <c r="C10" s="234"/>
      <c r="D10" s="408">
        <v>2001</v>
      </c>
    </row>
    <row r="11" spans="1:5" ht="15.75" thickBot="1" x14ac:dyDescent="0.3">
      <c r="A11" s="187" t="s">
        <v>417</v>
      </c>
      <c r="B11" s="234"/>
      <c r="C11" s="234"/>
      <c r="D11" s="408">
        <v>1999</v>
      </c>
      <c r="E11" t="s">
        <v>674</v>
      </c>
    </row>
    <row r="12" spans="1:5" ht="15.75" thickBot="1" x14ac:dyDescent="0.3">
      <c r="A12" s="187" t="s">
        <v>408</v>
      </c>
      <c r="B12" s="234"/>
      <c r="C12" s="234"/>
      <c r="D12" s="408">
        <v>1999</v>
      </c>
      <c r="E12" t="s">
        <v>408</v>
      </c>
    </row>
    <row r="13" spans="1:5" x14ac:dyDescent="0.25">
      <c r="D13" s="157"/>
    </row>
  </sheetData>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44632-DE50-4251-A037-879866CF498F}">
  <sheetPr>
    <tabColor theme="9" tint="0.39997558519241921"/>
  </sheetPr>
  <dimension ref="A1:F37"/>
  <sheetViews>
    <sheetView zoomScale="85" zoomScaleNormal="85" workbookViewId="0">
      <selection activeCell="F24" sqref="F24"/>
    </sheetView>
  </sheetViews>
  <sheetFormatPr defaultRowHeight="15" x14ac:dyDescent="0.25"/>
  <cols>
    <col min="1" max="1" width="57" customWidth="1"/>
    <col min="2" max="6" width="25.5703125" customWidth="1"/>
  </cols>
  <sheetData>
    <row r="1" spans="1:6" ht="32.25" thickBot="1" x14ac:dyDescent="0.3">
      <c r="A1" s="220" t="s">
        <v>384</v>
      </c>
      <c r="B1" s="219" t="s">
        <v>385</v>
      </c>
      <c r="C1" s="219" t="s">
        <v>386</v>
      </c>
      <c r="D1" s="219" t="s">
        <v>387</v>
      </c>
      <c r="E1" s="219" t="s">
        <v>388</v>
      </c>
      <c r="F1" s="219" t="s">
        <v>389</v>
      </c>
    </row>
    <row r="2" spans="1:6" ht="16.5" thickBot="1" x14ac:dyDescent="0.3">
      <c r="A2" s="215" t="s">
        <v>390</v>
      </c>
      <c r="B2" s="222"/>
      <c r="C2" s="222"/>
      <c r="D2" s="222">
        <v>2.4</v>
      </c>
      <c r="E2" s="222"/>
      <c r="F2" s="222">
        <v>2.4</v>
      </c>
    </row>
    <row r="3" spans="1:6" ht="16.5" thickBot="1" x14ac:dyDescent="0.3">
      <c r="A3" s="216" t="s">
        <v>391</v>
      </c>
      <c r="B3" s="223">
        <v>5.0999999999999996</v>
      </c>
      <c r="C3" s="223">
        <v>1.7</v>
      </c>
      <c r="D3" s="224" t="s">
        <v>392</v>
      </c>
      <c r="E3" s="224" t="s">
        <v>392</v>
      </c>
      <c r="F3" s="224">
        <v>6.8</v>
      </c>
    </row>
    <row r="4" spans="1:6" ht="16.5" thickBot="1" x14ac:dyDescent="0.3">
      <c r="A4" s="228" t="s">
        <v>393</v>
      </c>
      <c r="B4" s="229" t="s">
        <v>392</v>
      </c>
      <c r="C4" s="229">
        <v>0.6</v>
      </c>
      <c r="D4" s="229">
        <v>1</v>
      </c>
      <c r="E4" s="229" t="s">
        <v>392</v>
      </c>
      <c r="F4" s="229">
        <v>1.6</v>
      </c>
    </row>
    <row r="5" spans="1:6" ht="16.5" thickBot="1" x14ac:dyDescent="0.3">
      <c r="A5" s="230" t="s">
        <v>394</v>
      </c>
      <c r="B5" s="231">
        <v>3.8</v>
      </c>
      <c r="C5" s="231" t="s">
        <v>392</v>
      </c>
      <c r="D5" s="231" t="s">
        <v>392</v>
      </c>
      <c r="E5" s="231" t="s">
        <v>392</v>
      </c>
      <c r="F5" s="231">
        <v>3.8</v>
      </c>
    </row>
    <row r="6" spans="1:6" ht="32.25" thickBot="1" x14ac:dyDescent="0.3">
      <c r="A6" s="228" t="s">
        <v>395</v>
      </c>
      <c r="B6" s="229">
        <v>0.9</v>
      </c>
      <c r="C6" s="229">
        <v>0.2</v>
      </c>
      <c r="D6" s="229">
        <v>4.7</v>
      </c>
      <c r="E6" s="229"/>
      <c r="F6" s="229">
        <v>5.8000000000000007</v>
      </c>
    </row>
    <row r="7" spans="1:6" ht="16.5" thickBot="1" x14ac:dyDescent="0.3">
      <c r="A7" s="230" t="s">
        <v>396</v>
      </c>
      <c r="B7" s="231">
        <v>8.5</v>
      </c>
      <c r="C7" s="231" t="s">
        <v>392</v>
      </c>
      <c r="D7" s="231">
        <v>0.1</v>
      </c>
      <c r="E7" s="231"/>
      <c r="F7" s="231">
        <v>8.6</v>
      </c>
    </row>
    <row r="8" spans="1:6" ht="16.5" thickBot="1" x14ac:dyDescent="0.3">
      <c r="A8" s="228" t="s">
        <v>397</v>
      </c>
      <c r="B8" s="229">
        <v>13.5</v>
      </c>
      <c r="C8" s="229" t="s">
        <v>392</v>
      </c>
      <c r="D8" s="229" t="s">
        <v>392</v>
      </c>
      <c r="E8" s="229" t="s">
        <v>392</v>
      </c>
      <c r="F8" s="229">
        <v>13.5</v>
      </c>
    </row>
    <row r="9" spans="1:6" ht="16.5" thickBot="1" x14ac:dyDescent="0.3">
      <c r="A9" s="230" t="s">
        <v>398</v>
      </c>
      <c r="B9" s="231">
        <v>0.6</v>
      </c>
      <c r="C9" s="231" t="s">
        <v>392</v>
      </c>
      <c r="D9" s="231" t="s">
        <v>392</v>
      </c>
      <c r="E9" s="231" t="s">
        <v>392</v>
      </c>
      <c r="F9" s="231">
        <v>0.6</v>
      </c>
    </row>
    <row r="10" spans="1:6" ht="16.5" thickBot="1" x14ac:dyDescent="0.3">
      <c r="A10" s="217" t="s">
        <v>399</v>
      </c>
      <c r="B10" s="225">
        <v>2.85</v>
      </c>
      <c r="C10" s="225">
        <v>6.01</v>
      </c>
      <c r="D10" s="225">
        <v>1.02</v>
      </c>
      <c r="E10" s="225" t="s">
        <v>392</v>
      </c>
      <c r="F10" s="225">
        <v>9.8800000000000008</v>
      </c>
    </row>
    <row r="11" spans="1:6" ht="16.5" thickBot="1" x14ac:dyDescent="0.3">
      <c r="A11" s="216" t="s">
        <v>400</v>
      </c>
      <c r="B11" s="224">
        <v>9.8000000000000007</v>
      </c>
      <c r="C11" s="224" t="s">
        <v>392</v>
      </c>
      <c r="D11" s="224">
        <v>6.1</v>
      </c>
      <c r="E11" s="224"/>
      <c r="F11" s="224">
        <v>15.9</v>
      </c>
    </row>
    <row r="12" spans="1:6" ht="16.5" thickBot="1" x14ac:dyDescent="0.3">
      <c r="A12" s="217" t="s">
        <v>401</v>
      </c>
      <c r="B12" s="225">
        <v>15.8</v>
      </c>
      <c r="C12" s="225" t="s">
        <v>392</v>
      </c>
      <c r="D12" s="225" t="s">
        <v>392</v>
      </c>
      <c r="E12" s="225" t="s">
        <v>392</v>
      </c>
      <c r="F12" s="225">
        <v>15.8</v>
      </c>
    </row>
    <row r="13" spans="1:6" ht="16.5" thickBot="1" x14ac:dyDescent="0.3">
      <c r="A13" s="216" t="s">
        <v>402</v>
      </c>
      <c r="B13" s="224">
        <v>8.6</v>
      </c>
      <c r="C13" s="224">
        <v>0.2</v>
      </c>
      <c r="D13" s="224" t="s">
        <v>392</v>
      </c>
      <c r="E13" s="224" t="s">
        <v>392</v>
      </c>
      <c r="F13" s="224">
        <v>8.7999999999999989</v>
      </c>
    </row>
    <row r="14" spans="1:6" ht="32.25" thickBot="1" x14ac:dyDescent="0.3">
      <c r="A14" s="217" t="s">
        <v>403</v>
      </c>
      <c r="B14" s="225">
        <v>13.3</v>
      </c>
      <c r="C14" s="225">
        <v>1.5</v>
      </c>
      <c r="D14" s="225">
        <v>5.9</v>
      </c>
      <c r="E14" s="225"/>
      <c r="F14" s="225">
        <v>20.700000000000003</v>
      </c>
    </row>
    <row r="15" spans="1:6" ht="16.5" thickBot="1" x14ac:dyDescent="0.3">
      <c r="A15" s="216" t="s">
        <v>404</v>
      </c>
      <c r="B15" s="224">
        <v>12.1</v>
      </c>
      <c r="C15" s="224" t="s">
        <v>392</v>
      </c>
      <c r="D15" s="224" t="s">
        <v>392</v>
      </c>
      <c r="E15" s="224" t="s">
        <v>392</v>
      </c>
      <c r="F15" s="224">
        <v>12.1</v>
      </c>
    </row>
    <row r="16" spans="1:6" ht="16.5" thickBot="1" x14ac:dyDescent="0.3">
      <c r="A16" s="217" t="s">
        <v>405</v>
      </c>
      <c r="B16" s="225">
        <v>12</v>
      </c>
      <c r="C16" s="225" t="s">
        <v>392</v>
      </c>
      <c r="D16" s="225" t="s">
        <v>392</v>
      </c>
      <c r="E16" s="225" t="s">
        <v>392</v>
      </c>
      <c r="F16" s="225">
        <v>12</v>
      </c>
    </row>
    <row r="17" spans="1:6" ht="16.5" thickBot="1" x14ac:dyDescent="0.3">
      <c r="A17" s="216" t="s">
        <v>406</v>
      </c>
      <c r="B17" s="224">
        <v>2.95</v>
      </c>
      <c r="C17" s="224" t="s">
        <v>392</v>
      </c>
      <c r="D17" s="224" t="s">
        <v>392</v>
      </c>
      <c r="E17" s="224">
        <v>2.19</v>
      </c>
      <c r="F17" s="224">
        <v>5.1400000000000006</v>
      </c>
    </row>
    <row r="18" spans="1:6" ht="16.5" thickBot="1" x14ac:dyDescent="0.3">
      <c r="A18" s="217" t="s">
        <v>407</v>
      </c>
      <c r="B18" s="225">
        <v>4.4000000000000004</v>
      </c>
      <c r="C18" s="225" t="s">
        <v>392</v>
      </c>
      <c r="D18" s="225" t="s">
        <v>392</v>
      </c>
      <c r="E18" s="225" t="s">
        <v>392</v>
      </c>
      <c r="F18" s="225">
        <v>4.4000000000000004</v>
      </c>
    </row>
    <row r="19" spans="1:6" ht="16.5" thickBot="1" x14ac:dyDescent="0.3">
      <c r="A19" s="216" t="s">
        <v>344</v>
      </c>
      <c r="B19" s="224">
        <v>0</v>
      </c>
      <c r="C19" s="224" t="s">
        <v>392</v>
      </c>
      <c r="D19" s="224">
        <v>9.9</v>
      </c>
      <c r="E19" s="224"/>
      <c r="F19" s="224">
        <v>9.9</v>
      </c>
    </row>
    <row r="20" spans="1:6" ht="16.5" thickBot="1" x14ac:dyDescent="0.3">
      <c r="A20" s="217" t="s">
        <v>345</v>
      </c>
      <c r="B20" s="225">
        <v>8.4</v>
      </c>
      <c r="C20" s="225" t="s">
        <v>392</v>
      </c>
      <c r="D20" s="225" t="s">
        <v>392</v>
      </c>
      <c r="E20" s="225" t="s">
        <v>392</v>
      </c>
      <c r="F20" s="225">
        <v>8.4</v>
      </c>
    </row>
    <row r="21" spans="1:6" ht="16.5" thickBot="1" x14ac:dyDescent="0.3">
      <c r="A21" s="216" t="s">
        <v>408</v>
      </c>
      <c r="B21" s="224">
        <v>4</v>
      </c>
      <c r="C21" s="224" t="s">
        <v>392</v>
      </c>
      <c r="D21" s="224" t="s">
        <v>392</v>
      </c>
      <c r="E21" s="224" t="s">
        <v>392</v>
      </c>
      <c r="F21" s="224">
        <v>4</v>
      </c>
    </row>
    <row r="22" spans="1:6" ht="16.5" thickBot="1" x14ac:dyDescent="0.3">
      <c r="A22" s="217" t="s">
        <v>409</v>
      </c>
      <c r="B22" s="225">
        <v>8.5</v>
      </c>
      <c r="C22" s="225"/>
      <c r="D22" s="225">
        <v>1.9</v>
      </c>
      <c r="E22" s="225"/>
      <c r="F22" s="225">
        <v>10.4</v>
      </c>
    </row>
    <row r="23" spans="1:6" ht="15.75" x14ac:dyDescent="0.25">
      <c r="A23" s="221"/>
      <c r="B23" s="218"/>
      <c r="C23" s="226"/>
      <c r="D23" s="226"/>
      <c r="E23" s="226"/>
      <c r="F23" s="226"/>
    </row>
    <row r="24" spans="1:6" ht="15.75" x14ac:dyDescent="0.25">
      <c r="A24" s="227" t="s">
        <v>410</v>
      </c>
      <c r="B24" s="46">
        <v>135.1</v>
      </c>
      <c r="C24" s="17">
        <v>10.209999999999999</v>
      </c>
      <c r="D24" s="17">
        <v>33.019999999999996</v>
      </c>
      <c r="E24" s="17">
        <v>2.19</v>
      </c>
      <c r="F24" s="17">
        <v>180.52000000000004</v>
      </c>
    </row>
    <row r="25" spans="1:6" ht="15.75" x14ac:dyDescent="0.25">
      <c r="A25" s="221"/>
      <c r="B25" s="218"/>
      <c r="C25" s="226"/>
      <c r="D25" s="226"/>
      <c r="E25" s="214"/>
      <c r="F25" s="226"/>
    </row>
    <row r="26" spans="1:6" ht="15.75" x14ac:dyDescent="0.25">
      <c r="A26" s="221"/>
      <c r="B26" s="218"/>
      <c r="C26" s="226"/>
      <c r="D26" s="226"/>
      <c r="E26" s="214"/>
      <c r="F26" s="226"/>
    </row>
    <row r="27" spans="1:6" ht="15.75" x14ac:dyDescent="0.25">
      <c r="A27" s="221"/>
    </row>
    <row r="28" spans="1:6" ht="15.75" x14ac:dyDescent="0.25">
      <c r="A28" s="221"/>
    </row>
    <row r="29" spans="1:6" ht="15.75" x14ac:dyDescent="0.25">
      <c r="A29" s="221"/>
    </row>
    <row r="30" spans="1:6" ht="15.75" x14ac:dyDescent="0.25">
      <c r="A30" s="221"/>
    </row>
    <row r="31" spans="1:6" ht="15.75" x14ac:dyDescent="0.25">
      <c r="A31" s="221"/>
    </row>
    <row r="32" spans="1:6" ht="15.75" x14ac:dyDescent="0.25">
      <c r="A32" s="221"/>
    </row>
    <row r="33" spans="1:1" ht="15.75" x14ac:dyDescent="0.25">
      <c r="A33" s="221"/>
    </row>
    <row r="34" spans="1:1" ht="15.75" x14ac:dyDescent="0.25">
      <c r="A34" s="221"/>
    </row>
    <row r="35" spans="1:1" ht="15.75" x14ac:dyDescent="0.25">
      <c r="A35" s="221"/>
    </row>
    <row r="36" spans="1:1" ht="15.75" x14ac:dyDescent="0.25">
      <c r="A36" s="221"/>
    </row>
    <row r="37" spans="1:1" ht="15.75" x14ac:dyDescent="0.25">
      <c r="A37" s="22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F4148-932F-4EE8-BDFF-9C6E1DE83E32}">
  <sheetPr>
    <tabColor theme="4" tint="0.39997558519241921"/>
  </sheetPr>
  <dimension ref="A1:O43"/>
  <sheetViews>
    <sheetView zoomScale="70" zoomScaleNormal="70" workbookViewId="0">
      <pane ySplit="2" topLeftCell="A3" activePane="bottomLeft" state="frozen"/>
      <selection pane="bottomLeft" activeCell="C44" sqref="C44"/>
    </sheetView>
  </sheetViews>
  <sheetFormatPr defaultRowHeight="15" x14ac:dyDescent="0.25"/>
  <cols>
    <col min="1" max="1" width="4.5703125" customWidth="1"/>
    <col min="2" max="2" width="54.42578125" customWidth="1"/>
    <col min="3" max="7" width="20.85546875" customWidth="1"/>
    <col min="8" max="8" width="79.28515625" hidden="1" customWidth="1"/>
    <col min="9" max="11" width="12.7109375" customWidth="1"/>
    <col min="13" max="13" width="12" hidden="1" customWidth="1"/>
    <col min="14" max="14" width="18.28515625" hidden="1" customWidth="1"/>
    <col min="15" max="15" width="20.140625" hidden="1" customWidth="1"/>
  </cols>
  <sheetData>
    <row r="1" spans="1:15" x14ac:dyDescent="0.25">
      <c r="B1" s="596" t="s">
        <v>82</v>
      </c>
      <c r="C1" s="596" t="s">
        <v>83</v>
      </c>
      <c r="D1" s="596" t="s">
        <v>84</v>
      </c>
      <c r="E1" s="596" t="s">
        <v>85</v>
      </c>
      <c r="F1" s="596" t="s">
        <v>507</v>
      </c>
      <c r="G1" s="596" t="s">
        <v>86</v>
      </c>
      <c r="H1" s="128" t="s">
        <v>87</v>
      </c>
      <c r="I1" s="596" t="s">
        <v>337</v>
      </c>
      <c r="J1" s="598" t="s">
        <v>413</v>
      </c>
      <c r="K1" s="599" t="s">
        <v>414</v>
      </c>
      <c r="L1" s="599" t="s">
        <v>415</v>
      </c>
      <c r="M1" s="51"/>
    </row>
    <row r="2" spans="1:15" x14ac:dyDescent="0.25">
      <c r="B2" s="597"/>
      <c r="C2" s="597"/>
      <c r="D2" s="597"/>
      <c r="E2" s="597"/>
      <c r="F2" s="597"/>
      <c r="G2" s="597"/>
      <c r="H2" s="129" t="s">
        <v>88</v>
      </c>
      <c r="I2" s="597"/>
      <c r="J2" s="598"/>
      <c r="K2" s="599"/>
      <c r="L2" s="599"/>
      <c r="M2" s="51"/>
      <c r="N2" t="s">
        <v>526</v>
      </c>
      <c r="O2" t="s">
        <v>527</v>
      </c>
    </row>
    <row r="3" spans="1:15" ht="228" x14ac:dyDescent="0.25">
      <c r="B3" s="590" t="s">
        <v>673</v>
      </c>
      <c r="C3" s="583"/>
      <c r="D3" s="583">
        <v>1.1000000000000001</v>
      </c>
      <c r="E3" s="583"/>
      <c r="F3" s="583">
        <f>C3+D3</f>
        <v>1.1000000000000001</v>
      </c>
      <c r="G3" s="583">
        <f>SUM(C3:E7)</f>
        <v>1.1000000000000001</v>
      </c>
      <c r="H3" s="554" t="s">
        <v>658</v>
      </c>
      <c r="I3" s="600">
        <f>'Trail Lengths'!F3</f>
        <v>6.8</v>
      </c>
      <c r="J3" s="588">
        <v>2028</v>
      </c>
      <c r="K3" s="588">
        <f>J3+1</f>
        <v>2029</v>
      </c>
      <c r="L3" s="588">
        <f>K3+1</f>
        <v>2030</v>
      </c>
      <c r="M3">
        <v>2028</v>
      </c>
      <c r="N3" s="588" t="s">
        <v>528</v>
      </c>
      <c r="O3" s="589" t="s">
        <v>529</v>
      </c>
    </row>
    <row r="4" spans="1:15" ht="36" x14ac:dyDescent="0.25">
      <c r="B4" s="591"/>
      <c r="C4" s="584"/>
      <c r="D4" s="584"/>
      <c r="E4" s="584"/>
      <c r="F4" s="584"/>
      <c r="G4" s="584"/>
      <c r="H4" s="554" t="s">
        <v>659</v>
      </c>
      <c r="I4" s="601"/>
      <c r="J4" s="588"/>
      <c r="K4" s="588"/>
      <c r="L4" s="588"/>
      <c r="N4" s="588"/>
      <c r="O4" s="589"/>
    </row>
    <row r="5" spans="1:15" ht="36" x14ac:dyDescent="0.25">
      <c r="A5" t="s">
        <v>80</v>
      </c>
      <c r="B5" s="591"/>
      <c r="C5" s="584"/>
      <c r="D5" s="584"/>
      <c r="E5" s="584"/>
      <c r="F5" s="584"/>
      <c r="G5" s="584"/>
      <c r="H5" s="554" t="s">
        <v>660</v>
      </c>
      <c r="I5" s="601"/>
      <c r="J5" s="588"/>
      <c r="K5" s="588"/>
      <c r="L5" s="588"/>
      <c r="N5" s="588"/>
      <c r="O5" s="589"/>
    </row>
    <row r="6" spans="1:15" x14ac:dyDescent="0.25">
      <c r="B6" s="591"/>
      <c r="C6" s="584"/>
      <c r="D6" s="584"/>
      <c r="E6" s="584"/>
      <c r="F6" s="584"/>
      <c r="G6" s="584"/>
      <c r="H6" s="130" t="s">
        <v>90</v>
      </c>
      <c r="I6" s="601"/>
      <c r="J6" s="588"/>
      <c r="K6" s="588"/>
      <c r="L6" s="588"/>
      <c r="N6" s="588"/>
      <c r="O6" s="589"/>
    </row>
    <row r="7" spans="1:15" x14ac:dyDescent="0.25">
      <c r="B7" s="592"/>
      <c r="C7" s="585"/>
      <c r="D7" s="585"/>
      <c r="E7" s="585"/>
      <c r="F7" s="585"/>
      <c r="G7" s="585"/>
      <c r="H7" s="131"/>
      <c r="I7" s="602"/>
      <c r="J7" s="588"/>
      <c r="K7" s="588"/>
      <c r="L7" s="588"/>
      <c r="N7" s="588"/>
      <c r="O7" s="589"/>
    </row>
    <row r="8" spans="1:15" ht="228" x14ac:dyDescent="0.25">
      <c r="B8" s="593" t="s">
        <v>656</v>
      </c>
      <c r="C8" s="583">
        <v>1.3</v>
      </c>
      <c r="D8" s="583">
        <v>3.4</v>
      </c>
      <c r="E8" s="583"/>
      <c r="F8" s="583">
        <f>C8+D8</f>
        <v>4.7</v>
      </c>
      <c r="G8" s="583">
        <f>SUM(C8:E11)</f>
        <v>4.7</v>
      </c>
      <c r="H8" s="554" t="s">
        <v>658</v>
      </c>
      <c r="I8" s="586">
        <v>5.25</v>
      </c>
      <c r="J8" s="588">
        <v>2029</v>
      </c>
      <c r="K8" s="588">
        <f>J8+1</f>
        <v>2030</v>
      </c>
      <c r="L8" s="588">
        <f>K8+1</f>
        <v>2031</v>
      </c>
      <c r="M8">
        <v>2029</v>
      </c>
      <c r="N8" s="588" t="s">
        <v>528</v>
      </c>
      <c r="O8" s="589" t="s">
        <v>532</v>
      </c>
    </row>
    <row r="9" spans="1:15" ht="36" x14ac:dyDescent="0.25">
      <c r="B9" s="594"/>
      <c r="C9" s="584"/>
      <c r="D9" s="584"/>
      <c r="E9" s="584"/>
      <c r="F9" s="584"/>
      <c r="G9" s="584"/>
      <c r="H9" s="554" t="s">
        <v>659</v>
      </c>
      <c r="I9" s="587"/>
      <c r="J9" s="588"/>
      <c r="K9" s="588"/>
      <c r="L9" s="588"/>
      <c r="N9" s="588"/>
      <c r="O9" s="589"/>
    </row>
    <row r="10" spans="1:15" ht="36" x14ac:dyDescent="0.25">
      <c r="B10" s="594"/>
      <c r="C10" s="584"/>
      <c r="D10" s="584"/>
      <c r="E10" s="584"/>
      <c r="F10" s="584"/>
      <c r="G10" s="584"/>
      <c r="H10" s="554" t="s">
        <v>660</v>
      </c>
      <c r="I10" s="587"/>
      <c r="J10" s="588"/>
      <c r="K10" s="588"/>
      <c r="L10" s="588"/>
      <c r="N10" s="588"/>
      <c r="O10" s="589"/>
    </row>
    <row r="11" spans="1:15" x14ac:dyDescent="0.25">
      <c r="B11" s="595"/>
      <c r="C11" s="585"/>
      <c r="D11" s="585"/>
      <c r="E11" s="585"/>
      <c r="F11" s="585"/>
      <c r="G11" s="585"/>
      <c r="H11" s="131"/>
      <c r="I11" s="603"/>
      <c r="J11" s="588"/>
      <c r="K11" s="588"/>
      <c r="L11" s="588"/>
      <c r="N11" s="588"/>
      <c r="O11" s="589"/>
    </row>
    <row r="12" spans="1:15" ht="228" x14ac:dyDescent="0.25">
      <c r="B12" s="580" t="s">
        <v>657</v>
      </c>
      <c r="C12" s="583">
        <v>3.7</v>
      </c>
      <c r="D12" s="583"/>
      <c r="E12" s="583">
        <v>1.1000000000000001</v>
      </c>
      <c r="F12" s="583">
        <f>C12+D12</f>
        <v>3.7</v>
      </c>
      <c r="G12" s="583">
        <f>SUM(C12:E14)</f>
        <v>4.8000000000000007</v>
      </c>
      <c r="H12" s="555" t="s">
        <v>661</v>
      </c>
      <c r="I12" s="586">
        <v>1.1000000000000001</v>
      </c>
      <c r="J12" s="588">
        <v>2029</v>
      </c>
      <c r="K12" s="588">
        <v>2030</v>
      </c>
      <c r="L12" s="588">
        <v>2031</v>
      </c>
      <c r="N12" s="588" t="s">
        <v>528</v>
      </c>
      <c r="O12" s="589"/>
    </row>
    <row r="13" spans="1:15" ht="48" x14ac:dyDescent="0.25">
      <c r="B13" s="581"/>
      <c r="C13" s="584"/>
      <c r="D13" s="584"/>
      <c r="E13" s="584"/>
      <c r="F13" s="584"/>
      <c r="G13" s="584"/>
      <c r="H13" s="554" t="s">
        <v>662</v>
      </c>
      <c r="I13" s="587"/>
      <c r="J13" s="588"/>
      <c r="K13" s="588"/>
      <c r="L13" s="588"/>
      <c r="N13" s="588"/>
      <c r="O13" s="589"/>
    </row>
    <row r="14" spans="1:15" ht="24" x14ac:dyDescent="0.25">
      <c r="B14" s="582"/>
      <c r="C14" s="584"/>
      <c r="D14" s="584"/>
      <c r="E14" s="584"/>
      <c r="F14" s="584"/>
      <c r="G14" s="585"/>
      <c r="H14" s="554" t="s">
        <v>663</v>
      </c>
      <c r="I14" s="587"/>
      <c r="J14" s="588"/>
      <c r="K14" s="588"/>
      <c r="L14" s="588"/>
      <c r="N14" s="588"/>
      <c r="O14" s="589"/>
    </row>
    <row r="15" spans="1:15" ht="216" x14ac:dyDescent="0.25">
      <c r="A15" t="s">
        <v>432</v>
      </c>
      <c r="B15" s="590" t="s">
        <v>674</v>
      </c>
      <c r="C15" s="583">
        <v>0.5</v>
      </c>
      <c r="D15" s="583">
        <v>1.4</v>
      </c>
      <c r="E15" s="583">
        <v>1.3</v>
      </c>
      <c r="F15" s="583">
        <f>C15+D15</f>
        <v>1.9</v>
      </c>
      <c r="G15" s="583">
        <f>SUM(C15:E17)</f>
        <v>3.2</v>
      </c>
      <c r="H15" s="554" t="s">
        <v>664</v>
      </c>
      <c r="I15" s="600">
        <f>'Trail Lengths'!F10</f>
        <v>9.8800000000000008</v>
      </c>
      <c r="J15" s="588">
        <v>2028</v>
      </c>
      <c r="K15" s="588">
        <v>2029</v>
      </c>
      <c r="L15" s="588">
        <f>K15+1</f>
        <v>2030</v>
      </c>
      <c r="M15">
        <v>2030</v>
      </c>
      <c r="N15" s="588" t="s">
        <v>528</v>
      </c>
      <c r="O15" s="589" t="s">
        <v>530</v>
      </c>
    </row>
    <row r="16" spans="1:15" ht="24" x14ac:dyDescent="0.25">
      <c r="B16" s="591"/>
      <c r="C16" s="584"/>
      <c r="D16" s="584"/>
      <c r="E16" s="584"/>
      <c r="F16" s="584"/>
      <c r="G16" s="584"/>
      <c r="H16" s="556" t="s">
        <v>665</v>
      </c>
      <c r="I16" s="601"/>
      <c r="J16" s="588"/>
      <c r="K16" s="588"/>
      <c r="L16" s="588"/>
      <c r="N16" s="588"/>
      <c r="O16" s="589"/>
    </row>
    <row r="17" spans="1:15" x14ac:dyDescent="0.25">
      <c r="B17" s="592"/>
      <c r="C17" s="585"/>
      <c r="D17" s="585"/>
      <c r="E17" s="585"/>
      <c r="F17" s="585"/>
      <c r="G17" s="585"/>
      <c r="H17" s="554" t="s">
        <v>666</v>
      </c>
      <c r="I17" s="602"/>
      <c r="J17" s="588"/>
      <c r="K17" s="588"/>
      <c r="L17" s="588"/>
      <c r="N17" s="588"/>
      <c r="O17" s="589"/>
    </row>
    <row r="18" spans="1:15" ht="96" x14ac:dyDescent="0.25">
      <c r="B18" s="590" t="s">
        <v>675</v>
      </c>
      <c r="C18" s="583"/>
      <c r="D18" s="583">
        <v>2.2999999999999998</v>
      </c>
      <c r="E18" s="583"/>
      <c r="F18" s="583">
        <f>D18</f>
        <v>2.2999999999999998</v>
      </c>
      <c r="G18" s="583">
        <f>SUM(C18:E21)</f>
        <v>2.2999999999999998</v>
      </c>
      <c r="H18" s="554" t="s">
        <v>667</v>
      </c>
      <c r="I18" s="600">
        <f>'Trail Lengths'!F14</f>
        <v>20.700000000000003</v>
      </c>
      <c r="J18" s="588">
        <v>2028</v>
      </c>
      <c r="K18" s="588">
        <f>J18+1</f>
        <v>2029</v>
      </c>
      <c r="L18" s="588">
        <f>K18+1</f>
        <v>2030</v>
      </c>
      <c r="M18">
        <v>2028</v>
      </c>
      <c r="N18" s="588" t="s">
        <v>528</v>
      </c>
      <c r="O18" s="589" t="s">
        <v>531</v>
      </c>
    </row>
    <row r="19" spans="1:15" ht="36" x14ac:dyDescent="0.25">
      <c r="A19" t="s">
        <v>106</v>
      </c>
      <c r="B19" s="591"/>
      <c r="C19" s="584"/>
      <c r="D19" s="584"/>
      <c r="E19" s="584"/>
      <c r="F19" s="584"/>
      <c r="G19" s="584"/>
      <c r="H19" s="556" t="s">
        <v>668</v>
      </c>
      <c r="I19" s="601"/>
      <c r="J19" s="588"/>
      <c r="K19" s="588"/>
      <c r="L19" s="588"/>
      <c r="N19" s="588"/>
      <c r="O19" s="589"/>
    </row>
    <row r="20" spans="1:15" x14ac:dyDescent="0.25">
      <c r="B20" s="591"/>
      <c r="C20" s="584"/>
      <c r="D20" s="584"/>
      <c r="E20" s="584"/>
      <c r="F20" s="584"/>
      <c r="G20" s="584"/>
      <c r="H20" s="130" t="s">
        <v>90</v>
      </c>
      <c r="I20" s="601"/>
      <c r="J20" s="588"/>
      <c r="K20" s="588"/>
      <c r="L20" s="588"/>
      <c r="N20" s="588"/>
      <c r="O20" s="589"/>
    </row>
    <row r="21" spans="1:15" x14ac:dyDescent="0.25">
      <c r="B21" s="592"/>
      <c r="C21" s="585"/>
      <c r="D21" s="585"/>
      <c r="E21" s="585"/>
      <c r="F21" s="585"/>
      <c r="G21" s="585"/>
      <c r="H21" s="131"/>
      <c r="I21" s="602"/>
      <c r="J21" s="588"/>
      <c r="K21" s="588"/>
      <c r="L21" s="588"/>
      <c r="N21" s="588"/>
      <c r="O21" s="589"/>
    </row>
    <row r="22" spans="1:15" ht="108" x14ac:dyDescent="0.25">
      <c r="B22" s="590" t="s">
        <v>97</v>
      </c>
      <c r="C22" s="583"/>
      <c r="D22" s="583">
        <v>0.84</v>
      </c>
      <c r="E22" s="583"/>
      <c r="F22" s="583">
        <f>D22</f>
        <v>0.84</v>
      </c>
      <c r="G22" s="583">
        <f>SUM(C22:E25)</f>
        <v>0.84</v>
      </c>
      <c r="H22" s="557" t="s">
        <v>669</v>
      </c>
      <c r="I22" s="600">
        <f>'Trail Lengths'!F20</f>
        <v>8.4</v>
      </c>
      <c r="J22" s="588">
        <v>2028</v>
      </c>
      <c r="K22" s="588">
        <f>J22+1</f>
        <v>2029</v>
      </c>
      <c r="L22" s="588">
        <f>K22+1</f>
        <v>2030</v>
      </c>
      <c r="M22">
        <v>2028</v>
      </c>
      <c r="N22" s="588" t="s">
        <v>528</v>
      </c>
      <c r="O22" s="588"/>
    </row>
    <row r="23" spans="1:15" ht="24" x14ac:dyDescent="0.25">
      <c r="A23" t="s">
        <v>419</v>
      </c>
      <c r="B23" s="591"/>
      <c r="C23" s="584"/>
      <c r="D23" s="584"/>
      <c r="E23" s="584"/>
      <c r="F23" s="584"/>
      <c r="G23" s="584"/>
      <c r="H23" s="558" t="s">
        <v>670</v>
      </c>
      <c r="I23" s="601"/>
      <c r="J23" s="588"/>
      <c r="K23" s="588"/>
      <c r="L23" s="588"/>
      <c r="N23" s="588"/>
      <c r="O23" s="588"/>
    </row>
    <row r="24" spans="1:15" x14ac:dyDescent="0.25">
      <c r="B24" s="591"/>
      <c r="C24" s="584"/>
      <c r="D24" s="584"/>
      <c r="E24" s="584"/>
      <c r="F24" s="584"/>
      <c r="G24" s="584"/>
      <c r="H24" s="557" t="s">
        <v>671</v>
      </c>
      <c r="I24" s="601"/>
      <c r="J24" s="588"/>
      <c r="K24" s="588"/>
      <c r="L24" s="588"/>
      <c r="N24" s="588"/>
      <c r="O24" s="588"/>
    </row>
    <row r="25" spans="1:15" x14ac:dyDescent="0.25">
      <c r="B25" s="592"/>
      <c r="C25" s="585"/>
      <c r="D25" s="585"/>
      <c r="E25" s="585"/>
      <c r="F25" s="585"/>
      <c r="G25" s="585"/>
      <c r="H25" s="131" t="s">
        <v>90</v>
      </c>
      <c r="I25" s="602"/>
      <c r="J25" s="588"/>
      <c r="K25" s="588"/>
      <c r="L25" s="588"/>
      <c r="N25" s="588"/>
      <c r="O25" s="588"/>
    </row>
    <row r="26" spans="1:15" x14ac:dyDescent="0.25">
      <c r="B26" s="590" t="s">
        <v>408</v>
      </c>
      <c r="C26" s="583"/>
      <c r="D26" s="583">
        <v>0.4</v>
      </c>
      <c r="E26" s="583"/>
      <c r="F26" s="583">
        <v>0.4</v>
      </c>
      <c r="G26" s="583">
        <f>SUM(C26:E29)</f>
        <v>0.4</v>
      </c>
      <c r="I26" s="588">
        <v>4</v>
      </c>
      <c r="J26" s="588">
        <v>2029</v>
      </c>
      <c r="K26" s="588">
        <v>2030</v>
      </c>
      <c r="L26" s="588">
        <v>2031</v>
      </c>
    </row>
    <row r="27" spans="1:15" x14ac:dyDescent="0.25">
      <c r="B27" s="591"/>
      <c r="C27" s="584"/>
      <c r="D27" s="584"/>
      <c r="E27" s="584"/>
      <c r="F27" s="584"/>
      <c r="G27" s="584"/>
      <c r="I27" s="588"/>
      <c r="J27" s="588"/>
      <c r="K27" s="588"/>
      <c r="L27" s="588"/>
    </row>
    <row r="28" spans="1:15" ht="36" x14ac:dyDescent="0.25">
      <c r="B28" s="591"/>
      <c r="C28" s="584"/>
      <c r="D28" s="584"/>
      <c r="E28" s="584"/>
      <c r="F28" s="584"/>
      <c r="G28" s="584"/>
      <c r="H28" s="559" t="s">
        <v>569</v>
      </c>
      <c r="I28" s="588"/>
      <c r="J28" s="588"/>
      <c r="K28" s="588"/>
      <c r="L28" s="588">
        <v>2028</v>
      </c>
    </row>
    <row r="29" spans="1:15" x14ac:dyDescent="0.25">
      <c r="B29" s="592"/>
      <c r="C29" s="585"/>
      <c r="D29" s="585"/>
      <c r="E29" s="585"/>
      <c r="F29" s="585"/>
      <c r="G29" s="585"/>
    </row>
    <row r="31" spans="1:15" x14ac:dyDescent="0.25">
      <c r="C31" s="332"/>
      <c r="D31" s="332"/>
      <c r="E31" s="332"/>
      <c r="F31" s="332"/>
      <c r="G31" s="332"/>
    </row>
    <row r="33" ht="18" customHeight="1" x14ac:dyDescent="0.25"/>
    <row r="34" ht="18" customHeight="1" x14ac:dyDescent="0.25"/>
    <row r="35" ht="18" customHeight="1" x14ac:dyDescent="0.25"/>
    <row r="36" ht="18" customHeight="1" x14ac:dyDescent="0.25"/>
    <row r="37" ht="18" customHeight="1" x14ac:dyDescent="0.25"/>
    <row r="38" ht="18" customHeight="1" x14ac:dyDescent="0.25"/>
    <row r="39" ht="18" customHeight="1" x14ac:dyDescent="0.25"/>
    <row r="40" ht="18" customHeight="1" x14ac:dyDescent="0.25"/>
    <row r="41" ht="18" customHeight="1" x14ac:dyDescent="0.25"/>
    <row r="42" ht="18" customHeight="1" x14ac:dyDescent="0.25"/>
    <row r="43" ht="18" customHeight="1" x14ac:dyDescent="0.25"/>
  </sheetData>
  <mergeCells count="92">
    <mergeCell ref="B22:B25"/>
    <mergeCell ref="C22:C25"/>
    <mergeCell ref="D22:D25"/>
    <mergeCell ref="E22:E25"/>
    <mergeCell ref="G22:G25"/>
    <mergeCell ref="F22:F25"/>
    <mergeCell ref="B26:B29"/>
    <mergeCell ref="C26:C29"/>
    <mergeCell ref="D26:D29"/>
    <mergeCell ref="E26:E29"/>
    <mergeCell ref="F26:F29"/>
    <mergeCell ref="G26:G29"/>
    <mergeCell ref="J26:J28"/>
    <mergeCell ref="K26:K28"/>
    <mergeCell ref="L26:L28"/>
    <mergeCell ref="I26:I28"/>
    <mergeCell ref="I18:I21"/>
    <mergeCell ref="I22:I25"/>
    <mergeCell ref="I1:I2"/>
    <mergeCell ref="I3:I7"/>
    <mergeCell ref="I8:I11"/>
    <mergeCell ref="I15:I17"/>
    <mergeCell ref="J1:J2"/>
    <mergeCell ref="K1:K2"/>
    <mergeCell ref="L1:L2"/>
    <mergeCell ref="J3:J7"/>
    <mergeCell ref="K22:K25"/>
    <mergeCell ref="J8:J11"/>
    <mergeCell ref="J15:J17"/>
    <mergeCell ref="J18:J21"/>
    <mergeCell ref="L22:L25"/>
    <mergeCell ref="J22:J25"/>
    <mergeCell ref="K3:K7"/>
    <mergeCell ref="L3:L7"/>
    <mergeCell ref="K8:K11"/>
    <mergeCell ref="L8:L11"/>
    <mergeCell ref="K15:K17"/>
    <mergeCell ref="L15:L17"/>
    <mergeCell ref="K18:K21"/>
    <mergeCell ref="L18:L21"/>
    <mergeCell ref="B1:B2"/>
    <mergeCell ref="C1:C2"/>
    <mergeCell ref="D1:D2"/>
    <mergeCell ref="E1:E2"/>
    <mergeCell ref="G1:G2"/>
    <mergeCell ref="F1:F2"/>
    <mergeCell ref="B3:B7"/>
    <mergeCell ref="C3:C7"/>
    <mergeCell ref="D3:D7"/>
    <mergeCell ref="E3:E7"/>
    <mergeCell ref="G3:G7"/>
    <mergeCell ref="F3:F7"/>
    <mergeCell ref="B8:B11"/>
    <mergeCell ref="C8:C11"/>
    <mergeCell ref="D8:D11"/>
    <mergeCell ref="E8:E11"/>
    <mergeCell ref="G8:G11"/>
    <mergeCell ref="F8:F11"/>
    <mergeCell ref="B15:B17"/>
    <mergeCell ref="C15:C17"/>
    <mergeCell ref="D15:D17"/>
    <mergeCell ref="E15:E17"/>
    <mergeCell ref="G15:G17"/>
    <mergeCell ref="F15:F17"/>
    <mergeCell ref="B18:B21"/>
    <mergeCell ref="C18:C21"/>
    <mergeCell ref="D18:D21"/>
    <mergeCell ref="E18:E21"/>
    <mergeCell ref="G18:G21"/>
    <mergeCell ref="F18:F21"/>
    <mergeCell ref="N22:N25"/>
    <mergeCell ref="O3:O7"/>
    <mergeCell ref="O8:O11"/>
    <mergeCell ref="O15:O17"/>
    <mergeCell ref="O18:O21"/>
    <mergeCell ref="O22:O25"/>
    <mergeCell ref="N3:N7"/>
    <mergeCell ref="N8:N11"/>
    <mergeCell ref="N15:N17"/>
    <mergeCell ref="N18:N21"/>
    <mergeCell ref="L12:L14"/>
    <mergeCell ref="N12:N14"/>
    <mergeCell ref="O12:O14"/>
    <mergeCell ref="B12:B14"/>
    <mergeCell ref="C12:C14"/>
    <mergeCell ref="D12:D14"/>
    <mergeCell ref="E12:E14"/>
    <mergeCell ref="F12:F14"/>
    <mergeCell ref="G12:G14"/>
    <mergeCell ref="I12:I14"/>
    <mergeCell ref="J12:J14"/>
    <mergeCell ref="K12:K14"/>
  </mergeCells>
  <conditionalFormatting sqref="N3:O25">
    <cfRule type="cellIs" dxfId="1" priority="1" operator="equal">
      <formula>"N"</formula>
    </cfRule>
    <cfRule type="cellIs" dxfId="0" priority="2" operator="equal">
      <formula>"Y"</formula>
    </cfRule>
  </conditionalFormatting>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B9A3DD-5B25-45F2-A166-D013F088405F}">
  <sheetPr>
    <tabColor theme="2" tint="-0.499984740745262"/>
  </sheetPr>
  <dimension ref="C3:H11"/>
  <sheetViews>
    <sheetView workbookViewId="0">
      <selection activeCell="D7" sqref="D6:D7"/>
    </sheetView>
  </sheetViews>
  <sheetFormatPr defaultRowHeight="15" x14ac:dyDescent="0.25"/>
  <cols>
    <col min="3" max="3" width="15.42578125" bestFit="1" customWidth="1"/>
    <col min="5" max="6" width="12.140625" hidden="1" customWidth="1"/>
    <col min="8" max="8" width="10.5703125" bestFit="1" customWidth="1"/>
  </cols>
  <sheetData>
    <row r="3" spans="3:8" ht="15.75" thickBot="1" x14ac:dyDescent="0.3">
      <c r="D3" s="8" t="s">
        <v>426</v>
      </c>
      <c r="E3" s="8" t="s">
        <v>428</v>
      </c>
      <c r="F3" s="8" t="s">
        <v>429</v>
      </c>
      <c r="G3" s="8" t="s">
        <v>420</v>
      </c>
      <c r="H3" s="8" t="s">
        <v>427</v>
      </c>
    </row>
    <row r="4" spans="3:8" x14ac:dyDescent="0.25">
      <c r="C4" s="29" t="s">
        <v>425</v>
      </c>
      <c r="D4" s="240">
        <f>'Bassett Creek'!B6</f>
        <v>176000</v>
      </c>
      <c r="E4" s="241">
        <f>'Bassett Creek'!B3</f>
        <v>0.31</v>
      </c>
      <c r="F4" s="241">
        <f>SUM('Bassett Creek'!C3:D3)</f>
        <v>0.67</v>
      </c>
      <c r="G4" s="242">
        <f>'Trail Lengths'!F3</f>
        <v>6.8</v>
      </c>
      <c r="H4" s="411">
        <f>D4/G4</f>
        <v>25882.352941176472</v>
      </c>
    </row>
    <row r="5" spans="3:8" x14ac:dyDescent="0.25">
      <c r="C5" s="30" t="s">
        <v>418</v>
      </c>
      <c r="D5" s="239">
        <f>'Med Lake'!B6</f>
        <v>665300</v>
      </c>
      <c r="E5" s="190">
        <f>'Med Lake'!B3</f>
        <v>0.51</v>
      </c>
      <c r="F5" s="190">
        <f>SUM('Med Lake'!C3:D3)</f>
        <v>0.47</v>
      </c>
      <c r="G5" s="96">
        <f>'Trail Lengths'!F14</f>
        <v>20.700000000000003</v>
      </c>
      <c r="H5" s="412">
        <f t="shared" ref="H5:H11" si="0">D5/G5</f>
        <v>32140.096618357482</v>
      </c>
    </row>
    <row r="6" spans="3:8" x14ac:dyDescent="0.25">
      <c r="C6" s="30" t="s">
        <v>331</v>
      </c>
      <c r="D6" s="239">
        <v>552500</v>
      </c>
      <c r="E6" s="190" t="e">
        <f>#REF!</f>
        <v>#REF!</v>
      </c>
      <c r="F6" s="190" t="e">
        <f>SUM(#REF!)</f>
        <v>#REF!</v>
      </c>
      <c r="G6" s="96">
        <f>'Trail Lengths'!F16</f>
        <v>12</v>
      </c>
      <c r="H6" s="412">
        <f t="shared" si="0"/>
        <v>46041.666666666664</v>
      </c>
    </row>
    <row r="7" spans="3:8" x14ac:dyDescent="0.25">
      <c r="C7" s="30" t="s">
        <v>320</v>
      </c>
      <c r="D7" s="239">
        <v>282600</v>
      </c>
      <c r="E7" s="190" t="e">
        <f>#REF!</f>
        <v>#REF!</v>
      </c>
      <c r="F7" s="190" t="e">
        <f>SUM(#REF!)</f>
        <v>#REF!</v>
      </c>
      <c r="G7" s="96">
        <f>'Trail Lengths'!F19</f>
        <v>9.9</v>
      </c>
      <c r="H7" s="412">
        <f t="shared" si="0"/>
        <v>28545.454545454544</v>
      </c>
    </row>
    <row r="8" spans="3:8" ht="15.75" thickBot="1" x14ac:dyDescent="0.3">
      <c r="C8" s="248" t="s">
        <v>333</v>
      </c>
      <c r="D8" s="249">
        <f>'Shingle Creek'!B6</f>
        <v>311600</v>
      </c>
      <c r="E8" s="250">
        <f>'Shingle Creek'!B3</f>
        <v>0.39</v>
      </c>
      <c r="F8" s="250">
        <f>SUM('Shingle Creek'!C3:D3)</f>
        <v>0.59000000000000008</v>
      </c>
      <c r="G8" s="251">
        <f>'Trail Lengths'!F20</f>
        <v>8.4</v>
      </c>
      <c r="H8" s="413">
        <f t="shared" si="0"/>
        <v>37095.238095238092</v>
      </c>
    </row>
    <row r="9" spans="3:8" x14ac:dyDescent="0.25">
      <c r="C9" s="29" t="s">
        <v>430</v>
      </c>
      <c r="D9" s="246">
        <f>AVERAGE(D4:D8)</f>
        <v>397600</v>
      </c>
      <c r="E9" s="241" t="e">
        <f>AVERAGE(E4:E8)</f>
        <v>#REF!</v>
      </c>
      <c r="F9" s="241" t="e">
        <f>AVERAGE(F4:F8)</f>
        <v>#REF!</v>
      </c>
      <c r="G9" s="240">
        <f>AVERAGE(G4:G8)</f>
        <v>11.559999999999999</v>
      </c>
      <c r="H9" s="414">
        <f>AVERAGE(H4:H8)</f>
        <v>33940.961773378658</v>
      </c>
    </row>
    <row r="10" spans="3:8" ht="15.75" thickBot="1" x14ac:dyDescent="0.3">
      <c r="C10" s="243" t="s">
        <v>431</v>
      </c>
      <c r="D10" s="247">
        <f>SUM(D4:D8)</f>
        <v>1988000</v>
      </c>
      <c r="E10" s="245"/>
      <c r="F10" s="245"/>
      <c r="G10" s="244">
        <f>SUM(G4:G8)</f>
        <v>57.8</v>
      </c>
      <c r="H10" s="415">
        <f t="shared" si="0"/>
        <v>34394.46366782007</v>
      </c>
    </row>
    <row r="11" spans="3:8" ht="15.75" thickBot="1" x14ac:dyDescent="0.3">
      <c r="C11" s="255" t="s">
        <v>201</v>
      </c>
      <c r="D11" s="252">
        <f>District!B6</f>
        <v>5808500</v>
      </c>
      <c r="E11" s="253">
        <f>District!B3</f>
        <v>0.56599999999999995</v>
      </c>
      <c r="F11" s="253">
        <f>SUM(District!C3:D3)</f>
        <v>0.42000000000000004</v>
      </c>
      <c r="G11" s="254">
        <f>'Trail Lengths'!F24</f>
        <v>180.52000000000004</v>
      </c>
      <c r="H11" s="416">
        <f t="shared" si="0"/>
        <v>32176.490139596714</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122DEB-04A6-4ADC-B2E1-D19F1272430F}">
  <sheetPr>
    <tabColor theme="1" tint="0.34998626667073579"/>
  </sheetPr>
  <dimension ref="A1:O16"/>
  <sheetViews>
    <sheetView workbookViewId="0">
      <selection activeCell="B11" sqref="B11"/>
    </sheetView>
  </sheetViews>
  <sheetFormatPr defaultRowHeight="15" customHeight="1" x14ac:dyDescent="0.25"/>
  <cols>
    <col min="1" max="2" width="26.42578125" customWidth="1"/>
    <col min="3" max="3" width="15.140625" customWidth="1"/>
    <col min="4" max="4" width="28.42578125" customWidth="1"/>
    <col min="5" max="5" width="14.28515625" style="332" customWidth="1"/>
    <col min="6" max="6" width="10.42578125" style="332" customWidth="1"/>
    <col min="7" max="7" width="10.140625" style="332" customWidth="1"/>
    <col min="8" max="8" width="8.42578125" style="332" customWidth="1"/>
    <col min="9" max="9" width="7.5703125" customWidth="1"/>
    <col min="13" max="13" width="10.140625" customWidth="1"/>
    <col min="14" max="14" width="10.7109375" customWidth="1"/>
    <col min="15" max="15" width="11.28515625" customWidth="1"/>
  </cols>
  <sheetData>
    <row r="1" spans="1:15" x14ac:dyDescent="0.25">
      <c r="A1" t="s">
        <v>536</v>
      </c>
    </row>
    <row r="3" spans="1:15" s="442" customFormat="1" ht="26.1" customHeight="1" x14ac:dyDescent="0.25">
      <c r="A3" s="710" t="s">
        <v>537</v>
      </c>
      <c r="B3" s="448" t="s">
        <v>538</v>
      </c>
      <c r="C3" s="712" t="s">
        <v>539</v>
      </c>
      <c r="D3" s="712" t="s">
        <v>540</v>
      </c>
      <c r="E3" s="714" t="s">
        <v>541</v>
      </c>
      <c r="F3" s="706" t="s">
        <v>542</v>
      </c>
      <c r="G3" s="716"/>
      <c r="H3" s="716"/>
      <c r="I3" s="717"/>
      <c r="J3" s="706" t="s">
        <v>543</v>
      </c>
      <c r="K3" s="718"/>
      <c r="L3" s="718"/>
      <c r="M3" s="717"/>
      <c r="N3" s="706" t="s">
        <v>544</v>
      </c>
      <c r="O3" s="707"/>
    </row>
    <row r="4" spans="1:15" s="442" customFormat="1" ht="36" x14ac:dyDescent="0.25">
      <c r="A4" s="711"/>
      <c r="B4" s="449"/>
      <c r="C4" s="713"/>
      <c r="D4" s="713"/>
      <c r="E4" s="715"/>
      <c r="F4" s="450" t="s">
        <v>545</v>
      </c>
      <c r="G4" s="450" t="s">
        <v>546</v>
      </c>
      <c r="H4" s="450" t="s">
        <v>547</v>
      </c>
      <c r="I4" s="450" t="s">
        <v>130</v>
      </c>
      <c r="J4" s="451" t="s">
        <v>548</v>
      </c>
      <c r="K4" s="451" t="s">
        <v>197</v>
      </c>
      <c r="L4" s="451" t="s">
        <v>549</v>
      </c>
      <c r="M4" s="451" t="s">
        <v>550</v>
      </c>
      <c r="N4" s="451" t="s">
        <v>551</v>
      </c>
      <c r="O4" s="452" t="s">
        <v>552</v>
      </c>
    </row>
    <row r="5" spans="1:15" s="442" customFormat="1" x14ac:dyDescent="0.25">
      <c r="A5" s="453" t="s">
        <v>553</v>
      </c>
      <c r="B5" s="454">
        <v>5832400</v>
      </c>
      <c r="C5" s="455"/>
      <c r="D5" s="456"/>
      <c r="E5" s="457"/>
      <c r="F5" s="458">
        <v>0.56999999999999995</v>
      </c>
      <c r="G5" s="458">
        <v>0.34</v>
      </c>
      <c r="H5" s="458">
        <v>0.08</v>
      </c>
      <c r="I5" s="459">
        <v>0.01</v>
      </c>
      <c r="J5" s="459">
        <v>0.12</v>
      </c>
      <c r="K5" s="459">
        <v>0.09</v>
      </c>
      <c r="L5" s="459">
        <v>0.05</v>
      </c>
      <c r="M5" s="459">
        <v>0.23</v>
      </c>
      <c r="N5" s="460"/>
      <c r="O5" s="461"/>
    </row>
    <row r="6" spans="1:15" s="45" customFormat="1" ht="59.25" customHeight="1" x14ac:dyDescent="0.25">
      <c r="A6" s="453" t="s">
        <v>554</v>
      </c>
      <c r="B6" s="454">
        <v>176000</v>
      </c>
      <c r="C6" s="462">
        <v>176425</v>
      </c>
      <c r="D6" s="463" t="s">
        <v>555</v>
      </c>
      <c r="E6" s="463">
        <v>264700</v>
      </c>
      <c r="F6" s="458">
        <v>0.31</v>
      </c>
      <c r="G6" s="458">
        <v>0.52</v>
      </c>
      <c r="H6" s="458">
        <v>0.15</v>
      </c>
      <c r="I6" s="459">
        <v>0.02</v>
      </c>
      <c r="J6" s="459">
        <v>7.0000000000000007E-2</v>
      </c>
      <c r="K6" s="459">
        <v>7.0000000000000007E-2</v>
      </c>
      <c r="L6" s="459">
        <v>0.14000000000000001</v>
      </c>
      <c r="M6" s="459">
        <v>0.22</v>
      </c>
      <c r="N6" s="464"/>
      <c r="O6" s="465"/>
    </row>
    <row r="7" spans="1:15" s="45" customFormat="1" ht="89.25" x14ac:dyDescent="0.25">
      <c r="A7" s="466" t="s">
        <v>556</v>
      </c>
      <c r="B7" s="467"/>
      <c r="C7" s="468">
        <v>355000</v>
      </c>
      <c r="D7" s="469" t="s">
        <v>557</v>
      </c>
      <c r="E7" s="469">
        <v>792800</v>
      </c>
      <c r="F7" s="470">
        <v>0.56999999999999995</v>
      </c>
      <c r="G7" s="470">
        <v>0.34</v>
      </c>
      <c r="H7" s="470">
        <v>0.08</v>
      </c>
      <c r="I7" s="471">
        <v>0.01</v>
      </c>
      <c r="J7" s="471"/>
      <c r="K7" s="471"/>
      <c r="L7" s="471"/>
      <c r="M7" s="471">
        <v>0.16</v>
      </c>
      <c r="N7" s="472"/>
      <c r="O7" s="473"/>
    </row>
    <row r="8" spans="1:15" s="45" customFormat="1" ht="129" customHeight="1" x14ac:dyDescent="0.25">
      <c r="A8" s="474" t="s">
        <v>558</v>
      </c>
      <c r="B8" s="475">
        <v>665300</v>
      </c>
      <c r="C8" s="476">
        <v>880000</v>
      </c>
      <c r="D8" s="463" t="s">
        <v>559</v>
      </c>
      <c r="E8" s="469">
        <v>890700</v>
      </c>
      <c r="F8" s="470">
        <v>0.57999999999999996</v>
      </c>
      <c r="G8" s="470">
        <v>0.38</v>
      </c>
      <c r="H8" s="470">
        <v>0.09</v>
      </c>
      <c r="I8" s="471">
        <v>0.02</v>
      </c>
      <c r="J8" s="471">
        <v>0.03</v>
      </c>
      <c r="K8" s="471">
        <v>0.02</v>
      </c>
      <c r="L8" s="471">
        <v>0.01</v>
      </c>
      <c r="M8" s="471">
        <v>0.05</v>
      </c>
      <c r="N8" s="472"/>
      <c r="O8" s="473"/>
    </row>
    <row r="9" spans="1:15" s="45" customFormat="1" x14ac:dyDescent="0.25">
      <c r="A9" s="466" t="s">
        <v>560</v>
      </c>
      <c r="B9" s="467"/>
      <c r="C9" s="468">
        <v>305000</v>
      </c>
      <c r="D9" s="708" t="s">
        <v>561</v>
      </c>
      <c r="E9" s="492">
        <v>693850</v>
      </c>
      <c r="F9" s="470"/>
      <c r="G9" s="470"/>
      <c r="H9" s="470"/>
      <c r="I9" s="471"/>
      <c r="J9" s="471"/>
      <c r="K9" s="471"/>
      <c r="L9" s="471"/>
      <c r="M9" s="471">
        <v>0.23</v>
      </c>
      <c r="N9" s="472"/>
      <c r="O9" s="473"/>
    </row>
    <row r="10" spans="1:15" s="45" customFormat="1" x14ac:dyDescent="0.25">
      <c r="A10" s="466" t="s">
        <v>562</v>
      </c>
      <c r="B10" s="467"/>
      <c r="C10" s="468">
        <v>305000</v>
      </c>
      <c r="D10" s="709"/>
      <c r="E10" s="492">
        <v>693850</v>
      </c>
      <c r="F10" s="470"/>
      <c r="G10" s="470"/>
      <c r="H10" s="470"/>
      <c r="I10" s="471"/>
      <c r="J10" s="471"/>
      <c r="K10" s="471"/>
      <c r="L10" s="471"/>
      <c r="M10" s="471">
        <v>0.23</v>
      </c>
      <c r="N10" s="472"/>
      <c r="O10" s="473"/>
    </row>
    <row r="11" spans="1:15" s="45" customFormat="1" ht="102" x14ac:dyDescent="0.25">
      <c r="A11" s="477" t="s">
        <v>563</v>
      </c>
      <c r="B11" s="478">
        <v>311600</v>
      </c>
      <c r="C11" s="479">
        <v>366000</v>
      </c>
      <c r="D11" s="463" t="s">
        <v>564</v>
      </c>
      <c r="E11" s="480">
        <v>370300</v>
      </c>
      <c r="F11" s="481">
        <v>0.39</v>
      </c>
      <c r="G11" s="481">
        <v>0.52</v>
      </c>
      <c r="H11" s="481">
        <v>7.0000000000000007E-2</v>
      </c>
      <c r="I11" s="482">
        <v>0.02</v>
      </c>
      <c r="J11" s="482">
        <v>0.08</v>
      </c>
      <c r="K11" s="482">
        <v>0.05</v>
      </c>
      <c r="L11" s="482">
        <v>0.05</v>
      </c>
      <c r="M11" s="482">
        <v>0.12</v>
      </c>
      <c r="N11" s="483"/>
      <c r="O11" s="484"/>
    </row>
    <row r="12" spans="1:15" s="45" customFormat="1" ht="36" customHeight="1" x14ac:dyDescent="0.25">
      <c r="A12" s="485" t="s">
        <v>565</v>
      </c>
      <c r="B12" s="486">
        <v>247500</v>
      </c>
      <c r="C12" s="487"/>
      <c r="D12" s="463" t="s">
        <v>566</v>
      </c>
      <c r="E12" s="486">
        <v>270300</v>
      </c>
      <c r="F12" s="488">
        <v>0.23</v>
      </c>
      <c r="G12" s="488">
        <v>0.73</v>
      </c>
      <c r="H12" s="488">
        <v>0.02</v>
      </c>
      <c r="I12" s="489">
        <v>0.02</v>
      </c>
      <c r="J12" s="489">
        <v>0.27</v>
      </c>
      <c r="K12" s="489">
        <v>0.18</v>
      </c>
      <c r="L12" s="489">
        <v>0.05</v>
      </c>
      <c r="M12" s="489">
        <v>0.46</v>
      </c>
      <c r="N12" s="490"/>
      <c r="O12" s="490"/>
    </row>
    <row r="13" spans="1:15" ht="102" x14ac:dyDescent="0.25">
      <c r="A13" s="485" t="s">
        <v>565</v>
      </c>
      <c r="B13" s="486">
        <v>247500</v>
      </c>
      <c r="C13" s="487"/>
      <c r="D13" s="463" t="s">
        <v>566</v>
      </c>
      <c r="E13" s="486">
        <v>270300</v>
      </c>
      <c r="F13" s="488">
        <v>0.23</v>
      </c>
      <c r="G13" s="488">
        <v>0.73</v>
      </c>
      <c r="H13" s="488">
        <v>0.02</v>
      </c>
      <c r="I13" s="489">
        <v>0.02</v>
      </c>
      <c r="J13" s="489">
        <v>0.27</v>
      </c>
      <c r="K13" s="489">
        <v>0.18</v>
      </c>
      <c r="L13" s="489">
        <v>0.05</v>
      </c>
      <c r="M13" s="489">
        <v>0.46</v>
      </c>
      <c r="N13" s="490"/>
      <c r="O13" s="490"/>
    </row>
    <row r="14" spans="1:15" ht="102" x14ac:dyDescent="0.25">
      <c r="A14" s="485" t="s">
        <v>565</v>
      </c>
      <c r="B14" s="486">
        <v>247500</v>
      </c>
      <c r="C14" s="487"/>
      <c r="D14" s="463" t="s">
        <v>566</v>
      </c>
      <c r="E14" s="486">
        <v>270300</v>
      </c>
      <c r="F14" s="488">
        <v>0.23</v>
      </c>
      <c r="G14" s="488">
        <v>0.73</v>
      </c>
      <c r="H14" s="488">
        <v>0.02</v>
      </c>
      <c r="I14" s="489">
        <v>0.02</v>
      </c>
      <c r="J14" s="489">
        <v>0.27</v>
      </c>
      <c r="K14" s="489">
        <v>0.18</v>
      </c>
      <c r="L14" s="489">
        <v>0.05</v>
      </c>
      <c r="M14" s="489">
        <v>0.46</v>
      </c>
      <c r="N14" s="490"/>
      <c r="O14" s="490"/>
    </row>
    <row r="15" spans="1:15" ht="15" customHeight="1" x14ac:dyDescent="0.25">
      <c r="A15" s="491" t="s">
        <v>567</v>
      </c>
      <c r="B15" s="4"/>
    </row>
    <row r="16" spans="1:15" ht="15" customHeight="1" x14ac:dyDescent="0.25">
      <c r="A16" s="4" t="s">
        <v>568</v>
      </c>
      <c r="B16" s="4"/>
    </row>
  </sheetData>
  <mergeCells count="8">
    <mergeCell ref="N3:O3"/>
    <mergeCell ref="D9:D10"/>
    <mergeCell ref="A3:A4"/>
    <mergeCell ref="C3:C4"/>
    <mergeCell ref="D3:D4"/>
    <mergeCell ref="E3:E4"/>
    <mergeCell ref="F3:I3"/>
    <mergeCell ref="J3:M3"/>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A7CC8-864A-4515-80B4-67568E7717E7}">
  <sheetPr>
    <tabColor theme="1" tint="0.34998626667073579"/>
  </sheetPr>
  <dimension ref="A1:Q99"/>
  <sheetViews>
    <sheetView zoomScaleNormal="100" workbookViewId="0">
      <selection activeCell="B6" sqref="B6"/>
    </sheetView>
  </sheetViews>
  <sheetFormatPr defaultRowHeight="15" x14ac:dyDescent="0.25"/>
  <cols>
    <col min="1" max="1" width="41" customWidth="1"/>
    <col min="2" max="2" width="17" customWidth="1"/>
    <col min="3" max="3" width="18.5703125" customWidth="1"/>
    <col min="4" max="4" width="15.42578125" customWidth="1"/>
    <col min="5" max="5" width="16.28515625" customWidth="1"/>
    <col min="7" max="7" width="11.42578125" bestFit="1" customWidth="1"/>
    <col min="8" max="8" width="16.5703125" bestFit="1" customWidth="1"/>
    <col min="9" max="9" width="15.42578125" bestFit="1" customWidth="1"/>
  </cols>
  <sheetData>
    <row r="1" spans="1:17" x14ac:dyDescent="0.25">
      <c r="A1" s="140"/>
      <c r="B1" s="720" t="s">
        <v>126</v>
      </c>
      <c r="C1" s="720"/>
      <c r="D1" s="720"/>
      <c r="E1" s="720"/>
      <c r="F1" s="140"/>
      <c r="G1" s="140"/>
      <c r="H1" s="140"/>
      <c r="I1" s="140"/>
      <c r="J1" s="140"/>
      <c r="K1" s="140"/>
      <c r="L1" s="140"/>
    </row>
    <row r="2" spans="1:17" x14ac:dyDescent="0.25">
      <c r="A2" s="140"/>
      <c r="B2" s="140" t="s">
        <v>127</v>
      </c>
      <c r="C2" s="140" t="s">
        <v>128</v>
      </c>
      <c r="D2" s="140" t="s">
        <v>129</v>
      </c>
      <c r="E2" s="140" t="s">
        <v>130</v>
      </c>
      <c r="M2" s="140"/>
      <c r="N2" s="140"/>
      <c r="O2" s="140"/>
      <c r="P2" s="140"/>
      <c r="Q2" s="140"/>
    </row>
    <row r="3" spans="1:17" x14ac:dyDescent="0.25">
      <c r="A3" s="140"/>
      <c r="B3" s="141">
        <v>0.31</v>
      </c>
      <c r="C3" s="141">
        <v>0.52</v>
      </c>
      <c r="D3" s="141">
        <v>0.15</v>
      </c>
      <c r="E3" s="141">
        <v>0.02</v>
      </c>
      <c r="M3" s="141"/>
      <c r="N3" s="141"/>
      <c r="O3" s="141"/>
      <c r="P3" s="141"/>
      <c r="Q3" s="141"/>
    </row>
    <row r="4" spans="1:17" x14ac:dyDescent="0.25">
      <c r="A4" s="140"/>
      <c r="B4" s="142"/>
      <c r="C4" s="140"/>
      <c r="D4" s="141"/>
      <c r="E4" s="141"/>
      <c r="F4" s="141"/>
      <c r="G4" s="141"/>
      <c r="H4" s="141"/>
      <c r="I4" s="141"/>
      <c r="J4" s="141"/>
      <c r="K4" s="141"/>
      <c r="L4" s="141"/>
    </row>
    <row r="5" spans="1:17" x14ac:dyDescent="0.25">
      <c r="A5" s="140"/>
      <c r="B5" s="143" t="s">
        <v>131</v>
      </c>
      <c r="C5" s="143" t="s">
        <v>132</v>
      </c>
      <c r="D5" s="143" t="s">
        <v>133</v>
      </c>
      <c r="E5" s="141"/>
      <c r="F5" s="141"/>
      <c r="J5" s="141"/>
      <c r="K5" s="141"/>
      <c r="L5" s="141"/>
    </row>
    <row r="6" spans="1:17" x14ac:dyDescent="0.25">
      <c r="A6" s="140"/>
      <c r="B6" s="142">
        <v>176000</v>
      </c>
      <c r="C6" s="142">
        <v>650</v>
      </c>
      <c r="D6" s="142">
        <v>250</v>
      </c>
      <c r="E6" s="141"/>
      <c r="F6" s="141"/>
      <c r="J6" s="141"/>
      <c r="K6" s="141"/>
      <c r="L6" s="141"/>
    </row>
    <row r="7" spans="1:17" x14ac:dyDescent="0.25">
      <c r="A7" s="140"/>
      <c r="B7" s="142"/>
      <c r="C7" s="142"/>
      <c r="D7" s="142"/>
      <c r="E7" s="141"/>
      <c r="F7" s="141"/>
      <c r="J7" s="141"/>
      <c r="K7" s="141"/>
      <c r="L7" s="141"/>
    </row>
    <row r="8" spans="1:17" x14ac:dyDescent="0.25">
      <c r="A8" s="144" t="s">
        <v>134</v>
      </c>
      <c r="B8" s="142"/>
      <c r="C8" s="142"/>
      <c r="D8" s="142"/>
      <c r="E8" s="141"/>
      <c r="F8" s="141"/>
      <c r="J8" s="141"/>
      <c r="K8" s="141"/>
      <c r="L8" s="141"/>
    </row>
    <row r="9" spans="1:17" x14ac:dyDescent="0.25">
      <c r="A9" s="144" t="s">
        <v>135</v>
      </c>
      <c r="B9" s="145" t="s">
        <v>136</v>
      </c>
      <c r="C9" s="142"/>
      <c r="D9" s="142"/>
      <c r="E9" s="146" t="s">
        <v>137</v>
      </c>
      <c r="F9" s="147" t="s">
        <v>138</v>
      </c>
      <c r="G9" s="147" t="s">
        <v>139</v>
      </c>
      <c r="H9" s="147" t="s">
        <v>140</v>
      </c>
      <c r="I9" s="148"/>
      <c r="J9" s="148"/>
      <c r="K9" s="62"/>
    </row>
    <row r="10" spans="1:17" x14ac:dyDescent="0.25">
      <c r="A10" s="149" t="s">
        <v>141</v>
      </c>
      <c r="B10" s="141">
        <v>0.56999999999999995</v>
      </c>
      <c r="C10" s="142"/>
      <c r="D10" s="142"/>
      <c r="E10" s="148" t="s">
        <v>142</v>
      </c>
      <c r="F10" s="150"/>
      <c r="G10" s="150" t="s">
        <v>143</v>
      </c>
      <c r="H10" s="150"/>
      <c r="I10" s="148"/>
      <c r="J10" s="148"/>
      <c r="K10" s="23"/>
    </row>
    <row r="11" spans="1:17" x14ac:dyDescent="0.25">
      <c r="A11" s="149" t="s">
        <v>144</v>
      </c>
      <c r="B11" s="141">
        <v>0.43</v>
      </c>
      <c r="C11" s="142"/>
      <c r="D11" s="142"/>
      <c r="E11" s="148" t="s">
        <v>145</v>
      </c>
      <c r="F11" s="150"/>
      <c r="G11" s="150" t="s">
        <v>143</v>
      </c>
      <c r="H11" s="150"/>
      <c r="I11" s="148"/>
      <c r="J11" s="148"/>
      <c r="K11" s="23"/>
    </row>
    <row r="12" spans="1:17" x14ac:dyDescent="0.25">
      <c r="A12" s="149" t="s">
        <v>130</v>
      </c>
      <c r="B12" s="141">
        <v>0</v>
      </c>
      <c r="C12" s="142"/>
      <c r="D12" s="142"/>
      <c r="E12" s="125" t="s">
        <v>146</v>
      </c>
      <c r="F12" s="150"/>
      <c r="G12" s="150" t="s">
        <v>143</v>
      </c>
      <c r="H12" s="150"/>
      <c r="I12" s="148"/>
      <c r="J12" s="148"/>
      <c r="K12" s="23"/>
    </row>
    <row r="13" spans="1:17" x14ac:dyDescent="0.25">
      <c r="A13" s="144" t="s">
        <v>147</v>
      </c>
      <c r="B13" s="151"/>
      <c r="C13" s="142"/>
      <c r="D13" s="142"/>
      <c r="E13" s="148" t="s">
        <v>148</v>
      </c>
      <c r="F13" s="150"/>
      <c r="G13" s="150" t="s">
        <v>143</v>
      </c>
      <c r="H13" s="150"/>
      <c r="I13" s="148"/>
      <c r="J13" s="148"/>
      <c r="K13" s="23"/>
    </row>
    <row r="14" spans="1:17" x14ac:dyDescent="0.25">
      <c r="A14" s="149" t="s">
        <v>149</v>
      </c>
      <c r="B14" s="152">
        <v>6.848754E-2</v>
      </c>
      <c r="C14" s="153"/>
      <c r="D14" s="153"/>
      <c r="E14" s="148" t="s">
        <v>150</v>
      </c>
      <c r="F14" s="150"/>
      <c r="G14" s="150" t="s">
        <v>143</v>
      </c>
      <c r="H14" s="150"/>
      <c r="I14" s="148"/>
      <c r="J14" s="148"/>
      <c r="K14" s="23"/>
    </row>
    <row r="15" spans="1:17" x14ac:dyDescent="0.25">
      <c r="A15" s="149" t="s">
        <v>151</v>
      </c>
      <c r="B15" s="152">
        <v>4.2789999999999998E-3</v>
      </c>
      <c r="C15" s="153"/>
      <c r="D15" s="153"/>
      <c r="E15" s="148" t="s">
        <v>152</v>
      </c>
      <c r="F15" s="150"/>
      <c r="G15" s="150" t="s">
        <v>143</v>
      </c>
      <c r="H15" s="150"/>
      <c r="I15" s="148"/>
      <c r="J15" s="148"/>
      <c r="K15" s="23"/>
    </row>
    <row r="16" spans="1:17" x14ac:dyDescent="0.25">
      <c r="A16" s="149" t="s">
        <v>153</v>
      </c>
      <c r="B16" s="152">
        <v>5.3769999999999998E-2</v>
      </c>
      <c r="C16" s="153"/>
      <c r="D16" s="153"/>
      <c r="E16" s="148" t="s">
        <v>154</v>
      </c>
      <c r="F16" s="150"/>
      <c r="G16" s="150" t="s">
        <v>143</v>
      </c>
      <c r="H16" s="150"/>
      <c r="I16" s="148"/>
      <c r="J16" s="148"/>
      <c r="K16" s="23"/>
    </row>
    <row r="17" spans="1:11" x14ac:dyDescent="0.25">
      <c r="A17" s="149" t="s">
        <v>155</v>
      </c>
      <c r="B17" s="152">
        <v>7.1199999999999999E-2</v>
      </c>
      <c r="C17" s="153"/>
      <c r="D17" s="153"/>
      <c r="E17" s="148" t="s">
        <v>156</v>
      </c>
      <c r="F17" s="150"/>
      <c r="G17" s="150"/>
      <c r="H17" s="150" t="s">
        <v>143</v>
      </c>
      <c r="I17" s="148"/>
      <c r="J17" s="148"/>
      <c r="K17" s="23"/>
    </row>
    <row r="18" spans="1:11" x14ac:dyDescent="0.25">
      <c r="A18" s="149" t="s">
        <v>157</v>
      </c>
      <c r="B18" s="152">
        <v>5.8650000000000001E-2</v>
      </c>
      <c r="C18" s="153"/>
      <c r="D18" s="153"/>
      <c r="E18" s="148" t="s">
        <v>158</v>
      </c>
      <c r="F18" s="150"/>
      <c r="G18" s="150" t="s">
        <v>143</v>
      </c>
      <c r="H18" s="150"/>
      <c r="I18" s="148"/>
      <c r="J18" s="148"/>
      <c r="K18" s="23"/>
    </row>
    <row r="19" spans="1:11" x14ac:dyDescent="0.25">
      <c r="A19" s="149" t="s">
        <v>159</v>
      </c>
      <c r="B19" s="152">
        <v>0.16186</v>
      </c>
      <c r="C19" s="153"/>
      <c r="D19" s="153"/>
      <c r="E19" s="146" t="s">
        <v>160</v>
      </c>
      <c r="F19" s="147" t="s">
        <v>138</v>
      </c>
      <c r="G19" s="147" t="s">
        <v>139</v>
      </c>
      <c r="H19" s="147" t="s">
        <v>140</v>
      </c>
      <c r="I19" s="148"/>
      <c r="J19" s="148"/>
      <c r="K19" s="62"/>
    </row>
    <row r="20" spans="1:11" x14ac:dyDescent="0.25">
      <c r="A20" s="149" t="s">
        <v>161</v>
      </c>
      <c r="B20" s="152">
        <v>0.12917999999999999</v>
      </c>
      <c r="C20" s="153"/>
      <c r="D20" s="153"/>
      <c r="E20" s="148" t="s">
        <v>144</v>
      </c>
      <c r="F20" s="150"/>
      <c r="G20" s="150" t="s">
        <v>143</v>
      </c>
      <c r="H20" s="150"/>
      <c r="I20" s="148"/>
      <c r="J20" s="148"/>
      <c r="K20" s="23"/>
    </row>
    <row r="21" spans="1:11" x14ac:dyDescent="0.25">
      <c r="A21" s="149" t="s">
        <v>162</v>
      </c>
      <c r="B21" s="152">
        <v>0.1903</v>
      </c>
      <c r="C21" s="153"/>
      <c r="D21" s="153"/>
      <c r="E21" s="148" t="s">
        <v>141</v>
      </c>
      <c r="F21" s="150"/>
      <c r="G21" s="150" t="s">
        <v>143</v>
      </c>
      <c r="H21" s="150"/>
      <c r="I21" s="148"/>
      <c r="J21" s="148"/>
      <c r="K21" s="23"/>
    </row>
    <row r="22" spans="1:11" x14ac:dyDescent="0.25">
      <c r="A22" s="149" t="s">
        <v>163</v>
      </c>
      <c r="B22" s="152">
        <v>0.2346</v>
      </c>
      <c r="C22" s="153"/>
      <c r="D22" s="153"/>
      <c r="E22" s="146" t="s">
        <v>164</v>
      </c>
      <c r="F22" s="147" t="s">
        <v>138</v>
      </c>
      <c r="G22" s="147" t="s">
        <v>139</v>
      </c>
      <c r="H22" s="147" t="s">
        <v>140</v>
      </c>
      <c r="I22" s="148"/>
      <c r="J22" s="148"/>
      <c r="K22" s="62"/>
    </row>
    <row r="23" spans="1:11" x14ac:dyDescent="0.25">
      <c r="A23" s="149" t="s">
        <v>165</v>
      </c>
      <c r="B23" s="152">
        <v>2.8209999999999999E-2</v>
      </c>
      <c r="C23" s="153"/>
      <c r="D23" s="153"/>
      <c r="E23" s="148" t="s">
        <v>166</v>
      </c>
      <c r="F23" s="150"/>
      <c r="G23" s="150"/>
      <c r="H23" s="150" t="s">
        <v>143</v>
      </c>
      <c r="I23" s="148"/>
      <c r="J23" s="148"/>
      <c r="K23" s="23"/>
    </row>
    <row r="24" spans="1:11" x14ac:dyDescent="0.25">
      <c r="A24" s="154" t="s">
        <v>167</v>
      </c>
      <c r="B24" s="155"/>
      <c r="C24" s="153"/>
      <c r="D24" s="153"/>
      <c r="E24" s="148" t="s">
        <v>168</v>
      </c>
      <c r="F24" s="150" t="s">
        <v>143</v>
      </c>
      <c r="G24" s="150"/>
      <c r="H24" s="150"/>
      <c r="I24" s="148"/>
      <c r="J24" s="148" t="s">
        <v>169</v>
      </c>
      <c r="K24" s="23"/>
    </row>
    <row r="25" spans="1:11" x14ac:dyDescent="0.25">
      <c r="A25" s="149" t="s">
        <v>170</v>
      </c>
      <c r="B25" s="152">
        <v>0</v>
      </c>
      <c r="C25" s="153"/>
      <c r="D25" s="153"/>
      <c r="E25" s="148" t="s">
        <v>171</v>
      </c>
      <c r="F25" s="150"/>
      <c r="G25" s="150" t="s">
        <v>143</v>
      </c>
      <c r="H25" s="150"/>
      <c r="I25" s="148"/>
      <c r="J25" s="148"/>
      <c r="K25" s="23"/>
    </row>
    <row r="26" spans="1:11" x14ac:dyDescent="0.25">
      <c r="A26" s="149" t="s">
        <v>172</v>
      </c>
      <c r="B26" s="152">
        <v>0</v>
      </c>
      <c r="C26" s="153"/>
      <c r="D26" s="153"/>
      <c r="E26" s="148" t="s">
        <v>173</v>
      </c>
      <c r="F26" s="150"/>
      <c r="G26" s="150" t="s">
        <v>143</v>
      </c>
      <c r="H26" s="150"/>
      <c r="I26" s="148"/>
      <c r="J26" s="148"/>
      <c r="K26" s="23"/>
    </row>
    <row r="27" spans="1:11" x14ac:dyDescent="0.25">
      <c r="A27" s="149" t="s">
        <v>173</v>
      </c>
      <c r="B27" s="152">
        <v>1.9834999999999998E-2</v>
      </c>
      <c r="C27" s="153"/>
      <c r="D27" s="153"/>
      <c r="E27" s="148" t="s">
        <v>130</v>
      </c>
      <c r="F27" s="150"/>
      <c r="G27" s="150" t="s">
        <v>143</v>
      </c>
      <c r="H27" s="150"/>
      <c r="I27" s="148"/>
      <c r="J27" s="148"/>
      <c r="K27" s="23"/>
    </row>
    <row r="28" spans="1:11" x14ac:dyDescent="0.25">
      <c r="A28" s="149" t="s">
        <v>174</v>
      </c>
      <c r="B28" s="152">
        <v>0</v>
      </c>
      <c r="C28" s="153"/>
      <c r="D28" s="153"/>
      <c r="E28" s="146" t="s">
        <v>175</v>
      </c>
      <c r="F28" s="147" t="s">
        <v>138</v>
      </c>
      <c r="G28" s="147" t="s">
        <v>139</v>
      </c>
      <c r="H28" s="147" t="s">
        <v>140</v>
      </c>
      <c r="I28" s="148"/>
      <c r="J28" s="148"/>
      <c r="K28" s="62"/>
    </row>
    <row r="29" spans="1:11" x14ac:dyDescent="0.25">
      <c r="A29" s="149" t="s">
        <v>166</v>
      </c>
      <c r="B29" s="152">
        <v>0.95499500000000004</v>
      </c>
      <c r="C29" s="153"/>
      <c r="D29" s="153"/>
      <c r="E29" s="148" t="s">
        <v>176</v>
      </c>
      <c r="F29" s="150" t="s">
        <v>143</v>
      </c>
      <c r="G29" s="150"/>
      <c r="H29" s="150"/>
      <c r="I29" s="148"/>
      <c r="J29" s="148" t="s">
        <v>177</v>
      </c>
      <c r="K29" s="23"/>
    </row>
    <row r="30" spans="1:11" x14ac:dyDescent="0.25">
      <c r="A30" s="149" t="s">
        <v>178</v>
      </c>
      <c r="B30" s="152">
        <v>9.3500000000000007E-3</v>
      </c>
      <c r="C30" s="153"/>
      <c r="D30" s="153"/>
      <c r="E30" s="148" t="s">
        <v>179</v>
      </c>
      <c r="F30" s="150"/>
      <c r="G30" s="150"/>
      <c r="H30" s="150" t="s">
        <v>143</v>
      </c>
      <c r="I30" s="148"/>
      <c r="J30" s="148"/>
      <c r="K30" s="23"/>
    </row>
    <row r="31" spans="1:11" x14ac:dyDescent="0.25">
      <c r="A31" s="149" t="s">
        <v>180</v>
      </c>
      <c r="B31" s="152">
        <v>1.5817999999999999E-2</v>
      </c>
      <c r="C31" s="153"/>
      <c r="D31" s="153"/>
      <c r="E31" s="146" t="s">
        <v>181</v>
      </c>
      <c r="F31" s="147" t="s">
        <v>138</v>
      </c>
      <c r="G31" s="147" t="s">
        <v>139</v>
      </c>
      <c r="H31" s="147" t="s">
        <v>140</v>
      </c>
      <c r="I31" s="148"/>
      <c r="J31" s="148"/>
      <c r="K31" s="62"/>
    </row>
    <row r="32" spans="1:11" x14ac:dyDescent="0.25">
      <c r="A32" s="154" t="s">
        <v>182</v>
      </c>
      <c r="B32" s="155"/>
      <c r="C32" s="153"/>
      <c r="D32" s="153"/>
      <c r="E32" s="148" t="s">
        <v>183</v>
      </c>
      <c r="F32" s="150" t="s">
        <v>143</v>
      </c>
      <c r="G32" s="150"/>
      <c r="H32" s="150"/>
      <c r="I32" s="148"/>
      <c r="J32" s="148" t="s">
        <v>184</v>
      </c>
      <c r="K32" s="23"/>
    </row>
    <row r="33" spans="1:12" x14ac:dyDescent="0.25">
      <c r="A33" s="149" t="s">
        <v>176</v>
      </c>
      <c r="B33" s="152">
        <v>0.89700000000000002</v>
      </c>
      <c r="C33" s="153"/>
      <c r="D33" s="153"/>
      <c r="E33" s="148" t="s">
        <v>185</v>
      </c>
      <c r="F33" s="150"/>
      <c r="G33" s="150" t="s">
        <v>143</v>
      </c>
      <c r="H33" s="150"/>
      <c r="I33" s="148"/>
      <c r="J33" s="148"/>
      <c r="K33" s="23"/>
    </row>
    <row r="34" spans="1:12" x14ac:dyDescent="0.25">
      <c r="A34" s="149" t="s">
        <v>179</v>
      </c>
      <c r="B34" s="152">
        <v>0.10299999999999999</v>
      </c>
      <c r="C34" s="153"/>
      <c r="D34" s="153"/>
      <c r="E34" s="148" t="s">
        <v>186</v>
      </c>
      <c r="F34" s="150"/>
      <c r="G34" s="150"/>
      <c r="H34" s="150" t="s">
        <v>143</v>
      </c>
      <c r="I34" s="148"/>
      <c r="J34" s="148"/>
      <c r="K34" s="23"/>
    </row>
    <row r="35" spans="1:12" x14ac:dyDescent="0.25">
      <c r="A35" s="154" t="s">
        <v>187</v>
      </c>
      <c r="B35" s="155"/>
      <c r="C35" s="153"/>
      <c r="D35" s="153"/>
      <c r="E35" s="153"/>
      <c r="F35" s="153"/>
      <c r="G35" s="153"/>
      <c r="H35" s="153"/>
      <c r="I35" s="153"/>
      <c r="J35" s="153"/>
      <c r="K35" s="141"/>
      <c r="L35" s="141"/>
    </row>
    <row r="36" spans="1:12" x14ac:dyDescent="0.25">
      <c r="A36" s="149" t="s">
        <v>188</v>
      </c>
      <c r="B36" s="152">
        <v>8.6321040000000002E-2</v>
      </c>
      <c r="C36" s="153"/>
      <c r="D36" s="153"/>
      <c r="E36" s="153"/>
      <c r="F36" s="153"/>
      <c r="G36" s="153"/>
      <c r="H36" s="153"/>
      <c r="I36" s="153"/>
      <c r="J36" s="153"/>
      <c r="K36" s="141"/>
      <c r="L36" s="141"/>
    </row>
    <row r="37" spans="1:12" x14ac:dyDescent="0.25">
      <c r="A37" s="149" t="s">
        <v>189</v>
      </c>
      <c r="B37" s="152">
        <v>6.6485952000000001E-2</v>
      </c>
      <c r="C37" s="153"/>
      <c r="D37" s="153"/>
      <c r="E37" s="153"/>
      <c r="F37" s="153"/>
      <c r="G37" s="153"/>
      <c r="H37" s="153"/>
      <c r="I37" s="153"/>
      <c r="J37" s="153"/>
      <c r="K37" s="141"/>
      <c r="L37" s="141"/>
    </row>
    <row r="38" spans="1:12" x14ac:dyDescent="0.25">
      <c r="A38" s="149" t="s">
        <v>190</v>
      </c>
      <c r="B38" s="152">
        <v>0.12019488</v>
      </c>
      <c r="C38" s="153"/>
      <c r="D38" s="153"/>
      <c r="E38" s="153"/>
      <c r="F38" s="153"/>
      <c r="G38" s="153"/>
      <c r="H38" s="153"/>
      <c r="I38" s="153"/>
      <c r="J38" s="153"/>
      <c r="K38" s="141"/>
      <c r="L38" s="141"/>
    </row>
    <row r="39" spans="1:12" x14ac:dyDescent="0.25">
      <c r="A39" s="149" t="s">
        <v>191</v>
      </c>
      <c r="B39" s="152">
        <v>0.28074062399999999</v>
      </c>
      <c r="C39" s="153"/>
      <c r="D39" s="153"/>
      <c r="E39" s="153"/>
      <c r="F39" s="153"/>
      <c r="G39" s="153"/>
      <c r="H39" s="153"/>
      <c r="I39" s="153"/>
      <c r="J39" s="153"/>
      <c r="K39" s="141"/>
      <c r="L39" s="141"/>
    </row>
    <row r="40" spans="1:12" x14ac:dyDescent="0.25">
      <c r="A40" s="149" t="s">
        <v>192</v>
      </c>
      <c r="B40" s="152">
        <v>0.23561356999999999</v>
      </c>
      <c r="C40" s="153"/>
      <c r="D40" s="153"/>
      <c r="E40" s="153"/>
      <c r="F40" s="153"/>
      <c r="G40" s="153"/>
      <c r="H40" s="153"/>
      <c r="I40" s="153"/>
      <c r="J40" s="153"/>
      <c r="K40" s="141"/>
      <c r="L40" s="141"/>
    </row>
    <row r="41" spans="1:12" x14ac:dyDescent="0.25">
      <c r="A41" s="149" t="s">
        <v>193</v>
      </c>
      <c r="B41" s="152">
        <v>0.21026793999999999</v>
      </c>
      <c r="C41" s="153"/>
      <c r="D41" s="153"/>
      <c r="E41" s="153"/>
      <c r="F41" s="153"/>
      <c r="G41" s="153"/>
      <c r="H41" s="153"/>
      <c r="I41" s="153"/>
      <c r="J41" s="153"/>
      <c r="K41" s="141"/>
      <c r="L41" s="141"/>
    </row>
    <row r="42" spans="1:12" x14ac:dyDescent="0.25">
      <c r="A42" s="153"/>
      <c r="B42" s="153"/>
      <c r="C42" s="153"/>
      <c r="D42" s="153"/>
      <c r="E42" s="153"/>
      <c r="F42" s="153"/>
      <c r="G42" s="153"/>
      <c r="H42" s="153"/>
      <c r="I42" s="153"/>
      <c r="J42" s="153"/>
      <c r="K42" s="141"/>
      <c r="L42" s="141"/>
    </row>
    <row r="43" spans="1:12" x14ac:dyDescent="0.25">
      <c r="A43" s="721" t="s">
        <v>194</v>
      </c>
      <c r="B43" s="721"/>
      <c r="C43" s="721"/>
      <c r="D43" s="92"/>
      <c r="E43" s="92"/>
      <c r="F43" s="92"/>
      <c r="J43" s="92"/>
      <c r="K43" s="92"/>
      <c r="L43" s="92"/>
    </row>
    <row r="44" spans="1:12" x14ac:dyDescent="0.25">
      <c r="B44" s="83" t="s">
        <v>195</v>
      </c>
      <c r="C44" s="92">
        <v>0.9</v>
      </c>
      <c r="D44" s="92"/>
      <c r="E44" s="92"/>
      <c r="F44" s="92"/>
      <c r="G44" s="92"/>
      <c r="H44" s="92"/>
      <c r="I44" s="92"/>
      <c r="J44" s="92"/>
      <c r="K44" s="92"/>
      <c r="L44" s="92"/>
    </row>
    <row r="45" spans="1:12" x14ac:dyDescent="0.25">
      <c r="B45" s="83" t="s">
        <v>196</v>
      </c>
      <c r="C45" s="92">
        <v>3.5000000000000003E-2</v>
      </c>
      <c r="D45" s="92"/>
      <c r="E45" s="92"/>
      <c r="F45" s="92"/>
      <c r="G45" s="92"/>
      <c r="H45" s="92"/>
      <c r="I45" s="92"/>
      <c r="J45" s="92"/>
      <c r="K45" s="92"/>
      <c r="L45" s="92"/>
    </row>
    <row r="46" spans="1:12" x14ac:dyDescent="0.25">
      <c r="B46" s="83" t="s">
        <v>197</v>
      </c>
      <c r="C46" s="92">
        <v>7.2099999999999997E-2</v>
      </c>
      <c r="D46" s="92"/>
      <c r="E46" s="92"/>
      <c r="F46" s="92"/>
      <c r="G46" s="92"/>
      <c r="H46" s="92"/>
      <c r="I46" s="92"/>
      <c r="J46" s="92"/>
      <c r="K46" s="92"/>
      <c r="L46" s="92"/>
    </row>
    <row r="47" spans="1:12" x14ac:dyDescent="0.25">
      <c r="B47" s="83" t="s">
        <v>198</v>
      </c>
      <c r="C47" s="92">
        <v>0.14280000000000001</v>
      </c>
      <c r="D47" s="92"/>
      <c r="E47" s="92"/>
      <c r="F47" s="92"/>
      <c r="G47" s="92"/>
      <c r="H47" s="92"/>
      <c r="I47" s="92"/>
      <c r="J47" s="92"/>
      <c r="K47" s="92"/>
      <c r="L47" s="92"/>
    </row>
    <row r="48" spans="1:12" x14ac:dyDescent="0.25">
      <c r="B48" s="83" t="s">
        <v>199</v>
      </c>
      <c r="C48" s="92">
        <v>0.221</v>
      </c>
      <c r="D48" s="92"/>
      <c r="E48" s="92"/>
      <c r="F48" s="92"/>
      <c r="G48" s="92"/>
      <c r="H48" s="92"/>
      <c r="I48" s="92"/>
      <c r="J48" s="92"/>
      <c r="K48" s="92"/>
      <c r="L48" s="92"/>
    </row>
    <row r="49" spans="1:12" x14ac:dyDescent="0.25">
      <c r="B49" s="83"/>
      <c r="D49" s="92"/>
      <c r="E49" s="92"/>
      <c r="F49" s="92"/>
      <c r="G49" s="92"/>
      <c r="H49" s="92"/>
      <c r="I49" s="92"/>
      <c r="J49" s="92"/>
      <c r="K49" s="92"/>
      <c r="L49" s="92"/>
    </row>
    <row r="52" spans="1:12" x14ac:dyDescent="0.25">
      <c r="A52" s="156" t="s">
        <v>200</v>
      </c>
      <c r="B52" s="8">
        <v>2014</v>
      </c>
      <c r="C52" s="8">
        <v>2019</v>
      </c>
      <c r="D52" s="8" t="s">
        <v>201</v>
      </c>
      <c r="E52" s="8" t="s">
        <v>202</v>
      </c>
    </row>
    <row r="53" spans="1:12" x14ac:dyDescent="0.25">
      <c r="A53" t="s">
        <v>203</v>
      </c>
      <c r="B53" s="125" t="s">
        <v>15</v>
      </c>
      <c r="C53" t="s">
        <v>204</v>
      </c>
      <c r="D53" t="s">
        <v>26</v>
      </c>
      <c r="E53">
        <v>1</v>
      </c>
      <c r="K53" s="157"/>
    </row>
    <row r="54" spans="1:12" x14ac:dyDescent="0.25">
      <c r="A54" t="s">
        <v>205</v>
      </c>
      <c r="B54" s="125" t="s">
        <v>15</v>
      </c>
      <c r="C54" t="s">
        <v>204</v>
      </c>
      <c r="D54" t="s">
        <v>204</v>
      </c>
    </row>
    <row r="55" spans="1:12" x14ac:dyDescent="0.25">
      <c r="A55" t="s">
        <v>206</v>
      </c>
      <c r="B55" s="125" t="s">
        <v>15</v>
      </c>
      <c r="C55" t="s">
        <v>204</v>
      </c>
      <c r="D55" t="s">
        <v>207</v>
      </c>
      <c r="E55">
        <v>1</v>
      </c>
    </row>
    <row r="56" spans="1:12" x14ac:dyDescent="0.25">
      <c r="A56" t="s">
        <v>208</v>
      </c>
      <c r="B56" s="125" t="s">
        <v>15</v>
      </c>
      <c r="C56" t="s">
        <v>204</v>
      </c>
      <c r="D56" t="s">
        <v>26</v>
      </c>
    </row>
    <row r="57" spans="1:12" x14ac:dyDescent="0.25">
      <c r="A57" t="s">
        <v>209</v>
      </c>
      <c r="B57" s="125" t="s">
        <v>15</v>
      </c>
      <c r="C57" t="s">
        <v>26</v>
      </c>
      <c r="D57" t="s">
        <v>207</v>
      </c>
      <c r="E57">
        <v>1</v>
      </c>
    </row>
    <row r="59" spans="1:12" x14ac:dyDescent="0.25">
      <c r="A59">
        <v>1</v>
      </c>
      <c r="B59" t="s">
        <v>210</v>
      </c>
    </row>
    <row r="60" spans="1:12" x14ac:dyDescent="0.25">
      <c r="A60">
        <v>2</v>
      </c>
      <c r="B60" t="s">
        <v>211</v>
      </c>
    </row>
    <row r="62" spans="1:12" x14ac:dyDescent="0.25">
      <c r="A62" s="156" t="s">
        <v>212</v>
      </c>
      <c r="B62" s="156" t="s">
        <v>213</v>
      </c>
      <c r="C62" s="158"/>
      <c r="D62" s="156" t="s">
        <v>214</v>
      </c>
    </row>
    <row r="63" spans="1:12" x14ac:dyDescent="0.25">
      <c r="A63">
        <v>1</v>
      </c>
      <c r="B63" t="s">
        <v>215</v>
      </c>
      <c r="D63" s="159">
        <v>0.17699999999999999</v>
      </c>
    </row>
    <row r="64" spans="1:12" x14ac:dyDescent="0.25">
      <c r="A64">
        <v>2</v>
      </c>
      <c r="B64" t="s">
        <v>216</v>
      </c>
      <c r="D64" s="159">
        <v>0.1</v>
      </c>
    </row>
    <row r="65" spans="1:4" x14ac:dyDescent="0.25">
      <c r="A65">
        <v>2</v>
      </c>
      <c r="B65" t="s">
        <v>217</v>
      </c>
      <c r="D65" s="159">
        <v>0.1</v>
      </c>
    </row>
    <row r="66" spans="1:4" x14ac:dyDescent="0.25">
      <c r="A66">
        <v>3</v>
      </c>
      <c r="B66" t="s">
        <v>218</v>
      </c>
      <c r="D66" s="159">
        <v>6.5000000000000002E-2</v>
      </c>
    </row>
    <row r="67" spans="1:4" x14ac:dyDescent="0.25">
      <c r="A67">
        <v>4</v>
      </c>
      <c r="B67" t="s">
        <v>219</v>
      </c>
      <c r="D67" s="159">
        <v>5.3999999999999999E-2</v>
      </c>
    </row>
    <row r="70" spans="1:4" x14ac:dyDescent="0.25">
      <c r="A70" s="156" t="s">
        <v>220</v>
      </c>
      <c r="B70" s="156" t="s">
        <v>221</v>
      </c>
      <c r="C70" s="156" t="s">
        <v>222</v>
      </c>
    </row>
    <row r="71" spans="1:4" x14ac:dyDescent="0.25">
      <c r="A71" s="160" t="s">
        <v>223</v>
      </c>
      <c r="B71">
        <v>1</v>
      </c>
      <c r="C71" s="159">
        <v>0.19600000000000001</v>
      </c>
    </row>
    <row r="72" spans="1:4" x14ac:dyDescent="0.25">
      <c r="A72" s="160" t="s">
        <v>224</v>
      </c>
      <c r="B72">
        <v>2</v>
      </c>
      <c r="C72" s="159">
        <v>0.08</v>
      </c>
    </row>
    <row r="75" spans="1:4" x14ac:dyDescent="0.25">
      <c r="B75" s="719" t="s">
        <v>225</v>
      </c>
      <c r="C75" s="719"/>
      <c r="D75" s="719"/>
    </row>
    <row r="76" spans="1:4" x14ac:dyDescent="0.25">
      <c r="B76">
        <v>2019</v>
      </c>
      <c r="C76">
        <v>2014</v>
      </c>
      <c r="D76" t="s">
        <v>226</v>
      </c>
    </row>
    <row r="77" spans="1:4" x14ac:dyDescent="0.25">
      <c r="B77" s="92">
        <v>0.1</v>
      </c>
      <c r="C77" s="92" t="s">
        <v>15</v>
      </c>
      <c r="D77" t="s">
        <v>15</v>
      </c>
    </row>
    <row r="78" spans="1:4" x14ac:dyDescent="0.25">
      <c r="B78" t="s">
        <v>227</v>
      </c>
    </row>
    <row r="79" spans="1:4" x14ac:dyDescent="0.25">
      <c r="B79" s="719" t="s">
        <v>228</v>
      </c>
      <c r="C79" s="719"/>
      <c r="D79" s="719"/>
    </row>
    <row r="80" spans="1:4" x14ac:dyDescent="0.25">
      <c r="B80">
        <v>2019</v>
      </c>
      <c r="C80">
        <v>2014</v>
      </c>
      <c r="D80" t="s">
        <v>226</v>
      </c>
    </row>
    <row r="81" spans="1:4" x14ac:dyDescent="0.25">
      <c r="B81" s="92">
        <v>0.21</v>
      </c>
      <c r="C81" s="92" t="s">
        <v>5</v>
      </c>
      <c r="D81" t="s">
        <v>15</v>
      </c>
    </row>
    <row r="82" spans="1:4" x14ac:dyDescent="0.25">
      <c r="B82" t="s">
        <v>227</v>
      </c>
    </row>
    <row r="83" spans="1:4" x14ac:dyDescent="0.25">
      <c r="B83" s="719" t="s">
        <v>229</v>
      </c>
      <c r="C83" s="719"/>
      <c r="D83" s="719"/>
    </row>
    <row r="84" spans="1:4" x14ac:dyDescent="0.25">
      <c r="B84">
        <v>2019</v>
      </c>
      <c r="C84">
        <v>2014</v>
      </c>
      <c r="D84" t="s">
        <v>226</v>
      </c>
    </row>
    <row r="85" spans="1:4" x14ac:dyDescent="0.25">
      <c r="B85" s="92">
        <v>0.98</v>
      </c>
      <c r="C85" s="92" t="s">
        <v>5</v>
      </c>
      <c r="D85" t="s">
        <v>15</v>
      </c>
    </row>
    <row r="86" spans="1:4" x14ac:dyDescent="0.25">
      <c r="B86" t="s">
        <v>230</v>
      </c>
    </row>
    <row r="87" spans="1:4" x14ac:dyDescent="0.25">
      <c r="B87" t="s">
        <v>227</v>
      </c>
    </row>
    <row r="88" spans="1:4" x14ac:dyDescent="0.25">
      <c r="B88" s="719" t="s">
        <v>231</v>
      </c>
      <c r="C88" s="719"/>
      <c r="D88" s="719"/>
    </row>
    <row r="89" spans="1:4" x14ac:dyDescent="0.25">
      <c r="B89">
        <v>2019</v>
      </c>
      <c r="C89">
        <v>2014</v>
      </c>
      <c r="D89" t="s">
        <v>226</v>
      </c>
    </row>
    <row r="90" spans="1:4" x14ac:dyDescent="0.25">
      <c r="B90" s="92">
        <v>0.98</v>
      </c>
      <c r="C90" s="92" t="s">
        <v>5</v>
      </c>
      <c r="D90" t="s">
        <v>15</v>
      </c>
    </row>
    <row r="91" spans="1:4" x14ac:dyDescent="0.25">
      <c r="C91" s="161"/>
    </row>
    <row r="92" spans="1:4" x14ac:dyDescent="0.25">
      <c r="C92" s="161"/>
    </row>
    <row r="93" spans="1:4" x14ac:dyDescent="0.25">
      <c r="A93" s="156" t="s">
        <v>232</v>
      </c>
      <c r="B93" s="156" t="s">
        <v>233</v>
      </c>
      <c r="C93" s="161"/>
    </row>
    <row r="94" spans="1:4" x14ac:dyDescent="0.25">
      <c r="A94" t="s">
        <v>234</v>
      </c>
      <c r="B94" s="92">
        <v>4.5999999999999999E-2</v>
      </c>
      <c r="C94" s="161"/>
    </row>
    <row r="95" spans="1:4" x14ac:dyDescent="0.25">
      <c r="A95" t="s">
        <v>235</v>
      </c>
      <c r="B95" s="161">
        <v>0.123</v>
      </c>
      <c r="C95" s="161"/>
    </row>
    <row r="96" spans="1:4" x14ac:dyDescent="0.25">
      <c r="C96" s="161"/>
    </row>
    <row r="97" spans="3:3" x14ac:dyDescent="0.25">
      <c r="C97" s="161"/>
    </row>
    <row r="98" spans="3:3" x14ac:dyDescent="0.25">
      <c r="C98" s="161"/>
    </row>
    <row r="99" spans="3:3" x14ac:dyDescent="0.25">
      <c r="C99" s="161"/>
    </row>
  </sheetData>
  <mergeCells count="6">
    <mergeCell ref="B88:D88"/>
    <mergeCell ref="B1:E1"/>
    <mergeCell ref="A43:C43"/>
    <mergeCell ref="B75:D75"/>
    <mergeCell ref="B79:D79"/>
    <mergeCell ref="B83:D83"/>
  </mergeCells>
  <pageMargins left="0.7" right="0.7" top="0.75" bottom="0.75" header="0.3" footer="0.3"/>
  <pageSetup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2526F-94B7-43BD-81EF-6E2B28946A51}">
  <sheetPr>
    <tabColor theme="1" tint="0.34998626667073579"/>
  </sheetPr>
  <dimension ref="A1:Q110"/>
  <sheetViews>
    <sheetView zoomScale="110" zoomScaleNormal="110" workbookViewId="0">
      <selection activeCell="E13" sqref="E13"/>
    </sheetView>
  </sheetViews>
  <sheetFormatPr defaultRowHeight="15" x14ac:dyDescent="0.25"/>
  <cols>
    <col min="1" max="1" width="41.5703125" customWidth="1"/>
    <col min="2" max="2" width="17" customWidth="1"/>
    <col min="3" max="3" width="19.7109375" customWidth="1"/>
    <col min="4" max="4" width="15.85546875" customWidth="1"/>
    <col min="7" max="7" width="13.5703125" customWidth="1"/>
    <col min="8" max="8" width="17.140625" customWidth="1"/>
    <col min="9" max="9" width="16.28515625" customWidth="1"/>
  </cols>
  <sheetData>
    <row r="1" spans="1:12" x14ac:dyDescent="0.25">
      <c r="A1" t="s">
        <v>240</v>
      </c>
      <c r="B1" s="720" t="s">
        <v>126</v>
      </c>
      <c r="C1" s="720"/>
      <c r="D1" s="720"/>
      <c r="E1" s="720"/>
    </row>
    <row r="2" spans="1:12" x14ac:dyDescent="0.25">
      <c r="B2" t="s">
        <v>127</v>
      </c>
      <c r="C2" t="s">
        <v>128</v>
      </c>
      <c r="D2" t="s">
        <v>129</v>
      </c>
      <c r="E2" t="s">
        <v>130</v>
      </c>
    </row>
    <row r="3" spans="1:12" x14ac:dyDescent="0.25">
      <c r="B3" s="236">
        <v>0.51</v>
      </c>
      <c r="C3" s="236">
        <v>0.38</v>
      </c>
      <c r="D3" s="236">
        <v>0.09</v>
      </c>
      <c r="E3" s="92">
        <v>0.02</v>
      </c>
      <c r="F3" s="92"/>
      <c r="G3" s="92"/>
      <c r="H3" s="92"/>
    </row>
    <row r="4" spans="1:12" x14ac:dyDescent="0.25">
      <c r="B4" s="83"/>
      <c r="C4" s="83"/>
      <c r="D4" s="92"/>
      <c r="E4" s="92"/>
      <c r="F4" s="92"/>
      <c r="G4" s="92"/>
      <c r="H4" s="92"/>
      <c r="I4" s="92"/>
      <c r="J4" s="92"/>
      <c r="K4" s="92"/>
      <c r="L4" s="92"/>
    </row>
    <row r="5" spans="1:12" x14ac:dyDescent="0.25">
      <c r="B5" s="92" t="s">
        <v>131</v>
      </c>
      <c r="C5" s="92" t="s">
        <v>132</v>
      </c>
      <c r="D5" s="92" t="s">
        <v>133</v>
      </c>
      <c r="E5" s="92"/>
      <c r="F5" s="92"/>
      <c r="J5" s="92"/>
      <c r="K5" s="92"/>
      <c r="L5" s="92"/>
    </row>
    <row r="6" spans="1:12" x14ac:dyDescent="0.25">
      <c r="B6" s="237">
        <v>665300</v>
      </c>
      <c r="C6" s="83">
        <v>2600</v>
      </c>
      <c r="D6" s="83">
        <v>800</v>
      </c>
      <c r="E6" s="92"/>
      <c r="F6" s="92"/>
      <c r="J6" s="92"/>
      <c r="K6" s="92"/>
      <c r="L6" s="92"/>
    </row>
    <row r="7" spans="1:12" x14ac:dyDescent="0.25">
      <c r="B7" s="83"/>
      <c r="C7" s="83"/>
      <c r="D7" s="92"/>
      <c r="E7" s="92"/>
      <c r="F7" s="92"/>
      <c r="G7" s="92"/>
      <c r="H7" s="92"/>
      <c r="I7" s="92"/>
      <c r="J7" s="92"/>
      <c r="K7" s="92"/>
      <c r="L7" s="92"/>
    </row>
    <row r="8" spans="1:12" x14ac:dyDescent="0.25">
      <c r="A8" s="721" t="s">
        <v>194</v>
      </c>
      <c r="B8" s="721"/>
      <c r="C8" s="721"/>
      <c r="D8" s="92"/>
      <c r="E8" s="92"/>
      <c r="F8" s="92"/>
      <c r="G8" s="83"/>
      <c r="H8" s="83"/>
      <c r="I8" s="83"/>
      <c r="J8" s="92"/>
      <c r="K8" s="92"/>
      <c r="L8" s="92"/>
    </row>
    <row r="9" spans="1:12" x14ac:dyDescent="0.25">
      <c r="B9" s="83" t="s">
        <v>195</v>
      </c>
      <c r="C9" s="165" t="s">
        <v>241</v>
      </c>
      <c r="D9" s="92"/>
      <c r="E9" s="92"/>
      <c r="F9" s="92"/>
      <c r="G9" s="92"/>
      <c r="H9" s="92"/>
      <c r="I9" s="92"/>
      <c r="J9" s="92"/>
      <c r="K9" s="92"/>
      <c r="L9" s="92"/>
    </row>
    <row r="10" spans="1:12" x14ac:dyDescent="0.25">
      <c r="B10" s="83" t="s">
        <v>196</v>
      </c>
      <c r="C10" s="92">
        <v>2.5000000000000001E-2</v>
      </c>
      <c r="D10" s="92"/>
      <c r="E10" s="92"/>
      <c r="F10" s="92"/>
      <c r="G10" s="92"/>
      <c r="H10" s="92"/>
      <c r="I10" s="92"/>
      <c r="J10" s="92"/>
      <c r="K10" s="92"/>
      <c r="L10" s="92"/>
    </row>
    <row r="11" spans="1:12" x14ac:dyDescent="0.25">
      <c r="B11" s="83" t="s">
        <v>197</v>
      </c>
      <c r="C11" s="236">
        <v>1.7999999999999999E-2</v>
      </c>
      <c r="D11" s="92"/>
      <c r="E11" s="92"/>
      <c r="F11" s="92"/>
      <c r="G11" s="92"/>
      <c r="H11" s="92"/>
      <c r="I11" s="92"/>
      <c r="J11" s="92"/>
      <c r="K11" s="92"/>
      <c r="L11" s="92"/>
    </row>
    <row r="12" spans="1:12" x14ac:dyDescent="0.25">
      <c r="B12" s="83" t="s">
        <v>198</v>
      </c>
      <c r="C12" s="92">
        <v>0.01</v>
      </c>
      <c r="D12" s="92"/>
      <c r="E12" s="92"/>
      <c r="F12" s="92"/>
      <c r="G12" s="92"/>
      <c r="H12" s="92"/>
      <c r="I12" s="92"/>
      <c r="J12" s="92"/>
      <c r="K12" s="92"/>
      <c r="L12" s="92"/>
    </row>
    <row r="13" spans="1:12" x14ac:dyDescent="0.25">
      <c r="B13" s="83" t="s">
        <v>199</v>
      </c>
      <c r="C13" s="92">
        <v>0.05</v>
      </c>
      <c r="D13" s="92"/>
      <c r="E13" s="92"/>
      <c r="F13" s="92"/>
      <c r="G13" s="92"/>
      <c r="H13" s="92"/>
      <c r="I13" s="92"/>
      <c r="J13" s="92"/>
      <c r="K13" s="92"/>
      <c r="L13" s="92"/>
    </row>
    <row r="14" spans="1:12" x14ac:dyDescent="0.25">
      <c r="B14" s="83"/>
      <c r="C14" s="83"/>
      <c r="D14" s="92"/>
      <c r="E14" s="92"/>
      <c r="F14" s="92"/>
      <c r="G14" s="92"/>
      <c r="H14" s="92"/>
      <c r="I14" s="92"/>
      <c r="J14" s="92"/>
      <c r="K14" s="92"/>
      <c r="L14" s="92"/>
    </row>
    <row r="16" spans="1:12" x14ac:dyDescent="0.25">
      <c r="A16" s="156" t="s">
        <v>134</v>
      </c>
      <c r="B16" s="89"/>
      <c r="C16" s="62"/>
      <c r="D16" s="62"/>
      <c r="E16" s="62"/>
    </row>
    <row r="17" spans="1:17" x14ac:dyDescent="0.25">
      <c r="A17" s="144" t="s">
        <v>135</v>
      </c>
      <c r="B17" s="145" t="s">
        <v>136</v>
      </c>
      <c r="C17" s="62"/>
      <c r="D17" s="62"/>
      <c r="E17" s="62"/>
      <c r="G17" s="163" t="s">
        <v>137</v>
      </c>
      <c r="H17" s="164" t="s">
        <v>138</v>
      </c>
      <c r="I17" s="164" t="s">
        <v>139</v>
      </c>
      <c r="J17" s="164" t="s">
        <v>140</v>
      </c>
    </row>
    <row r="18" spans="1:17" x14ac:dyDescent="0.25">
      <c r="A18" s="149" t="s">
        <v>141</v>
      </c>
      <c r="B18" s="141">
        <v>0.49</v>
      </c>
      <c r="C18" s="62"/>
      <c r="D18" s="62"/>
      <c r="E18" s="62"/>
      <c r="G18" s="125" t="s">
        <v>142</v>
      </c>
      <c r="H18" s="23" t="s">
        <v>143</v>
      </c>
      <c r="I18" s="23"/>
      <c r="J18" s="23"/>
      <c r="L18" t="s">
        <v>242</v>
      </c>
    </row>
    <row r="19" spans="1:17" x14ac:dyDescent="0.25">
      <c r="A19" s="149" t="s">
        <v>144</v>
      </c>
      <c r="B19" s="141">
        <v>0.51</v>
      </c>
      <c r="C19" s="62"/>
      <c r="D19" s="62"/>
      <c r="E19" s="62"/>
      <c r="G19" s="125" t="s">
        <v>145</v>
      </c>
      <c r="H19" s="23" t="s">
        <v>143</v>
      </c>
      <c r="I19" s="23"/>
      <c r="J19" s="23"/>
      <c r="L19" t="s">
        <v>243</v>
      </c>
    </row>
    <row r="20" spans="1:17" x14ac:dyDescent="0.25">
      <c r="A20" s="149" t="s">
        <v>130</v>
      </c>
      <c r="B20" s="141">
        <v>0</v>
      </c>
      <c r="C20" s="62"/>
      <c r="D20" s="62"/>
      <c r="E20" s="62"/>
      <c r="G20" s="125" t="s">
        <v>146</v>
      </c>
      <c r="H20" s="23" t="s">
        <v>143</v>
      </c>
      <c r="I20" s="23"/>
      <c r="J20" s="23"/>
      <c r="L20" t="s">
        <v>244</v>
      </c>
    </row>
    <row r="21" spans="1:17" x14ac:dyDescent="0.25">
      <c r="A21" s="144" t="s">
        <v>147</v>
      </c>
      <c r="B21" s="151"/>
      <c r="C21" s="62"/>
      <c r="D21" s="62"/>
      <c r="E21" s="62"/>
      <c r="G21" s="125" t="s">
        <v>148</v>
      </c>
      <c r="H21" s="23"/>
      <c r="I21" s="23" t="s">
        <v>143</v>
      </c>
      <c r="J21" s="23"/>
    </row>
    <row r="22" spans="1:17" x14ac:dyDescent="0.25">
      <c r="A22" s="149" t="s">
        <v>149</v>
      </c>
      <c r="B22" s="152">
        <v>1.9329800000000001E-2</v>
      </c>
      <c r="C22" s="62"/>
      <c r="D22" s="62"/>
      <c r="E22" s="62"/>
      <c r="G22" s="125" t="s">
        <v>150</v>
      </c>
      <c r="H22" s="23"/>
      <c r="I22" s="23" t="s">
        <v>143</v>
      </c>
      <c r="J22" s="23"/>
      <c r="N22" s="153"/>
      <c r="O22" s="153"/>
      <c r="P22" s="153"/>
      <c r="Q22" s="153"/>
    </row>
    <row r="23" spans="1:17" x14ac:dyDescent="0.25">
      <c r="A23" s="149" t="s">
        <v>151</v>
      </c>
      <c r="B23" s="152">
        <v>1.4614E-2</v>
      </c>
      <c r="C23" s="62"/>
      <c r="D23" s="62"/>
      <c r="E23" s="62"/>
      <c r="G23" s="125" t="s">
        <v>152</v>
      </c>
      <c r="H23" s="23"/>
      <c r="I23" s="23" t="s">
        <v>143</v>
      </c>
      <c r="J23" s="23"/>
    </row>
    <row r="24" spans="1:17" x14ac:dyDescent="0.25">
      <c r="A24" s="149" t="s">
        <v>153</v>
      </c>
      <c r="B24" s="152">
        <v>9.11E-3</v>
      </c>
      <c r="C24" s="62"/>
      <c r="D24" s="62"/>
      <c r="E24" s="62"/>
      <c r="G24" s="125" t="s">
        <v>154</v>
      </c>
      <c r="H24" s="23"/>
      <c r="I24" s="23"/>
      <c r="J24" s="23" t="s">
        <v>143</v>
      </c>
    </row>
    <row r="25" spans="1:17" x14ac:dyDescent="0.25">
      <c r="A25" s="149" t="s">
        <v>155</v>
      </c>
      <c r="B25" s="152">
        <v>1.6799999999999999E-2</v>
      </c>
      <c r="C25" s="62"/>
      <c r="D25" s="62"/>
      <c r="E25" s="62"/>
      <c r="G25" s="125" t="s">
        <v>156</v>
      </c>
      <c r="H25" s="23"/>
      <c r="I25" s="23"/>
      <c r="J25" s="23" t="s">
        <v>143</v>
      </c>
    </row>
    <row r="26" spans="1:17" x14ac:dyDescent="0.25">
      <c r="A26" s="149" t="s">
        <v>157</v>
      </c>
      <c r="B26" s="238">
        <v>5.5160000000000001E-2</v>
      </c>
      <c r="C26" s="62"/>
      <c r="D26" s="62"/>
      <c r="E26" s="62"/>
      <c r="G26" s="125" t="s">
        <v>158</v>
      </c>
      <c r="H26" s="23"/>
      <c r="I26" s="23" t="s">
        <v>143</v>
      </c>
      <c r="J26" s="23"/>
    </row>
    <row r="27" spans="1:17" x14ac:dyDescent="0.25">
      <c r="A27" s="149" t="s">
        <v>159</v>
      </c>
      <c r="B27" s="238">
        <v>0.11075</v>
      </c>
      <c r="C27" s="62"/>
      <c r="D27" s="62"/>
      <c r="E27" s="62"/>
      <c r="G27" s="163" t="s">
        <v>160</v>
      </c>
      <c r="H27" s="164" t="s">
        <v>138</v>
      </c>
      <c r="I27" s="164" t="s">
        <v>139</v>
      </c>
      <c r="J27" s="164" t="s">
        <v>140</v>
      </c>
    </row>
    <row r="28" spans="1:17" x14ac:dyDescent="0.25">
      <c r="A28" s="149" t="s">
        <v>161</v>
      </c>
      <c r="B28" s="238">
        <v>0.1421</v>
      </c>
      <c r="C28" s="62"/>
      <c r="D28" s="62"/>
      <c r="E28" s="62"/>
      <c r="G28" s="125" t="s">
        <v>144</v>
      </c>
      <c r="H28" s="23"/>
      <c r="I28" s="23" t="s">
        <v>143</v>
      </c>
      <c r="J28" s="23"/>
    </row>
    <row r="29" spans="1:17" x14ac:dyDescent="0.25">
      <c r="A29" s="149" t="s">
        <v>162</v>
      </c>
      <c r="B29" s="238">
        <v>0.28537000000000001</v>
      </c>
      <c r="C29" s="62"/>
      <c r="D29" s="62"/>
      <c r="E29" s="62"/>
      <c r="G29" s="125" t="s">
        <v>141</v>
      </c>
      <c r="H29" s="23"/>
      <c r="I29" s="23" t="s">
        <v>143</v>
      </c>
      <c r="J29" s="23"/>
    </row>
    <row r="30" spans="1:17" x14ac:dyDescent="0.25">
      <c r="A30" s="149" t="s">
        <v>163</v>
      </c>
      <c r="B30" s="238">
        <v>0.30470000000000003</v>
      </c>
      <c r="C30" s="62"/>
      <c r="D30" s="62"/>
      <c r="E30" s="62"/>
      <c r="G30" s="163" t="s">
        <v>164</v>
      </c>
      <c r="H30" s="164" t="s">
        <v>138</v>
      </c>
      <c r="I30" s="164" t="s">
        <v>139</v>
      </c>
      <c r="J30" s="164" t="s">
        <v>140</v>
      </c>
    </row>
    <row r="31" spans="1:17" x14ac:dyDescent="0.25">
      <c r="A31" s="149" t="s">
        <v>165</v>
      </c>
      <c r="B31" s="152">
        <v>4.0559999999999999E-2</v>
      </c>
      <c r="C31" s="62"/>
      <c r="D31" s="62"/>
      <c r="E31" s="62"/>
      <c r="G31" s="125" t="s">
        <v>166</v>
      </c>
      <c r="H31" s="23"/>
      <c r="I31" s="23" t="s">
        <v>143</v>
      </c>
      <c r="J31" s="23"/>
    </row>
    <row r="32" spans="1:17" x14ac:dyDescent="0.25">
      <c r="A32" s="154" t="s">
        <v>167</v>
      </c>
      <c r="B32" s="155"/>
      <c r="C32" s="62"/>
      <c r="D32" s="62"/>
      <c r="E32" s="62"/>
      <c r="G32" s="125" t="s">
        <v>168</v>
      </c>
      <c r="H32" s="23" t="s">
        <v>143</v>
      </c>
      <c r="I32" s="23"/>
      <c r="J32" s="23"/>
      <c r="L32" t="s">
        <v>245</v>
      </c>
      <c r="N32" s="153"/>
    </row>
    <row r="33" spans="1:13" x14ac:dyDescent="0.25">
      <c r="A33" s="149" t="s">
        <v>170</v>
      </c>
      <c r="B33" s="152">
        <v>1.1617249E-2</v>
      </c>
      <c r="C33" s="62"/>
      <c r="D33" s="62"/>
      <c r="E33" s="62"/>
      <c r="G33" s="125" t="s">
        <v>171</v>
      </c>
      <c r="H33" s="23"/>
      <c r="I33" s="23" t="s">
        <v>143</v>
      </c>
      <c r="J33" s="23"/>
    </row>
    <row r="34" spans="1:13" x14ac:dyDescent="0.25">
      <c r="A34" s="149" t="s">
        <v>172</v>
      </c>
      <c r="B34" s="152">
        <v>0</v>
      </c>
      <c r="C34" s="62"/>
      <c r="D34" s="62"/>
      <c r="E34" s="62"/>
      <c r="G34" s="125" t="s">
        <v>173</v>
      </c>
      <c r="H34" s="23"/>
      <c r="I34" s="23" t="s">
        <v>143</v>
      </c>
      <c r="J34" s="23"/>
    </row>
    <row r="35" spans="1:13" x14ac:dyDescent="0.25">
      <c r="A35" s="149" t="s">
        <v>173</v>
      </c>
      <c r="B35" s="152">
        <v>5.6538113000000001E-2</v>
      </c>
      <c r="C35" s="62"/>
      <c r="D35" s="62"/>
      <c r="E35" s="62"/>
      <c r="G35" s="125" t="s">
        <v>130</v>
      </c>
      <c r="H35" s="23"/>
      <c r="I35" s="23" t="s">
        <v>143</v>
      </c>
      <c r="J35" s="23"/>
    </row>
    <row r="36" spans="1:13" x14ac:dyDescent="0.25">
      <c r="A36" s="149" t="s">
        <v>174</v>
      </c>
      <c r="B36" s="152">
        <v>0</v>
      </c>
      <c r="C36" s="62"/>
      <c r="D36" s="62"/>
      <c r="E36" s="62"/>
      <c r="G36" s="163" t="s">
        <v>175</v>
      </c>
      <c r="H36" s="164" t="s">
        <v>138</v>
      </c>
      <c r="I36" s="164" t="s">
        <v>139</v>
      </c>
      <c r="J36" s="164" t="s">
        <v>140</v>
      </c>
    </row>
    <row r="37" spans="1:13" x14ac:dyDescent="0.25">
      <c r="A37" s="149" t="s">
        <v>166</v>
      </c>
      <c r="B37" s="152">
        <v>0.90220866</v>
      </c>
      <c r="C37" s="62"/>
      <c r="D37" s="62"/>
      <c r="E37" s="62"/>
      <c r="G37" s="125" t="s">
        <v>176</v>
      </c>
      <c r="H37" s="23"/>
      <c r="I37" s="23"/>
      <c r="J37" s="23" t="s">
        <v>143</v>
      </c>
    </row>
    <row r="38" spans="1:13" x14ac:dyDescent="0.25">
      <c r="A38" s="149" t="s">
        <v>178</v>
      </c>
      <c r="B38" s="152">
        <v>2.0748699999999998E-2</v>
      </c>
      <c r="C38" s="62"/>
      <c r="D38" s="62"/>
      <c r="E38" s="62"/>
      <c r="G38" s="125" t="s">
        <v>179</v>
      </c>
      <c r="H38" s="23" t="s">
        <v>143</v>
      </c>
      <c r="I38" s="23"/>
      <c r="J38" s="23"/>
      <c r="L38" t="s">
        <v>246</v>
      </c>
    </row>
    <row r="39" spans="1:13" x14ac:dyDescent="0.25">
      <c r="A39" s="149" t="s">
        <v>180</v>
      </c>
      <c r="B39" s="152">
        <v>9.0740000000000005E-3</v>
      </c>
      <c r="C39" s="62"/>
      <c r="D39" s="62"/>
      <c r="E39" s="62"/>
      <c r="G39" s="163" t="s">
        <v>181</v>
      </c>
      <c r="H39" s="164" t="s">
        <v>138</v>
      </c>
      <c r="I39" s="164" t="s">
        <v>139</v>
      </c>
      <c r="J39" s="164" t="s">
        <v>140</v>
      </c>
    </row>
    <row r="40" spans="1:13" x14ac:dyDescent="0.25">
      <c r="A40" s="154" t="s">
        <v>182</v>
      </c>
      <c r="B40" s="155"/>
      <c r="C40" s="62"/>
      <c r="D40" s="62"/>
      <c r="E40" s="62"/>
      <c r="G40" s="125" t="s">
        <v>183</v>
      </c>
      <c r="H40" s="23" t="s">
        <v>143</v>
      </c>
      <c r="I40" s="23"/>
      <c r="J40" s="23"/>
      <c r="L40" t="s">
        <v>247</v>
      </c>
    </row>
    <row r="41" spans="1:13" x14ac:dyDescent="0.25">
      <c r="A41" s="149" t="s">
        <v>176</v>
      </c>
      <c r="B41" s="152">
        <v>0.99</v>
      </c>
      <c r="C41" s="62"/>
      <c r="D41" s="62"/>
      <c r="E41" s="62"/>
      <c r="G41" s="125" t="s">
        <v>185</v>
      </c>
      <c r="H41" s="23" t="s">
        <v>143</v>
      </c>
      <c r="I41" s="23"/>
      <c r="J41" s="23"/>
      <c r="L41" t="s">
        <v>248</v>
      </c>
    </row>
    <row r="42" spans="1:13" x14ac:dyDescent="0.25">
      <c r="A42" s="149" t="s">
        <v>179</v>
      </c>
      <c r="B42" s="152">
        <v>0.01</v>
      </c>
      <c r="C42" s="62"/>
      <c r="D42" s="62"/>
      <c r="E42" s="62"/>
      <c r="G42" s="125" t="s">
        <v>186</v>
      </c>
      <c r="H42" s="23"/>
      <c r="I42" s="23"/>
      <c r="J42" s="23" t="s">
        <v>143</v>
      </c>
    </row>
    <row r="43" spans="1:13" x14ac:dyDescent="0.25">
      <c r="A43" s="154" t="s">
        <v>187</v>
      </c>
      <c r="B43" s="155"/>
      <c r="C43" s="62"/>
      <c r="D43" s="62"/>
      <c r="E43" s="62"/>
    </row>
    <row r="44" spans="1:13" x14ac:dyDescent="0.25">
      <c r="A44" s="149" t="s">
        <v>188</v>
      </c>
      <c r="B44" s="152">
        <v>2.9834454E-2</v>
      </c>
      <c r="C44" s="62"/>
      <c r="D44" s="62"/>
      <c r="E44" s="62"/>
      <c r="H44" s="153"/>
      <c r="I44" s="153"/>
      <c r="J44" s="153"/>
      <c r="K44" s="153"/>
      <c r="L44" s="153"/>
      <c r="M44" s="153"/>
    </row>
    <row r="45" spans="1:13" x14ac:dyDescent="0.25">
      <c r="A45" s="149" t="s">
        <v>189</v>
      </c>
      <c r="B45" s="152">
        <v>7.1175519000000007E-2</v>
      </c>
      <c r="C45" s="23"/>
      <c r="D45" s="23"/>
      <c r="E45" s="23"/>
    </row>
    <row r="46" spans="1:13" x14ac:dyDescent="0.25">
      <c r="A46" s="149" t="s">
        <v>190</v>
      </c>
      <c r="B46" s="152">
        <v>0.10564586500000001</v>
      </c>
      <c r="C46" s="23"/>
      <c r="D46" s="23"/>
      <c r="E46" s="23"/>
    </row>
    <row r="47" spans="1:13" x14ac:dyDescent="0.25">
      <c r="A47" s="149" t="s">
        <v>191</v>
      </c>
      <c r="B47" s="152">
        <v>0.143003513</v>
      </c>
      <c r="C47" s="23"/>
      <c r="D47" s="23"/>
      <c r="E47" s="23"/>
    </row>
    <row r="48" spans="1:13" x14ac:dyDescent="0.25">
      <c r="A48" s="149" t="s">
        <v>192</v>
      </c>
      <c r="B48" s="152">
        <v>0.32869014000000002</v>
      </c>
      <c r="C48" s="23"/>
      <c r="D48" s="23"/>
      <c r="E48" s="23"/>
    </row>
    <row r="49" spans="1:5" x14ac:dyDescent="0.25">
      <c r="A49" s="149" t="s">
        <v>193</v>
      </c>
      <c r="B49" s="152">
        <v>0.32193169999999999</v>
      </c>
      <c r="C49" s="23"/>
      <c r="D49" s="23"/>
      <c r="E49" s="23"/>
    </row>
    <row r="50" spans="1:5" x14ac:dyDescent="0.25">
      <c r="B50" s="125"/>
      <c r="C50" s="23"/>
      <c r="D50" s="23"/>
      <c r="E50" s="23"/>
    </row>
    <row r="51" spans="1:5" x14ac:dyDescent="0.25">
      <c r="B51" s="125"/>
      <c r="C51" s="23"/>
      <c r="D51" s="23"/>
      <c r="E51" s="23"/>
    </row>
    <row r="52" spans="1:5" x14ac:dyDescent="0.25">
      <c r="A52" s="8" t="s">
        <v>200</v>
      </c>
      <c r="B52" s="8">
        <v>2014</v>
      </c>
      <c r="C52" s="8">
        <v>2019</v>
      </c>
      <c r="D52" s="8" t="s">
        <v>201</v>
      </c>
      <c r="E52" s="8" t="s">
        <v>202</v>
      </c>
    </row>
    <row r="53" spans="1:5" x14ac:dyDescent="0.25">
      <c r="A53" t="s">
        <v>203</v>
      </c>
      <c r="B53" s="125" t="s">
        <v>26</v>
      </c>
      <c r="C53" t="s">
        <v>204</v>
      </c>
      <c r="D53" t="s">
        <v>26</v>
      </c>
      <c r="E53">
        <v>1</v>
      </c>
    </row>
    <row r="54" spans="1:5" x14ac:dyDescent="0.25">
      <c r="A54" t="s">
        <v>205</v>
      </c>
      <c r="B54" s="125" t="s">
        <v>204</v>
      </c>
      <c r="C54" t="s">
        <v>204</v>
      </c>
      <c r="D54" t="s">
        <v>204</v>
      </c>
      <c r="E54">
        <v>1</v>
      </c>
    </row>
    <row r="55" spans="1:5" x14ac:dyDescent="0.25">
      <c r="A55" t="s">
        <v>206</v>
      </c>
      <c r="B55" s="125" t="s">
        <v>26</v>
      </c>
      <c r="C55" t="s">
        <v>249</v>
      </c>
      <c r="D55" t="s">
        <v>207</v>
      </c>
      <c r="E55">
        <v>1</v>
      </c>
    </row>
    <row r="56" spans="1:5" x14ac:dyDescent="0.25">
      <c r="A56" t="s">
        <v>208</v>
      </c>
      <c r="B56" s="125" t="s">
        <v>204</v>
      </c>
      <c r="C56" t="s">
        <v>26</v>
      </c>
      <c r="D56" t="s">
        <v>26</v>
      </c>
    </row>
    <row r="57" spans="1:5" x14ac:dyDescent="0.25">
      <c r="A57" t="s">
        <v>209</v>
      </c>
      <c r="B57" s="125" t="s">
        <v>5</v>
      </c>
      <c r="C57" t="s">
        <v>207</v>
      </c>
      <c r="D57" t="s">
        <v>207</v>
      </c>
      <c r="E57">
        <v>1</v>
      </c>
    </row>
    <row r="59" spans="1:5" x14ac:dyDescent="0.25">
      <c r="A59">
        <v>1</v>
      </c>
      <c r="B59" t="s">
        <v>210</v>
      </c>
    </row>
    <row r="60" spans="1:5" x14ac:dyDescent="0.25">
      <c r="A60">
        <v>2</v>
      </c>
      <c r="B60" t="s">
        <v>211</v>
      </c>
    </row>
    <row r="61" spans="1:5" x14ac:dyDescent="0.25">
      <c r="B61" s="125"/>
      <c r="C61" s="23"/>
      <c r="D61" s="23"/>
      <c r="E61" s="23"/>
    </row>
    <row r="63" spans="1:5" x14ac:dyDescent="0.25">
      <c r="A63" s="8" t="s">
        <v>237</v>
      </c>
    </row>
    <row r="64" spans="1:5" x14ac:dyDescent="0.25">
      <c r="A64" s="8"/>
      <c r="B64" t="s">
        <v>250</v>
      </c>
    </row>
    <row r="65" spans="1:3" x14ac:dyDescent="0.25">
      <c r="B65" t="s">
        <v>251</v>
      </c>
    </row>
    <row r="66" spans="1:3" x14ac:dyDescent="0.25">
      <c r="B66" t="s">
        <v>252</v>
      </c>
    </row>
    <row r="67" spans="1:3" x14ac:dyDescent="0.25">
      <c r="A67" s="157" t="s">
        <v>253</v>
      </c>
      <c r="B67" s="157" t="s">
        <v>254</v>
      </c>
    </row>
    <row r="68" spans="1:3" x14ac:dyDescent="0.25">
      <c r="B68" s="157" t="s">
        <v>255</v>
      </c>
    </row>
    <row r="71" spans="1:3" x14ac:dyDescent="0.25">
      <c r="A71" s="158" t="s">
        <v>256</v>
      </c>
      <c r="B71" s="158" t="s">
        <v>221</v>
      </c>
      <c r="C71" s="158" t="s">
        <v>214</v>
      </c>
    </row>
    <row r="72" spans="1:3" x14ac:dyDescent="0.25">
      <c r="A72" s="166" t="s">
        <v>257</v>
      </c>
      <c r="B72" s="167">
        <v>1</v>
      </c>
      <c r="C72" s="168">
        <v>0.05</v>
      </c>
    </row>
    <row r="73" spans="1:3" x14ac:dyDescent="0.25">
      <c r="A73" s="160" t="s">
        <v>258</v>
      </c>
      <c r="C73" s="61"/>
    </row>
    <row r="74" spans="1:3" x14ac:dyDescent="0.25">
      <c r="A74" s="160" t="s">
        <v>259</v>
      </c>
      <c r="C74" s="61"/>
    </row>
    <row r="75" spans="1:3" x14ac:dyDescent="0.25">
      <c r="A75" s="160" t="s">
        <v>260</v>
      </c>
      <c r="C75" s="61"/>
    </row>
    <row r="76" spans="1:3" x14ac:dyDescent="0.25">
      <c r="A76" s="160" t="s">
        <v>261</v>
      </c>
      <c r="C76" s="61"/>
    </row>
    <row r="77" spans="1:3" x14ac:dyDescent="0.25">
      <c r="A77" s="160" t="s">
        <v>262</v>
      </c>
      <c r="C77" s="61"/>
    </row>
    <row r="78" spans="1:3" x14ac:dyDescent="0.25">
      <c r="A78" s="160" t="s">
        <v>263</v>
      </c>
      <c r="C78" s="61"/>
    </row>
    <row r="79" spans="1:3" x14ac:dyDescent="0.25">
      <c r="A79" s="160" t="s">
        <v>264</v>
      </c>
      <c r="C79" s="61"/>
    </row>
    <row r="80" spans="1:3" x14ac:dyDescent="0.25">
      <c r="A80" s="160" t="s">
        <v>265</v>
      </c>
      <c r="C80" s="61"/>
    </row>
    <row r="81" spans="1:4" x14ac:dyDescent="0.25">
      <c r="A81" s="160" t="s">
        <v>266</v>
      </c>
      <c r="C81" s="61"/>
    </row>
    <row r="82" spans="1:4" x14ac:dyDescent="0.25">
      <c r="A82" s="160" t="s">
        <v>267</v>
      </c>
      <c r="C82" s="61"/>
    </row>
    <row r="83" spans="1:4" x14ac:dyDescent="0.25">
      <c r="A83" s="160" t="s">
        <v>268</v>
      </c>
      <c r="C83" s="61"/>
    </row>
    <row r="84" spans="1:4" x14ac:dyDescent="0.25">
      <c r="A84" s="160" t="s">
        <v>269</v>
      </c>
      <c r="C84" s="61"/>
    </row>
    <row r="85" spans="1:4" x14ac:dyDescent="0.25">
      <c r="A85" s="160" t="s">
        <v>270</v>
      </c>
      <c r="C85" s="61"/>
    </row>
    <row r="86" spans="1:4" x14ac:dyDescent="0.25">
      <c r="A86" s="160" t="s">
        <v>271</v>
      </c>
      <c r="C86" s="61"/>
    </row>
    <row r="87" spans="1:4" x14ac:dyDescent="0.25">
      <c r="A87" s="160" t="s">
        <v>272</v>
      </c>
      <c r="C87" s="61"/>
    </row>
    <row r="88" spans="1:4" x14ac:dyDescent="0.25">
      <c r="A88" s="160"/>
      <c r="C88" s="161"/>
    </row>
    <row r="89" spans="1:4" x14ac:dyDescent="0.25">
      <c r="A89" s="160"/>
      <c r="C89" s="161"/>
    </row>
    <row r="91" spans="1:4" x14ac:dyDescent="0.25">
      <c r="B91" s="721" t="s">
        <v>225</v>
      </c>
      <c r="C91" s="721"/>
      <c r="D91" s="721"/>
    </row>
    <row r="92" spans="1:4" x14ac:dyDescent="0.25">
      <c r="B92">
        <v>2019</v>
      </c>
      <c r="C92">
        <v>2014</v>
      </c>
      <c r="D92" t="s">
        <v>226</v>
      </c>
    </row>
    <row r="93" spans="1:4" x14ac:dyDescent="0.25">
      <c r="B93" s="92">
        <v>0.15</v>
      </c>
      <c r="C93" s="92">
        <v>0.12</v>
      </c>
      <c r="D93" t="s">
        <v>238</v>
      </c>
    </row>
    <row r="95" spans="1:4" x14ac:dyDescent="0.25">
      <c r="B95" s="721" t="s">
        <v>228</v>
      </c>
      <c r="C95" s="721"/>
      <c r="D95" s="721"/>
    </row>
    <row r="96" spans="1:4" x14ac:dyDescent="0.25">
      <c r="B96">
        <v>2019</v>
      </c>
      <c r="C96">
        <v>2014</v>
      </c>
      <c r="D96" t="s">
        <v>226</v>
      </c>
    </row>
    <row r="97" spans="1:4" x14ac:dyDescent="0.25">
      <c r="B97" s="92">
        <v>0.14000000000000001</v>
      </c>
      <c r="C97" s="92">
        <v>0.22</v>
      </c>
      <c r="D97" t="s">
        <v>239</v>
      </c>
    </row>
    <row r="99" spans="1:4" x14ac:dyDescent="0.25">
      <c r="B99" s="721" t="s">
        <v>229</v>
      </c>
      <c r="C99" s="721"/>
      <c r="D99" s="721"/>
    </row>
    <row r="100" spans="1:4" x14ac:dyDescent="0.25">
      <c r="B100">
        <v>2019</v>
      </c>
      <c r="C100">
        <v>2014</v>
      </c>
      <c r="D100" t="s">
        <v>226</v>
      </c>
    </row>
    <row r="101" spans="1:4" x14ac:dyDescent="0.25">
      <c r="B101" s="165" t="s">
        <v>241</v>
      </c>
      <c r="C101" s="92">
        <v>0.98</v>
      </c>
      <c r="D101" t="s">
        <v>239</v>
      </c>
    </row>
    <row r="102" spans="1:4" x14ac:dyDescent="0.25">
      <c r="B102" t="s">
        <v>230</v>
      </c>
    </row>
    <row r="104" spans="1:4" x14ac:dyDescent="0.25">
      <c r="B104" s="721" t="s">
        <v>231</v>
      </c>
      <c r="C104" s="721"/>
      <c r="D104" s="721"/>
    </row>
    <row r="105" spans="1:4" x14ac:dyDescent="0.25">
      <c r="B105">
        <v>2019</v>
      </c>
      <c r="C105">
        <v>2014</v>
      </c>
      <c r="D105" t="s">
        <v>226</v>
      </c>
    </row>
    <row r="106" spans="1:4" x14ac:dyDescent="0.25">
      <c r="B106" s="92">
        <v>0.97</v>
      </c>
      <c r="C106" s="92">
        <v>0.99</v>
      </c>
      <c r="D106" t="s">
        <v>238</v>
      </c>
    </row>
    <row r="108" spans="1:4" x14ac:dyDescent="0.25">
      <c r="A108" s="156" t="s">
        <v>232</v>
      </c>
      <c r="B108" s="156" t="s">
        <v>233</v>
      </c>
    </row>
    <row r="109" spans="1:4" x14ac:dyDescent="0.25">
      <c r="A109" t="s">
        <v>234</v>
      </c>
      <c r="B109" s="92">
        <v>5.1999999999999998E-2</v>
      </c>
    </row>
    <row r="110" spans="1:4" x14ac:dyDescent="0.25">
      <c r="A110" t="s">
        <v>235</v>
      </c>
      <c r="B110" s="161">
        <v>0.113</v>
      </c>
    </row>
  </sheetData>
  <mergeCells count="6">
    <mergeCell ref="B104:D104"/>
    <mergeCell ref="B1:E1"/>
    <mergeCell ref="A8:C8"/>
    <mergeCell ref="B91:D91"/>
    <mergeCell ref="B95:D95"/>
    <mergeCell ref="B99:D99"/>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D52EF-DBFC-4018-886E-C378696242B1}">
  <sheetPr>
    <tabColor theme="1" tint="0.34998626667073579"/>
  </sheetPr>
  <dimension ref="A1:S99"/>
  <sheetViews>
    <sheetView topLeftCell="A16" zoomScaleNormal="100" workbookViewId="0">
      <selection activeCell="D41" sqref="D41"/>
    </sheetView>
  </sheetViews>
  <sheetFormatPr defaultRowHeight="15" x14ac:dyDescent="0.25"/>
  <cols>
    <col min="1" max="1" width="38.7109375" customWidth="1"/>
    <col min="2" max="2" width="19.28515625" customWidth="1"/>
    <col min="3" max="3" width="20.140625" customWidth="1"/>
    <col min="4" max="4" width="17.140625" customWidth="1"/>
    <col min="7" max="7" width="13.5703125" customWidth="1"/>
    <col min="8" max="8" width="18.140625" customWidth="1"/>
    <col min="9" max="9" width="16.85546875" customWidth="1"/>
  </cols>
  <sheetData>
    <row r="1" spans="1:12" x14ac:dyDescent="0.25">
      <c r="B1" s="720" t="s">
        <v>126</v>
      </c>
      <c r="C1" s="720"/>
      <c r="D1" s="720"/>
      <c r="E1" s="720"/>
    </row>
    <row r="2" spans="1:12" x14ac:dyDescent="0.25">
      <c r="B2" t="s">
        <v>127</v>
      </c>
      <c r="C2" t="s">
        <v>128</v>
      </c>
      <c r="D2" t="s">
        <v>129</v>
      </c>
      <c r="E2" t="s">
        <v>130</v>
      </c>
    </row>
    <row r="3" spans="1:12" x14ac:dyDescent="0.25">
      <c r="B3" s="92">
        <v>0.39</v>
      </c>
      <c r="C3" s="92">
        <v>0.52</v>
      </c>
      <c r="D3" s="92">
        <v>7.0000000000000007E-2</v>
      </c>
      <c r="E3" s="92">
        <v>0.02</v>
      </c>
      <c r="F3" s="92"/>
      <c r="G3" s="92"/>
      <c r="H3" s="92"/>
    </row>
    <row r="4" spans="1:12" x14ac:dyDescent="0.25">
      <c r="B4" s="83"/>
      <c r="C4" s="83"/>
      <c r="D4" s="92"/>
      <c r="E4" s="92"/>
      <c r="F4" s="92"/>
      <c r="G4" s="92"/>
      <c r="H4" s="92"/>
      <c r="I4" s="92"/>
      <c r="J4" s="92"/>
      <c r="K4" s="92"/>
      <c r="L4" s="92"/>
    </row>
    <row r="5" spans="1:12" x14ac:dyDescent="0.25">
      <c r="B5" s="162" t="s">
        <v>131</v>
      </c>
      <c r="C5" s="162" t="s">
        <v>132</v>
      </c>
      <c r="D5" s="162" t="s">
        <v>133</v>
      </c>
      <c r="E5" s="92"/>
      <c r="F5" s="92"/>
      <c r="J5" s="92"/>
      <c r="K5" s="92"/>
      <c r="L5" s="92"/>
    </row>
    <row r="6" spans="1:12" x14ac:dyDescent="0.25">
      <c r="B6" s="83">
        <v>311600</v>
      </c>
      <c r="C6" s="83">
        <v>1100</v>
      </c>
      <c r="D6" s="83">
        <v>500</v>
      </c>
      <c r="E6" s="92"/>
      <c r="F6" s="92"/>
      <c r="J6" s="92"/>
      <c r="K6" s="92"/>
      <c r="L6" s="92"/>
    </row>
    <row r="7" spans="1:12" x14ac:dyDescent="0.25">
      <c r="B7" s="83"/>
      <c r="C7" s="83"/>
      <c r="D7" s="92"/>
      <c r="E7" s="92"/>
      <c r="F7" s="92"/>
      <c r="G7" s="92"/>
      <c r="H7" s="92"/>
      <c r="I7" s="92"/>
      <c r="J7" s="92"/>
      <c r="K7" s="92"/>
      <c r="L7" s="92"/>
    </row>
    <row r="8" spans="1:12" x14ac:dyDescent="0.25">
      <c r="A8" s="721" t="s">
        <v>194</v>
      </c>
      <c r="B8" s="721"/>
      <c r="C8" s="721"/>
      <c r="D8" s="92"/>
      <c r="E8" s="92"/>
      <c r="F8" s="92"/>
      <c r="G8" s="83"/>
      <c r="H8" s="83"/>
      <c r="I8" s="83"/>
      <c r="J8" s="92"/>
      <c r="K8" s="92"/>
      <c r="L8" s="92"/>
    </row>
    <row r="9" spans="1:12" x14ac:dyDescent="0.25">
      <c r="B9" s="83" t="s">
        <v>195</v>
      </c>
      <c r="C9" s="165" t="s">
        <v>241</v>
      </c>
      <c r="D9" s="92"/>
      <c r="E9" s="92"/>
      <c r="F9" s="92"/>
      <c r="G9" s="92"/>
      <c r="H9" s="92"/>
      <c r="I9" s="92"/>
      <c r="J9" s="92"/>
      <c r="K9" s="92"/>
      <c r="L9" s="92"/>
    </row>
    <row r="10" spans="1:12" x14ac:dyDescent="0.25">
      <c r="B10" s="83" t="s">
        <v>196</v>
      </c>
      <c r="C10" s="92">
        <v>7.5899999999999995E-2</v>
      </c>
      <c r="D10" s="92"/>
      <c r="E10" s="92"/>
      <c r="F10" s="92"/>
      <c r="G10" s="92"/>
      <c r="H10" s="92"/>
      <c r="I10" s="92"/>
      <c r="J10" s="92"/>
      <c r="K10" s="92"/>
      <c r="L10" s="92"/>
    </row>
    <row r="11" spans="1:12" x14ac:dyDescent="0.25">
      <c r="B11" s="83" t="s">
        <v>197</v>
      </c>
      <c r="C11" s="92">
        <v>4.4999999999999998E-2</v>
      </c>
      <c r="D11" s="92"/>
      <c r="E11" s="92"/>
      <c r="F11" s="92"/>
      <c r="G11" s="92"/>
      <c r="H11" s="92"/>
      <c r="I11" s="92"/>
      <c r="J11" s="92"/>
      <c r="K11" s="92"/>
      <c r="L11" s="92"/>
    </row>
    <row r="12" spans="1:12" x14ac:dyDescent="0.25">
      <c r="B12" s="83" t="s">
        <v>198</v>
      </c>
      <c r="C12" s="92">
        <v>5.1999999999999998E-2</v>
      </c>
      <c r="D12" s="92"/>
      <c r="E12" s="92"/>
      <c r="F12" s="92"/>
      <c r="G12" s="92"/>
      <c r="H12" s="92"/>
      <c r="I12" s="92"/>
      <c r="J12" s="92"/>
      <c r="K12" s="92"/>
      <c r="L12" s="92"/>
    </row>
    <row r="13" spans="1:12" x14ac:dyDescent="0.25">
      <c r="B13" s="83" t="s">
        <v>199</v>
      </c>
      <c r="C13" s="92">
        <v>0.11600000000000001</v>
      </c>
      <c r="D13" s="92"/>
      <c r="E13" s="92"/>
      <c r="F13" s="92"/>
      <c r="G13" s="92"/>
      <c r="H13" s="92"/>
      <c r="I13" s="92"/>
      <c r="J13" s="92"/>
      <c r="K13" s="92"/>
      <c r="L13" s="92"/>
    </row>
    <row r="14" spans="1:12" x14ac:dyDescent="0.25">
      <c r="B14" s="83"/>
      <c r="C14" s="83"/>
      <c r="D14" s="92"/>
      <c r="E14" s="92"/>
      <c r="F14" s="92"/>
      <c r="G14" s="92"/>
      <c r="H14" s="92"/>
      <c r="I14" s="92"/>
      <c r="J14" s="92"/>
      <c r="K14" s="92"/>
      <c r="L14" s="92"/>
    </row>
    <row r="16" spans="1:12" x14ac:dyDescent="0.25">
      <c r="A16" s="8" t="s">
        <v>134</v>
      </c>
      <c r="B16" s="89"/>
      <c r="C16" s="62"/>
      <c r="D16" s="62"/>
      <c r="E16" s="62"/>
    </row>
    <row r="17" spans="1:19" x14ac:dyDescent="0.25">
      <c r="A17" s="144" t="s">
        <v>135</v>
      </c>
      <c r="B17" s="145" t="s">
        <v>136</v>
      </c>
      <c r="C17" s="62"/>
      <c r="D17" s="62"/>
      <c r="E17" s="62"/>
      <c r="G17" s="163" t="s">
        <v>137</v>
      </c>
      <c r="H17" s="164" t="s">
        <v>138</v>
      </c>
      <c r="I17" s="164" t="s">
        <v>139</v>
      </c>
      <c r="J17" s="164" t="s">
        <v>140</v>
      </c>
    </row>
    <row r="18" spans="1:19" x14ac:dyDescent="0.25">
      <c r="A18" s="149" t="s">
        <v>141</v>
      </c>
      <c r="B18" s="141">
        <v>0.4718</v>
      </c>
      <c r="C18" s="62"/>
      <c r="D18" s="62"/>
      <c r="E18" s="62"/>
      <c r="G18" s="125" t="s">
        <v>142</v>
      </c>
      <c r="H18" s="23"/>
      <c r="I18" s="23" t="s">
        <v>143</v>
      </c>
      <c r="J18" s="23"/>
    </row>
    <row r="19" spans="1:19" x14ac:dyDescent="0.25">
      <c r="A19" s="149" t="s">
        <v>144</v>
      </c>
      <c r="B19" s="141">
        <v>0.51739999999999997</v>
      </c>
      <c r="C19" s="62"/>
      <c r="D19" s="62"/>
      <c r="E19" s="62"/>
      <c r="G19" s="125" t="s">
        <v>145</v>
      </c>
      <c r="H19" s="23"/>
      <c r="I19" s="23" t="s">
        <v>143</v>
      </c>
      <c r="J19" s="23"/>
    </row>
    <row r="20" spans="1:19" x14ac:dyDescent="0.25">
      <c r="A20" s="149" t="s">
        <v>130</v>
      </c>
      <c r="B20" s="141">
        <v>1.0699999999999999E-2</v>
      </c>
      <c r="C20" s="62"/>
      <c r="D20" s="62"/>
      <c r="E20" s="62"/>
      <c r="G20" s="125" t="s">
        <v>146</v>
      </c>
      <c r="H20" s="23" t="s">
        <v>143</v>
      </c>
      <c r="I20" s="23"/>
      <c r="J20" s="23"/>
      <c r="L20" t="s">
        <v>274</v>
      </c>
    </row>
    <row r="21" spans="1:19" x14ac:dyDescent="0.25">
      <c r="A21" s="144" t="s">
        <v>147</v>
      </c>
      <c r="B21" s="151"/>
      <c r="C21" s="62"/>
      <c r="D21" s="62"/>
      <c r="E21" s="62"/>
      <c r="G21" s="125" t="s">
        <v>148</v>
      </c>
      <c r="H21" s="23"/>
      <c r="I21" s="23" t="s">
        <v>143</v>
      </c>
      <c r="J21" s="23"/>
      <c r="M21" s="153"/>
      <c r="N21" s="153"/>
      <c r="O21" s="153"/>
      <c r="P21" s="153"/>
      <c r="Q21" s="153"/>
      <c r="R21" s="153"/>
      <c r="S21" s="153"/>
    </row>
    <row r="22" spans="1:19" x14ac:dyDescent="0.25">
      <c r="A22" s="149" t="s">
        <v>149</v>
      </c>
      <c r="B22" s="152">
        <v>5.0917949999999997E-2</v>
      </c>
      <c r="C22" s="62"/>
      <c r="D22" s="62"/>
      <c r="E22" s="62"/>
      <c r="G22" s="125" t="s">
        <v>150</v>
      </c>
      <c r="H22" s="23"/>
      <c r="I22" s="23" t="s">
        <v>143</v>
      </c>
      <c r="J22" s="23"/>
    </row>
    <row r="23" spans="1:19" x14ac:dyDescent="0.25">
      <c r="A23" s="149" t="s">
        <v>151</v>
      </c>
      <c r="B23" s="152">
        <v>9.4352000000000005E-2</v>
      </c>
      <c r="C23" s="62"/>
      <c r="D23" s="62"/>
      <c r="E23" s="62"/>
      <c r="G23" s="125" t="s">
        <v>152</v>
      </c>
      <c r="H23" s="23"/>
      <c r="I23" s="23" t="s">
        <v>143</v>
      </c>
      <c r="J23" s="23"/>
    </row>
    <row r="24" spans="1:19" x14ac:dyDescent="0.25">
      <c r="A24" s="149" t="s">
        <v>153</v>
      </c>
      <c r="B24" s="152">
        <v>3.5180000000000003E-2</v>
      </c>
      <c r="C24" s="62"/>
      <c r="D24" s="62"/>
      <c r="E24" s="62"/>
      <c r="G24" s="125" t="s">
        <v>154</v>
      </c>
      <c r="H24" s="23"/>
      <c r="I24" s="23" t="s">
        <v>143</v>
      </c>
      <c r="J24" s="23"/>
    </row>
    <row r="25" spans="1:19" x14ac:dyDescent="0.25">
      <c r="A25" s="149" t="s">
        <v>155</v>
      </c>
      <c r="B25" s="152">
        <v>1.3299999999999999E-2</v>
      </c>
      <c r="C25" s="62"/>
      <c r="D25" s="62"/>
      <c r="E25" s="62"/>
      <c r="G25" s="125" t="s">
        <v>156</v>
      </c>
      <c r="H25" s="23"/>
      <c r="I25" s="23"/>
      <c r="J25" s="23" t="s">
        <v>143</v>
      </c>
    </row>
    <row r="26" spans="1:19" x14ac:dyDescent="0.25">
      <c r="A26" s="149" t="s">
        <v>157</v>
      </c>
      <c r="B26" s="152">
        <v>6.2619999999999995E-2</v>
      </c>
      <c r="C26" s="62"/>
      <c r="D26" s="62"/>
      <c r="E26" s="62"/>
      <c r="G26" s="125" t="s">
        <v>158</v>
      </c>
      <c r="H26" s="23"/>
      <c r="I26" s="23" t="s">
        <v>143</v>
      </c>
      <c r="J26" s="23"/>
    </row>
    <row r="27" spans="1:19" x14ac:dyDescent="0.25">
      <c r="A27" s="149" t="s">
        <v>159</v>
      </c>
      <c r="B27" s="152">
        <v>0.14927000000000001</v>
      </c>
      <c r="C27" s="62"/>
      <c r="D27" s="62"/>
      <c r="E27" s="62"/>
      <c r="G27" s="163" t="s">
        <v>160</v>
      </c>
      <c r="H27" s="164" t="s">
        <v>138</v>
      </c>
      <c r="I27" s="164" t="s">
        <v>139</v>
      </c>
      <c r="J27" s="164" t="s">
        <v>140</v>
      </c>
    </row>
    <row r="28" spans="1:19" x14ac:dyDescent="0.25">
      <c r="A28" s="149" t="s">
        <v>161</v>
      </c>
      <c r="B28" s="152">
        <v>0.12382</v>
      </c>
      <c r="C28" s="62"/>
      <c r="D28" s="62"/>
      <c r="E28" s="62"/>
      <c r="G28" s="125" t="s">
        <v>144</v>
      </c>
      <c r="H28" s="23"/>
      <c r="I28" s="23" t="s">
        <v>143</v>
      </c>
      <c r="J28" s="23"/>
    </row>
    <row r="29" spans="1:19" x14ac:dyDescent="0.25">
      <c r="A29" s="149" t="s">
        <v>162</v>
      </c>
      <c r="B29" s="152">
        <v>0.24188999999999999</v>
      </c>
      <c r="C29" s="62"/>
      <c r="D29" s="62"/>
      <c r="E29" s="62"/>
      <c r="G29" s="125" t="s">
        <v>141</v>
      </c>
      <c r="H29" s="23"/>
      <c r="I29" s="23" t="s">
        <v>143</v>
      </c>
      <c r="J29" s="23"/>
    </row>
    <row r="30" spans="1:19" x14ac:dyDescent="0.25">
      <c r="A30" s="149" t="s">
        <v>163</v>
      </c>
      <c r="B30" s="152">
        <v>0.21079999999999999</v>
      </c>
      <c r="C30" s="62"/>
      <c r="D30" s="62"/>
      <c r="E30" s="62"/>
      <c r="G30" s="163" t="s">
        <v>164</v>
      </c>
      <c r="H30" s="164" t="s">
        <v>138</v>
      </c>
      <c r="I30" s="164" t="s">
        <v>139</v>
      </c>
      <c r="J30" s="164" t="s">
        <v>140</v>
      </c>
    </row>
    <row r="31" spans="1:19" x14ac:dyDescent="0.25">
      <c r="A31" s="149" t="s">
        <v>165</v>
      </c>
      <c r="B31" s="152">
        <v>1.8350000000000002E-2</v>
      </c>
      <c r="C31" s="62"/>
      <c r="D31" s="62"/>
      <c r="E31" s="62"/>
      <c r="G31" s="125" t="s">
        <v>166</v>
      </c>
      <c r="H31" s="23"/>
      <c r="I31" s="23" t="s">
        <v>143</v>
      </c>
      <c r="J31" s="23"/>
    </row>
    <row r="32" spans="1:19" x14ac:dyDescent="0.25">
      <c r="A32" s="154" t="s">
        <v>167</v>
      </c>
      <c r="B32" s="155"/>
      <c r="C32" s="62"/>
      <c r="D32" s="62"/>
      <c r="E32" s="62"/>
      <c r="G32" s="125" t="s">
        <v>168</v>
      </c>
      <c r="H32" s="23" t="s">
        <v>143</v>
      </c>
      <c r="I32" s="23"/>
      <c r="J32" s="23"/>
      <c r="L32" t="s">
        <v>275</v>
      </c>
      <c r="M32" s="153"/>
      <c r="N32" s="153"/>
      <c r="O32" s="153"/>
      <c r="P32" s="153"/>
    </row>
    <row r="33" spans="1:15" x14ac:dyDescent="0.25">
      <c r="A33" s="149" t="s">
        <v>170</v>
      </c>
      <c r="B33" s="152">
        <v>5.7148071000000002E-2</v>
      </c>
      <c r="C33" s="62"/>
      <c r="D33" s="62"/>
      <c r="E33" s="62"/>
      <c r="G33" s="125" t="s">
        <v>171</v>
      </c>
      <c r="H33" s="23"/>
      <c r="I33" s="23" t="s">
        <v>143</v>
      </c>
      <c r="J33" s="23"/>
    </row>
    <row r="34" spans="1:15" x14ac:dyDescent="0.25">
      <c r="A34" s="149" t="s">
        <v>172</v>
      </c>
      <c r="B34" s="152">
        <v>1.0149711E-2</v>
      </c>
      <c r="C34" s="62"/>
      <c r="D34" s="62"/>
      <c r="E34" s="62"/>
      <c r="G34" s="125" t="s">
        <v>173</v>
      </c>
      <c r="H34" s="23"/>
      <c r="I34" s="23" t="s">
        <v>143</v>
      </c>
      <c r="J34" s="23"/>
    </row>
    <row r="35" spans="1:15" x14ac:dyDescent="0.25">
      <c r="A35" s="149" t="s">
        <v>173</v>
      </c>
      <c r="B35" s="152">
        <v>0.11685571</v>
      </c>
      <c r="C35" s="62"/>
      <c r="D35" s="62"/>
      <c r="E35" s="62"/>
      <c r="G35" s="125" t="s">
        <v>130</v>
      </c>
      <c r="H35" s="23"/>
      <c r="I35" s="23" t="s">
        <v>143</v>
      </c>
      <c r="J35" s="23"/>
    </row>
    <row r="36" spans="1:15" x14ac:dyDescent="0.25">
      <c r="A36" s="149" t="s">
        <v>174</v>
      </c>
      <c r="B36" s="152">
        <v>0</v>
      </c>
      <c r="C36" s="62"/>
      <c r="D36" s="62"/>
      <c r="E36" s="62"/>
      <c r="G36" s="163" t="s">
        <v>175</v>
      </c>
      <c r="H36" s="164" t="s">
        <v>138</v>
      </c>
      <c r="I36" s="164" t="s">
        <v>139</v>
      </c>
      <c r="J36" s="164" t="s">
        <v>140</v>
      </c>
    </row>
    <row r="37" spans="1:15" x14ac:dyDescent="0.25">
      <c r="A37" s="149" t="s">
        <v>166</v>
      </c>
      <c r="B37" s="152">
        <v>0.74891883999999997</v>
      </c>
      <c r="C37" s="62"/>
      <c r="D37" s="62"/>
      <c r="E37" s="62"/>
      <c r="G37" s="125" t="s">
        <v>176</v>
      </c>
      <c r="H37" s="23"/>
      <c r="I37" s="23" t="s">
        <v>143</v>
      </c>
      <c r="J37" s="23"/>
    </row>
    <row r="38" spans="1:15" x14ac:dyDescent="0.25">
      <c r="A38" s="149" t="s">
        <v>178</v>
      </c>
      <c r="B38" s="152">
        <v>3.3932219999999999E-2</v>
      </c>
      <c r="C38" s="62"/>
      <c r="D38" s="62"/>
      <c r="E38" s="62"/>
      <c r="G38" s="125" t="s">
        <v>179</v>
      </c>
      <c r="H38" s="23"/>
      <c r="I38" s="23" t="s">
        <v>143</v>
      </c>
      <c r="J38" s="23"/>
    </row>
    <row r="39" spans="1:15" x14ac:dyDescent="0.25">
      <c r="A39" s="149" t="s">
        <v>180</v>
      </c>
      <c r="B39" s="152">
        <v>3.3585999999999998E-2</v>
      </c>
      <c r="C39" s="62"/>
      <c r="D39" s="62"/>
      <c r="E39" s="62"/>
      <c r="G39" s="163" t="s">
        <v>181</v>
      </c>
      <c r="H39" s="164" t="s">
        <v>138</v>
      </c>
      <c r="I39" s="164" t="s">
        <v>139</v>
      </c>
      <c r="J39" s="164" t="s">
        <v>140</v>
      </c>
    </row>
    <row r="40" spans="1:15" x14ac:dyDescent="0.25">
      <c r="A40" s="154" t="s">
        <v>182</v>
      </c>
      <c r="B40" s="155"/>
      <c r="C40" s="62"/>
      <c r="D40" s="62"/>
      <c r="E40" s="62"/>
      <c r="G40" s="125" t="s">
        <v>183</v>
      </c>
      <c r="H40" s="23" t="s">
        <v>143</v>
      </c>
      <c r="I40" s="23"/>
      <c r="J40" s="23"/>
      <c r="L40" t="s">
        <v>276</v>
      </c>
    </row>
    <row r="41" spans="1:15" x14ac:dyDescent="0.25">
      <c r="A41" s="149" t="s">
        <v>176</v>
      </c>
      <c r="B41" s="152">
        <v>0.91900000000000004</v>
      </c>
      <c r="C41" s="62"/>
      <c r="D41" s="62"/>
      <c r="E41" s="62"/>
      <c r="G41" s="125" t="s">
        <v>185</v>
      </c>
      <c r="H41" s="23"/>
      <c r="I41" s="23" t="s">
        <v>143</v>
      </c>
      <c r="J41" s="23"/>
    </row>
    <row r="42" spans="1:15" x14ac:dyDescent="0.25">
      <c r="A42" s="149" t="s">
        <v>179</v>
      </c>
      <c r="B42" s="152">
        <v>8.1000000000000003E-2</v>
      </c>
      <c r="C42" s="62"/>
      <c r="D42" s="62"/>
      <c r="E42" s="62"/>
      <c r="G42" s="125" t="s">
        <v>186</v>
      </c>
      <c r="H42" s="23"/>
      <c r="I42" s="23"/>
      <c r="J42" s="23" t="s">
        <v>143</v>
      </c>
    </row>
    <row r="43" spans="1:15" x14ac:dyDescent="0.25">
      <c r="A43" s="154" t="s">
        <v>187</v>
      </c>
      <c r="B43" s="155"/>
      <c r="C43" s="62"/>
      <c r="D43" s="62"/>
      <c r="E43" s="62"/>
      <c r="J43" s="153"/>
      <c r="K43" s="153"/>
      <c r="L43" s="153"/>
      <c r="M43" s="153"/>
      <c r="N43" s="153"/>
      <c r="O43" s="153"/>
    </row>
    <row r="44" spans="1:15" x14ac:dyDescent="0.25">
      <c r="A44" s="149" t="s">
        <v>188</v>
      </c>
      <c r="B44" s="152">
        <v>8.9451698999999996E-2</v>
      </c>
      <c r="C44" s="62"/>
      <c r="D44" s="62"/>
      <c r="E44" s="62"/>
    </row>
    <row r="45" spans="1:15" x14ac:dyDescent="0.25">
      <c r="A45" s="149" t="s">
        <v>189</v>
      </c>
      <c r="B45" s="152">
        <v>6.4098123000000007E-2</v>
      </c>
      <c r="C45" s="62"/>
      <c r="D45" s="62"/>
      <c r="E45" s="62"/>
    </row>
    <row r="46" spans="1:15" x14ac:dyDescent="0.25">
      <c r="A46" s="149" t="s">
        <v>190</v>
      </c>
      <c r="B46" s="152">
        <v>0.26191461399999999</v>
      </c>
      <c r="C46" s="62"/>
      <c r="D46" s="62"/>
      <c r="E46" s="62"/>
    </row>
    <row r="47" spans="1:15" x14ac:dyDescent="0.25">
      <c r="A47" s="149" t="s">
        <v>191</v>
      </c>
      <c r="B47" s="152">
        <v>0.150665941</v>
      </c>
      <c r="C47" s="62"/>
      <c r="D47" s="62"/>
      <c r="E47" s="62"/>
    </row>
    <row r="48" spans="1:15" x14ac:dyDescent="0.25">
      <c r="A48" s="149" t="s">
        <v>192</v>
      </c>
      <c r="B48" s="152">
        <v>0.24116589999999999</v>
      </c>
      <c r="C48" s="62"/>
      <c r="D48" s="62"/>
      <c r="E48" s="62"/>
    </row>
    <row r="49" spans="1:5" x14ac:dyDescent="0.25">
      <c r="A49" s="149" t="s">
        <v>193</v>
      </c>
      <c r="B49" s="152">
        <v>0.1931658</v>
      </c>
      <c r="C49" s="62"/>
      <c r="D49" s="62"/>
      <c r="E49" s="62"/>
    </row>
    <row r="50" spans="1:5" x14ac:dyDescent="0.25">
      <c r="A50" s="8"/>
      <c r="B50" s="89"/>
      <c r="C50" s="62"/>
      <c r="D50" s="62"/>
      <c r="E50" s="62"/>
    </row>
    <row r="51" spans="1:5" x14ac:dyDescent="0.25">
      <c r="B51" s="125"/>
      <c r="C51" s="23"/>
      <c r="D51" s="23"/>
      <c r="E51" s="23"/>
    </row>
    <row r="52" spans="1:5" x14ac:dyDescent="0.25">
      <c r="A52" s="156" t="s">
        <v>200</v>
      </c>
      <c r="B52" s="8">
        <v>2014</v>
      </c>
      <c r="C52" s="8">
        <v>2019</v>
      </c>
      <c r="D52" s="8" t="s">
        <v>201</v>
      </c>
      <c r="E52" s="8" t="s">
        <v>202</v>
      </c>
    </row>
    <row r="53" spans="1:5" x14ac:dyDescent="0.25">
      <c r="A53" t="s">
        <v>203</v>
      </c>
      <c r="B53" s="125" t="s">
        <v>26</v>
      </c>
      <c r="C53" t="s">
        <v>207</v>
      </c>
      <c r="D53" t="s">
        <v>26</v>
      </c>
      <c r="E53" t="s">
        <v>236</v>
      </c>
    </row>
    <row r="54" spans="1:5" x14ac:dyDescent="0.25">
      <c r="A54" t="s">
        <v>205</v>
      </c>
      <c r="B54" s="125" t="s">
        <v>26</v>
      </c>
      <c r="C54" t="s">
        <v>249</v>
      </c>
      <c r="D54" t="s">
        <v>204</v>
      </c>
      <c r="E54">
        <v>1</v>
      </c>
    </row>
    <row r="55" spans="1:5" x14ac:dyDescent="0.25">
      <c r="A55" t="s">
        <v>206</v>
      </c>
      <c r="B55" s="125" t="s">
        <v>207</v>
      </c>
      <c r="C55" t="s">
        <v>207</v>
      </c>
      <c r="D55" t="s">
        <v>207</v>
      </c>
    </row>
    <row r="56" spans="1:5" x14ac:dyDescent="0.25">
      <c r="A56" t="s">
        <v>208</v>
      </c>
      <c r="B56" s="125" t="s">
        <v>26</v>
      </c>
      <c r="C56" t="s">
        <v>26</v>
      </c>
      <c r="D56" t="s">
        <v>26</v>
      </c>
    </row>
    <row r="57" spans="1:5" x14ac:dyDescent="0.25">
      <c r="A57" t="s">
        <v>209</v>
      </c>
      <c r="B57" s="125" t="s">
        <v>5</v>
      </c>
      <c r="C57" t="s">
        <v>207</v>
      </c>
      <c r="D57" t="s">
        <v>207</v>
      </c>
    </row>
    <row r="59" spans="1:5" x14ac:dyDescent="0.25">
      <c r="A59">
        <v>1</v>
      </c>
      <c r="B59" t="s">
        <v>210</v>
      </c>
    </row>
    <row r="60" spans="1:5" x14ac:dyDescent="0.25">
      <c r="A60">
        <v>2</v>
      </c>
      <c r="B60" t="s">
        <v>211</v>
      </c>
    </row>
    <row r="61" spans="1:5" x14ac:dyDescent="0.25">
      <c r="B61" s="125"/>
      <c r="C61" s="23"/>
      <c r="D61" s="23"/>
      <c r="E61" s="23"/>
    </row>
    <row r="63" spans="1:5" x14ac:dyDescent="0.25">
      <c r="A63" s="156" t="s">
        <v>237</v>
      </c>
    </row>
    <row r="64" spans="1:5" x14ac:dyDescent="0.25">
      <c r="B64" t="s">
        <v>277</v>
      </c>
    </row>
    <row r="65" spans="1:4" x14ac:dyDescent="0.25">
      <c r="B65" t="s">
        <v>278</v>
      </c>
    </row>
    <row r="66" spans="1:4" x14ac:dyDescent="0.25">
      <c r="B66" t="s">
        <v>279</v>
      </c>
    </row>
    <row r="67" spans="1:4" x14ac:dyDescent="0.25">
      <c r="B67" t="s">
        <v>280</v>
      </c>
    </row>
    <row r="68" spans="1:4" x14ac:dyDescent="0.25">
      <c r="B68" t="s">
        <v>281</v>
      </c>
    </row>
    <row r="71" spans="1:4" x14ac:dyDescent="0.25">
      <c r="A71" s="158" t="s">
        <v>220</v>
      </c>
      <c r="B71" s="158" t="s">
        <v>221</v>
      </c>
      <c r="C71" s="158" t="s">
        <v>214</v>
      </c>
    </row>
    <row r="72" spans="1:4" x14ac:dyDescent="0.25">
      <c r="A72" s="160" t="s">
        <v>282</v>
      </c>
      <c r="B72">
        <v>1</v>
      </c>
      <c r="C72" s="161">
        <v>5.8999999999999997E-2</v>
      </c>
    </row>
    <row r="73" spans="1:4" x14ac:dyDescent="0.25">
      <c r="A73" s="160" t="s">
        <v>283</v>
      </c>
      <c r="B73">
        <v>2</v>
      </c>
      <c r="C73" s="161">
        <v>4.9000000000000002E-2</v>
      </c>
    </row>
    <row r="74" spans="1:4" x14ac:dyDescent="0.25">
      <c r="A74" s="160" t="s">
        <v>284</v>
      </c>
      <c r="B74">
        <v>3</v>
      </c>
      <c r="C74" s="161">
        <v>4.8000000000000001E-2</v>
      </c>
    </row>
    <row r="75" spans="1:4" x14ac:dyDescent="0.25">
      <c r="A75" s="160" t="s">
        <v>285</v>
      </c>
      <c r="C75" s="161"/>
    </row>
    <row r="76" spans="1:4" x14ac:dyDescent="0.25">
      <c r="A76" s="160" t="s">
        <v>286</v>
      </c>
      <c r="C76" s="161"/>
    </row>
    <row r="77" spans="1:4" x14ac:dyDescent="0.25">
      <c r="A77" s="160" t="s">
        <v>287</v>
      </c>
      <c r="C77" s="161"/>
    </row>
    <row r="78" spans="1:4" x14ac:dyDescent="0.25">
      <c r="A78" s="160"/>
      <c r="C78" s="161"/>
    </row>
    <row r="79" spans="1:4" x14ac:dyDescent="0.25">
      <c r="B79" s="721" t="s">
        <v>225</v>
      </c>
      <c r="C79" s="721"/>
      <c r="D79" s="721"/>
    </row>
    <row r="80" spans="1:4" x14ac:dyDescent="0.25">
      <c r="B80">
        <v>2019</v>
      </c>
      <c r="C80">
        <v>2014</v>
      </c>
      <c r="D80" t="s">
        <v>226</v>
      </c>
    </row>
    <row r="81" spans="2:6" x14ac:dyDescent="0.25">
      <c r="B81" s="92">
        <v>0.1</v>
      </c>
      <c r="C81" s="92">
        <v>0.1</v>
      </c>
      <c r="D81" t="s">
        <v>238</v>
      </c>
    </row>
    <row r="83" spans="2:6" x14ac:dyDescent="0.25">
      <c r="B83" s="721" t="s">
        <v>228</v>
      </c>
      <c r="C83" s="721"/>
      <c r="D83" s="721"/>
    </row>
    <row r="84" spans="2:6" x14ac:dyDescent="0.25">
      <c r="B84">
        <v>2019</v>
      </c>
      <c r="C84">
        <v>2014</v>
      </c>
      <c r="D84" t="s">
        <v>226</v>
      </c>
    </row>
    <row r="85" spans="2:6" x14ac:dyDescent="0.25">
      <c r="B85" s="92">
        <v>0.18</v>
      </c>
      <c r="C85" s="92">
        <v>0.11</v>
      </c>
      <c r="D85" t="s">
        <v>238</v>
      </c>
    </row>
    <row r="87" spans="2:6" x14ac:dyDescent="0.25">
      <c r="B87" s="721" t="s">
        <v>229</v>
      </c>
      <c r="C87" s="721"/>
      <c r="D87" s="721"/>
    </row>
    <row r="88" spans="2:6" x14ac:dyDescent="0.25">
      <c r="B88">
        <v>2019</v>
      </c>
      <c r="C88">
        <v>2014</v>
      </c>
      <c r="D88" t="s">
        <v>226</v>
      </c>
    </row>
    <row r="89" spans="2:6" x14ac:dyDescent="0.25">
      <c r="B89" s="92">
        <v>0.99</v>
      </c>
      <c r="C89" s="92">
        <v>0.99</v>
      </c>
      <c r="D89" t="s">
        <v>238</v>
      </c>
    </row>
    <row r="90" spans="2:6" x14ac:dyDescent="0.25">
      <c r="B90" s="722" t="s">
        <v>230</v>
      </c>
      <c r="C90" s="722"/>
      <c r="D90" s="722"/>
      <c r="E90" s="722"/>
      <c r="F90" s="722"/>
    </row>
    <row r="92" spans="2:6" x14ac:dyDescent="0.25">
      <c r="B92" s="721" t="s">
        <v>231</v>
      </c>
      <c r="C92" s="721"/>
      <c r="D92" s="721"/>
    </row>
    <row r="93" spans="2:6" x14ac:dyDescent="0.25">
      <c r="B93">
        <v>2019</v>
      </c>
      <c r="C93">
        <v>2014</v>
      </c>
      <c r="D93" t="s">
        <v>226</v>
      </c>
    </row>
    <row r="94" spans="2:6" x14ac:dyDescent="0.25">
      <c r="B94" s="92">
        <v>0.87</v>
      </c>
      <c r="C94" s="92">
        <v>0.93</v>
      </c>
      <c r="D94" t="s">
        <v>239</v>
      </c>
    </row>
    <row r="97" spans="1:2" x14ac:dyDescent="0.25">
      <c r="A97" s="156" t="s">
        <v>232</v>
      </c>
      <c r="B97" s="156" t="s">
        <v>233</v>
      </c>
    </row>
    <row r="98" spans="1:2" x14ac:dyDescent="0.25">
      <c r="A98" t="s">
        <v>234</v>
      </c>
      <c r="B98" s="92">
        <v>0.05</v>
      </c>
    </row>
    <row r="99" spans="1:2" x14ac:dyDescent="0.25">
      <c r="A99" t="s">
        <v>288</v>
      </c>
      <c r="B99" s="161">
        <v>0.24</v>
      </c>
    </row>
  </sheetData>
  <mergeCells count="7">
    <mergeCell ref="B92:D92"/>
    <mergeCell ref="B1:E1"/>
    <mergeCell ref="A8:C8"/>
    <mergeCell ref="B79:D79"/>
    <mergeCell ref="B83:D83"/>
    <mergeCell ref="B87:D87"/>
    <mergeCell ref="B90:F90"/>
  </mergeCell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CA2F2-AAAD-4533-B3C3-06396622A8FC}">
  <sheetPr>
    <tabColor theme="1" tint="0.34998626667073579"/>
  </sheetPr>
  <dimension ref="A1:M125"/>
  <sheetViews>
    <sheetView workbookViewId="0">
      <selection activeCell="C3" sqref="C3"/>
    </sheetView>
  </sheetViews>
  <sheetFormatPr defaultRowHeight="15" x14ac:dyDescent="0.25"/>
  <cols>
    <col min="1" max="1" width="40.42578125" bestFit="1" customWidth="1"/>
    <col min="2" max="2" width="22.42578125" customWidth="1"/>
    <col min="3" max="3" width="17.28515625" customWidth="1"/>
    <col min="4" max="4" width="17.5703125" customWidth="1"/>
    <col min="5" max="5" width="18.28515625" customWidth="1"/>
    <col min="6" max="6" width="10.5703125" customWidth="1"/>
    <col min="7" max="7" width="13.42578125" customWidth="1"/>
    <col min="8" max="8" width="18" customWidth="1"/>
    <col min="9" max="9" width="17.85546875" customWidth="1"/>
  </cols>
  <sheetData>
    <row r="1" spans="1:13" x14ac:dyDescent="0.25">
      <c r="B1" s="719" t="s">
        <v>289</v>
      </c>
      <c r="C1" s="719"/>
      <c r="D1" s="719"/>
      <c r="E1" s="719"/>
    </row>
    <row r="2" spans="1:13" x14ac:dyDescent="0.25">
      <c r="A2" s="157"/>
      <c r="B2" s="140" t="s">
        <v>127</v>
      </c>
      <c r="C2" s="140" t="s">
        <v>128</v>
      </c>
      <c r="D2" s="140" t="s">
        <v>129</v>
      </c>
      <c r="E2" s="140" t="s">
        <v>130</v>
      </c>
      <c r="F2" s="140"/>
      <c r="G2" s="140"/>
    </row>
    <row r="3" spans="1:13" x14ac:dyDescent="0.25">
      <c r="B3" s="141">
        <v>0.56599999999999995</v>
      </c>
      <c r="C3" s="141">
        <v>0.34100000000000003</v>
      </c>
      <c r="D3" s="141">
        <v>7.9000000000000001E-2</v>
      </c>
      <c r="E3" s="141">
        <v>1.2999999999999999E-2</v>
      </c>
      <c r="F3" s="141"/>
      <c r="G3" s="141"/>
      <c r="L3" s="141"/>
      <c r="M3" s="141"/>
    </row>
    <row r="4" spans="1:13" x14ac:dyDescent="0.25">
      <c r="B4" s="170"/>
      <c r="C4" s="92"/>
      <c r="D4" s="92"/>
      <c r="E4" s="92"/>
      <c r="F4" s="92"/>
      <c r="G4" s="92"/>
      <c r="H4" s="92"/>
      <c r="I4" s="92"/>
      <c r="J4" s="92"/>
      <c r="K4" s="92"/>
    </row>
    <row r="5" spans="1:13" x14ac:dyDescent="0.25">
      <c r="B5" s="171" t="s">
        <v>131</v>
      </c>
      <c r="C5" s="171" t="s">
        <v>290</v>
      </c>
      <c r="D5" s="171" t="s">
        <v>291</v>
      </c>
      <c r="E5" s="172"/>
      <c r="I5" s="172"/>
      <c r="J5" s="172"/>
      <c r="K5" s="172"/>
    </row>
    <row r="6" spans="1:13" x14ac:dyDescent="0.25">
      <c r="B6" s="142">
        <v>5808500</v>
      </c>
      <c r="C6" s="142">
        <v>22200</v>
      </c>
      <c r="D6" s="142">
        <v>7850</v>
      </c>
      <c r="E6" s="172"/>
      <c r="I6" s="172"/>
      <c r="J6" s="172"/>
      <c r="K6" s="172"/>
    </row>
    <row r="7" spans="1:13" x14ac:dyDescent="0.25">
      <c r="B7" s="83"/>
      <c r="C7" s="83"/>
      <c r="D7" s="92"/>
      <c r="E7" s="92"/>
      <c r="F7" s="92"/>
      <c r="G7" s="92"/>
      <c r="H7" s="92"/>
      <c r="I7" s="92"/>
      <c r="J7" s="92"/>
      <c r="K7" s="92"/>
      <c r="L7" s="92"/>
    </row>
    <row r="8" spans="1:13" x14ac:dyDescent="0.25">
      <c r="A8" s="719" t="s">
        <v>194</v>
      </c>
      <c r="B8" s="719"/>
      <c r="C8" s="719"/>
      <c r="D8" s="92"/>
      <c r="E8" s="92"/>
      <c r="F8" s="92"/>
      <c r="G8" s="83"/>
      <c r="H8" s="83"/>
      <c r="I8" s="83"/>
      <c r="J8" s="92"/>
      <c r="K8" s="92"/>
      <c r="L8" s="92"/>
    </row>
    <row r="9" spans="1:13" x14ac:dyDescent="0.25">
      <c r="B9" s="83" t="s">
        <v>195</v>
      </c>
      <c r="C9" s="92">
        <v>0.92620000000000002</v>
      </c>
      <c r="D9" s="92"/>
      <c r="E9" s="92"/>
      <c r="F9" s="92"/>
      <c r="G9" s="92"/>
      <c r="H9" s="92"/>
      <c r="I9" s="92"/>
      <c r="J9" s="92"/>
      <c r="K9" s="92"/>
      <c r="L9" s="92"/>
    </row>
    <row r="10" spans="1:13" x14ac:dyDescent="0.25">
      <c r="B10" s="83" t="s">
        <v>196</v>
      </c>
      <c r="C10" s="92">
        <v>0.1205</v>
      </c>
      <c r="D10" s="92"/>
      <c r="E10" s="92"/>
      <c r="F10" s="92"/>
      <c r="G10" s="92"/>
      <c r="H10" s="92"/>
      <c r="I10" s="92"/>
      <c r="J10" s="92"/>
      <c r="K10" s="92"/>
      <c r="L10" s="92"/>
    </row>
    <row r="11" spans="1:13" x14ac:dyDescent="0.25">
      <c r="B11" s="83" t="s">
        <v>197</v>
      </c>
      <c r="C11" s="92">
        <v>9.2600000000000002E-2</v>
      </c>
      <c r="D11" s="92"/>
      <c r="E11" s="92"/>
      <c r="F11" s="92"/>
      <c r="G11" s="92"/>
      <c r="H11" s="92"/>
      <c r="I11" s="92"/>
      <c r="J11" s="92"/>
      <c r="K11" s="92"/>
      <c r="L11" s="92"/>
    </row>
    <row r="12" spans="1:13" x14ac:dyDescent="0.25">
      <c r="B12" s="83" t="s">
        <v>198</v>
      </c>
      <c r="C12" s="92">
        <v>5.3400000000000003E-2</v>
      </c>
      <c r="D12" s="92"/>
      <c r="E12" s="92"/>
      <c r="F12" s="92"/>
      <c r="G12" s="92"/>
      <c r="H12" s="92"/>
      <c r="I12" s="92"/>
      <c r="J12" s="92"/>
      <c r="K12" s="92"/>
      <c r="L12" s="92"/>
    </row>
    <row r="13" spans="1:13" x14ac:dyDescent="0.25">
      <c r="B13" s="83" t="s">
        <v>199</v>
      </c>
      <c r="C13" s="92">
        <v>0.22847000000000001</v>
      </c>
      <c r="D13" s="92"/>
      <c r="E13" s="92"/>
      <c r="F13" s="92"/>
      <c r="G13" s="92"/>
      <c r="H13" s="92"/>
      <c r="I13" s="92"/>
      <c r="J13" s="92"/>
      <c r="K13" s="92"/>
      <c r="L13" s="92"/>
    </row>
    <row r="14" spans="1:13" x14ac:dyDescent="0.25">
      <c r="B14" s="83"/>
      <c r="C14" s="83"/>
      <c r="D14" s="92"/>
      <c r="E14" s="92"/>
      <c r="F14" s="92"/>
      <c r="G14" s="92"/>
      <c r="H14" s="92"/>
      <c r="I14" s="92"/>
      <c r="J14" s="92"/>
      <c r="K14" s="92"/>
      <c r="L14" s="92"/>
    </row>
    <row r="16" spans="1:13" x14ac:dyDescent="0.25">
      <c r="A16" s="173" t="s">
        <v>134</v>
      </c>
      <c r="B16" s="89"/>
      <c r="C16" s="62"/>
      <c r="D16" s="62"/>
      <c r="E16" s="62"/>
    </row>
    <row r="17" spans="1:10" x14ac:dyDescent="0.25">
      <c r="A17" s="144" t="s">
        <v>135</v>
      </c>
      <c r="B17" s="145" t="s">
        <v>136</v>
      </c>
      <c r="C17" s="23"/>
      <c r="D17" s="23"/>
      <c r="E17" s="146" t="s">
        <v>137</v>
      </c>
      <c r="F17" s="147" t="s">
        <v>138</v>
      </c>
      <c r="G17" s="147" t="s">
        <v>139</v>
      </c>
      <c r="H17" s="147" t="s">
        <v>140</v>
      </c>
      <c r="I17" s="148"/>
      <c r="J17" s="148"/>
    </row>
    <row r="18" spans="1:10" x14ac:dyDescent="0.25">
      <c r="A18" s="149" t="s">
        <v>141</v>
      </c>
      <c r="B18" s="141">
        <v>0.52093999999999996</v>
      </c>
      <c r="C18" s="23"/>
      <c r="D18" s="23"/>
      <c r="E18" s="148" t="s">
        <v>142</v>
      </c>
      <c r="F18" s="150" t="s">
        <v>143</v>
      </c>
      <c r="G18" s="150"/>
      <c r="H18" s="150"/>
      <c r="I18" s="148"/>
      <c r="J18" s="148" t="s">
        <v>292</v>
      </c>
    </row>
    <row r="19" spans="1:10" x14ac:dyDescent="0.25">
      <c r="A19" s="149" t="s">
        <v>144</v>
      </c>
      <c r="B19" s="141">
        <v>0.47560000000000002</v>
      </c>
      <c r="C19" s="23"/>
      <c r="D19" s="23"/>
      <c r="E19" s="148" t="s">
        <v>145</v>
      </c>
      <c r="F19" s="150" t="s">
        <v>143</v>
      </c>
      <c r="G19" s="150"/>
      <c r="H19" s="150"/>
      <c r="I19" s="148"/>
      <c r="J19" s="148" t="s">
        <v>293</v>
      </c>
    </row>
    <row r="20" spans="1:10" x14ac:dyDescent="0.25">
      <c r="A20" s="149" t="s">
        <v>130</v>
      </c>
      <c r="B20" s="141" t="s">
        <v>294</v>
      </c>
      <c r="C20" s="23"/>
      <c r="D20" s="23"/>
      <c r="E20" s="125" t="s">
        <v>146</v>
      </c>
      <c r="F20" s="150" t="s">
        <v>143</v>
      </c>
      <c r="G20" s="150"/>
      <c r="H20" s="150"/>
      <c r="I20" s="148"/>
      <c r="J20" s="148" t="s">
        <v>295</v>
      </c>
    </row>
    <row r="21" spans="1:10" x14ac:dyDescent="0.25">
      <c r="A21" s="144" t="s">
        <v>147</v>
      </c>
      <c r="B21" s="151"/>
      <c r="C21" s="23"/>
      <c r="D21" s="23"/>
      <c r="E21" s="148" t="s">
        <v>148</v>
      </c>
      <c r="F21" s="150" t="s">
        <v>143</v>
      </c>
      <c r="G21" s="150"/>
      <c r="H21" s="150"/>
      <c r="I21" s="148"/>
      <c r="J21" s="148" t="s">
        <v>296</v>
      </c>
    </row>
    <row r="22" spans="1:10" x14ac:dyDescent="0.25">
      <c r="A22" s="149" t="s">
        <v>149</v>
      </c>
      <c r="B22" s="152">
        <v>2.8985950192152717E-2</v>
      </c>
      <c r="C22" s="23"/>
      <c r="D22" s="23"/>
      <c r="E22" s="148" t="s">
        <v>150</v>
      </c>
      <c r="F22" s="150" t="s">
        <v>143</v>
      </c>
      <c r="G22" s="150"/>
      <c r="H22" s="150"/>
      <c r="I22" s="148"/>
      <c r="J22" s="148" t="s">
        <v>297</v>
      </c>
    </row>
    <row r="23" spans="1:10" x14ac:dyDescent="0.25">
      <c r="A23" s="149" t="s">
        <v>151</v>
      </c>
      <c r="B23" s="152">
        <v>2.6239779103385267E-2</v>
      </c>
      <c r="C23" s="23"/>
      <c r="D23" s="23"/>
      <c r="E23" s="148" t="s">
        <v>152</v>
      </c>
      <c r="F23" s="150"/>
      <c r="G23" s="150" t="s">
        <v>143</v>
      </c>
      <c r="H23" s="150"/>
      <c r="I23" s="148"/>
      <c r="J23" s="148"/>
    </row>
    <row r="24" spans="1:10" x14ac:dyDescent="0.25">
      <c r="A24" s="149" t="s">
        <v>153</v>
      </c>
      <c r="B24" s="152">
        <v>1.7658557236038003E-2</v>
      </c>
      <c r="C24" s="23"/>
      <c r="D24" s="23"/>
      <c r="E24" s="148" t="s">
        <v>154</v>
      </c>
      <c r="F24" s="150"/>
      <c r="G24" s="150"/>
      <c r="H24" s="150" t="s">
        <v>143</v>
      </c>
      <c r="I24" s="148"/>
      <c r="J24" s="148"/>
    </row>
    <row r="25" spans="1:10" x14ac:dyDescent="0.25">
      <c r="A25" s="149" t="s">
        <v>155</v>
      </c>
      <c r="B25" s="152">
        <v>2.8965706071242242E-2</v>
      </c>
      <c r="C25" s="23"/>
      <c r="D25" s="23"/>
      <c r="E25" s="148" t="s">
        <v>156</v>
      </c>
      <c r="F25" s="150"/>
      <c r="G25" s="150"/>
      <c r="H25" s="150" t="s">
        <v>143</v>
      </c>
      <c r="I25" s="148"/>
      <c r="J25" s="148"/>
    </row>
    <row r="26" spans="1:10" x14ac:dyDescent="0.25">
      <c r="A26" s="149" t="s">
        <v>157</v>
      </c>
      <c r="B26" s="152">
        <v>4.0983221116469778E-2</v>
      </c>
      <c r="C26" s="62"/>
      <c r="D26" s="62"/>
      <c r="E26" s="148" t="s">
        <v>158</v>
      </c>
      <c r="F26" s="150" t="s">
        <v>143</v>
      </c>
      <c r="G26" s="150"/>
      <c r="H26" s="150"/>
      <c r="I26" s="148"/>
      <c r="J26" s="148" t="s">
        <v>298</v>
      </c>
    </row>
    <row r="27" spans="1:10" x14ac:dyDescent="0.25">
      <c r="A27" s="149" t="s">
        <v>159</v>
      </c>
      <c r="B27" s="152">
        <v>0.11764971747842722</v>
      </c>
      <c r="C27" s="23"/>
      <c r="D27" s="23"/>
      <c r="E27" s="146" t="s">
        <v>160</v>
      </c>
      <c r="F27" s="147" t="s">
        <v>138</v>
      </c>
      <c r="G27" s="147" t="s">
        <v>139</v>
      </c>
      <c r="H27" s="147" t="s">
        <v>140</v>
      </c>
      <c r="I27" s="148"/>
      <c r="J27" s="148"/>
    </row>
    <row r="28" spans="1:10" x14ac:dyDescent="0.25">
      <c r="A28" s="149" t="s">
        <v>161</v>
      </c>
      <c r="B28" s="152">
        <v>0.12656651123940346</v>
      </c>
      <c r="C28" s="23"/>
      <c r="D28" s="23"/>
      <c r="E28" s="148" t="s">
        <v>144</v>
      </c>
      <c r="F28" s="150" t="s">
        <v>143</v>
      </c>
      <c r="G28" s="150"/>
      <c r="H28" s="150"/>
      <c r="I28" s="148"/>
      <c r="J28" s="148" t="s">
        <v>292</v>
      </c>
    </row>
    <row r="29" spans="1:10" x14ac:dyDescent="0.25">
      <c r="A29" s="149" t="s">
        <v>162</v>
      </c>
      <c r="B29" s="152">
        <v>0.30471819016383805</v>
      </c>
      <c r="C29" s="62"/>
      <c r="D29" s="62"/>
      <c r="E29" s="148" t="s">
        <v>141</v>
      </c>
      <c r="F29" s="150"/>
      <c r="G29" s="150"/>
      <c r="H29" s="150" t="s">
        <v>143</v>
      </c>
      <c r="I29" s="148"/>
      <c r="J29" s="148"/>
    </row>
    <row r="30" spans="1:10" x14ac:dyDescent="0.25">
      <c r="A30" s="149" t="s">
        <v>163</v>
      </c>
      <c r="B30" s="152">
        <v>0.27313271909270354</v>
      </c>
      <c r="C30" s="23"/>
      <c r="D30" s="23"/>
      <c r="E30" s="146" t="s">
        <v>164</v>
      </c>
      <c r="F30" s="147" t="s">
        <v>138</v>
      </c>
      <c r="G30" s="147" t="s">
        <v>139</v>
      </c>
      <c r="H30" s="147" t="s">
        <v>140</v>
      </c>
      <c r="I30" s="148"/>
      <c r="J30" s="148"/>
    </row>
    <row r="31" spans="1:10" x14ac:dyDescent="0.25">
      <c r="A31" s="149" t="s">
        <v>165</v>
      </c>
      <c r="B31" s="152">
        <v>3.551991651866783E-2</v>
      </c>
      <c r="C31" s="23"/>
      <c r="D31" s="23"/>
      <c r="E31" s="148" t="s">
        <v>166</v>
      </c>
      <c r="F31" s="150"/>
      <c r="G31" s="150"/>
      <c r="H31" s="150" t="s">
        <v>143</v>
      </c>
      <c r="I31" s="148"/>
      <c r="J31" s="148"/>
    </row>
    <row r="32" spans="1:10" x14ac:dyDescent="0.25">
      <c r="A32" s="154" t="s">
        <v>167</v>
      </c>
      <c r="B32" s="155"/>
      <c r="C32" s="23"/>
      <c r="D32" s="23"/>
      <c r="E32" s="148" t="s">
        <v>168</v>
      </c>
      <c r="F32" s="150" t="s">
        <v>143</v>
      </c>
      <c r="G32" s="150"/>
      <c r="H32" s="150"/>
      <c r="I32" s="148"/>
      <c r="J32" s="148" t="s">
        <v>299</v>
      </c>
    </row>
    <row r="33" spans="1:10" x14ac:dyDescent="0.25">
      <c r="A33" s="149" t="s">
        <v>170</v>
      </c>
      <c r="B33" s="152">
        <v>3.1122803487775463E-2</v>
      </c>
      <c r="C33" s="23"/>
      <c r="D33" s="23"/>
      <c r="E33" s="148" t="s">
        <v>171</v>
      </c>
      <c r="F33" s="150"/>
      <c r="G33" s="150" t="s">
        <v>143</v>
      </c>
      <c r="H33" s="150"/>
      <c r="I33" s="148"/>
      <c r="J33" s="148"/>
    </row>
    <row r="34" spans="1:10" x14ac:dyDescent="0.25">
      <c r="A34" s="149" t="s">
        <v>172</v>
      </c>
      <c r="B34" s="152">
        <v>2.2865771588246962E-3</v>
      </c>
      <c r="C34" s="23"/>
      <c r="D34" s="23"/>
      <c r="E34" s="148" t="s">
        <v>173</v>
      </c>
      <c r="F34" s="150" t="s">
        <v>143</v>
      </c>
      <c r="G34" s="150"/>
      <c r="H34" s="150"/>
      <c r="I34" s="148"/>
      <c r="J34" s="148" t="s">
        <v>300</v>
      </c>
    </row>
    <row r="35" spans="1:10" x14ac:dyDescent="0.25">
      <c r="A35" s="149" t="s">
        <v>173</v>
      </c>
      <c r="B35" s="152">
        <v>3.7123984675650118E-2</v>
      </c>
      <c r="C35" s="23"/>
      <c r="D35" s="23"/>
      <c r="E35" s="148" t="s">
        <v>130</v>
      </c>
      <c r="F35" s="150"/>
      <c r="G35" s="150" t="s">
        <v>143</v>
      </c>
      <c r="H35" s="150"/>
      <c r="I35" s="148"/>
    </row>
    <row r="36" spans="1:10" x14ac:dyDescent="0.25">
      <c r="A36" s="149" t="s">
        <v>174</v>
      </c>
      <c r="B36" s="152">
        <v>9.9284557583358027E-4</v>
      </c>
      <c r="C36" s="23"/>
      <c r="D36" s="23"/>
      <c r="E36" s="146" t="s">
        <v>175</v>
      </c>
      <c r="F36" s="147" t="s">
        <v>138</v>
      </c>
      <c r="G36" s="147" t="s">
        <v>139</v>
      </c>
      <c r="H36" s="147" t="s">
        <v>140</v>
      </c>
      <c r="I36" s="148"/>
      <c r="J36" s="148"/>
    </row>
    <row r="37" spans="1:10" x14ac:dyDescent="0.25">
      <c r="A37" s="149" t="s">
        <v>166</v>
      </c>
      <c r="B37" s="152">
        <v>0.89102581962174443</v>
      </c>
      <c r="C37" s="23"/>
      <c r="D37" s="23"/>
      <c r="E37" s="148" t="s">
        <v>176</v>
      </c>
      <c r="F37" s="150"/>
      <c r="G37" s="150" t="s">
        <v>143</v>
      </c>
      <c r="H37" s="150"/>
      <c r="I37" s="148"/>
      <c r="J37" s="148"/>
    </row>
    <row r="38" spans="1:10" x14ac:dyDescent="0.25">
      <c r="A38" s="149" t="s">
        <v>178</v>
      </c>
      <c r="B38" s="152">
        <v>1.9135351195853714E-2</v>
      </c>
      <c r="C38" s="23"/>
      <c r="D38" s="23"/>
      <c r="E38" s="148" t="s">
        <v>179</v>
      </c>
      <c r="F38" s="150"/>
      <c r="G38" s="150" t="s">
        <v>143</v>
      </c>
      <c r="H38" s="150"/>
      <c r="I38" s="148"/>
      <c r="J38" s="148"/>
    </row>
    <row r="39" spans="1:10" x14ac:dyDescent="0.25">
      <c r="A39" s="149" t="s">
        <v>180</v>
      </c>
      <c r="B39" s="152">
        <v>1.8297532368570721E-2</v>
      </c>
      <c r="C39" s="23"/>
      <c r="D39" s="23"/>
      <c r="E39" s="146" t="s">
        <v>181</v>
      </c>
      <c r="F39" s="147" t="s">
        <v>138</v>
      </c>
      <c r="G39" s="147" t="s">
        <v>139</v>
      </c>
      <c r="H39" s="147" t="s">
        <v>140</v>
      </c>
      <c r="I39" s="148"/>
      <c r="J39" s="148"/>
    </row>
    <row r="40" spans="1:10" x14ac:dyDescent="0.25">
      <c r="A40" s="154" t="s">
        <v>182</v>
      </c>
      <c r="B40" s="155"/>
      <c r="C40" s="23"/>
      <c r="D40" s="23"/>
      <c r="E40" s="148" t="s">
        <v>183</v>
      </c>
      <c r="F40" s="150" t="s">
        <v>143</v>
      </c>
      <c r="G40" s="150"/>
      <c r="H40" s="150"/>
      <c r="I40" s="148"/>
      <c r="J40" s="148" t="s">
        <v>301</v>
      </c>
    </row>
    <row r="41" spans="1:10" x14ac:dyDescent="0.25">
      <c r="A41" s="149" t="s">
        <v>176</v>
      </c>
      <c r="B41" s="152">
        <v>0.96660000000000001</v>
      </c>
      <c r="C41" s="23"/>
      <c r="D41" s="23"/>
      <c r="E41" s="148" t="s">
        <v>185</v>
      </c>
      <c r="F41" s="150"/>
      <c r="G41" s="150" t="s">
        <v>143</v>
      </c>
      <c r="H41" s="150"/>
      <c r="I41" s="148"/>
      <c r="J41" s="148"/>
    </row>
    <row r="42" spans="1:10" x14ac:dyDescent="0.25">
      <c r="A42" s="149" t="s">
        <v>179</v>
      </c>
      <c r="B42" s="152">
        <v>3.3300000000000003E-2</v>
      </c>
      <c r="C42" s="23"/>
      <c r="D42" s="23"/>
      <c r="E42" s="148" t="s">
        <v>186</v>
      </c>
      <c r="F42" s="150"/>
      <c r="G42" s="150"/>
      <c r="H42" s="150" t="s">
        <v>143</v>
      </c>
      <c r="I42" s="148"/>
      <c r="J42" s="148"/>
    </row>
    <row r="43" spans="1:10" x14ac:dyDescent="0.25">
      <c r="A43" s="154" t="s">
        <v>187</v>
      </c>
      <c r="B43" s="155"/>
      <c r="C43" s="23"/>
      <c r="D43" s="23"/>
      <c r="E43" s="23"/>
    </row>
    <row r="44" spans="1:10" x14ac:dyDescent="0.25">
      <c r="A44" s="149" t="s">
        <v>188</v>
      </c>
      <c r="B44" s="152">
        <v>5.3607387068573903E-2</v>
      </c>
      <c r="C44" s="23"/>
      <c r="D44" s="23"/>
      <c r="E44" s="23"/>
    </row>
    <row r="45" spans="1:10" x14ac:dyDescent="0.25">
      <c r="A45" s="149" t="s">
        <v>189</v>
      </c>
      <c r="B45" s="152">
        <v>9.9396945587084007E-2</v>
      </c>
      <c r="C45" s="62"/>
      <c r="D45" s="62"/>
      <c r="E45" s="62"/>
    </row>
    <row r="46" spans="1:10" x14ac:dyDescent="0.25">
      <c r="A46" s="149" t="s">
        <v>190</v>
      </c>
      <c r="B46" s="152">
        <v>0.15316627867908658</v>
      </c>
      <c r="C46" s="23"/>
      <c r="D46" s="23"/>
      <c r="E46" s="23"/>
    </row>
    <row r="47" spans="1:10" x14ac:dyDescent="0.25">
      <c r="A47" s="149" t="s">
        <v>191</v>
      </c>
      <c r="B47" s="152">
        <v>0.16373676704061538</v>
      </c>
      <c r="C47" s="23"/>
      <c r="D47" s="23"/>
      <c r="E47" s="23"/>
    </row>
    <row r="48" spans="1:10" x14ac:dyDescent="0.25">
      <c r="A48" s="149" t="s">
        <v>192</v>
      </c>
      <c r="B48" s="152">
        <v>0.23364213232271422</v>
      </c>
      <c r="C48" s="62"/>
      <c r="D48" s="62"/>
      <c r="E48" s="62"/>
    </row>
    <row r="49" spans="1:5" x14ac:dyDescent="0.25">
      <c r="A49" s="149" t="s">
        <v>193</v>
      </c>
      <c r="B49" s="152">
        <v>0.29647264928753841</v>
      </c>
      <c r="C49" s="23"/>
      <c r="D49" s="23"/>
      <c r="E49" s="23"/>
    </row>
    <row r="50" spans="1:5" x14ac:dyDescent="0.25">
      <c r="B50" s="125"/>
      <c r="C50" s="23"/>
      <c r="D50" s="23"/>
      <c r="E50" s="23"/>
    </row>
    <row r="51" spans="1:5" x14ac:dyDescent="0.25">
      <c r="B51" s="125"/>
      <c r="C51" s="23"/>
      <c r="D51" s="23"/>
      <c r="E51" s="23"/>
    </row>
    <row r="54" spans="1:5" x14ac:dyDescent="0.25">
      <c r="A54" s="156" t="s">
        <v>200</v>
      </c>
      <c r="B54" s="8">
        <v>2014</v>
      </c>
      <c r="C54" s="8">
        <v>2019</v>
      </c>
      <c r="D54" s="8" t="s">
        <v>202</v>
      </c>
      <c r="E54" s="8"/>
    </row>
    <row r="55" spans="1:5" x14ac:dyDescent="0.25">
      <c r="A55" t="s">
        <v>203</v>
      </c>
      <c r="B55" s="125" t="s">
        <v>26</v>
      </c>
      <c r="C55" t="s">
        <v>26</v>
      </c>
      <c r="D55">
        <v>2</v>
      </c>
    </row>
    <row r="56" spans="1:5" x14ac:dyDescent="0.25">
      <c r="A56" t="s">
        <v>205</v>
      </c>
      <c r="B56" s="125" t="s">
        <v>204</v>
      </c>
      <c r="C56" t="s">
        <v>26</v>
      </c>
      <c r="D56">
        <v>2</v>
      </c>
    </row>
    <row r="57" spans="1:5" x14ac:dyDescent="0.25">
      <c r="A57" t="s">
        <v>206</v>
      </c>
      <c r="B57" s="125" t="s">
        <v>207</v>
      </c>
      <c r="C57" t="s">
        <v>207</v>
      </c>
      <c r="D57">
        <v>2</v>
      </c>
    </row>
    <row r="58" spans="1:5" x14ac:dyDescent="0.25">
      <c r="A58" t="s">
        <v>208</v>
      </c>
      <c r="B58" s="125" t="s">
        <v>26</v>
      </c>
      <c r="C58" t="s">
        <v>26</v>
      </c>
      <c r="D58">
        <v>2</v>
      </c>
    </row>
    <row r="59" spans="1:5" x14ac:dyDescent="0.25">
      <c r="A59" t="s">
        <v>209</v>
      </c>
      <c r="B59" s="125" t="s">
        <v>5</v>
      </c>
      <c r="C59" t="s">
        <v>26</v>
      </c>
      <c r="D59" t="s">
        <v>5</v>
      </c>
    </row>
    <row r="61" spans="1:5" x14ac:dyDescent="0.25">
      <c r="A61">
        <v>2</v>
      </c>
      <c r="B61" t="s">
        <v>211</v>
      </c>
    </row>
    <row r="63" spans="1:5" x14ac:dyDescent="0.25">
      <c r="A63" s="8" t="s">
        <v>212</v>
      </c>
    </row>
    <row r="64" spans="1:5" x14ac:dyDescent="0.25">
      <c r="A64">
        <v>1</v>
      </c>
    </row>
    <row r="65" spans="1:3" x14ac:dyDescent="0.25">
      <c r="A65">
        <v>2</v>
      </c>
    </row>
    <row r="66" spans="1:3" x14ac:dyDescent="0.25">
      <c r="A66">
        <v>3</v>
      </c>
    </row>
    <row r="67" spans="1:3" x14ac:dyDescent="0.25">
      <c r="A67">
        <v>4</v>
      </c>
    </row>
    <row r="68" spans="1:3" x14ac:dyDescent="0.25">
      <c r="A68">
        <v>5</v>
      </c>
    </row>
    <row r="71" spans="1:3" x14ac:dyDescent="0.25">
      <c r="A71" s="723" t="s">
        <v>302</v>
      </c>
      <c r="B71" s="723"/>
    </row>
    <row r="72" spans="1:3" x14ac:dyDescent="0.25">
      <c r="A72" s="174" t="s">
        <v>303</v>
      </c>
      <c r="B72" s="126">
        <v>2.1880000000000002</v>
      </c>
      <c r="C72" s="724"/>
    </row>
    <row r="73" spans="1:3" x14ac:dyDescent="0.25">
      <c r="A73" s="175" t="s">
        <v>304</v>
      </c>
      <c r="B73" s="126">
        <v>2.2090000000000001</v>
      </c>
      <c r="C73" s="724"/>
    </row>
    <row r="74" spans="1:3" x14ac:dyDescent="0.25">
      <c r="A74" s="176" t="s">
        <v>305</v>
      </c>
      <c r="B74" s="126">
        <v>2.254</v>
      </c>
      <c r="C74" s="724"/>
    </row>
    <row r="75" spans="1:3" x14ac:dyDescent="0.25">
      <c r="A75" s="174" t="s">
        <v>306</v>
      </c>
      <c r="B75" s="126">
        <v>2.3010000000000002</v>
      </c>
      <c r="C75" s="724"/>
    </row>
    <row r="76" spans="1:3" x14ac:dyDescent="0.25">
      <c r="A76" s="176" t="s">
        <v>307</v>
      </c>
      <c r="B76" s="126">
        <v>2.448</v>
      </c>
    </row>
    <row r="77" spans="1:3" x14ac:dyDescent="0.25">
      <c r="A77" s="177" t="s">
        <v>308</v>
      </c>
      <c r="B77" s="126">
        <v>2.5350000000000001</v>
      </c>
    </row>
    <row r="78" spans="1:3" x14ac:dyDescent="0.25">
      <c r="A78" s="28" t="s">
        <v>309</v>
      </c>
      <c r="B78" s="126">
        <v>2.6019999999999999</v>
      </c>
    </row>
    <row r="79" spans="1:3" x14ac:dyDescent="0.25">
      <c r="A79" s="28" t="s">
        <v>310</v>
      </c>
      <c r="B79" s="126">
        <v>2.67</v>
      </c>
    </row>
    <row r="80" spans="1:3" x14ac:dyDescent="0.25">
      <c r="A80" s="28" t="s">
        <v>311</v>
      </c>
      <c r="B80" s="126">
        <v>2.74</v>
      </c>
    </row>
    <row r="81" spans="1:4" x14ac:dyDescent="0.25">
      <c r="A81" s="28" t="s">
        <v>312</v>
      </c>
      <c r="B81" s="126">
        <v>2.7469999999999999</v>
      </c>
    </row>
    <row r="82" spans="1:4" x14ac:dyDescent="0.25">
      <c r="A82" s="178"/>
      <c r="B82" s="23"/>
    </row>
    <row r="84" spans="1:4" x14ac:dyDescent="0.25">
      <c r="A84" s="158" t="s">
        <v>313</v>
      </c>
      <c r="B84" s="158" t="s">
        <v>314</v>
      </c>
      <c r="C84" s="158" t="s">
        <v>315</v>
      </c>
    </row>
    <row r="85" spans="1:4" x14ac:dyDescent="0.25">
      <c r="A85" s="160" t="s">
        <v>316</v>
      </c>
      <c r="B85" s="83">
        <v>240148</v>
      </c>
      <c r="C85" s="92" t="s">
        <v>317</v>
      </c>
    </row>
    <row r="86" spans="1:4" x14ac:dyDescent="0.25">
      <c r="A86" s="160" t="s">
        <v>318</v>
      </c>
      <c r="B86" s="83">
        <v>188609</v>
      </c>
      <c r="C86" s="161" t="s">
        <v>319</v>
      </c>
    </row>
    <row r="87" spans="1:4" x14ac:dyDescent="0.25">
      <c r="A87" s="160" t="s">
        <v>273</v>
      </c>
      <c r="B87" s="83">
        <v>143951</v>
      </c>
      <c r="C87" s="161" t="s">
        <v>320</v>
      </c>
    </row>
    <row r="88" spans="1:4" x14ac:dyDescent="0.25">
      <c r="A88" s="160" t="s">
        <v>321</v>
      </c>
      <c r="B88" s="83">
        <v>119197</v>
      </c>
      <c r="C88" s="161" t="s">
        <v>319</v>
      </c>
    </row>
    <row r="89" spans="1:4" x14ac:dyDescent="0.25">
      <c r="A89" s="160" t="s">
        <v>322</v>
      </c>
      <c r="B89" s="83">
        <v>83810</v>
      </c>
      <c r="C89" s="161" t="s">
        <v>323</v>
      </c>
    </row>
    <row r="90" spans="1:4" x14ac:dyDescent="0.25">
      <c r="A90" s="160" t="s">
        <v>324</v>
      </c>
      <c r="B90" s="83">
        <v>76633</v>
      </c>
      <c r="C90" s="92" t="s">
        <v>317</v>
      </c>
    </row>
    <row r="91" spans="1:4" ht="15.75" thickBot="1" x14ac:dyDescent="0.3">
      <c r="A91" s="160"/>
      <c r="B91" s="83"/>
      <c r="C91" s="161"/>
    </row>
    <row r="92" spans="1:4" x14ac:dyDescent="0.25">
      <c r="A92" s="160" t="s">
        <v>325</v>
      </c>
      <c r="B92" s="83">
        <v>34505</v>
      </c>
      <c r="C92" s="161" t="s">
        <v>326</v>
      </c>
      <c r="D92" s="725" t="s">
        <v>327</v>
      </c>
    </row>
    <row r="93" spans="1:4" x14ac:dyDescent="0.25">
      <c r="A93" s="160" t="s">
        <v>328</v>
      </c>
      <c r="B93" s="83">
        <v>15528</v>
      </c>
      <c r="C93" s="161" t="s">
        <v>329</v>
      </c>
      <c r="D93" s="726"/>
    </row>
    <row r="94" spans="1:4" x14ac:dyDescent="0.25">
      <c r="A94" s="160" t="s">
        <v>330</v>
      </c>
      <c r="B94" s="83">
        <v>58317</v>
      </c>
      <c r="C94" s="161" t="s">
        <v>331</v>
      </c>
      <c r="D94" s="726"/>
    </row>
    <row r="95" spans="1:4" x14ac:dyDescent="0.25">
      <c r="A95" s="160" t="s">
        <v>332</v>
      </c>
      <c r="B95" s="83">
        <v>32881</v>
      </c>
      <c r="C95" s="161" t="s">
        <v>240</v>
      </c>
      <c r="D95" s="726"/>
    </row>
    <row r="96" spans="1:4" ht="15.75" thickBot="1" x14ac:dyDescent="0.3">
      <c r="A96" s="160" t="s">
        <v>282</v>
      </c>
      <c r="B96" s="83">
        <v>18446</v>
      </c>
      <c r="C96" s="161" t="s">
        <v>333</v>
      </c>
      <c r="D96" s="727"/>
    </row>
    <row r="97" spans="1:4" x14ac:dyDescent="0.25">
      <c r="A97" s="160"/>
      <c r="B97" s="83"/>
      <c r="C97" s="161"/>
    </row>
    <row r="98" spans="1:4" x14ac:dyDescent="0.25">
      <c r="A98" s="160"/>
      <c r="C98" s="161"/>
    </row>
    <row r="99" spans="1:4" x14ac:dyDescent="0.25">
      <c r="A99" s="156" t="s">
        <v>334</v>
      </c>
      <c r="B99" s="156" t="s">
        <v>221</v>
      </c>
      <c r="C99" s="156" t="s">
        <v>222</v>
      </c>
    </row>
    <row r="100" spans="1:4" x14ac:dyDescent="0.25">
      <c r="A100" s="160"/>
      <c r="C100" s="159"/>
    </row>
    <row r="101" spans="1:4" x14ac:dyDescent="0.25">
      <c r="A101" s="160"/>
      <c r="C101" s="159"/>
    </row>
    <row r="102" spans="1:4" x14ac:dyDescent="0.25">
      <c r="A102" s="160"/>
      <c r="C102" s="159"/>
    </row>
    <row r="104" spans="1:4" x14ac:dyDescent="0.25">
      <c r="B104" s="721" t="s">
        <v>225</v>
      </c>
      <c r="C104" s="721"/>
      <c r="D104" s="721"/>
    </row>
    <row r="105" spans="1:4" x14ac:dyDescent="0.25">
      <c r="B105">
        <v>2019</v>
      </c>
      <c r="C105">
        <v>2014</v>
      </c>
      <c r="D105" t="s">
        <v>226</v>
      </c>
    </row>
    <row r="106" spans="1:4" x14ac:dyDescent="0.25">
      <c r="B106" s="92">
        <v>0.13980000000000001</v>
      </c>
      <c r="C106" s="92">
        <v>0.1394</v>
      </c>
      <c r="D106" t="s">
        <v>238</v>
      </c>
    </row>
    <row r="108" spans="1:4" x14ac:dyDescent="0.25">
      <c r="B108" s="721" t="s">
        <v>228</v>
      </c>
      <c r="C108" s="721"/>
      <c r="D108" s="721"/>
    </row>
    <row r="109" spans="1:4" x14ac:dyDescent="0.25">
      <c r="B109">
        <v>2019</v>
      </c>
      <c r="C109">
        <v>2014</v>
      </c>
      <c r="D109" t="s">
        <v>226</v>
      </c>
    </row>
    <row r="110" spans="1:4" x14ac:dyDescent="0.25">
      <c r="B110" s="92">
        <v>0.29899999999999999</v>
      </c>
      <c r="C110" s="141">
        <v>0.33500000000000002</v>
      </c>
      <c r="D110" t="s">
        <v>239</v>
      </c>
    </row>
    <row r="112" spans="1:4" x14ac:dyDescent="0.25">
      <c r="B112" s="721" t="s">
        <v>229</v>
      </c>
      <c r="C112" s="721"/>
      <c r="D112" s="721"/>
    </row>
    <row r="113" spans="2:6" x14ac:dyDescent="0.25">
      <c r="B113">
        <v>2019</v>
      </c>
      <c r="C113">
        <v>2014</v>
      </c>
      <c r="D113" t="s">
        <v>226</v>
      </c>
    </row>
    <row r="114" spans="2:6" x14ac:dyDescent="0.25">
      <c r="B114" s="92">
        <v>0.98650000000000004</v>
      </c>
      <c r="C114" s="92">
        <v>0.97319999999999995</v>
      </c>
      <c r="D114" s="167"/>
    </row>
    <row r="115" spans="2:6" x14ac:dyDescent="0.25">
      <c r="B115" s="722" t="s">
        <v>230</v>
      </c>
      <c r="C115" s="722"/>
      <c r="D115" s="722"/>
      <c r="E115" s="722"/>
      <c r="F115" s="722"/>
    </row>
    <row r="117" spans="2:6" x14ac:dyDescent="0.25">
      <c r="B117" s="721" t="s">
        <v>231</v>
      </c>
      <c r="C117" s="721"/>
      <c r="D117" s="721"/>
    </row>
    <row r="118" spans="2:6" x14ac:dyDescent="0.25">
      <c r="B118">
        <v>2019</v>
      </c>
      <c r="C118">
        <v>2014</v>
      </c>
      <c r="D118" t="s">
        <v>226</v>
      </c>
    </row>
    <row r="119" spans="2:6" x14ac:dyDescent="0.25">
      <c r="B119" s="92">
        <v>0.96</v>
      </c>
      <c r="C119" s="92">
        <v>0.97</v>
      </c>
      <c r="D119" t="s">
        <v>239</v>
      </c>
    </row>
    <row r="123" spans="2:6" x14ac:dyDescent="0.25">
      <c r="B123" s="722"/>
      <c r="C123" s="722"/>
      <c r="D123" s="722"/>
    </row>
    <row r="125" spans="2:6" x14ac:dyDescent="0.25">
      <c r="B125" s="92"/>
      <c r="C125" s="92"/>
    </row>
  </sheetData>
  <mergeCells count="11">
    <mergeCell ref="B108:D108"/>
    <mergeCell ref="B112:D112"/>
    <mergeCell ref="B115:F115"/>
    <mergeCell ref="B117:D117"/>
    <mergeCell ref="B123:D123"/>
    <mergeCell ref="B104:D104"/>
    <mergeCell ref="B1:E1"/>
    <mergeCell ref="A8:C8"/>
    <mergeCell ref="A71:B71"/>
    <mergeCell ref="C72:C75"/>
    <mergeCell ref="D92:D9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70C0"/>
    <pageSetUpPr fitToPage="1"/>
  </sheetPr>
  <dimension ref="A1:Y75"/>
  <sheetViews>
    <sheetView tabSelected="1" view="pageBreakPreview" topLeftCell="A30" zoomScale="85" zoomScaleNormal="85" zoomScaleSheetLayoutView="85" workbookViewId="0">
      <selection activeCell="G63" sqref="G63"/>
    </sheetView>
  </sheetViews>
  <sheetFormatPr defaultRowHeight="15" x14ac:dyDescent="0.25"/>
  <cols>
    <col min="1" max="1" width="3.5703125" customWidth="1"/>
    <col min="2" max="2" width="20.7109375" customWidth="1"/>
    <col min="3" max="13" width="13.28515625" customWidth="1"/>
    <col min="14" max="14" width="15.5703125" customWidth="1"/>
    <col min="15" max="15" width="15.85546875" customWidth="1"/>
    <col min="16" max="16" width="13.5703125" bestFit="1" customWidth="1"/>
    <col min="17" max="17" width="15.28515625" bestFit="1" customWidth="1"/>
    <col min="18" max="18" width="14" customWidth="1"/>
    <col min="19" max="19" width="11.85546875" customWidth="1"/>
    <col min="20" max="20" width="11.85546875" bestFit="1" customWidth="1"/>
  </cols>
  <sheetData>
    <row r="1" spans="2:25" ht="23.25" x14ac:dyDescent="0.35">
      <c r="B1" s="26" t="s">
        <v>525</v>
      </c>
      <c r="C1" s="26"/>
      <c r="D1" s="26"/>
    </row>
    <row r="3" spans="2:25" ht="16.5" thickBot="1" x14ac:dyDescent="0.3">
      <c r="B3" s="33" t="s">
        <v>6</v>
      </c>
      <c r="C3" s="33"/>
    </row>
    <row r="4" spans="2:25" s="45" customFormat="1" ht="24.75" thickBot="1" x14ac:dyDescent="0.3">
      <c r="B4" s="46"/>
      <c r="C4" s="613" t="s">
        <v>73</v>
      </c>
      <c r="D4" s="619"/>
      <c r="E4" s="619"/>
      <c r="F4" s="619"/>
      <c r="G4" s="619"/>
      <c r="H4" s="619"/>
      <c r="I4" s="619"/>
      <c r="J4" s="614"/>
      <c r="K4" s="390" t="s">
        <v>486</v>
      </c>
      <c r="L4" s="613" t="s">
        <v>485</v>
      </c>
      <c r="M4" s="614"/>
      <c r="N4" s="613" t="s">
        <v>444</v>
      </c>
      <c r="O4" s="614"/>
    </row>
    <row r="5" spans="2:25" ht="35.1" customHeight="1" x14ac:dyDescent="0.25">
      <c r="B5" s="611" t="s">
        <v>0</v>
      </c>
      <c r="C5" s="565" t="s">
        <v>63</v>
      </c>
      <c r="D5" s="566"/>
      <c r="E5" s="566"/>
      <c r="F5" s="566"/>
      <c r="G5" s="566"/>
      <c r="H5" s="566"/>
      <c r="I5" s="566"/>
      <c r="J5" s="567"/>
      <c r="K5" s="604" t="s">
        <v>509</v>
      </c>
      <c r="L5" s="607" t="s">
        <v>487</v>
      </c>
      <c r="M5" s="615" t="s">
        <v>488</v>
      </c>
      <c r="N5" s="607" t="s">
        <v>40</v>
      </c>
      <c r="O5" s="615" t="s">
        <v>27</v>
      </c>
      <c r="P5" s="604" t="s">
        <v>42</v>
      </c>
      <c r="Q5" s="604" t="s">
        <v>1</v>
      </c>
    </row>
    <row r="6" spans="2:25" ht="35.1" customHeight="1" thickBot="1" x14ac:dyDescent="0.3">
      <c r="B6" s="612"/>
      <c r="C6" s="444" t="s">
        <v>326</v>
      </c>
      <c r="D6" s="445" t="s">
        <v>535</v>
      </c>
      <c r="E6" s="445" t="s">
        <v>534</v>
      </c>
      <c r="F6" s="445" t="s">
        <v>416</v>
      </c>
      <c r="G6" s="445" t="s">
        <v>240</v>
      </c>
      <c r="H6" s="445" t="s">
        <v>439</v>
      </c>
      <c r="I6" s="445" t="s">
        <v>672</v>
      </c>
      <c r="J6" s="446" t="s">
        <v>23</v>
      </c>
      <c r="K6" s="606"/>
      <c r="L6" s="608"/>
      <c r="M6" s="616"/>
      <c r="N6" s="608"/>
      <c r="O6" s="616"/>
      <c r="P6" s="606"/>
      <c r="Q6" s="605"/>
      <c r="S6" s="55"/>
      <c r="T6" s="56"/>
    </row>
    <row r="7" spans="2:25" ht="15" customHeight="1" x14ac:dyDescent="0.25">
      <c r="B7" s="67">
        <f>'Project Data and Assumptions'!C4</f>
        <v>2028</v>
      </c>
      <c r="C7" s="286">
        <f>_xlfn.XLOOKUP($B7,'QoL Benefits - BCRT'!$B$7:$B$31,'QoL Benefits - BCRT'!$U$7:$U$31,0)</f>
        <v>0</v>
      </c>
      <c r="D7" s="300">
        <f>_xlfn.XLOOKUP($B7,'QoL Benefits - CP South RT'!$B$7:$B$31,'QoL Benefits - CP South RT'!$U$7:$U$31,0)</f>
        <v>0</v>
      </c>
      <c r="E7" s="300">
        <f>_xlfn.XLOOKUP($B7,'QoL Benefits - CP North RT'!$B$7:$B$31,'QoL Benefits - CP North RT'!$U$7:$U$31,0)</f>
        <v>0</v>
      </c>
      <c r="F7" s="300">
        <f>_xlfn.XLOOKUP($B7,'QoL Benefits - Eagle RT'!$B$7:$B$31,'QoL Benefits - Eagle RT'!$U$7:$U$31,0)</f>
        <v>0</v>
      </c>
      <c r="G7" s="300">
        <f>_xlfn.XLOOKUP($B7,'QoL Benefits - Med Lake RT'!$B$7:$B$31,'QoL Benefits - Med Lake RT'!$U$7:$U$31,0)</f>
        <v>0</v>
      </c>
      <c r="H7" s="300">
        <f>_xlfn.XLOOKUP($B7,'QoL Benefits - Shingle Crk NAR'!$B$7:$B$31,'QoL Benefits - Shingle Crk NAR'!$U$7:$U$31,0)</f>
        <v>0</v>
      </c>
      <c r="I7" s="300">
        <f>_xlfn.XLOOKUP($B7,'QoL Benefits - Twin Lakes RT'!$B$7:$B$31,'QoL Benefits - Twin Lakes RT'!$U$7:$U$31,0)</f>
        <v>0</v>
      </c>
      <c r="J7" s="303">
        <f t="shared" ref="J7:J30" si="0">SUM(C7:I7)</f>
        <v>0</v>
      </c>
      <c r="K7" s="287">
        <f>_xlfn.XLOOKUP(B7,'Operating Cost Savings'!$B$6:$B$32,'Operating Cost Savings'!$D$6:$D$32,0)</f>
        <v>0</v>
      </c>
      <c r="L7" s="68">
        <f>_xlfn.XLOOKUP(B7,'Air Quality'!$B$5:$B$32,'Air Quality'!$M$5:$M$32)</f>
        <v>0</v>
      </c>
      <c r="M7" s="387">
        <f>_xlfn.XLOOKUP(B7,'Air Quality'!$B$5:$B$32,'Air Quality'!$E$5:$E$32)</f>
        <v>0</v>
      </c>
      <c r="N7" s="280">
        <f>-_xlfn.XLOOKUP($B7,'Operation and Maintenance'!$B$9:$B$32,'Operation and Maintenance'!$X$9:$X$32,0)</f>
        <v>-19091.199999999997</v>
      </c>
      <c r="O7" s="5">
        <f>_xlfn.XLOOKUP($B7,'Capital Costs'!$B$7:$B$38,'Capital Costs'!$E$7:$E$38)</f>
        <v>0</v>
      </c>
      <c r="P7" s="287">
        <f>SUM(J7:L7,N7:O7)</f>
        <v>-19091.199999999997</v>
      </c>
      <c r="Q7" s="291">
        <f>P7*(1+0.07)^-(B7-'Project Data and Assumptions'!$C$3)+M7</f>
        <v>-11889.039872267103</v>
      </c>
    </row>
    <row r="8" spans="2:25" ht="15" customHeight="1" x14ac:dyDescent="0.25">
      <c r="B8" s="310">
        <f>B7+1</f>
        <v>2029</v>
      </c>
      <c r="C8" s="311">
        <f>_xlfn.XLOOKUP($B8,'QoL Benefits - BCRT'!$B$7:$B$31,'QoL Benefits - BCRT'!$U$7:$U$31,0)</f>
        <v>0</v>
      </c>
      <c r="D8" s="312">
        <f>_xlfn.XLOOKUP($B8,'QoL Benefits - CP South RT'!$B$7:$B$31,'QoL Benefits - CP South RT'!$U$7:$U$31,0)</f>
        <v>0</v>
      </c>
      <c r="E8" s="312">
        <f>_xlfn.XLOOKUP($B8,'QoL Benefits - CP North RT'!$B$7:$B$31,'QoL Benefits - CP North RT'!$U$7:$U$31,0)</f>
        <v>0</v>
      </c>
      <c r="F8" s="312">
        <f>_xlfn.XLOOKUP($B8,'QoL Benefits - Eagle RT'!$B$7:$B$31,'QoL Benefits - Eagle RT'!$U$7:$U$31,0)</f>
        <v>0</v>
      </c>
      <c r="G8" s="312">
        <f>_xlfn.XLOOKUP($B8,'QoL Benefits - Med Lake RT'!$B$7:$B$31,'QoL Benefits - Med Lake RT'!$U$7:$U$31,0)</f>
        <v>0</v>
      </c>
      <c r="H8" s="312">
        <f>_xlfn.XLOOKUP($B8,'QoL Benefits - Shingle Crk NAR'!$B$7:$B$31,'QoL Benefits - Shingle Crk NAR'!$U$7:$U$31,0)</f>
        <v>0</v>
      </c>
      <c r="I8" s="312">
        <f>_xlfn.XLOOKUP($B8,'QoL Benefits - Twin Lakes RT'!$B$7:$B$31,'QoL Benefits - Twin Lakes RT'!$U$7:$U$31,0)</f>
        <v>0</v>
      </c>
      <c r="J8" s="305">
        <f t="shared" si="0"/>
        <v>0</v>
      </c>
      <c r="K8" s="290">
        <f>_xlfn.XLOOKUP(B8,'Operating Cost Savings'!$B$6:$B$32,'Operating Cost Savings'!$D$6:$D$32,0)</f>
        <v>0</v>
      </c>
      <c r="L8" s="278">
        <f>_xlfn.XLOOKUP(B8,'Air Quality'!$B$5:$B$32,'Air Quality'!$M$5:$M$32)</f>
        <v>0</v>
      </c>
      <c r="M8" s="388">
        <f>_xlfn.XLOOKUP(B8,'Air Quality'!$B$5:$B$32,'Air Quality'!$E$5:$E$32)</f>
        <v>0</v>
      </c>
      <c r="N8" s="278">
        <f>-_xlfn.XLOOKUP($B8,'Operation and Maintenance'!$B$9:$B$32,'Operation and Maintenance'!$X$9:$X$32,0)</f>
        <v>-19091.199999999997</v>
      </c>
      <c r="O8" s="10">
        <f>_xlfn.XLOOKUP($B8,'Capital Costs'!$B$7:$B$38,'Capital Costs'!$E$7:$E$38)</f>
        <v>0</v>
      </c>
      <c r="P8" s="290">
        <f t="shared" ref="P8:P9" si="1">SUM(J8:L8,N8:O8)</f>
        <v>-19091.199999999997</v>
      </c>
      <c r="Q8" s="291">
        <f>P8*(1+0.07)^-(B8-'Project Data and Assumptions'!$C$3)+M8</f>
        <v>-11111.25221707206</v>
      </c>
      <c r="R8" s="5"/>
    </row>
    <row r="9" spans="2:25" ht="15" customHeight="1" x14ac:dyDescent="0.25">
      <c r="B9" s="306">
        <f t="shared" ref="B9:B30" si="2">B8+1</f>
        <v>2030</v>
      </c>
      <c r="C9" s="307">
        <f>_xlfn.XLOOKUP($B9,'QoL Benefits - BCRT'!$B$7:$B$31,'QoL Benefits - BCRT'!$U$7:$U$31,0)</f>
        <v>0</v>
      </c>
      <c r="D9" s="308">
        <f>_xlfn.XLOOKUP($B9,'QoL Benefits - CP South RT'!$B$7:$B$31,'QoL Benefits - CP South RT'!$U$7:$U$31,0)</f>
        <v>0</v>
      </c>
      <c r="E9" s="312">
        <f>_xlfn.XLOOKUP($B9,'QoL Benefits - CP North RT'!$B$7:$B$31,'QoL Benefits - CP North RT'!$U$7:$U$31,0)</f>
        <v>0</v>
      </c>
      <c r="F9" s="308">
        <f>_xlfn.XLOOKUP($B9,'QoL Benefits - Eagle RT'!$B$7:$B$31,'QoL Benefits - Eagle RT'!$U$7:$U$31,0)</f>
        <v>2201178.7786063976</v>
      </c>
      <c r="G9" s="308">
        <f>_xlfn.XLOOKUP($B9,'QoL Benefits - Med Lake RT'!$B$7:$B$31,'QoL Benefits - Med Lake RT'!$U$7:$U$31,0)</f>
        <v>1706548.9877934444</v>
      </c>
      <c r="H9" s="308">
        <f>_xlfn.XLOOKUP($B9,'QoL Benefits - Shingle Crk NAR'!$B$7:$B$31,'QoL Benefits - Shingle Crk NAR'!$U$7:$U$31,0)</f>
        <v>623268.71655814047</v>
      </c>
      <c r="I9" s="308">
        <f>_xlfn.XLOOKUP($B9,'QoL Benefits - Twin Lakes RT'!$B$7:$B$31,'QoL Benefits - Twin Lakes RT'!$U$7:$U$31,0)</f>
        <v>0</v>
      </c>
      <c r="J9" s="309">
        <f t="shared" si="0"/>
        <v>4530996.4829579825</v>
      </c>
      <c r="K9" s="296">
        <f>_xlfn.XLOOKUP(B9,'Operating Cost Savings'!$B$6:$B$32,'Operating Cost Savings'!$D$6:$D$32,0)</f>
        <v>14492.516433450108</v>
      </c>
      <c r="L9" s="280">
        <f>_xlfn.XLOOKUP(B9,'Air Quality'!$B$5:$B$32,'Air Quality'!$M$5:$M$32)</f>
        <v>305.41918660364399</v>
      </c>
      <c r="M9" s="389">
        <f>_xlfn.XLOOKUP(B9,'Air Quality'!$B$5:$B$32,'Air Quality'!$E$5:$E$32)</f>
        <v>497.88756039499032</v>
      </c>
      <c r="N9" s="292">
        <f>-_xlfn.XLOOKUP($B9,'Operation and Maintenance'!$B$9:$B$32,'Operation and Maintenance'!$X$9:$X$32,0)</f>
        <v>-19091.199999999997</v>
      </c>
      <c r="O9" s="5">
        <f>_xlfn.XLOOKUP($B9,'Capital Costs'!$B$7:$B$38,'Capital Costs'!$E$7:$E$38)</f>
        <v>0</v>
      </c>
      <c r="P9" s="296">
        <f t="shared" si="1"/>
        <v>4526703.2185780359</v>
      </c>
      <c r="Q9" s="291">
        <f>P9*(1+0.07)^-(B9-'Project Data and Assumptions'!$C$3)+M9</f>
        <v>2462724.5108092548</v>
      </c>
      <c r="S9" s="122"/>
      <c r="T9" s="122"/>
      <c r="U9" s="122"/>
      <c r="V9" s="122"/>
      <c r="W9" s="122"/>
      <c r="X9" s="122"/>
      <c r="Y9" s="122"/>
    </row>
    <row r="10" spans="2:25" ht="15" customHeight="1" x14ac:dyDescent="0.25">
      <c r="B10" s="60">
        <f t="shared" si="2"/>
        <v>2031</v>
      </c>
      <c r="C10" s="289">
        <f>_xlfn.XLOOKUP($B10,'QoL Benefits - BCRT'!$B$7:$B$31,'QoL Benefits - BCRT'!$U$7:$U$31,0)</f>
        <v>0</v>
      </c>
      <c r="D10" s="301">
        <f>_xlfn.XLOOKUP($B10,'QoL Benefits - CP South RT'!$B$7:$B$31,'QoL Benefits - CP South RT'!$U$7:$U$31,0)</f>
        <v>5988556.0214870069</v>
      </c>
      <c r="E10" s="312">
        <f>_xlfn.XLOOKUP($B10,'QoL Benefits - CP North RT'!$B$7:$B$31,'QoL Benefits - CP North RT'!$U$7:$U$31,0)</f>
        <v>4714395.1658514738</v>
      </c>
      <c r="F10" s="301">
        <f>_xlfn.XLOOKUP($B10,'QoL Benefits - Eagle RT'!$B$7:$B$31,'QoL Benefits - Eagle RT'!$U$7:$U$31,0)</f>
        <v>2360859.9831256815</v>
      </c>
      <c r="G10" s="301">
        <f>_xlfn.XLOOKUP($B10,'QoL Benefits - Med Lake RT'!$B$7:$B$31,'QoL Benefits - Med Lake RT'!$U$7:$U$31,0)</f>
        <v>1734080.8668489831</v>
      </c>
      <c r="H10" s="301">
        <f>_xlfn.XLOOKUP($B10,'QoL Benefits - Shingle Crk NAR'!$B$7:$B$31,'QoL Benefits - Shingle Crk NAR'!$U$7:$U$31,0)</f>
        <v>628859.80917718261</v>
      </c>
      <c r="I10" s="301">
        <f>_xlfn.XLOOKUP($B10,'QoL Benefits - Twin Lakes RT'!$B$7:$B$31,'QoL Benefits - Twin Lakes RT'!$U$7:$U$31,0)</f>
        <v>494980.67679570999</v>
      </c>
      <c r="J10" s="305">
        <f t="shared" si="0"/>
        <v>15921732.523286037</v>
      </c>
      <c r="K10" s="290">
        <f>_xlfn.XLOOKUP(B10,'Operating Cost Savings'!$B$6:$B$32,'Operating Cost Savings'!$D$6:$D$32,0)</f>
        <v>71643.291041805685</v>
      </c>
      <c r="L10" s="278">
        <f>_xlfn.XLOOKUP(B10,'Air Quality'!$B$5:$B$32,'Air Quality'!$M$5:$M$32)</f>
        <v>1509.8299716322865</v>
      </c>
      <c r="M10" s="388">
        <f>_xlfn.XLOOKUP(B10,'Air Quality'!$B$5:$B$32,'Air Quality'!$E$5:$E$32)</f>
        <v>2426.366247294905</v>
      </c>
      <c r="N10" s="15">
        <f>-_xlfn.XLOOKUP($B10,'Operation and Maintenance'!$B$9:$B$32,'Operation and Maintenance'!$X$9:$X$32,0)</f>
        <v>-37331.199999999997</v>
      </c>
      <c r="O10" s="293">
        <f>_xlfn.XLOOKUP($B10,'Capital Costs'!$B$7:$B$38,'Capital Costs'!$E$7:$E$38)</f>
        <v>0</v>
      </c>
      <c r="P10" s="290">
        <f>SUM(J10:L10,N10:O10)</f>
        <v>15957554.444299476</v>
      </c>
      <c r="Q10" s="291">
        <f>P10*(1+0.07)^-(B10-'Project Data and Assumptions'!$C$3)+M10</f>
        <v>8114437.8722081529</v>
      </c>
      <c r="S10" s="122"/>
      <c r="T10" s="122"/>
      <c r="U10" s="122"/>
      <c r="V10" s="122"/>
      <c r="W10" s="122"/>
      <c r="X10" s="122"/>
      <c r="Y10" s="122"/>
    </row>
    <row r="11" spans="2:25" ht="15" customHeight="1" x14ac:dyDescent="0.25">
      <c r="B11" s="60">
        <f t="shared" si="2"/>
        <v>2032</v>
      </c>
      <c r="C11" s="289">
        <f>_xlfn.XLOOKUP($B11,'QoL Benefits - BCRT'!$B$7:$B$31,'QoL Benefits - BCRT'!$U$7:$U$31,0)</f>
        <v>0</v>
      </c>
      <c r="D11" s="301">
        <f>_xlfn.XLOOKUP($B11,'QoL Benefits - CP South RT'!$B$7:$B$31,'QoL Benefits - CP South RT'!$U$7:$U$31,0)</f>
        <v>6437668.8486721991</v>
      </c>
      <c r="E11" s="312">
        <f>_xlfn.XLOOKUP($B11,'QoL Benefits - CP North RT'!$B$7:$B$31,'QoL Benefits - CP North RT'!$U$7:$U$31,0)</f>
        <v>5067952.0723589659</v>
      </c>
      <c r="F11" s="301">
        <f>_xlfn.XLOOKUP($B11,'QoL Benefits - Eagle RT'!$B$7:$B$31,'QoL Benefits - Eagle RT'!$U$7:$U$31,0)</f>
        <v>2532125.0205096789</v>
      </c>
      <c r="G11" s="301">
        <f>_xlfn.XLOOKUP($B11,'QoL Benefits - Med Lake RT'!$B$7:$B$31,'QoL Benefits - Med Lake RT'!$U$7:$U$31,0)</f>
        <v>1762056.9197136241</v>
      </c>
      <c r="H11" s="301">
        <f>_xlfn.XLOOKUP($B11,'QoL Benefits - Shingle Crk NAR'!$B$7:$B$31,'QoL Benefits - Shingle Crk NAR'!$U$7:$U$31,0)</f>
        <v>634501.05723615631</v>
      </c>
      <c r="I11" s="301">
        <f>_xlfn.XLOOKUP($B11,'QoL Benefits - Twin Lakes RT'!$B$7:$B$31,'QoL Benefits - Twin Lakes RT'!$U$7:$U$31,0)</f>
        <v>497152.02060156711</v>
      </c>
      <c r="J11" s="305">
        <f t="shared" si="0"/>
        <v>16931455.939092193</v>
      </c>
      <c r="K11" s="290">
        <f>_xlfn.XLOOKUP(B11,'Operating Cost Savings'!$B$6:$B$32,'Operating Cost Savings'!$D$6:$D$32,0)</f>
        <v>76699.770140115565</v>
      </c>
      <c r="L11" s="278">
        <f>_xlfn.XLOOKUP(B11,'Air Quality'!$B$5:$B$32,'Air Quality'!$M$5:$M$32)</f>
        <v>1616.3915712258281</v>
      </c>
      <c r="M11" s="388">
        <f>_xlfn.XLOOKUP(B11,'Air Quality'!$B$5:$B$32,'Air Quality'!$E$5:$E$32)</f>
        <v>2560.1684025218215</v>
      </c>
      <c r="N11" s="15">
        <f>-_xlfn.XLOOKUP($B11,'Operation and Maintenance'!$B$9:$B$32,'Operation and Maintenance'!$X$9:$X$32,0)</f>
        <v>-68339.199999999997</v>
      </c>
      <c r="O11" s="293">
        <f>_xlfn.XLOOKUP($B11,'Capital Costs'!$B$7:$B$38,'Capital Costs'!$E$7:$E$38)</f>
        <v>0</v>
      </c>
      <c r="P11" s="290">
        <f t="shared" ref="P11:P30" si="3">SUM(J11:L11,N11:O11)</f>
        <v>16941432.900803536</v>
      </c>
      <c r="Q11" s="291">
        <f>P11*(1+0.07)^-(B11-'Project Data and Assumptions'!$C$3)+M11</f>
        <v>8051312.9000579379</v>
      </c>
      <c r="S11" s="122"/>
      <c r="T11" s="122"/>
      <c r="U11" s="122"/>
      <c r="V11" s="122"/>
      <c r="W11" s="122"/>
      <c r="X11" s="122"/>
      <c r="Y11" s="122"/>
    </row>
    <row r="12" spans="2:25" ht="15" customHeight="1" x14ac:dyDescent="0.25">
      <c r="B12" s="60">
        <f t="shared" si="2"/>
        <v>2033</v>
      </c>
      <c r="C12" s="289">
        <f>_xlfn.XLOOKUP($B12,'QoL Benefits - BCRT'!$B$7:$B$31,'QoL Benefits - BCRT'!$U$7:$U$31,0)</f>
        <v>0</v>
      </c>
      <c r="D12" s="301">
        <f>_xlfn.XLOOKUP($B12,'QoL Benefits - CP South RT'!$B$7:$B$31,'QoL Benefits - CP South RT'!$U$7:$U$31,0)</f>
        <v>6920462.9724535281</v>
      </c>
      <c r="E12" s="312">
        <f>_xlfn.XLOOKUP($B12,'QoL Benefits - CP North RT'!$B$7:$B$31,'QoL Benefits - CP North RT'!$U$7:$U$31,0)</f>
        <v>5448024.042144266</v>
      </c>
      <c r="F12" s="301">
        <f>_xlfn.XLOOKUP($B12,'QoL Benefits - Eagle RT'!$B$7:$B$31,'QoL Benefits - Eagle RT'!$U$7:$U$31,0)</f>
        <v>2715814.2224946236</v>
      </c>
      <c r="G12" s="301">
        <f>_xlfn.XLOOKUP($B12,'QoL Benefits - Med Lake RT'!$B$7:$B$31,'QoL Benefits - Med Lake RT'!$U$7:$U$31,0)</f>
        <v>1790484.3122757655</v>
      </c>
      <c r="H12" s="301">
        <f>_xlfn.XLOOKUP($B12,'QoL Benefits - Shingle Crk NAR'!$B$7:$B$31,'QoL Benefits - Shingle Crk NAR'!$U$7:$U$31,0)</f>
        <v>640192.91065931215</v>
      </c>
      <c r="I12" s="301">
        <f>_xlfn.XLOOKUP($B12,'QoL Benefits - Twin Lakes RT'!$B$7:$B$31,'QoL Benefits - Twin Lakes RT'!$U$7:$U$31,0)</f>
        <v>499332.88949424942</v>
      </c>
      <c r="J12" s="305">
        <f t="shared" si="0"/>
        <v>18014311.349521741</v>
      </c>
      <c r="K12" s="290">
        <f>_xlfn.XLOOKUP(B12,'Operating Cost Savings'!$B$6:$B$32,'Operating Cost Savings'!$D$6:$D$32,0)</f>
        <v>82130.423780433717</v>
      </c>
      <c r="L12" s="278">
        <f>_xlfn.XLOOKUP(B12,'Air Quality'!$B$5:$B$32,'Air Quality'!$M$5:$M$32)</f>
        <v>1730.838625687938</v>
      </c>
      <c r="M12" s="388">
        <f>_xlfn.XLOOKUP(B12,'Air Quality'!$B$5:$B$32,'Air Quality'!$E$5:$E$32)</f>
        <v>2701.3161797633588</v>
      </c>
      <c r="N12" s="15">
        <f>-_xlfn.XLOOKUP($B12,'Operation and Maintenance'!$B$9:$B$32,'Operation and Maintenance'!$X$9:$X$32,0)</f>
        <v>-68339.199999999997</v>
      </c>
      <c r="O12" s="293">
        <f>_xlfn.XLOOKUP($B12,'Capital Costs'!$B$7:$B$38,'Capital Costs'!$E$7:$E$38)</f>
        <v>0</v>
      </c>
      <c r="P12" s="290">
        <f t="shared" si="3"/>
        <v>18029833.411927864</v>
      </c>
      <c r="Q12" s="291">
        <f>P12*(1+0.07)^-(B12-'Project Data and Assumptions'!$C$3)+M12</f>
        <v>8008162.974193925</v>
      </c>
      <c r="S12" s="122"/>
      <c r="T12" s="122"/>
      <c r="U12" s="122"/>
      <c r="V12" s="122"/>
      <c r="W12" s="122"/>
      <c r="X12" s="122"/>
      <c r="Y12" s="122"/>
    </row>
    <row r="13" spans="2:25" ht="15" customHeight="1" x14ac:dyDescent="0.25">
      <c r="B13" s="60">
        <f t="shared" si="2"/>
        <v>2034</v>
      </c>
      <c r="C13" s="289">
        <f>_xlfn.XLOOKUP($B13,'QoL Benefits - BCRT'!$B$7:$B$31,'QoL Benefits - BCRT'!$U$7:$U$31,0)</f>
        <v>652099.65535378247</v>
      </c>
      <c r="D13" s="301">
        <f>_xlfn.XLOOKUP($B13,'QoL Benefits - CP South RT'!$B$7:$B$31,'QoL Benefits - CP South RT'!$U$7:$U$31,0)</f>
        <v>7439464.3276779354</v>
      </c>
      <c r="E13" s="312">
        <f>_xlfn.XLOOKUP($B13,'QoL Benefits - CP North RT'!$B$7:$B$31,'QoL Benefits - CP North RT'!$U$7:$U$31,0)</f>
        <v>5856599.5771081606</v>
      </c>
      <c r="F13" s="301">
        <f>_xlfn.XLOOKUP($B13,'QoL Benefits - Eagle RT'!$B$7:$B$31,'QoL Benefits - Eagle RT'!$U$7:$U$31,0)</f>
        <v>2912828.881418922</v>
      </c>
      <c r="G13" s="301">
        <f>_xlfn.XLOOKUP($B13,'QoL Benefits - Med Lake RT'!$B$7:$B$31,'QoL Benefits - Med Lake RT'!$U$7:$U$31,0)</f>
        <v>1819370.3260316045</v>
      </c>
      <c r="H13" s="301">
        <f>_xlfn.XLOOKUP($B13,'QoL Benefits - Shingle Crk NAR'!$B$7:$B$31,'QoL Benefits - Shingle Crk NAR'!$U$7:$U$31,0)</f>
        <v>645935.82340698969</v>
      </c>
      <c r="I13" s="301">
        <f>_xlfn.XLOOKUP($B13,'QoL Benefits - Twin Lakes RT'!$B$7:$B$31,'QoL Benefits - Twin Lakes RT'!$U$7:$U$31,0)</f>
        <v>501523.32525768731</v>
      </c>
      <c r="J13" s="305">
        <f t="shared" si="0"/>
        <v>19827821.916255083</v>
      </c>
      <c r="K13" s="290">
        <f>_xlfn.XLOOKUP(B13,'Operating Cost Savings'!$B$6:$B$32,'Operating Cost Savings'!$D$6:$D$32,0)</f>
        <v>90562.906856727699</v>
      </c>
      <c r="L13" s="278">
        <f>_xlfn.XLOOKUP(B13,'Air Quality'!$B$5:$B$32,'Air Quality'!$M$5:$M$32)</f>
        <v>1908.5470405127326</v>
      </c>
      <c r="M13" s="388">
        <f>_xlfn.XLOOKUP(B13,'Air Quality'!$B$5:$B$32,'Air Quality'!$E$5:$E$32)</f>
        <v>2934.4361441944748</v>
      </c>
      <c r="N13" s="15">
        <f>-_xlfn.XLOOKUP($B13,'Operation and Maintenance'!$B$9:$B$32,'Operation and Maintenance'!$X$9:$X$32,0)</f>
        <v>-149979.20000000001</v>
      </c>
      <c r="O13" s="293">
        <f>_xlfn.XLOOKUP($B13,'Capital Costs'!$B$7:$B$38,'Capital Costs'!$E$7:$E$38)</f>
        <v>0</v>
      </c>
      <c r="P13" s="290">
        <f t="shared" si="3"/>
        <v>19770314.170152321</v>
      </c>
      <c r="Q13" s="291">
        <f>P13*(1+0.07)^-(B13-'Project Data and Assumptions'!$C$3)+M13</f>
        <v>8206911.9403443839</v>
      </c>
      <c r="S13" s="122"/>
      <c r="T13" s="122"/>
      <c r="U13" s="122"/>
      <c r="V13" s="122"/>
      <c r="W13" s="122"/>
      <c r="X13" s="122"/>
      <c r="Y13" s="122"/>
    </row>
    <row r="14" spans="2:25" ht="15" customHeight="1" x14ac:dyDescent="0.25">
      <c r="B14" s="60">
        <f t="shared" si="2"/>
        <v>2035</v>
      </c>
      <c r="C14" s="289">
        <f>_xlfn.XLOOKUP($B14,'QoL Benefits - BCRT'!$B$7:$B$31,'QoL Benefits - BCRT'!$U$7:$U$31,0)</f>
        <v>667749.34134671546</v>
      </c>
      <c r="D14" s="301">
        <f>_xlfn.XLOOKUP($B14,'QoL Benefits - CP South RT'!$B$7:$B$31,'QoL Benefits - CP South RT'!$U$7:$U$31,0)</f>
        <v>7997388.2821268402</v>
      </c>
      <c r="E14" s="312">
        <f>_xlfn.XLOOKUP($B14,'QoL Benefits - CP North RT'!$B$7:$B$31,'QoL Benefits - CP North RT'!$U$7:$U$31,0)</f>
        <v>6295816.3072062358</v>
      </c>
      <c r="F14" s="301">
        <f>_xlfn.XLOOKUP($B14,'QoL Benefits - Eagle RT'!$B$7:$B$31,'QoL Benefits - Eagle RT'!$U$7:$U$31,0)</f>
        <v>3124135.6725183758</v>
      </c>
      <c r="G14" s="301">
        <f>_xlfn.XLOOKUP($B14,'QoL Benefits - Med Lake RT'!$B$7:$B$31,'QoL Benefits - Med Lake RT'!$U$7:$U$31,0)</f>
        <v>1848722.359950247</v>
      </c>
      <c r="H14" s="301">
        <f>_xlfn.XLOOKUP($B14,'QoL Benefits - Shingle Crk NAR'!$B$7:$B$31,'QoL Benefits - Shingle Crk NAR'!$U$7:$U$31,0)</f>
        <v>651730.25351182348</v>
      </c>
      <c r="I14" s="301">
        <f>_xlfn.XLOOKUP($B14,'QoL Benefits - Twin Lakes RT'!$B$7:$B$31,'QoL Benefits - Twin Lakes RT'!$U$7:$U$31,0)</f>
        <v>503723.36985910626</v>
      </c>
      <c r="J14" s="305">
        <f t="shared" si="0"/>
        <v>21089265.586519346</v>
      </c>
      <c r="K14" s="290">
        <f>_xlfn.XLOOKUP(B14,'Operating Cost Savings'!$B$6:$B$32,'Operating Cost Savings'!$D$6:$D$32,0)</f>
        <v>96889.987355997626</v>
      </c>
      <c r="L14" s="278">
        <f>_xlfn.XLOOKUP(B14,'Air Quality'!$B$5:$B$32,'Air Quality'!$M$5:$M$32)</f>
        <v>2041.8856355411713</v>
      </c>
      <c r="M14" s="388">
        <f>_xlfn.XLOOKUP(B14,'Air Quality'!$B$5:$B$32,'Air Quality'!$E$5:$E$32)</f>
        <v>3092.1811846679948</v>
      </c>
      <c r="N14" s="15">
        <f>-_xlfn.XLOOKUP($B14,'Operation and Maintenance'!$B$9:$B$32,'Operation and Maintenance'!$X$9:$X$32,0)</f>
        <v>-68339.199999999997</v>
      </c>
      <c r="O14" s="293">
        <f>_xlfn.XLOOKUP($B14,'Capital Costs'!$B$7:$B$38,'Capital Costs'!$E$7:$E$38)</f>
        <v>0</v>
      </c>
      <c r="P14" s="290">
        <f t="shared" si="3"/>
        <v>21119858.259510882</v>
      </c>
      <c r="Q14" s="291">
        <f>P14*(1+0.07)^-(B14-'Project Data and Assumptions'!$C$3)+M14</f>
        <v>8193737.3420651397</v>
      </c>
      <c r="S14" s="122"/>
      <c r="T14" s="122"/>
      <c r="U14" s="122"/>
      <c r="V14" s="122"/>
      <c r="W14" s="122"/>
      <c r="X14" s="122"/>
      <c r="Y14" s="122"/>
    </row>
    <row r="15" spans="2:25" ht="15" customHeight="1" x14ac:dyDescent="0.25">
      <c r="B15" s="60">
        <f t="shared" si="2"/>
        <v>2036</v>
      </c>
      <c r="C15" s="289">
        <f>_xlfn.XLOOKUP($B15,'QoL Benefits - BCRT'!$B$7:$B$31,'QoL Benefits - BCRT'!$U$7:$U$31,0)</f>
        <v>683774.60286658921</v>
      </c>
      <c r="D15" s="301">
        <f>_xlfn.XLOOKUP($B15,'QoL Benefits - CP South RT'!$B$7:$B$31,'QoL Benefits - CP South RT'!$U$7:$U$31,0)</f>
        <v>8597153.8430728391</v>
      </c>
      <c r="E15" s="312">
        <f>_xlfn.XLOOKUP($B15,'QoL Benefits - CP North RT'!$B$7:$B$31,'QoL Benefits - CP North RT'!$U$7:$U$31,0)</f>
        <v>6767972.1743339384</v>
      </c>
      <c r="F15" s="301">
        <f>_xlfn.XLOOKUP($B15,'QoL Benefits - Eagle RT'!$B$7:$B$31,'QoL Benefits - Eagle RT'!$U$7:$U$31,0)</f>
        <v>3350771.3970301477</v>
      </c>
      <c r="G15" s="301">
        <f>_xlfn.XLOOKUP($B15,'QoL Benefits - Med Lake RT'!$B$7:$B$31,'QoL Benefits - Med Lake RT'!$U$7:$U$31,0)</f>
        <v>1878547.9323689034</v>
      </c>
      <c r="H15" s="301">
        <f>_xlfn.XLOOKUP($B15,'QoL Benefits - Shingle Crk NAR'!$B$7:$B$31,'QoL Benefits - Shingle Crk NAR'!$U$7:$U$31,0)</f>
        <v>657576.66311527486</v>
      </c>
      <c r="I15" s="301">
        <f>_xlfn.XLOOKUP($B15,'QoL Benefits - Twin Lakes RT'!$B$7:$B$31,'QoL Benefits - Twin Lakes RT'!$U$7:$U$31,0)</f>
        <v>505933.06544983026</v>
      </c>
      <c r="J15" s="305">
        <f t="shared" si="0"/>
        <v>22441729.678237524</v>
      </c>
      <c r="K15" s="290">
        <f>_xlfn.XLOOKUP(B15,'Operating Cost Savings'!$B$6:$B$32,'Operating Cost Savings'!$D$6:$D$32,0)</f>
        <v>103682.73687971148</v>
      </c>
      <c r="L15" s="278">
        <f>_xlfn.XLOOKUP(B15,'Air Quality'!$B$5:$B$32,'Air Quality'!$M$5:$M$32)</f>
        <v>2185.0378647528291</v>
      </c>
      <c r="M15" s="388">
        <f>_xlfn.XLOOKUP(B15,'Air Quality'!$B$5:$B$32,'Air Quality'!$E$5:$E$32)</f>
        <v>3304.3779717723387</v>
      </c>
      <c r="N15" s="15">
        <f>-_xlfn.XLOOKUP($B15,'Operation and Maintenance'!$B$9:$B$32,'Operation and Maintenance'!$X$9:$X$32,0)</f>
        <v>-68339.199999999997</v>
      </c>
      <c r="O15" s="293">
        <f>_xlfn.XLOOKUP($B15,'Capital Costs'!$B$7:$B$38,'Capital Costs'!$E$7:$E$38)</f>
        <v>0</v>
      </c>
      <c r="P15" s="290">
        <f t="shared" si="3"/>
        <v>22479258.252981987</v>
      </c>
      <c r="Q15" s="291">
        <f>P15*(1+0.07)^-(B15-'Project Data and Assumptions'!$C$3)+M15</f>
        <v>8150822.0562777575</v>
      </c>
      <c r="S15" s="122"/>
      <c r="T15" s="122"/>
      <c r="U15" s="122"/>
      <c r="V15" s="122"/>
      <c r="W15" s="122"/>
      <c r="X15" s="122"/>
      <c r="Y15" s="122"/>
    </row>
    <row r="16" spans="2:25" ht="15" customHeight="1" x14ac:dyDescent="0.25">
      <c r="B16" s="60">
        <f t="shared" si="2"/>
        <v>2037</v>
      </c>
      <c r="C16" s="289">
        <f>_xlfn.XLOOKUP($B16,'QoL Benefits - BCRT'!$B$7:$B$31,'QoL Benefits - BCRT'!$U$7:$U$31,0)</f>
        <v>700184.45331958344</v>
      </c>
      <c r="D16" s="301">
        <f>_xlfn.XLOOKUP($B16,'QoL Benefits - CP South RT'!$B$7:$B$31,'QoL Benefits - CP South RT'!$U$7:$U$31,0)</f>
        <v>9241898.9292597026</v>
      </c>
      <c r="E16" s="312">
        <f>_xlfn.XLOOKUP($B16,'QoL Benefits - CP North RT'!$B$7:$B$31,'QoL Benefits - CP North RT'!$U$7:$U$31,0)</f>
        <v>7275537.4549491275</v>
      </c>
      <c r="F16" s="301">
        <f>_xlfn.XLOOKUP($B16,'QoL Benefits - Eagle RT'!$B$7:$B$31,'QoL Benefits - Eagle RT'!$U$7:$U$31,0)</f>
        <v>3593848.0693780859</v>
      </c>
      <c r="G16" s="301">
        <f>_xlfn.XLOOKUP($B16,'QoL Benefits - Med Lake RT'!$B$7:$B$31,'QoL Benefits - Med Lake RT'!$U$7:$U$31,0)</f>
        <v>1908854.6829186699</v>
      </c>
      <c r="H16" s="301">
        <f>_xlfn.XLOOKUP($B16,'QoL Benefits - Shingle Crk NAR'!$B$7:$B$31,'QoL Benefits - Shingle Crk NAR'!$U$7:$U$31,0)</f>
        <v>663475.5185044898</v>
      </c>
      <c r="I16" s="301">
        <f>_xlfn.XLOOKUP($B16,'QoL Benefits - Twin Lakes RT'!$B$7:$B$31,'QoL Benefits - Twin Lakes RT'!$U$7:$U$31,0)</f>
        <v>508152.45436608919</v>
      </c>
      <c r="J16" s="305">
        <f t="shared" si="0"/>
        <v>23891951.562695749</v>
      </c>
      <c r="K16" s="290">
        <f>_xlfn.XLOOKUP(B16,'Operating Cost Savings'!$B$6:$B$32,'Operating Cost Savings'!$D$6:$D$32,0)</f>
        <v>110975.77175577477</v>
      </c>
      <c r="L16" s="278">
        <f>_xlfn.XLOOKUP(B16,'Air Quality'!$B$5:$B$32,'Air Quality'!$M$5:$M$32)</f>
        <v>2338.7332419461327</v>
      </c>
      <c r="M16" s="388">
        <f>_xlfn.XLOOKUP(B16,'Air Quality'!$B$5:$B$32,'Air Quality'!$E$5:$E$32)</f>
        <v>3481.4854029014045</v>
      </c>
      <c r="N16" s="15">
        <f>-_xlfn.XLOOKUP($B16,'Operation and Maintenance'!$B$9:$B$32,'Operation and Maintenance'!$X$9:$X$32,0)</f>
        <v>-146339.20000000001</v>
      </c>
      <c r="O16" s="293">
        <f>_xlfn.XLOOKUP($B16,'Capital Costs'!$B$7:$B$38,'Capital Costs'!$E$7:$E$38)</f>
        <v>0</v>
      </c>
      <c r="P16" s="290">
        <f t="shared" si="3"/>
        <v>23858926.867693469</v>
      </c>
      <c r="Q16" s="291">
        <f>P16*(1+0.07)^-(B16-'Project Data and Assumptions'!$C$3)+M16</f>
        <v>8085325.4817894911</v>
      </c>
      <c r="S16" s="122"/>
      <c r="T16" s="122"/>
      <c r="U16" s="122"/>
      <c r="V16" s="122"/>
      <c r="W16" s="122"/>
      <c r="X16" s="122"/>
      <c r="Y16" s="122"/>
    </row>
    <row r="17" spans="2:25" ht="15" customHeight="1" x14ac:dyDescent="0.25">
      <c r="B17" s="60">
        <f t="shared" si="2"/>
        <v>2038</v>
      </c>
      <c r="C17" s="289">
        <f>_xlfn.XLOOKUP($B17,'QoL Benefits - BCRT'!$B$7:$B$31,'QoL Benefits - BCRT'!$U$7:$U$31,0)</f>
        <v>716988.12242387095</v>
      </c>
      <c r="D17" s="301">
        <f>_xlfn.XLOOKUP($B17,'QoL Benefits - CP South RT'!$B$7:$B$31,'QoL Benefits - CP South RT'!$U$7:$U$31,0)</f>
        <v>9934996.7882071752</v>
      </c>
      <c r="E17" s="312">
        <f>_xlfn.XLOOKUP($B17,'QoL Benefits - CP North RT'!$B$7:$B$31,'QoL Benefits - CP North RT'!$U$7:$U$31,0)</f>
        <v>7821167.6843333067</v>
      </c>
      <c r="F17" s="301">
        <f>_xlfn.XLOOKUP($B17,'QoL Benefits - Eagle RT'!$B$7:$B$31,'QoL Benefits - Eagle RT'!$U$7:$U$31,0)</f>
        <v>3854558.3734002421</v>
      </c>
      <c r="G17" s="301">
        <f>_xlfn.XLOOKUP($B17,'QoL Benefits - Med Lake RT'!$B$7:$B$31,'QoL Benefits - Med Lake RT'!$U$7:$U$31,0)</f>
        <v>1939650.3744813639</v>
      </c>
      <c r="H17" s="301">
        <f>_xlfn.XLOOKUP($B17,'QoL Benefits - Shingle Crk NAR'!$B$7:$B$31,'QoL Benefits - Shingle Crk NAR'!$U$7:$U$31,0)</f>
        <v>669427.29014948872</v>
      </c>
      <c r="I17" s="301">
        <f>_xlfn.XLOOKUP($B17,'QoL Benefits - Twin Lakes RT'!$B$7:$B$31,'QoL Benefits - Twin Lakes RT'!$U$7:$U$31,0)</f>
        <v>510381.57912983088</v>
      </c>
      <c r="J17" s="305">
        <f t="shared" si="0"/>
        <v>25447170.212125275</v>
      </c>
      <c r="K17" s="290">
        <f>_xlfn.XLOOKUP(B17,'Operating Cost Savings'!$B$6:$B$32,'Operating Cost Savings'!$D$6:$D$32,0)</f>
        <v>118806.28799656987</v>
      </c>
      <c r="L17" s="278">
        <f>_xlfn.XLOOKUP(B17,'Air Quality'!$B$5:$B$32,'Air Quality'!$M$5:$M$32)</f>
        <v>2503.7556458835361</v>
      </c>
      <c r="M17" s="388">
        <f>_xlfn.XLOOKUP(B17,'Air Quality'!$B$5:$B$32,'Air Quality'!$E$5:$E$32)</f>
        <v>3668.1532075828104</v>
      </c>
      <c r="N17" s="15">
        <f>-_xlfn.XLOOKUP($B17,'Operation and Maintenance'!$B$9:$B$32,'Operation and Maintenance'!$X$9:$X$32,0)</f>
        <v>-200939.2</v>
      </c>
      <c r="O17" s="293">
        <f>_xlfn.XLOOKUP($B17,'Capital Costs'!$B$7:$B$38,'Capital Costs'!$E$7:$E$38)</f>
        <v>0</v>
      </c>
      <c r="P17" s="290">
        <f t="shared" ref="P17:P20" si="4">SUM(J17:L17,N17:O17)</f>
        <v>25367541.05576773</v>
      </c>
      <c r="Q17" s="291">
        <f>P17*(1+0.07)^-(B17-'Project Data and Assumptions'!$C$3)+M17</f>
        <v>8034382.0005105417</v>
      </c>
      <c r="S17" s="122"/>
      <c r="T17" s="122"/>
      <c r="U17" s="122"/>
      <c r="V17" s="122"/>
      <c r="W17" s="122"/>
      <c r="X17" s="122"/>
      <c r="Y17" s="122"/>
    </row>
    <row r="18" spans="2:25" ht="15" customHeight="1" x14ac:dyDescent="0.25">
      <c r="B18" s="60">
        <f t="shared" si="2"/>
        <v>2039</v>
      </c>
      <c r="C18" s="289">
        <f>_xlfn.XLOOKUP($B18,'QoL Benefits - BCRT'!$B$7:$B$31,'QoL Benefits - BCRT'!$U$7:$U$31,0)</f>
        <v>734195.06140087231</v>
      </c>
      <c r="D18" s="301">
        <f>_xlfn.XLOOKUP($B18,'QoL Benefits - CP South RT'!$B$7:$B$31,'QoL Benefits - CP South RT'!$U$7:$U$31,0)</f>
        <v>10680073.644734534</v>
      </c>
      <c r="E18" s="312">
        <f>_xlfn.XLOOKUP($B18,'QoL Benefits - CP North RT'!$B$7:$B$31,'QoL Benefits - CP North RT'!$U$7:$U$31,0)</f>
        <v>8407717.550110165</v>
      </c>
      <c r="F18" s="301">
        <f>_xlfn.XLOOKUP($B18,'QoL Benefits - Eagle RT'!$B$7:$B$31,'QoL Benefits - Eagle RT'!$U$7:$U$31,0)</f>
        <v>4134181.514390239</v>
      </c>
      <c r="G18" s="301">
        <f>_xlfn.XLOOKUP($B18,'QoL Benefits - Med Lake RT'!$B$7:$B$31,'QoL Benefits - Med Lake RT'!$U$7:$U$31,0)</f>
        <v>1970942.8951779415</v>
      </c>
      <c r="H18" s="301">
        <f>_xlfn.XLOOKUP($B18,'QoL Benefits - Shingle Crk NAR'!$B$7:$B$31,'QoL Benefits - Shingle Crk NAR'!$U$7:$U$31,0)</f>
        <v>675432.45274068846</v>
      </c>
      <c r="I18" s="301">
        <f>_xlfn.XLOOKUP($B18,'QoL Benefits - Twin Lakes RT'!$B$7:$B$31,'QoL Benefits - Twin Lakes RT'!$U$7:$U$31,0)</f>
        <v>512620.48244953447</v>
      </c>
      <c r="J18" s="305">
        <f t="shared" si="0"/>
        <v>27115163.601003971</v>
      </c>
      <c r="K18" s="290">
        <f>_xlfn.XLOOKUP(B18,'Operating Cost Savings'!$B$6:$B$32,'Operating Cost Savings'!$D$6:$D$32,0)</f>
        <v>127214.25369374044</v>
      </c>
      <c r="L18" s="278">
        <f>_xlfn.XLOOKUP(B18,'Air Quality'!$B$5:$B$32,'Air Quality'!$M$5:$M$32)</f>
        <v>2680.9473748709252</v>
      </c>
      <c r="M18" s="388">
        <f>_xlfn.XLOOKUP(B18,'Air Quality'!$B$5:$B$32,'Air Quality'!$E$5:$E$32)</f>
        <v>3864.8810581853377</v>
      </c>
      <c r="N18" s="15">
        <f>-_xlfn.XLOOKUP($B18,'Operation and Maintenance'!$B$9:$B$32,'Operation and Maintenance'!$X$9:$X$32,0)</f>
        <v>-68339.199999999997</v>
      </c>
      <c r="O18" s="293">
        <f>_xlfn.XLOOKUP($B18,'Capital Costs'!$B$7:$B$38,'Capital Costs'!$E$7:$E$38)</f>
        <v>0</v>
      </c>
      <c r="P18" s="290">
        <f t="shared" si="4"/>
        <v>27176719.602072582</v>
      </c>
      <c r="Q18" s="291">
        <f>P18*(1+0.07)^-(B18-'Project Data and Assumptions'!$C$3)+M18</f>
        <v>8044475.5753013268</v>
      </c>
      <c r="S18" s="122"/>
      <c r="T18" s="122"/>
      <c r="U18" s="122"/>
      <c r="V18" s="122"/>
      <c r="W18" s="122"/>
      <c r="X18" s="122"/>
      <c r="Y18" s="122"/>
    </row>
    <row r="19" spans="2:25" ht="15" customHeight="1" x14ac:dyDescent="0.25">
      <c r="B19" s="60">
        <f t="shared" si="2"/>
        <v>2040</v>
      </c>
      <c r="C19" s="289">
        <f>_xlfn.XLOOKUP($B19,'QoL Benefits - BCRT'!$B$7:$B$31,'QoL Benefits - BCRT'!$U$7:$U$31,0)</f>
        <v>751814.94829109346</v>
      </c>
      <c r="D19" s="301">
        <f>_xlfn.XLOOKUP($B19,'QoL Benefits - CP South RT'!$B$7:$B$31,'QoL Benefits - CP South RT'!$U$7:$U$31,0)</f>
        <v>11481027.673038298</v>
      </c>
      <c r="E19" s="312">
        <f>_xlfn.XLOOKUP($B19,'QoL Benefits - CP North RT'!$B$7:$B$31,'QoL Benefits - CP North RT'!$U$7:$U$31,0)</f>
        <v>9038255.8277110029</v>
      </c>
      <c r="F19" s="301">
        <f>_xlfn.XLOOKUP($B19,'QoL Benefits - Eagle RT'!$B$7:$B$31,'QoL Benefits - Eagle RT'!$U$7:$U$31,0)</f>
        <v>4434089.495666136</v>
      </c>
      <c r="G19" s="301">
        <f>_xlfn.XLOOKUP($B19,'QoL Benefits - Med Lake RT'!$B$7:$B$31,'QoL Benefits - Med Lake RT'!$U$7:$U$31,0)</f>
        <v>2002740.2603889888</v>
      </c>
      <c r="H19" s="301">
        <f>_xlfn.XLOOKUP($B19,'QoL Benefits - Shingle Crk NAR'!$B$7:$B$31,'QoL Benefits - Shingle Crk NAR'!$U$7:$U$31,0)</f>
        <v>681491.4852267633</v>
      </c>
      <c r="I19" s="301">
        <f>_xlfn.XLOOKUP($B19,'QoL Benefits - Twin Lakes RT'!$B$7:$B$31,'QoL Benefits - Twin Lakes RT'!$U$7:$U$31,0)</f>
        <v>514869.20722103026</v>
      </c>
      <c r="J19" s="305">
        <f t="shared" si="0"/>
        <v>28904288.897543311</v>
      </c>
      <c r="K19" s="290">
        <f>_xlfn.XLOOKUP(B19,'Operating Cost Savings'!$B$6:$B$32,'Operating Cost Savings'!$D$6:$D$32,0)</f>
        <v>136242.6157666739</v>
      </c>
      <c r="L19" s="278">
        <f>_xlfn.XLOOKUP(B19,'Air Quality'!$B$5:$B$32,'Air Quality'!$M$5:$M$32)</f>
        <v>2871.2135038307033</v>
      </c>
      <c r="M19" s="388">
        <f>_xlfn.XLOOKUP(B19,'Air Quality'!$B$5:$B$32,'Air Quality'!$E$5:$E$32)</f>
        <v>4072.1937774301396</v>
      </c>
      <c r="N19" s="15">
        <f>-_xlfn.XLOOKUP($B19,'Operation and Maintenance'!$B$9:$B$32,'Operation and Maintenance'!$X$9:$X$32,0)</f>
        <v>-68339.199999999997</v>
      </c>
      <c r="O19" s="293">
        <f>_xlfn.XLOOKUP($B19,'Capital Costs'!$B$7:$B$38,'Capital Costs'!$E$7:$E$38)</f>
        <v>0</v>
      </c>
      <c r="P19" s="290">
        <f t="shared" si="4"/>
        <v>28975063.526813816</v>
      </c>
      <c r="Q19" s="291">
        <f>P19*(1+0.07)^-(B19-'Project Data and Assumptions'!$C$3)+M19</f>
        <v>8015918.7084598942</v>
      </c>
      <c r="S19" s="122"/>
      <c r="T19" s="122"/>
      <c r="U19" s="122"/>
      <c r="V19" s="122"/>
      <c r="W19" s="122"/>
      <c r="X19" s="122"/>
      <c r="Y19" s="122"/>
    </row>
    <row r="20" spans="2:25" ht="15" customHeight="1" x14ac:dyDescent="0.25">
      <c r="B20" s="60">
        <f t="shared" si="2"/>
        <v>2041</v>
      </c>
      <c r="C20" s="289">
        <f>_xlfn.XLOOKUP($B20,'QoL Benefits - BCRT'!$B$7:$B$31,'QoL Benefits - BCRT'!$U$7:$U$31,0)</f>
        <v>769857.69339753827</v>
      </c>
      <c r="D20" s="301">
        <f>_xlfn.XLOOKUP($B20,'QoL Benefits - CP South RT'!$B$7:$B$31,'QoL Benefits - CP South RT'!$U$7:$U$31,0)</f>
        <v>12342049.391584288</v>
      </c>
      <c r="E20" s="312">
        <f>_xlfn.XLOOKUP($B20,'QoL Benefits - CP North RT'!$B$7:$B$31,'QoL Benefits - CP North RT'!$U$7:$U$31,0)</f>
        <v>9716081.4359280542</v>
      </c>
      <c r="F20" s="301">
        <f>_xlfn.XLOOKUP($B20,'QoL Benefits - Eagle RT'!$B$7:$B$31,'QoL Benefits - Eagle RT'!$U$7:$U$31,0)</f>
        <v>4755753.8504635897</v>
      </c>
      <c r="G20" s="301">
        <f>_xlfn.XLOOKUP($B20,'QoL Benefits - Med Lake RT'!$B$7:$B$31,'QoL Benefits - Med Lake RT'!$U$7:$U$31,0)</f>
        <v>2035050.6148078099</v>
      </c>
      <c r="H20" s="301">
        <f>_xlfn.XLOOKUP($B20,'QoL Benefits - Shingle Crk NAR'!$B$7:$B$31,'QoL Benefits - Shingle Crk NAR'!$U$7:$U$31,0)</f>
        <v>687604.87085284234</v>
      </c>
      <c r="I20" s="301">
        <f>_xlfn.XLOOKUP($B20,'QoL Benefits - Twin Lakes RT'!$B$7:$B$31,'QoL Benefits - Twin Lakes RT'!$U$7:$U$31,0)</f>
        <v>517127.79652832024</v>
      </c>
      <c r="J20" s="305">
        <f t="shared" si="0"/>
        <v>30823525.653562449</v>
      </c>
      <c r="K20" s="290">
        <f>_xlfn.XLOOKUP(B20,'Operating Cost Savings'!$B$6:$B$32,'Operating Cost Savings'!$D$6:$D$32,0)</f>
        <v>145937.52213575781</v>
      </c>
      <c r="L20" s="278">
        <f>_xlfn.XLOOKUP(B20,'Air Quality'!$B$5:$B$32,'Air Quality'!$M$5:$M$32)</f>
        <v>3075.5265664407143</v>
      </c>
      <c r="M20" s="388">
        <f>_xlfn.XLOOKUP(B20,'Air Quality'!$B$5:$B$32,'Air Quality'!$E$5:$E$32)</f>
        <v>4346.3652179695819</v>
      </c>
      <c r="N20" s="15">
        <f>-_xlfn.XLOOKUP($B20,'Operation and Maintenance'!$B$9:$B$32,'Operation and Maintenance'!$X$9:$X$32,0)</f>
        <v>-149979.20000000001</v>
      </c>
      <c r="O20" s="293">
        <f>_xlfn.XLOOKUP($B20,'Capital Costs'!$B$7:$B$38,'Capital Costs'!$E$7:$E$38)</f>
        <v>0</v>
      </c>
      <c r="P20" s="290">
        <f t="shared" si="4"/>
        <v>30822559.502264649</v>
      </c>
      <c r="Q20" s="291">
        <f>P20*(1+0.07)^-(B20-'Project Data and Assumptions'!$C$3)+M20</f>
        <v>7969481.4559643334</v>
      </c>
      <c r="S20" s="122"/>
      <c r="T20" s="122"/>
      <c r="U20" s="122"/>
      <c r="V20" s="122"/>
      <c r="W20" s="122"/>
      <c r="X20" s="122"/>
      <c r="Y20" s="122"/>
    </row>
    <row r="21" spans="2:25" ht="15" customHeight="1" x14ac:dyDescent="0.25">
      <c r="B21" s="60">
        <f t="shared" si="2"/>
        <v>2042</v>
      </c>
      <c r="C21" s="289">
        <f>_xlfn.XLOOKUP($B21,'QoL Benefits - BCRT'!$B$7:$B$31,'QoL Benefits - BCRT'!$U$7:$U$31,0)</f>
        <v>788333.44485975732</v>
      </c>
      <c r="D21" s="301">
        <f>_xlfn.XLOOKUP($B21,'QoL Benefits - CP South RT'!$B$7:$B$31,'QoL Benefits - CP South RT'!$U$7:$U$31,0)</f>
        <v>13267643.587518243</v>
      </c>
      <c r="E21" s="312">
        <f>_xlfn.XLOOKUP($B21,'QoL Benefits - CP North RT'!$B$7:$B$31,'QoL Benefits - CP North RT'!$U$7:$U$31,0)</f>
        <v>10444740.696556913</v>
      </c>
      <c r="F21" s="301">
        <f>_xlfn.XLOOKUP($B21,'QoL Benefits - Eagle RT'!$B$7:$B$31,'QoL Benefits - Eagle RT'!$U$7:$U$31,0)</f>
        <v>5100752.8621840486</v>
      </c>
      <c r="G21" s="301">
        <f>_xlfn.XLOOKUP($B21,'QoL Benefits - Med Lake RT'!$B$7:$B$31,'QoL Benefits - Med Lake RT'!$U$7:$U$31,0)</f>
        <v>2067882.2345266391</v>
      </c>
      <c r="H21" s="301">
        <f>_xlfn.XLOOKUP($B21,'QoL Benefits - Shingle Crk NAR'!$B$7:$B$31,'QoL Benefits - Shingle Crk NAR'!$U$7:$U$31,0)</f>
        <v>693773.09719905281</v>
      </c>
      <c r="I21" s="301">
        <f>_xlfn.XLOOKUP($B21,'QoL Benefits - Twin Lakes RT'!$B$7:$B$31,'QoL Benefits - Twin Lakes RT'!$U$7:$U$31,0)</f>
        <v>519396.29364440404</v>
      </c>
      <c r="J21" s="305">
        <f t="shared" si="0"/>
        <v>32882522.216489054</v>
      </c>
      <c r="K21" s="290">
        <f>_xlfn.XLOOKUP(B21,'Operating Cost Savings'!$B$6:$B$32,'Operating Cost Savings'!$D$6:$D$32,0)</f>
        <v>156348.56047142379</v>
      </c>
      <c r="L21" s="278">
        <f>_xlfn.XLOOKUP(B21,'Air Quality'!$B$5:$B$32,'Air Quality'!$M$5:$M$32)</f>
        <v>3294.9315865957606</v>
      </c>
      <c r="M21" s="388">
        <f>_xlfn.XLOOKUP(B21,'Air Quality'!$B$5:$B$32,'Air Quality'!$E$5:$E$32)</f>
        <v>4578.7654733831068</v>
      </c>
      <c r="N21" s="15">
        <f>-_xlfn.XLOOKUP($B21,'Operation and Maintenance'!$B$9:$B$32,'Operation and Maintenance'!$X$9:$X$32,0)</f>
        <v>-68339.199999999997</v>
      </c>
      <c r="O21" s="293">
        <f>_xlfn.XLOOKUP($B21,'Capital Costs'!$B$7:$B$38,'Capital Costs'!$E$7:$E$38)</f>
        <v>0</v>
      </c>
      <c r="P21" s="290">
        <f t="shared" si="3"/>
        <v>32973826.508547075</v>
      </c>
      <c r="Q21" s="291">
        <f>P21*(1+0.07)^-(B21-'Project Data and Assumptions'!$C$3)+M21</f>
        <v>7968189.387245575</v>
      </c>
      <c r="S21" s="122"/>
      <c r="T21" s="122"/>
      <c r="U21" s="122"/>
      <c r="V21" s="122"/>
      <c r="W21" s="122"/>
      <c r="X21" s="122"/>
      <c r="Y21" s="122"/>
    </row>
    <row r="22" spans="2:25" ht="15" customHeight="1" x14ac:dyDescent="0.25">
      <c r="B22" s="60">
        <f t="shared" si="2"/>
        <v>2043</v>
      </c>
      <c r="C22" s="289">
        <f>_xlfn.XLOOKUP($B22,'QoL Benefits - BCRT'!$B$7:$B$31,'QoL Benefits - BCRT'!$U$7:$U$31,0)</f>
        <v>807252.59436166787</v>
      </c>
      <c r="D22" s="301">
        <f>_xlfn.XLOOKUP($B22,'QoL Benefits - CP South RT'!$B$7:$B$31,'QoL Benefits - CP South RT'!$U$7:$U$31,0)</f>
        <v>14262652.885301555</v>
      </c>
      <c r="E22" s="312">
        <f>_xlfn.XLOOKUP($B22,'QoL Benefits - CP North RT'!$B$7:$B$31,'QoL Benefits - CP North RT'!$U$7:$U$31,0)</f>
        <v>11228045.888428882</v>
      </c>
      <c r="F22" s="301">
        <f>_xlfn.XLOOKUP($B22,'QoL Benefits - Eagle RT'!$B$7:$B$31,'QoL Benefits - Eagle RT'!$U$7:$U$31,0)</f>
        <v>5470779.3084250055</v>
      </c>
      <c r="G22" s="301">
        <f>_xlfn.XLOOKUP($B22,'QoL Benefits - Med Lake RT'!$B$7:$B$31,'QoL Benefits - Med Lake RT'!$U$7:$U$31,0)</f>
        <v>2101243.5291565089</v>
      </c>
      <c r="H22" s="301">
        <f>_xlfn.XLOOKUP($B22,'QoL Benefits - Shingle Crk NAR'!$B$7:$B$31,'QoL Benefits - Shingle Crk NAR'!$U$7:$U$31,0)</f>
        <v>699996.65621940629</v>
      </c>
      <c r="I22" s="301">
        <f>_xlfn.XLOOKUP($B22,'QoL Benefits - Twin Lakes RT'!$B$7:$B$31,'QoL Benefits - Twin Lakes RT'!$U$7:$U$31,0)</f>
        <v>521674.74203210819</v>
      </c>
      <c r="J22" s="305">
        <f t="shared" si="0"/>
        <v>35091645.603925139</v>
      </c>
      <c r="K22" s="290">
        <f>_xlfn.XLOOKUP(B22,'Operating Cost Savings'!$B$6:$B$32,'Operating Cost Savings'!$D$6:$D$32,0)</f>
        <v>167529.0147558951</v>
      </c>
      <c r="L22" s="278">
        <f>_xlfn.XLOOKUP(B22,'Air Quality'!$B$5:$B$32,'Air Quality'!$M$5:$M$32)</f>
        <v>3530.551485258834</v>
      </c>
      <c r="M22" s="388">
        <f>_xlfn.XLOOKUP(B22,'Air Quality'!$B$5:$B$32,'Air Quality'!$E$5:$E$32)</f>
        <v>4823.5881297593296</v>
      </c>
      <c r="N22" s="15">
        <f>-_xlfn.XLOOKUP($B22,'Operation and Maintenance'!$B$9:$B$32,'Operation and Maintenance'!$X$9:$X$32,0)</f>
        <v>-68339.199999999997</v>
      </c>
      <c r="O22" s="293">
        <f>_xlfn.XLOOKUP($B22,'Capital Costs'!$B$7:$B$38,'Capital Costs'!$E$7:$E$38)</f>
        <v>0</v>
      </c>
      <c r="P22" s="290">
        <f t="shared" si="3"/>
        <v>35194365.970166288</v>
      </c>
      <c r="Q22" s="291">
        <f>P22*(1+0.07)^-(B22-'Project Data and Assumptions'!$C$3)+M22</f>
        <v>7948655.3277373472</v>
      </c>
      <c r="S22" s="122"/>
      <c r="T22" s="122"/>
      <c r="U22" s="122"/>
      <c r="V22" s="122"/>
      <c r="W22" s="122"/>
      <c r="X22" s="122"/>
      <c r="Y22" s="122"/>
    </row>
    <row r="23" spans="2:25" ht="15" customHeight="1" x14ac:dyDescent="0.25">
      <c r="B23" s="60">
        <f t="shared" si="2"/>
        <v>2044</v>
      </c>
      <c r="C23" s="289">
        <f>_xlfn.XLOOKUP($B23,'QoL Benefits - BCRT'!$B$7:$B$31,'QoL Benefits - BCRT'!$U$7:$U$31,0)</f>
        <v>826625.78297635366</v>
      </c>
      <c r="D23" s="301">
        <f>_xlfn.XLOOKUP($B23,'QoL Benefits - CP South RT'!$B$7:$B$31,'QoL Benefits - CP South RT'!$U$7:$U$31,0)</f>
        <v>15332283.082881013</v>
      </c>
      <c r="E23" s="312">
        <f>_xlfn.XLOOKUP($B23,'QoL Benefits - CP North RT'!$B$7:$B$31,'QoL Benefits - CP North RT'!$U$7:$U$31,0)</f>
        <v>12070095.192906329</v>
      </c>
      <c r="F23" s="301">
        <f>_xlfn.XLOOKUP($B23,'QoL Benefits - Eagle RT'!$B$7:$B$31,'QoL Benefits - Eagle RT'!$U$7:$U$31,0)</f>
        <v>5867648.7667892938</v>
      </c>
      <c r="G23" s="301">
        <f>_xlfn.XLOOKUP($B23,'QoL Benefits - Med Lake RT'!$B$7:$B$31,'QoL Benefits - Med Lake RT'!$U$7:$U$31,0)</f>
        <v>2135143.0439813193</v>
      </c>
      <c r="H23" s="301">
        <f>_xlfn.XLOOKUP($B23,'QoL Benefits - Shingle Crk NAR'!$B$7:$B$31,'QoL Benefits - Shingle Crk NAR'!$U$7:$U$31,0)</f>
        <v>706276.04428103589</v>
      </c>
      <c r="I23" s="301">
        <f>_xlfn.XLOOKUP($B23,'QoL Benefits - Twin Lakes RT'!$B$7:$B$31,'QoL Benefits - Twin Lakes RT'!$U$7:$U$31,0)</f>
        <v>523963.18534491863</v>
      </c>
      <c r="J23" s="305">
        <f t="shared" si="0"/>
        <v>37462035.099160269</v>
      </c>
      <c r="K23" s="290">
        <f>_xlfn.XLOOKUP(B23,'Operating Cost Savings'!$B$6:$B$32,'Operating Cost Savings'!$D$6:$D$32,0)</f>
        <v>179536.14098686897</v>
      </c>
      <c r="L23" s="278">
        <f>_xlfn.XLOOKUP(B23,'Air Quality'!$B$5:$B$32,'Air Quality'!$M$5:$M$32)</f>
        <v>3783.5928907146217</v>
      </c>
      <c r="M23" s="388">
        <f>_xlfn.XLOOKUP(B23,'Air Quality'!$B$5:$B$32,'Air Quality'!$E$5:$E$32)</f>
        <v>5081.4759750186622</v>
      </c>
      <c r="N23" s="15">
        <f>-_xlfn.XLOOKUP($B23,'Operation and Maintenance'!$B$9:$B$32,'Operation and Maintenance'!$X$9:$X$32,0)</f>
        <v>-146339.20000000001</v>
      </c>
      <c r="O23" s="293">
        <f>_xlfn.XLOOKUP($B23,'Capital Costs'!$B$7:$B$38,'Capital Costs'!$E$7:$E$38)</f>
        <v>0</v>
      </c>
      <c r="P23" s="290">
        <f t="shared" si="3"/>
        <v>37499015.63303785</v>
      </c>
      <c r="Q23" s="291">
        <f>P23*(1+0.07)^-(B23-'Project Data and Assumptions'!$C$3)+M23</f>
        <v>7915381.9522777395</v>
      </c>
      <c r="S23" s="122"/>
      <c r="T23" s="122"/>
      <c r="U23" s="122"/>
      <c r="V23" s="122"/>
      <c r="W23" s="122"/>
      <c r="X23" s="122"/>
      <c r="Y23" s="122"/>
    </row>
    <row r="24" spans="2:25" ht="15" customHeight="1" x14ac:dyDescent="0.25">
      <c r="B24" s="60">
        <f t="shared" si="2"/>
        <v>2045</v>
      </c>
      <c r="C24" s="289">
        <f>_xlfn.XLOOKUP($B24,'QoL Benefits - BCRT'!$B$7:$B$31,'QoL Benefits - BCRT'!$U$7:$U$31,0)</f>
        <v>846463.90715113794</v>
      </c>
      <c r="D24" s="301">
        <f>_xlfn.XLOOKUP($B24,'QoL Benefits - CP South RT'!$B$7:$B$31,'QoL Benefits - CP South RT'!$U$7:$U$31,0)</f>
        <v>16482130.38794915</v>
      </c>
      <c r="E24" s="312">
        <f>_xlfn.XLOOKUP($B24,'QoL Benefits - CP North RT'!$B$7:$B$31,'QoL Benefits - CP North RT'!$U$7:$U$31,0)</f>
        <v>12975294.135194013</v>
      </c>
      <c r="F24" s="301">
        <f>_xlfn.XLOOKUP($B24,'QoL Benefits - Eagle RT'!$B$7:$B$31,'QoL Benefits - Eagle RT'!$U$7:$U$31,0)</f>
        <v>6293308.5232267994</v>
      </c>
      <c r="G24" s="301">
        <f>_xlfn.XLOOKUP($B24,'QoL Benefits - Med Lake RT'!$B$7:$B$31,'QoL Benefits - Med Lake RT'!$U$7:$U$31,0)</f>
        <v>2169589.4621466575</v>
      </c>
      <c r="H24" s="301">
        <f>_xlfn.XLOOKUP($B24,'QoL Benefits - Shingle Crk NAR'!$B$7:$B$31,'QoL Benefits - Shingle Crk NAR'!$U$7:$U$31,0)</f>
        <v>712611.76220378454</v>
      </c>
      <c r="I24" s="301">
        <f>_xlfn.XLOOKUP($B24,'QoL Benefits - Twin Lakes RT'!$B$7:$B$31,'QoL Benefits - Twin Lakes RT'!$U$7:$U$31,0)</f>
        <v>526261.66742781701</v>
      </c>
      <c r="J24" s="305">
        <f t="shared" si="0"/>
        <v>40005659.845299348</v>
      </c>
      <c r="K24" s="290">
        <f>_xlfn.XLOOKUP(B24,'Operating Cost Savings'!$B$6:$B$32,'Operating Cost Savings'!$D$6:$D$32,0)</f>
        <v>192431.46345157188</v>
      </c>
      <c r="L24" s="278">
        <f>_xlfn.XLOOKUP(B24,'Air Quality'!$B$5:$B$32,'Air Quality'!$M$5:$M$32)</f>
        <v>4055.3523823285759</v>
      </c>
      <c r="M24" s="388">
        <f>_xlfn.XLOOKUP(B24,'Air Quality'!$B$5:$B$32,'Air Quality'!$E$5:$E$32)</f>
        <v>5353.1040135505064</v>
      </c>
      <c r="N24" s="15">
        <f>-_xlfn.XLOOKUP($B24,'Operation and Maintenance'!$B$9:$B$32,'Operation and Maintenance'!$X$9:$X$32,0)</f>
        <v>-200939.2</v>
      </c>
      <c r="O24" s="293">
        <f>_xlfn.XLOOKUP($B24,'Capital Costs'!$B$7:$B$38,'Capital Costs'!$E$7:$E$38)</f>
        <v>0</v>
      </c>
      <c r="P24" s="290">
        <f t="shared" si="3"/>
        <v>40001207.461133249</v>
      </c>
      <c r="Q24" s="291">
        <f>P24*(1+0.07)^-(B24-'Project Data and Assumptions'!$C$3)+M24</f>
        <v>7891455.9488465441</v>
      </c>
      <c r="S24" s="122"/>
      <c r="T24" s="122"/>
      <c r="U24" s="122"/>
      <c r="V24" s="122"/>
      <c r="W24" s="122"/>
      <c r="X24" s="122"/>
      <c r="Y24" s="122"/>
    </row>
    <row r="25" spans="2:25" ht="15" customHeight="1" x14ac:dyDescent="0.25">
      <c r="B25" s="60">
        <f t="shared" si="2"/>
        <v>2046</v>
      </c>
      <c r="C25" s="289">
        <f>_xlfn.XLOOKUP($B25,'QoL Benefits - BCRT'!$B$7:$B$31,'QoL Benefits - BCRT'!$U$7:$U$31,0)</f>
        <v>866778.12483628548</v>
      </c>
      <c r="D25" s="301">
        <f>_xlfn.XLOOKUP($B25,'QoL Benefits - CP South RT'!$B$7:$B$31,'QoL Benefits - CP South RT'!$U$7:$U$31,0)</f>
        <v>17718210.69679274</v>
      </c>
      <c r="E25" s="312">
        <f>_xlfn.XLOOKUP($B25,'QoL Benefits - CP North RT'!$B$7:$B$31,'QoL Benefits - CP North RT'!$U$7:$U$31,0)</f>
        <v>13948378.633645352</v>
      </c>
      <c r="F25" s="301">
        <f>_xlfn.XLOOKUP($B25,'QoL Benefits - Eagle RT'!$B$7:$B$31,'QoL Benefits - Eagle RT'!$U$7:$U$31,0)</f>
        <v>6749847.1266184635</v>
      </c>
      <c r="G25" s="301">
        <f>_xlfn.XLOOKUP($B25,'QoL Benefits - Med Lake RT'!$B$7:$B$31,'QoL Benefits - Med Lake RT'!$U$7:$U$31,0)</f>
        <v>2204591.6068839296</v>
      </c>
      <c r="H25" s="301">
        <f>_xlfn.XLOOKUP($B25,'QoL Benefits - Shingle Crk NAR'!$B$7:$B$31,'QoL Benefits - Shingle Crk NAR'!$U$7:$U$31,0)</f>
        <v>719004.31530014763</v>
      </c>
      <c r="I25" s="301">
        <f>_xlfn.XLOOKUP($B25,'QoL Benefits - Twin Lakes RT'!$B$7:$B$31,'QoL Benefits - Twin Lakes RT'!$U$7:$U$31,0)</f>
        <v>528570.23231812078</v>
      </c>
      <c r="J25" s="305">
        <f t="shared" si="0"/>
        <v>42735380.736395031</v>
      </c>
      <c r="K25" s="290">
        <f>_xlfn.XLOOKUP(B25,'Operating Cost Savings'!$B$6:$B$32,'Operating Cost Savings'!$D$6:$D$32,0)</f>
        <v>206281.09310623578</v>
      </c>
      <c r="L25" s="278">
        <f>_xlfn.XLOOKUP(B25,'Air Quality'!$B$5:$B$32,'Air Quality'!$M$5:$M$32)</f>
        <v>4347.2232001615675</v>
      </c>
      <c r="M25" s="388">
        <f>_xlfn.XLOOKUP(B25,'Air Quality'!$B$5:$B$32,'Air Quality'!$E$5:$E$32)</f>
        <v>5707.1229979434484</v>
      </c>
      <c r="N25" s="15">
        <f>-_xlfn.XLOOKUP($B25,'Operation and Maintenance'!$B$9:$B$32,'Operation and Maintenance'!$X$9:$X$32,0)</f>
        <v>-68339.199999999997</v>
      </c>
      <c r="O25" s="293">
        <f>_xlfn.XLOOKUP($B25,'Capital Costs'!$B$7:$B$38,'Capital Costs'!$E$7:$E$38)</f>
        <v>0</v>
      </c>
      <c r="P25" s="290">
        <f t="shared" si="3"/>
        <v>42877669.852701426</v>
      </c>
      <c r="Q25" s="291">
        <f>P25*(1+0.07)^-(B25-'Project Data and Assumptions'!$C$3)+M25</f>
        <v>7905882.5274283085</v>
      </c>
      <c r="S25" s="122"/>
      <c r="T25" s="122"/>
      <c r="U25" s="122"/>
      <c r="V25" s="122"/>
      <c r="W25" s="122"/>
      <c r="X25" s="122"/>
      <c r="Y25" s="122"/>
    </row>
    <row r="26" spans="2:25" ht="15" customHeight="1" x14ac:dyDescent="0.25">
      <c r="B26" s="60">
        <f t="shared" si="2"/>
        <v>2047</v>
      </c>
      <c r="C26" s="289">
        <f>_xlfn.XLOOKUP($B26,'QoL Benefits - BCRT'!$B$7:$B$31,'QoL Benefits - BCRT'!$U$7:$U$31,0)</f>
        <v>887579.86176079267</v>
      </c>
      <c r="D26" s="301">
        <f>_xlfn.XLOOKUP($B26,'QoL Benefits - CP South RT'!$B$7:$B$31,'QoL Benefits - CP South RT'!$U$7:$U$31,0)</f>
        <v>19046991.06891384</v>
      </c>
      <c r="E26" s="312">
        <f>_xlfn.XLOOKUP($B26,'QoL Benefits - CP North RT'!$B$7:$B$31,'QoL Benefits - CP North RT'!$U$7:$U$31,0)</f>
        <v>14994439.777655577</v>
      </c>
      <c r="F26" s="301">
        <f>_xlfn.XLOOKUP($B26,'QoL Benefits - Eagle RT'!$B$7:$B$31,'QoL Benefits - Eagle RT'!$U$7:$U$31,0)</f>
        <v>7239504.6364831803</v>
      </c>
      <c r="G26" s="301">
        <f>_xlfn.XLOOKUP($B26,'QoL Benefits - Med Lake RT'!$B$7:$B$31,'QoL Benefits - Med Lake RT'!$U$7:$U$31,0)</f>
        <v>2240158.4437703784</v>
      </c>
      <c r="H26" s="301">
        <f>_xlfn.XLOOKUP($B26,'QoL Benefits - Shingle Crk NAR'!$B$7:$B$31,'QoL Benefits - Shingle Crk NAR'!$U$7:$U$31,0)</f>
        <v>725454.21341557649</v>
      </c>
      <c r="I26" s="301">
        <f>_xlfn.XLOOKUP($B26,'QoL Benefits - Twin Lakes RT'!$B$7:$B$31,'QoL Benefits - Twin Lakes RT'!$U$7:$U$31,0)</f>
        <v>530888.92424632714</v>
      </c>
      <c r="J26" s="305">
        <f t="shared" si="0"/>
        <v>45665016.926245667</v>
      </c>
      <c r="K26" s="290">
        <f>_xlfn.XLOOKUP(B26,'Operating Cost Savings'!$B$6:$B$32,'Operating Cost Savings'!$D$6:$D$32,0)</f>
        <v>221156.0697106141</v>
      </c>
      <c r="L26" s="278">
        <f>_xlfn.XLOOKUP(B26,'Air Quality'!$B$5:$B$32,'Air Quality'!$M$5:$M$32)</f>
        <v>4660.7024552046423</v>
      </c>
      <c r="M26" s="388">
        <f>_xlfn.XLOOKUP(B26,'Air Quality'!$B$5:$B$32,'Air Quality'!$E$5:$E$32)</f>
        <v>6011.1710547310613</v>
      </c>
      <c r="N26" s="15">
        <f>-_xlfn.XLOOKUP($B26,'Operation and Maintenance'!$B$9:$B$32,'Operation and Maintenance'!$X$9:$X$32,0)</f>
        <v>-68339.199999999997</v>
      </c>
      <c r="O26" s="293">
        <f>_xlfn.XLOOKUP($B26,'Capital Costs'!$B$7:$B$38,'Capital Costs'!$E$7:$E$38)</f>
        <v>0</v>
      </c>
      <c r="P26" s="290">
        <f t="shared" si="3"/>
        <v>45822494.498411484</v>
      </c>
      <c r="Q26" s="291">
        <f>P26*(1+0.07)^-(B26-'Project Data and Assumptions'!$C$3)+M26</f>
        <v>7896438.2022226425</v>
      </c>
      <c r="S26" s="122"/>
      <c r="T26" s="122"/>
      <c r="U26" s="122"/>
      <c r="V26" s="122"/>
      <c r="W26" s="122"/>
      <c r="X26" s="122"/>
      <c r="Y26" s="122"/>
    </row>
    <row r="27" spans="2:25" ht="15" customHeight="1" x14ac:dyDescent="0.25">
      <c r="B27" s="60">
        <f t="shared" si="2"/>
        <v>2048</v>
      </c>
      <c r="C27" s="289">
        <f>_xlfn.XLOOKUP($B27,'QoL Benefits - BCRT'!$B$7:$B$31,'QoL Benefits - BCRT'!$U$7:$U$31,0)</f>
        <v>908880.81785878562</v>
      </c>
      <c r="D27" s="301">
        <f>_xlfn.XLOOKUP($B27,'QoL Benefits - CP South RT'!$B$7:$B$31,'QoL Benefits - CP South RT'!$U$7:$U$31,0)</f>
        <v>20475423.562095545</v>
      </c>
      <c r="E27" s="312">
        <f>_xlfn.XLOOKUP($B27,'QoL Benefits - CP North RT'!$B$7:$B$31,'QoL Benefits - CP North RT'!$U$7:$U$31,0)</f>
        <v>16118950.463777345</v>
      </c>
      <c r="F27" s="301">
        <f>_xlfn.XLOOKUP($B27,'QoL Benefits - Eagle RT'!$B$7:$B$31,'QoL Benefits - Eagle RT'!$U$7:$U$31,0)</f>
        <v>7764683.6140891993</v>
      </c>
      <c r="G27" s="301">
        <f>_xlfn.XLOOKUP($B27,'QoL Benefits - Med Lake RT'!$B$7:$B$31,'QoL Benefits - Med Lake RT'!$U$7:$U$31,0)</f>
        <v>2276299.0830255537</v>
      </c>
      <c r="H27" s="301">
        <f>_xlfn.XLOOKUP($B27,'QoL Benefits - Shingle Crk NAR'!$B$7:$B$31,'QoL Benefits - Shingle Crk NAR'!$U$7:$U$31,0)</f>
        <v>731961.97096913937</v>
      </c>
      <c r="I27" s="301">
        <f>_xlfn.XLOOKUP($B27,'QoL Benefits - Twin Lakes RT'!$B$7:$B$31,'QoL Benefits - Twin Lakes RT'!$U$7:$U$31,0)</f>
        <v>533217.78763696051</v>
      </c>
      <c r="J27" s="305">
        <f t="shared" si="0"/>
        <v>48809417.299452521</v>
      </c>
      <c r="K27" s="290">
        <f>_xlfn.XLOOKUP(B27,'Operating Cost Savings'!$B$6:$B$32,'Operating Cost Savings'!$D$6:$D$32,0)</f>
        <v>237132.72949027544</v>
      </c>
      <c r="L27" s="278">
        <f>_xlfn.XLOOKUP(B27,'Air Quality'!$B$5:$B$32,'Air Quality'!$M$5:$M$32)</f>
        <v>4997.398877593012</v>
      </c>
      <c r="M27" s="388">
        <f>_xlfn.XLOOKUP(B27,'Air Quality'!$B$5:$B$32,'Air Quality'!$E$5:$E$32)</f>
        <v>6331.3165003883714</v>
      </c>
      <c r="N27" s="15">
        <f>-_xlfn.XLOOKUP($B27,'Operation and Maintenance'!$B$9:$B$32,'Operation and Maintenance'!$X$9:$X$32,0)</f>
        <v>-149979.20000000001</v>
      </c>
      <c r="O27" s="293">
        <f>_xlfn.XLOOKUP($B27,'Capital Costs'!$B$7:$B$38,'Capital Costs'!$E$7:$E$38)</f>
        <v>0</v>
      </c>
      <c r="P27" s="290">
        <f t="shared" si="3"/>
        <v>48901568.227820382</v>
      </c>
      <c r="Q27" s="291">
        <f>P27*(1+0.07)^-(B27-'Project Data and Assumptions'!$C$3)+M27</f>
        <v>7876078.6529695885</v>
      </c>
      <c r="S27" s="122"/>
      <c r="T27" s="122"/>
      <c r="U27" s="122"/>
      <c r="V27" s="122"/>
      <c r="W27" s="122"/>
      <c r="X27" s="122"/>
      <c r="Y27" s="122"/>
    </row>
    <row r="28" spans="2:25" ht="15" customHeight="1" x14ac:dyDescent="0.25">
      <c r="B28" s="60">
        <f t="shared" si="2"/>
        <v>2049</v>
      </c>
      <c r="C28" s="289">
        <f>_xlfn.XLOOKUP($B28,'QoL Benefits - BCRT'!$B$7:$B$31,'QoL Benefits - BCRT'!$U$7:$U$31,0)</f>
        <v>930692.97385014768</v>
      </c>
      <c r="D28" s="301">
        <f>_xlfn.XLOOKUP($B28,'QoL Benefits - CP South RT'!$B$7:$B$31,'QoL Benefits - CP South RT'!$U$7:$U$31,0)</f>
        <v>22010981.60493467</v>
      </c>
      <c r="E28" s="312">
        <f>_xlfn.XLOOKUP($B28,'QoL Benefits - CP North RT'!$B$7:$B$31,'QoL Benefits - CP North RT'!$U$7:$U$31,0)</f>
        <v>17327794.029416654</v>
      </c>
      <c r="F28" s="301">
        <f>_xlfn.XLOOKUP($B28,'QoL Benefits - Eagle RT'!$B$7:$B$31,'QoL Benefits - Eagle RT'!$U$7:$U$31,0)</f>
        <v>8327960.9108991856</v>
      </c>
      <c r="G28" s="301">
        <f>_xlfn.XLOOKUP($B28,'QoL Benefits - Med Lake RT'!$B$7:$B$31,'QoL Benefits - Med Lake RT'!$U$7:$U$31,0)</f>
        <v>2313022.781844845</v>
      </c>
      <c r="H28" s="301">
        <f>_xlfn.XLOOKUP($B28,'QoL Benefits - Shingle Crk NAR'!$B$7:$B$31,'QoL Benefits - Shingle Crk NAR'!$U$7:$U$31,0)</f>
        <v>738528.10699455172</v>
      </c>
      <c r="I28" s="301">
        <f>_xlfn.XLOOKUP($B28,'QoL Benefits - Twin Lakes RT'!$B$7:$B$31,'QoL Benefits - Twin Lakes RT'!$U$7:$U$31,0)</f>
        <v>535556.86710942292</v>
      </c>
      <c r="J28" s="305">
        <f t="shared" si="0"/>
        <v>52184537.275049485</v>
      </c>
      <c r="K28" s="290">
        <f>_xlfn.XLOOKUP(B28,'Operating Cost Savings'!$B$6:$B$32,'Operating Cost Savings'!$D$6:$D$32,0)</f>
        <v>254293.10023172884</v>
      </c>
      <c r="L28" s="278">
        <f>_xlfn.XLOOKUP(B28,'Air Quality'!$B$5:$B$32,'Air Quality'!$M$5:$M$32)</f>
        <v>5359.0411429469223</v>
      </c>
      <c r="M28" s="388">
        <f>_xlfn.XLOOKUP(B28,'Air Quality'!$B$5:$B$32,'Air Quality'!$E$5:$E$32)</f>
        <v>6668.385174785808</v>
      </c>
      <c r="N28" s="15">
        <f>-_xlfn.XLOOKUP($B28,'Operation and Maintenance'!$B$9:$B$32,'Operation and Maintenance'!$X$9:$X$32,0)</f>
        <v>-68339.199999999997</v>
      </c>
      <c r="O28" s="293">
        <f>_xlfn.XLOOKUP($B28,'Capital Costs'!$B$7:$B$38,'Capital Costs'!$E$7:$E$38)</f>
        <v>0</v>
      </c>
      <c r="P28" s="290">
        <f t="shared" si="3"/>
        <v>52375850.21642416</v>
      </c>
      <c r="Q28" s="291">
        <f>P28*(1+0.07)^-(B28-'Project Data and Assumptions'!$C$3)+M28</f>
        <v>7884112.1356424559</v>
      </c>
      <c r="S28" s="122"/>
      <c r="T28" s="122"/>
      <c r="U28" s="122"/>
      <c r="V28" s="122"/>
      <c r="W28" s="122"/>
      <c r="X28" s="122"/>
      <c r="Y28" s="122"/>
    </row>
    <row r="29" spans="2:25" ht="15" customHeight="1" x14ac:dyDescent="0.25">
      <c r="B29" s="60">
        <f t="shared" si="2"/>
        <v>2050</v>
      </c>
      <c r="C29" s="289">
        <f>_xlfn.XLOOKUP($B29,'QoL Benefits - BCRT'!$B$7:$B$31,'QoL Benefits - BCRT'!$U$7:$U$31,0)</f>
        <v>953028.59797907341</v>
      </c>
      <c r="D29" s="301">
        <f>_xlfn.XLOOKUP($B29,'QoL Benefits - CP South RT'!$B$7:$B$31,'QoL Benefits - CP South RT'!$U$7:$U$31,0)</f>
        <v>23661699.097138878</v>
      </c>
      <c r="E29" s="312">
        <f>_xlfn.XLOOKUP($B29,'QoL Benefits - CP North RT'!$B$7:$B$31,'QoL Benefits - CP North RT'!$U$7:$U$31,0)</f>
        <v>18627295.033917837</v>
      </c>
      <c r="F29" s="301">
        <f>_xlfn.XLOOKUP($B29,'QoL Benefits - Eagle RT'!$B$7:$B$31,'QoL Benefits - Eagle RT'!$U$7:$U$31,0)</f>
        <v>8932100.3121902626</v>
      </c>
      <c r="G29" s="301">
        <f>_xlfn.XLOOKUP($B29,'QoL Benefits - Med Lake RT'!$B$7:$B$31,'QoL Benefits - Med Lake RT'!$U$7:$U$31,0)</f>
        <v>2350338.9467706447</v>
      </c>
      <c r="H29" s="301">
        <f>_xlfn.XLOOKUP($B29,'QoL Benefits - Shingle Crk NAR'!$B$7:$B$31,'QoL Benefits - Shingle Crk NAR'!$U$7:$U$31,0)</f>
        <v>745153.14518157125</v>
      </c>
      <c r="I29" s="301">
        <f>_xlfn.XLOOKUP($B29,'QoL Benefits - Twin Lakes RT'!$B$7:$B$31,'QoL Benefits - Twin Lakes RT'!$U$7:$U$31,0)</f>
        <v>537906.20747884933</v>
      </c>
      <c r="J29" s="305">
        <f t="shared" si="0"/>
        <v>55807521.340657122</v>
      </c>
      <c r="K29" s="296">
        <f>_xlfn.XLOOKUP(B29,'Operating Cost Savings'!$B$6:$B$32,'Operating Cost Savings'!$D$6:$D$32,0)</f>
        <v>272725.32585761743</v>
      </c>
      <c r="L29" s="280">
        <f>_xlfn.XLOOKUP(B29,'Air Quality'!$B$5:$B$32,'Air Quality'!$M$5:$M$32)</f>
        <v>5747.4868199833963</v>
      </c>
      <c r="M29" s="389">
        <f>_xlfn.XLOOKUP(B29,'Air Quality'!$B$5:$B$32,'Air Quality'!$E$5:$E$32)</f>
        <v>7023.2441302585776</v>
      </c>
      <c r="N29" s="292">
        <f>-_xlfn.XLOOKUP($B29,'Operation and Maintenance'!$B$9:$B$32,'Operation and Maintenance'!$X$9:$X$32,0)</f>
        <v>-68339.199999999997</v>
      </c>
      <c r="O29" s="293">
        <f>_xlfn.XLOOKUP($B29,'Capital Costs'!$B$7:$B$38,'Capital Costs'!$E$7:$E$38)</f>
        <v>8711468.2846531179</v>
      </c>
      <c r="P29" s="290">
        <f t="shared" si="3"/>
        <v>64729123.237987839</v>
      </c>
      <c r="Q29" s="291">
        <f>P29*(1+0.07)^-(B29-'Project Data and Assumptions'!$C$3)+M29</f>
        <v>9105531.0419491939</v>
      </c>
      <c r="S29" s="122"/>
      <c r="T29" s="122"/>
      <c r="U29" s="122"/>
      <c r="V29" s="122"/>
      <c r="W29" s="122"/>
      <c r="X29" s="122"/>
      <c r="Y29" s="122"/>
    </row>
    <row r="30" spans="2:25" ht="15" customHeight="1" thickBot="1" x14ac:dyDescent="0.3">
      <c r="B30" s="391">
        <f t="shared" si="2"/>
        <v>2051</v>
      </c>
      <c r="C30" s="294">
        <f>_xlfn.XLOOKUP($B30,'QoL Benefits - BCRT'!$B$7:$B$31,'QoL Benefits - BCRT'!$U$7:$U$31,0)</f>
        <v>0</v>
      </c>
      <c r="D30" s="302">
        <f>_xlfn.XLOOKUP($B30,'QoL Benefits - CP South RT'!$B$7:$B$31,'QoL Benefits - CP South RT'!$U$7:$U$31,0)</f>
        <v>0</v>
      </c>
      <c r="E30" s="447">
        <f>_xlfn.XLOOKUP($B30,'QoL Benefits - CP North RT'!$B$7:$B$31,'QoL Benefits - CP North RT'!$U$7:$U$31,0)</f>
        <v>0</v>
      </c>
      <c r="F30" s="302">
        <f>_xlfn.XLOOKUP($B30,'QoL Benefits - Eagle RT'!$B$7:$B$31,'QoL Benefits - Eagle RT'!$U$7:$U$31,0)</f>
        <v>0</v>
      </c>
      <c r="G30" s="302">
        <f>_xlfn.XLOOKUP($B30,'QoL Benefits - Med Lake RT'!$B$7:$B$31,'QoL Benefits - Med Lake RT'!$U$7:$U$31,0)</f>
        <v>0</v>
      </c>
      <c r="H30" s="302">
        <f>_xlfn.XLOOKUP($B30,'QoL Benefits - Shingle Crk NAR'!$B$7:$B$31,'QoL Benefits - Shingle Crk NAR'!$U$7:$U$31,0)</f>
        <v>0</v>
      </c>
      <c r="I30" s="302">
        <f>_xlfn.XLOOKUP($B30,'QoL Benefits - Twin Lakes RT'!$B$7:$B$31,'QoL Benefits - Twin Lakes RT'!$U$7:$U$31,0)</f>
        <v>0</v>
      </c>
      <c r="J30" s="304">
        <f t="shared" si="0"/>
        <v>0</v>
      </c>
      <c r="K30" s="288">
        <f>_xlfn.XLOOKUP(B30,'Operating Cost Savings'!$B$6:$B$32,'Operating Cost Savings'!$D$6:$D$32,0)</f>
        <v>0</v>
      </c>
      <c r="L30" s="279">
        <f>_xlfn.XLOOKUP(B30,'Air Quality'!$B$5:$B$32,'Air Quality'!$M$5:$M$32)</f>
        <v>0</v>
      </c>
      <c r="M30" s="304">
        <f>_xlfn.XLOOKUP(B30,'Air Quality'!$B$5:$B$32,'Air Quality'!$E$5:$E$32)</f>
        <v>0</v>
      </c>
      <c r="N30" s="16">
        <f>-_xlfn.XLOOKUP($B30,'Operation and Maintenance'!$B$9:$B$32,'Operation and Maintenance'!$X$9:$X$32,0)</f>
        <v>0</v>
      </c>
      <c r="O30" s="295">
        <f>_xlfn.XLOOKUP($B30,'Capital Costs'!$B$7:$B$38,'Capital Costs'!$E$7:$E$38)</f>
        <v>0</v>
      </c>
      <c r="P30" s="288">
        <f t="shared" si="3"/>
        <v>0</v>
      </c>
      <c r="Q30" s="406">
        <f>P30*(1+0.07)^-(B30-'Project Data and Assumptions'!$C$3)+M30</f>
        <v>0</v>
      </c>
      <c r="S30" s="122"/>
      <c r="T30" s="122"/>
      <c r="U30" s="122"/>
      <c r="V30" s="122"/>
      <c r="W30" s="122"/>
      <c r="X30" s="122"/>
      <c r="Y30" s="122"/>
    </row>
    <row r="31" spans="2:25" ht="15" customHeight="1" x14ac:dyDescent="0.25">
      <c r="B31" s="13"/>
      <c r="C31" s="50"/>
      <c r="D31" s="50"/>
      <c r="E31" s="50"/>
      <c r="F31" s="50"/>
      <c r="G31" s="50"/>
      <c r="H31" s="50"/>
      <c r="I31" s="50"/>
      <c r="J31" s="50"/>
      <c r="Q31" s="124">
        <f>SUM(Q7:Q30)</f>
        <v>163706417.70221221</v>
      </c>
    </row>
    <row r="32" spans="2:25" ht="15" customHeight="1" x14ac:dyDescent="0.25">
      <c r="B32" s="123"/>
      <c r="C32" s="124"/>
      <c r="D32" s="124"/>
      <c r="Q32" s="351">
        <f>'QoL Benefits - BCRT'!V32+'QoL Benefits - CP South RT'!V29+'QoL Benefits - CP North RT'!V29+'QoL Benefits - Eagle RT'!V28+'QoL Benefits - Med Lake RT'!V31+'QoL Benefits - Shingle Crk NAR'!V30+'QoL Benefits - Twin Lakes RT'!V30-'Operation and Maintenance'!Y33+'Capital Costs'!F39+'Operating Cost Savings'!E33+'Air Quality'!N33+'Air Quality'!E33</f>
        <v>163706417.70221218</v>
      </c>
    </row>
    <row r="33" spans="1:20" ht="15" customHeight="1" x14ac:dyDescent="0.25">
      <c r="B33" s="13"/>
      <c r="C33" s="54"/>
      <c r="D33" s="54"/>
      <c r="E33" s="54"/>
      <c r="F33" s="54"/>
      <c r="G33" s="54"/>
      <c r="H33" s="54"/>
      <c r="I33" s="54"/>
      <c r="J33" s="54"/>
      <c r="K33" s="19"/>
      <c r="L33" s="19"/>
      <c r="M33" s="19"/>
      <c r="T33" s="124"/>
    </row>
    <row r="34" spans="1:20" ht="15" customHeight="1" x14ac:dyDescent="0.25">
      <c r="B34" s="33" t="s">
        <v>7</v>
      </c>
      <c r="C34" s="33"/>
      <c r="D34" s="14"/>
      <c r="E34" s="5"/>
      <c r="F34" s="5"/>
      <c r="G34" s="5"/>
      <c r="H34" s="5"/>
      <c r="I34" s="5"/>
      <c r="J34" s="5"/>
      <c r="K34" s="5"/>
      <c r="L34" s="5"/>
      <c r="M34" s="5"/>
    </row>
    <row r="35" spans="1:20" ht="15" customHeight="1" thickBot="1" x14ac:dyDescent="0.3">
      <c r="D35" s="32"/>
      <c r="E35" s="32"/>
      <c r="F35" s="52"/>
      <c r="G35" s="52"/>
      <c r="H35" s="52"/>
      <c r="I35" s="5"/>
      <c r="J35" s="53"/>
    </row>
    <row r="36" spans="1:20" ht="35.1" customHeight="1" x14ac:dyDescent="0.25">
      <c r="B36" s="604" t="s">
        <v>0</v>
      </c>
      <c r="C36" s="609" t="s">
        <v>8</v>
      </c>
      <c r="D36" s="607" t="s">
        <v>43</v>
      </c>
      <c r="E36" s="617" t="s">
        <v>1</v>
      </c>
      <c r="F36" s="105"/>
      <c r="G36" s="105"/>
    </row>
    <row r="37" spans="1:20" ht="15" customHeight="1" thickBot="1" x14ac:dyDescent="0.3">
      <c r="A37" s="9"/>
      <c r="B37" s="606"/>
      <c r="C37" s="610"/>
      <c r="D37" s="608"/>
      <c r="E37" s="618"/>
      <c r="F37" s="105"/>
      <c r="G37" s="105"/>
    </row>
    <row r="38" spans="1:20" x14ac:dyDescent="0.25">
      <c r="B38" s="232">
        <f>'Project Data and Assumptions'!C4</f>
        <v>2028</v>
      </c>
      <c r="C38" s="69">
        <f>VLOOKUP($B38,'Capital Costs'!$B$7:$F$38,2,FALSE)</f>
        <v>7308303.6338946763</v>
      </c>
      <c r="D38" s="68">
        <f>+C38</f>
        <v>7308303.6338946763</v>
      </c>
      <c r="E38" s="66">
        <f>D38*(1+0.07)^-(B38-'Project Data and Assumptions'!$C$3)</f>
        <v>4551244.2016221285</v>
      </c>
      <c r="F38" s="90"/>
      <c r="G38" s="90"/>
    </row>
    <row r="39" spans="1:20" x14ac:dyDescent="0.25">
      <c r="B39" s="202">
        <f>B38+1</f>
        <v>2029</v>
      </c>
      <c r="C39" s="437">
        <f>VLOOKUP($B39,'Capital Costs'!$B$7:$F$38,2,FALSE)</f>
        <v>17114637.472786069</v>
      </c>
      <c r="D39" s="278">
        <f t="shared" ref="D39:D51" si="5">+C39</f>
        <v>17114637.472786069</v>
      </c>
      <c r="E39" s="273">
        <f>D39*(1+0.07)^-(B39-'Project Data and Assumptions'!$C$3)</f>
        <v>9960874.830491472</v>
      </c>
      <c r="F39" s="90"/>
      <c r="G39" s="90"/>
    </row>
    <row r="40" spans="1:20" x14ac:dyDescent="0.25">
      <c r="B40" s="2">
        <f t="shared" ref="B40:B61" si="6">B39+1</f>
        <v>2030</v>
      </c>
      <c r="C40" s="10">
        <f>VLOOKUP($B40,'Capital Costs'!$B$7:$F$38,2,FALSE)</f>
        <v>0</v>
      </c>
      <c r="D40" s="15">
        <f t="shared" si="5"/>
        <v>0</v>
      </c>
      <c r="E40" s="6">
        <f>D40*(1+0.07)^-(B40-'Project Data and Assumptions'!$C$3)</f>
        <v>0</v>
      </c>
      <c r="F40" s="5"/>
      <c r="G40" s="5"/>
    </row>
    <row r="41" spans="1:20" x14ac:dyDescent="0.25">
      <c r="B41" s="2">
        <f t="shared" si="6"/>
        <v>2031</v>
      </c>
      <c r="C41" s="10">
        <f>VLOOKUP($B41,'Capital Costs'!$B$7:$F$38,2,FALSE)</f>
        <v>0</v>
      </c>
      <c r="D41" s="15">
        <f t="shared" si="5"/>
        <v>0</v>
      </c>
      <c r="E41" s="6">
        <f>D41*(1+0.07)^-(B41-'Project Data and Assumptions'!$C$3)</f>
        <v>0</v>
      </c>
      <c r="F41" s="5"/>
      <c r="G41" s="5"/>
    </row>
    <row r="42" spans="1:20" x14ac:dyDescent="0.25">
      <c r="B42" s="2">
        <f t="shared" si="6"/>
        <v>2032</v>
      </c>
      <c r="C42" s="10">
        <f>VLOOKUP($B42,'Capital Costs'!$B$7:$F$38,2,FALSE)</f>
        <v>0</v>
      </c>
      <c r="D42" s="15">
        <f t="shared" si="5"/>
        <v>0</v>
      </c>
      <c r="E42" s="6">
        <f>D42*(1+0.07)^-(B42-'Project Data and Assumptions'!$C$3)</f>
        <v>0</v>
      </c>
      <c r="F42" s="5"/>
      <c r="G42" s="5"/>
    </row>
    <row r="43" spans="1:20" ht="15" customHeight="1" x14ac:dyDescent="0.25">
      <c r="A43" s="9"/>
      <c r="B43" s="2">
        <f t="shared" si="6"/>
        <v>2033</v>
      </c>
      <c r="C43" s="10">
        <f>VLOOKUP($B43,'Capital Costs'!$B$7:$F$38,2,FALSE)</f>
        <v>0</v>
      </c>
      <c r="D43" s="15">
        <f t="shared" si="5"/>
        <v>0</v>
      </c>
      <c r="E43" s="6">
        <f>D43*(1+0.07)^-(B43-'Project Data and Assumptions'!$C$3)</f>
        <v>0</v>
      </c>
      <c r="F43" s="5"/>
      <c r="G43" s="5"/>
    </row>
    <row r="44" spans="1:20" x14ac:dyDescent="0.25">
      <c r="B44" s="2">
        <f t="shared" si="6"/>
        <v>2034</v>
      </c>
      <c r="C44" s="10">
        <f>VLOOKUP($B44,'Capital Costs'!$B$7:$F$38,2,FALSE)</f>
        <v>0</v>
      </c>
      <c r="D44" s="15">
        <f t="shared" si="5"/>
        <v>0</v>
      </c>
      <c r="E44" s="6">
        <f>D44*(1+0.07)^-(B44-'Project Data and Assumptions'!$C$3)</f>
        <v>0</v>
      </c>
      <c r="F44" s="5"/>
      <c r="G44" s="5"/>
    </row>
    <row r="45" spans="1:20" x14ac:dyDescent="0.25">
      <c r="B45" s="2">
        <f t="shared" si="6"/>
        <v>2035</v>
      </c>
      <c r="C45" s="10">
        <f>VLOOKUP($B45,'Capital Costs'!$B$7:$F$38,2,FALSE)</f>
        <v>0</v>
      </c>
      <c r="D45" s="15">
        <f t="shared" si="5"/>
        <v>0</v>
      </c>
      <c r="E45" s="6">
        <f>D45*(1+0.07)^-(B45-'Project Data and Assumptions'!$C$3)</f>
        <v>0</v>
      </c>
      <c r="F45" s="5"/>
      <c r="G45" s="5"/>
    </row>
    <row r="46" spans="1:20" x14ac:dyDescent="0.25">
      <c r="B46" s="2">
        <f t="shared" si="6"/>
        <v>2036</v>
      </c>
      <c r="C46" s="10">
        <f>VLOOKUP($B46,'Capital Costs'!$B$7:$F$38,2,FALSE)</f>
        <v>0</v>
      </c>
      <c r="D46" s="15">
        <f t="shared" ref="D46:D48" si="7">+C46</f>
        <v>0</v>
      </c>
      <c r="E46" s="6">
        <f>D46*(1+0.07)^-(B46-'Project Data and Assumptions'!$C$3)</f>
        <v>0</v>
      </c>
      <c r="F46" s="5"/>
      <c r="G46" s="5"/>
    </row>
    <row r="47" spans="1:20" x14ac:dyDescent="0.25">
      <c r="B47" s="2">
        <f t="shared" si="6"/>
        <v>2037</v>
      </c>
      <c r="C47" s="10">
        <f>VLOOKUP($B47,'Capital Costs'!$B$7:$F$38,2,FALSE)</f>
        <v>0</v>
      </c>
      <c r="D47" s="15">
        <f t="shared" si="7"/>
        <v>0</v>
      </c>
      <c r="E47" s="6">
        <f>D47*(1+0.07)^-(B47-'Project Data and Assumptions'!$C$3)</f>
        <v>0</v>
      </c>
      <c r="F47" s="5"/>
      <c r="G47" s="5"/>
    </row>
    <row r="48" spans="1:20" x14ac:dyDescent="0.25">
      <c r="B48" s="2">
        <f t="shared" si="6"/>
        <v>2038</v>
      </c>
      <c r="C48" s="10">
        <f>VLOOKUP($B48,'Capital Costs'!$B$7:$F$38,2,FALSE)</f>
        <v>0</v>
      </c>
      <c r="D48" s="15">
        <f t="shared" si="7"/>
        <v>0</v>
      </c>
      <c r="E48" s="6">
        <f>D48*(1+0.07)^-(B48-'Project Data and Assumptions'!$C$3)</f>
        <v>0</v>
      </c>
      <c r="F48" s="5"/>
      <c r="G48" s="5"/>
    </row>
    <row r="49" spans="2:9" x14ac:dyDescent="0.25">
      <c r="B49" s="2">
        <f t="shared" si="6"/>
        <v>2039</v>
      </c>
      <c r="C49" s="10">
        <f>VLOOKUP($B49,'Capital Costs'!$B$7:$F$38,2,FALSE)</f>
        <v>0</v>
      </c>
      <c r="D49" s="15">
        <f t="shared" si="5"/>
        <v>0</v>
      </c>
      <c r="E49" s="6">
        <f>D49*(1+0.07)^-(B49-'Project Data and Assumptions'!$C$3)</f>
        <v>0</v>
      </c>
      <c r="F49" s="5"/>
      <c r="G49" s="5"/>
    </row>
    <row r="50" spans="2:9" x14ac:dyDescent="0.25">
      <c r="B50" s="2">
        <f t="shared" si="6"/>
        <v>2040</v>
      </c>
      <c r="C50" s="10">
        <f>VLOOKUP($B50,'Capital Costs'!$B$7:$F$38,2,FALSE)</f>
        <v>0</v>
      </c>
      <c r="D50" s="15">
        <f t="shared" si="5"/>
        <v>0</v>
      </c>
      <c r="E50" s="6">
        <f>D50*(1+0.07)^-(B50-'Project Data and Assumptions'!$C$3)</f>
        <v>0</v>
      </c>
      <c r="F50" s="5"/>
      <c r="G50" s="5"/>
    </row>
    <row r="51" spans="2:9" x14ac:dyDescent="0.25">
      <c r="B51" s="2">
        <f t="shared" si="6"/>
        <v>2041</v>
      </c>
      <c r="C51" s="10">
        <f>VLOOKUP($B51,'Capital Costs'!$B$7:$F$38,2,FALSE)</f>
        <v>0</v>
      </c>
      <c r="D51" s="15">
        <f t="shared" si="5"/>
        <v>0</v>
      </c>
      <c r="E51" s="6">
        <f>D51*(1+0.07)^-(B51-'Project Data and Assumptions'!$C$3)</f>
        <v>0</v>
      </c>
      <c r="F51" s="5"/>
      <c r="G51" s="5"/>
    </row>
    <row r="52" spans="2:9" x14ac:dyDescent="0.25">
      <c r="B52" s="2">
        <f t="shared" si="6"/>
        <v>2042</v>
      </c>
      <c r="C52" s="10">
        <f>VLOOKUP($B52,'Capital Costs'!$B$7:$F$38,2,FALSE)</f>
        <v>0</v>
      </c>
      <c r="D52" s="15">
        <f t="shared" ref="D52:D61" si="8">+C52</f>
        <v>0</v>
      </c>
      <c r="E52" s="6">
        <f>D52*(1+0.07)^-(B52-'Project Data and Assumptions'!$C$3)</f>
        <v>0</v>
      </c>
      <c r="F52" s="5"/>
      <c r="G52" s="5"/>
    </row>
    <row r="53" spans="2:9" x14ac:dyDescent="0.25">
      <c r="B53" s="2">
        <f t="shared" si="6"/>
        <v>2043</v>
      </c>
      <c r="C53" s="10">
        <f>VLOOKUP($B53,'Capital Costs'!$B$7:$F$38,2,FALSE)</f>
        <v>0</v>
      </c>
      <c r="D53" s="15">
        <f t="shared" si="8"/>
        <v>0</v>
      </c>
      <c r="E53" s="6">
        <f>D53*(1+0.07)^-(B53-'Project Data and Assumptions'!$C$3)</f>
        <v>0</v>
      </c>
      <c r="F53" s="5"/>
      <c r="G53" s="5"/>
    </row>
    <row r="54" spans="2:9" x14ac:dyDescent="0.25">
      <c r="B54" s="2">
        <f t="shared" si="6"/>
        <v>2044</v>
      </c>
      <c r="C54" s="10">
        <f>VLOOKUP($B54,'Capital Costs'!$B$7:$F$38,2,FALSE)</f>
        <v>0</v>
      </c>
      <c r="D54" s="15">
        <f t="shared" si="8"/>
        <v>0</v>
      </c>
      <c r="E54" s="6">
        <f>D54*(1+0.07)^-(B54-'Project Data and Assumptions'!$C$3)</f>
        <v>0</v>
      </c>
      <c r="F54" s="5"/>
      <c r="G54" s="5"/>
    </row>
    <row r="55" spans="2:9" x14ac:dyDescent="0.25">
      <c r="B55" s="2">
        <f t="shared" si="6"/>
        <v>2045</v>
      </c>
      <c r="C55" s="10">
        <f>VLOOKUP($B55,'Capital Costs'!$B$7:$F$38,2,FALSE)</f>
        <v>0</v>
      </c>
      <c r="D55" s="15">
        <f t="shared" si="8"/>
        <v>0</v>
      </c>
      <c r="E55" s="6">
        <f>D55*(1+0.07)^-(B55-'Project Data and Assumptions'!$C$3)</f>
        <v>0</v>
      </c>
      <c r="F55" s="5"/>
      <c r="G55" s="5"/>
    </row>
    <row r="56" spans="2:9" x14ac:dyDescent="0.25">
      <c r="B56" s="2">
        <f t="shared" si="6"/>
        <v>2046</v>
      </c>
      <c r="C56" s="10">
        <f>VLOOKUP($B56,'Capital Costs'!$B$7:$F$38,2,FALSE)</f>
        <v>0</v>
      </c>
      <c r="D56" s="15">
        <f t="shared" si="8"/>
        <v>0</v>
      </c>
      <c r="E56" s="6">
        <f>D56*(1+0.07)^-(B56-'Project Data and Assumptions'!$C$3)</f>
        <v>0</v>
      </c>
      <c r="F56" s="5"/>
      <c r="G56" s="5"/>
    </row>
    <row r="57" spans="2:9" x14ac:dyDescent="0.25">
      <c r="B57" s="2">
        <f t="shared" si="6"/>
        <v>2047</v>
      </c>
      <c r="C57" s="10">
        <f>VLOOKUP($B57,'Capital Costs'!$B$7:$F$38,2,FALSE)</f>
        <v>0</v>
      </c>
      <c r="D57" s="15">
        <f t="shared" si="8"/>
        <v>0</v>
      </c>
      <c r="E57" s="6">
        <f>D57*(1+0.07)^-(B57-'Project Data and Assumptions'!$C$3)</f>
        <v>0</v>
      </c>
      <c r="F57" s="5"/>
      <c r="G57" s="5"/>
    </row>
    <row r="58" spans="2:9" x14ac:dyDescent="0.25">
      <c r="B58" s="2">
        <f t="shared" si="6"/>
        <v>2048</v>
      </c>
      <c r="C58" s="10">
        <f>VLOOKUP($B58,'Capital Costs'!$B$7:$F$38,2,FALSE)</f>
        <v>0</v>
      </c>
      <c r="D58" s="15">
        <f t="shared" si="8"/>
        <v>0</v>
      </c>
      <c r="E58" s="6">
        <f>D58*(1+0.07)^-(B58-'Project Data and Assumptions'!$C$3)</f>
        <v>0</v>
      </c>
      <c r="F58" s="5"/>
      <c r="G58" s="5"/>
    </row>
    <row r="59" spans="2:9" x14ac:dyDescent="0.25">
      <c r="B59" s="2">
        <f t="shared" si="6"/>
        <v>2049</v>
      </c>
      <c r="C59" s="10">
        <f>VLOOKUP($B59,'Capital Costs'!$B$7:$F$38,2,FALSE)</f>
        <v>0</v>
      </c>
      <c r="D59" s="15">
        <f t="shared" si="8"/>
        <v>0</v>
      </c>
      <c r="E59" s="6">
        <f>D59*(1+0.07)^-(B59-'Project Data and Assumptions'!$C$3)</f>
        <v>0</v>
      </c>
      <c r="F59" s="5"/>
      <c r="G59" s="5"/>
    </row>
    <row r="60" spans="2:9" x14ac:dyDescent="0.25">
      <c r="B60" s="2">
        <f t="shared" si="6"/>
        <v>2050</v>
      </c>
      <c r="C60" s="10">
        <f>VLOOKUP($B60,'Capital Costs'!$B$7:$F$38,2,FALSE)</f>
        <v>0</v>
      </c>
      <c r="D60" s="15">
        <f t="shared" si="8"/>
        <v>0</v>
      </c>
      <c r="E60" s="6">
        <f>D60*(1+0.07)^-(B60-'Project Data and Assumptions'!$C$3)</f>
        <v>0</v>
      </c>
      <c r="F60" s="5"/>
      <c r="G60" s="5"/>
    </row>
    <row r="61" spans="2:9" ht="15.75" thickBot="1" x14ac:dyDescent="0.3">
      <c r="B61" s="3">
        <f t="shared" si="6"/>
        <v>2051</v>
      </c>
      <c r="C61" s="406">
        <f>VLOOKUP($B61,'Capital Costs'!$B$7:$F$38,2,FALSE)</f>
        <v>0</v>
      </c>
      <c r="D61" s="16">
        <f t="shared" si="8"/>
        <v>0</v>
      </c>
      <c r="E61" s="7">
        <f>D61*(1+0.07)^-(B61-'Project Data and Assumptions'!$C$3)</f>
        <v>0</v>
      </c>
      <c r="F61" s="5"/>
      <c r="G61" s="5"/>
    </row>
    <row r="62" spans="2:9" x14ac:dyDescent="0.25">
      <c r="D62" s="62" t="s">
        <v>4</v>
      </c>
      <c r="E62" s="5">
        <f>SUM(E38:E61)</f>
        <v>14512119.032113601</v>
      </c>
      <c r="F62" s="5"/>
      <c r="G62" s="5"/>
    </row>
    <row r="63" spans="2:9" x14ac:dyDescent="0.25">
      <c r="E63" s="72">
        <f>'Capital Costs'!D39</f>
        <v>14512119.032113601</v>
      </c>
      <c r="F63" s="72"/>
      <c r="G63" s="72"/>
      <c r="H63" s="19"/>
    </row>
    <row r="64" spans="2:9" ht="16.5" thickBot="1" x14ac:dyDescent="0.3">
      <c r="B64" s="17" t="s">
        <v>14</v>
      </c>
      <c r="E64" s="23"/>
      <c r="F64" s="23"/>
      <c r="I64" s="18"/>
    </row>
    <row r="65" spans="2:11" ht="15.75" thickBot="1" x14ac:dyDescent="0.3">
      <c r="B65" s="20"/>
      <c r="C65" s="34" t="s">
        <v>492</v>
      </c>
      <c r="D65" s="40"/>
      <c r="E65" s="41"/>
      <c r="F65" s="41"/>
      <c r="G65" s="41"/>
      <c r="H65" s="41"/>
    </row>
    <row r="66" spans="2:11" x14ac:dyDescent="0.25">
      <c r="B66" s="21" t="s">
        <v>9</v>
      </c>
      <c r="C66" s="35">
        <f>Q31</f>
        <v>163706417.70221221</v>
      </c>
      <c r="D66" s="37"/>
      <c r="E66" s="38"/>
      <c r="F66" s="38"/>
      <c r="G66" s="38"/>
      <c r="H66" s="38"/>
      <c r="I66" s="38"/>
      <c r="J66" s="19"/>
    </row>
    <row r="67" spans="2:11" ht="15.75" thickBot="1" x14ac:dyDescent="0.3">
      <c r="B67" s="22" t="s">
        <v>10</v>
      </c>
      <c r="C67" s="36">
        <f>E62</f>
        <v>14512119.032113601</v>
      </c>
      <c r="D67" s="37"/>
      <c r="E67" s="38"/>
      <c r="F67" s="38"/>
      <c r="G67" s="38"/>
      <c r="H67" s="38"/>
      <c r="I67" s="38"/>
      <c r="J67" s="18"/>
      <c r="K67" s="19"/>
    </row>
    <row r="68" spans="2:11" ht="15.75" thickTop="1" x14ac:dyDescent="0.25">
      <c r="B68" s="111" t="s">
        <v>11</v>
      </c>
      <c r="C68" s="112">
        <f>+C66/C67</f>
        <v>11.280669441860923</v>
      </c>
      <c r="D68" s="39"/>
      <c r="E68" s="39"/>
      <c r="F68" s="39"/>
      <c r="G68" s="39"/>
      <c r="H68" s="39"/>
      <c r="I68" s="39"/>
      <c r="J68" s="19"/>
    </row>
    <row r="69" spans="2:11" ht="15.75" thickBot="1" x14ac:dyDescent="0.3">
      <c r="B69" s="113" t="s">
        <v>78</v>
      </c>
      <c r="C69" s="114">
        <f>C66-C67</f>
        <v>149194298.6700986</v>
      </c>
      <c r="J69" s="19"/>
    </row>
    <row r="70" spans="2:11" ht="15.75" thickBot="1" x14ac:dyDescent="0.3">
      <c r="J70" s="19"/>
    </row>
    <row r="71" spans="2:11" ht="15.75" thickBot="1" x14ac:dyDescent="0.3">
      <c r="B71" s="20"/>
      <c r="C71" s="410" t="s">
        <v>492</v>
      </c>
      <c r="D71" s="31"/>
    </row>
    <row r="72" spans="2:11" x14ac:dyDescent="0.25">
      <c r="B72" s="21" t="s">
        <v>9</v>
      </c>
      <c r="C72" s="393">
        <f>MROUND(C66,100000)/10^6</f>
        <v>163.69999999999999</v>
      </c>
    </row>
    <row r="73" spans="2:11" ht="15.75" thickBot="1" x14ac:dyDescent="0.3">
      <c r="B73" s="22" t="s">
        <v>10</v>
      </c>
      <c r="C73" s="394">
        <f>MROUND(C67,100000)/10^6</f>
        <v>14.5</v>
      </c>
    </row>
    <row r="74" spans="2:11" ht="15.75" thickTop="1" x14ac:dyDescent="0.25">
      <c r="B74" s="111" t="s">
        <v>11</v>
      </c>
      <c r="C74" s="395">
        <f>+C72/C73</f>
        <v>11.289655172413791</v>
      </c>
    </row>
    <row r="75" spans="2:11" ht="15.75" thickBot="1" x14ac:dyDescent="0.3">
      <c r="B75" s="396" t="s">
        <v>490</v>
      </c>
      <c r="C75" s="397">
        <f>C72-C73</f>
        <v>149.19999999999999</v>
      </c>
    </row>
  </sheetData>
  <mergeCells count="15">
    <mergeCell ref="N4:O4"/>
    <mergeCell ref="O5:O6"/>
    <mergeCell ref="E36:E37"/>
    <mergeCell ref="D36:D37"/>
    <mergeCell ref="N5:N6"/>
    <mergeCell ref="K5:K6"/>
    <mergeCell ref="M5:M6"/>
    <mergeCell ref="L4:M4"/>
    <mergeCell ref="C4:J4"/>
    <mergeCell ref="Q5:Q6"/>
    <mergeCell ref="P5:P6"/>
    <mergeCell ref="L5:L6"/>
    <mergeCell ref="B36:B37"/>
    <mergeCell ref="C36:C37"/>
    <mergeCell ref="B5:B6"/>
  </mergeCells>
  <pageMargins left="0.25" right="0.25" top="0.75" bottom="0.75" header="0.3" footer="0.3"/>
  <pageSetup scale="4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F1403-4CCD-49A1-987B-DE94EA9902D2}">
  <sheetPr>
    <tabColor rgb="FF00B050"/>
  </sheetPr>
  <dimension ref="A1:AW64"/>
  <sheetViews>
    <sheetView view="pageBreakPreview" topLeftCell="L6" zoomScale="85" zoomScaleNormal="100" zoomScaleSheetLayoutView="85" workbookViewId="0">
      <selection activeCell="U37" sqref="U37:AE37"/>
    </sheetView>
  </sheetViews>
  <sheetFormatPr defaultRowHeight="15" x14ac:dyDescent="0.25"/>
  <cols>
    <col min="1" max="1" width="9.140625" style="9"/>
    <col min="2" max="2" width="10.140625" customWidth="1"/>
    <col min="3" max="5" width="11.42578125" customWidth="1"/>
    <col min="6" max="6" width="12.5703125" customWidth="1"/>
    <col min="7" max="8" width="11.42578125" customWidth="1"/>
    <col min="9" max="9" width="12.5703125" customWidth="1"/>
    <col min="10" max="10" width="13.7109375" style="23" bestFit="1" customWidth="1"/>
    <col min="11" max="11" width="15" style="23" customWidth="1"/>
    <col min="12" max="13" width="12.5703125" customWidth="1"/>
    <col min="14" max="14" width="15.28515625" customWidth="1"/>
    <col min="15" max="15" width="12.5703125" customWidth="1"/>
    <col min="16" max="16" width="13.7109375" style="23" bestFit="1" customWidth="1"/>
    <col min="17" max="17" width="11.42578125" style="23" customWidth="1"/>
    <col min="18" max="19" width="12.5703125" customWidth="1"/>
    <col min="20" max="20" width="15.28515625" customWidth="1"/>
    <col min="21" max="21" width="14" customWidth="1"/>
    <col min="22" max="22" width="13.140625" bestFit="1" customWidth="1"/>
    <col min="24" max="24" width="36.7109375" customWidth="1"/>
    <col min="25" max="25" width="12" customWidth="1"/>
    <col min="26" max="26" width="12.140625" customWidth="1"/>
    <col min="27" max="27" width="12.5703125" customWidth="1"/>
    <col min="28" max="29" width="16.5703125" customWidth="1"/>
    <col min="30" max="30" width="16" customWidth="1"/>
    <col min="31" max="31" width="18.140625" customWidth="1"/>
    <col min="32" max="32" width="17.7109375" customWidth="1"/>
    <col min="47" max="47" width="76.140625" customWidth="1"/>
  </cols>
  <sheetData>
    <row r="1" spans="1:49" ht="16.5" customHeight="1" x14ac:dyDescent="0.25"/>
    <row r="2" spans="1:49" ht="16.5" customHeight="1" x14ac:dyDescent="0.25">
      <c r="B2" s="8" t="s">
        <v>74</v>
      </c>
    </row>
    <row r="3" spans="1:49" ht="15.75" thickBot="1" x14ac:dyDescent="0.3">
      <c r="H3" s="8"/>
      <c r="J3" s="23" t="s">
        <v>348</v>
      </c>
      <c r="K3" s="23" t="s">
        <v>349</v>
      </c>
      <c r="L3" t="s">
        <v>115</v>
      </c>
      <c r="M3" t="s">
        <v>350</v>
      </c>
      <c r="N3" t="s">
        <v>348</v>
      </c>
      <c r="P3" s="23" t="s">
        <v>348</v>
      </c>
      <c r="Q3" s="23" t="s">
        <v>349</v>
      </c>
      <c r="R3" t="s">
        <v>115</v>
      </c>
      <c r="S3" t="s">
        <v>350</v>
      </c>
      <c r="T3" t="s">
        <v>348</v>
      </c>
      <c r="X3" s="8" t="s">
        <v>494</v>
      </c>
      <c r="Y3" s="9" t="s">
        <v>342</v>
      </c>
      <c r="Z3" t="s">
        <v>673</v>
      </c>
    </row>
    <row r="4" spans="1:49" ht="15.75" thickBot="1" x14ac:dyDescent="0.3">
      <c r="C4" s="625" t="s">
        <v>355</v>
      </c>
      <c r="D4" s="626"/>
      <c r="E4" s="627"/>
      <c r="F4" s="625" t="s">
        <v>356</v>
      </c>
      <c r="G4" s="626"/>
      <c r="H4" s="627"/>
      <c r="I4" s="645" t="s">
        <v>365</v>
      </c>
      <c r="J4" s="646"/>
      <c r="K4" s="646"/>
      <c r="L4" s="646"/>
      <c r="M4" s="646"/>
      <c r="N4" s="646"/>
      <c r="O4" s="645" t="s">
        <v>375</v>
      </c>
      <c r="P4" s="646"/>
      <c r="Q4" s="646"/>
      <c r="R4" s="646"/>
      <c r="S4" s="646"/>
      <c r="T4" s="646"/>
      <c r="U4" s="651" t="s">
        <v>2</v>
      </c>
      <c r="V4" s="652"/>
      <c r="X4" s="96" t="s">
        <v>52</v>
      </c>
      <c r="Y4" s="25">
        <f>'Project Data and Assumptions'!C3</f>
        <v>2021</v>
      </c>
      <c r="AU4" s="8" t="s">
        <v>98</v>
      </c>
    </row>
    <row r="5" spans="1:49" ht="18" customHeight="1" x14ac:dyDescent="0.25">
      <c r="B5" s="639" t="s">
        <v>0</v>
      </c>
      <c r="C5" s="637" t="s">
        <v>353</v>
      </c>
      <c r="D5" s="643" t="s">
        <v>352</v>
      </c>
      <c r="E5" s="641" t="s">
        <v>351</v>
      </c>
      <c r="F5" s="637" t="s">
        <v>46</v>
      </c>
      <c r="G5" s="643" t="s">
        <v>47</v>
      </c>
      <c r="H5" s="641" t="s">
        <v>48</v>
      </c>
      <c r="I5" s="647" t="s">
        <v>347</v>
      </c>
      <c r="J5" s="633" t="s">
        <v>49</v>
      </c>
      <c r="K5" s="633" t="s">
        <v>50</v>
      </c>
      <c r="L5" s="633" t="s">
        <v>115</v>
      </c>
      <c r="M5" s="633" t="s">
        <v>346</v>
      </c>
      <c r="N5" s="635" t="s">
        <v>51</v>
      </c>
      <c r="O5" s="647" t="s">
        <v>347</v>
      </c>
      <c r="P5" s="633" t="s">
        <v>49</v>
      </c>
      <c r="Q5" s="633" t="s">
        <v>50</v>
      </c>
      <c r="R5" s="633" t="s">
        <v>115</v>
      </c>
      <c r="S5" s="633" t="s">
        <v>346</v>
      </c>
      <c r="T5" s="635" t="s">
        <v>51</v>
      </c>
      <c r="U5" s="637" t="s">
        <v>76</v>
      </c>
      <c r="V5" s="649" t="s">
        <v>1</v>
      </c>
      <c r="X5" s="96" t="s">
        <v>411</v>
      </c>
      <c r="Y5" s="25">
        <f>IFERROR((_xlfn.XLOOKUP($Z$3,'Trail Project Summary'!$B$3:$B$25,'Trail Project Summary'!$L$3:$L$25)),0)</f>
        <v>2030</v>
      </c>
      <c r="AU5" t="s">
        <v>102</v>
      </c>
      <c r="AV5" s="92">
        <v>0.05</v>
      </c>
      <c r="AW5" t="s">
        <v>117</v>
      </c>
    </row>
    <row r="6" spans="1:49" ht="18.75" customHeight="1" thickBot="1" x14ac:dyDescent="0.3">
      <c r="B6" s="640"/>
      <c r="C6" s="638"/>
      <c r="D6" s="644"/>
      <c r="E6" s="642"/>
      <c r="F6" s="638"/>
      <c r="G6" s="644"/>
      <c r="H6" s="642"/>
      <c r="I6" s="648"/>
      <c r="J6" s="634"/>
      <c r="K6" s="634"/>
      <c r="L6" s="634"/>
      <c r="M6" s="634"/>
      <c r="N6" s="636"/>
      <c r="O6" s="648"/>
      <c r="P6" s="634"/>
      <c r="Q6" s="634"/>
      <c r="R6" s="634"/>
      <c r="S6" s="634"/>
      <c r="T6" s="636"/>
      <c r="U6" s="638"/>
      <c r="V6" s="650"/>
      <c r="X6" s="96" t="s">
        <v>412</v>
      </c>
      <c r="Y6" s="25">
        <f>_xlfn.XLOOKUP($Z$3,'Original Build Years'!$E$1:$E$20,'Original Build Years'!$D$1:$D$20,0)+30</f>
        <v>2034</v>
      </c>
      <c r="AU6" t="s">
        <v>99</v>
      </c>
      <c r="AW6" t="s">
        <v>118</v>
      </c>
    </row>
    <row r="7" spans="1:49" ht="18.75" customHeight="1" x14ac:dyDescent="0.25">
      <c r="A7" s="61">
        <f>(G7+D7)*2.38</f>
        <v>0</v>
      </c>
      <c r="B7" s="213">
        <f>$Y$5</f>
        <v>2030</v>
      </c>
      <c r="C7" s="192">
        <f>IF(OR($B7&lt;$Y$6,$B7&gt;'Project Data and Assumptions'!$C$8),0,$AC$35*(1+$AA$15)^($B7-2020))</f>
        <v>0</v>
      </c>
      <c r="D7" s="191">
        <f>IF(OR($B7&lt;$Y$6,$B7&gt;'Project Data and Assumptions'!$C$8),0,$AB$34*(1+$AA$15)^($B7-2020))</f>
        <v>0</v>
      </c>
      <c r="E7" s="193">
        <f>IF(OR($B7&lt;$Y$6,$B7&gt;'Project Data and Assumptions'!$C$8),0,$AC$34*(1+$AA$15)^($B7-2020))</f>
        <v>0</v>
      </c>
      <c r="F7" s="192">
        <f>IF($B7&gt;'Project Data and Assumptions'!$C$8,0,$AC$30*(1+$AA$15)^($B7-2020))</f>
        <v>0</v>
      </c>
      <c r="G7" s="191">
        <f>IF($B7&gt;'Project Data and Assumptions'!$C$8,0,$AB$29*(1+$AA$15)^($B7-2020))</f>
        <v>0</v>
      </c>
      <c r="H7" s="193">
        <f>IF($B7&gt;'Project Data and Assumptions'!$C$8,0,$AC$29*(1+$AA$15)^($B7-2020))</f>
        <v>0</v>
      </c>
      <c r="I7" s="71">
        <f t="shared" ref="I7:I31" si="0">C7*$AA$47*$Z$60</f>
        <v>0</v>
      </c>
      <c r="J7" s="73">
        <f>(D7*$AA$40)*$AA$38*$AA$39</f>
        <v>0</v>
      </c>
      <c r="K7" s="73">
        <f>C7*$AA$43+SUM(D7:E7)*$AA$44</f>
        <v>0</v>
      </c>
      <c r="L7" s="73">
        <f t="shared" ref="L7:L31" si="1">E7*$AA$47*$Z$60</f>
        <v>0</v>
      </c>
      <c r="M7" s="73">
        <f>SUM(D7:E7)*$AA$52</f>
        <v>0</v>
      </c>
      <c r="N7" s="100">
        <f t="shared" ref="N7:N31" si="2">D7*$AC$19*$Z$56*$Z$60</f>
        <v>0</v>
      </c>
      <c r="O7" s="71">
        <f t="shared" ref="O7:O31" si="3">F7*$AA$47*$Z$60</f>
        <v>0</v>
      </c>
      <c r="P7" s="73">
        <f>(G7*$AA$40)*$AA$38*$AA$39</f>
        <v>0</v>
      </c>
      <c r="Q7" s="73">
        <f>F7*$AA$43+SUM(G7:H7)*$AA$44</f>
        <v>0</v>
      </c>
      <c r="R7" s="73">
        <f t="shared" ref="R7:R31" si="4">H7*$AA$47*$Z$60</f>
        <v>0</v>
      </c>
      <c r="S7" s="73">
        <f>SUM(G7:H7)*$AA$52</f>
        <v>0</v>
      </c>
      <c r="T7" s="100">
        <f t="shared" ref="T7:T31" si="5">G7*$AC$19*$Z$56*$Z$60</f>
        <v>0</v>
      </c>
      <c r="U7" s="71">
        <f>SUM(I7:T7)</f>
        <v>0</v>
      </c>
      <c r="V7" s="108">
        <f t="shared" ref="V7:V31" si="6">$U7*(1+0.07)^-($B7-$Y$4)</f>
        <v>0</v>
      </c>
      <c r="X7" s="96" t="s">
        <v>338</v>
      </c>
      <c r="Y7" s="180">
        <f>IFERROR((_xlfn.XLOOKUP($Z$3,'Trail Project Summary'!$B$3:$B$25,'Trail Project Summary'!$I$3:$I$25)),0)</f>
        <v>6.8</v>
      </c>
      <c r="AU7" t="s">
        <v>100</v>
      </c>
      <c r="AW7" t="s">
        <v>119</v>
      </c>
    </row>
    <row r="8" spans="1:49" x14ac:dyDescent="0.25">
      <c r="A8" s="61">
        <f t="shared" ref="A8:A31" si="7">(G8+D8)*2.38</f>
        <v>0</v>
      </c>
      <c r="B8" s="2">
        <f>B7+1</f>
        <v>2031</v>
      </c>
      <c r="C8" s="196">
        <f>IF(OR($B8&lt;$Y$6,$B8&gt;'Project Data and Assumptions'!$C$8),0,$AC$35*(1+$AA$15)^($B8-2020))</f>
        <v>0</v>
      </c>
      <c r="D8" s="75">
        <f>IF(OR($B8&lt;$Y$6,$B8&gt;'Project Data and Assumptions'!$C$8),0,$AB$34*(1+$AA$15)^($B8-2020))</f>
        <v>0</v>
      </c>
      <c r="E8" s="194">
        <f>IF(OR($B8&lt;$Y$6,$B8&gt;'Project Data and Assumptions'!$C$8),0,$AC$34*(1+$AA$15)^($B8-2020))</f>
        <v>0</v>
      </c>
      <c r="F8" s="196">
        <f>IF($B8&gt;'Project Data and Assumptions'!$C$8,0,$AC$30*(1+$AA$15)^($B8-2020))</f>
        <v>0</v>
      </c>
      <c r="G8" s="75">
        <f>IF($B8&gt;'Project Data and Assumptions'!$C$8,0,$AB$29*(1+$AA$15)^($B8-2020))</f>
        <v>0</v>
      </c>
      <c r="H8" s="194">
        <f>IF($B8&gt;'Project Data and Assumptions'!$C$8,0,$AC$29*(1+$AA$15)^($B8-2020))</f>
        <v>0</v>
      </c>
      <c r="I8" s="15">
        <f t="shared" si="0"/>
        <v>0</v>
      </c>
      <c r="J8" s="74">
        <f t="shared" ref="J8:J26" si="8">(D8*$AA$40)*$AA$38*$AA$39</f>
        <v>0</v>
      </c>
      <c r="K8" s="74">
        <f t="shared" ref="K8:K26" si="9">C8*$AA$43+SUM(D8:E8)*$AA$44</f>
        <v>0</v>
      </c>
      <c r="L8" s="74">
        <f t="shared" si="1"/>
        <v>0</v>
      </c>
      <c r="M8" s="74">
        <f t="shared" ref="M8:M26" si="10">SUM(D8:E8)*$AA$52</f>
        <v>0</v>
      </c>
      <c r="N8" s="76">
        <f t="shared" si="2"/>
        <v>0</v>
      </c>
      <c r="O8" s="15">
        <f t="shared" si="3"/>
        <v>0</v>
      </c>
      <c r="P8" s="74">
        <f t="shared" ref="P8:P26" si="11">(G8*$AA$40)*$AA$38*$AA$39</f>
        <v>0</v>
      </c>
      <c r="Q8" s="74">
        <f>F8*$AA$43+SUM(G8:H8)*$AA$44</f>
        <v>0</v>
      </c>
      <c r="R8" s="74">
        <f t="shared" si="4"/>
        <v>0</v>
      </c>
      <c r="S8" s="74">
        <f t="shared" ref="S8:S26" si="12">SUM(G8:H8)*$AA$52</f>
        <v>0</v>
      </c>
      <c r="T8" s="76">
        <f t="shared" si="5"/>
        <v>0</v>
      </c>
      <c r="U8" s="15">
        <f t="shared" ref="U8:U26" si="13">SUM(I8:T8)</f>
        <v>0</v>
      </c>
      <c r="V8" s="6">
        <f t="shared" si="6"/>
        <v>0</v>
      </c>
      <c r="X8" s="96" t="s">
        <v>339</v>
      </c>
      <c r="Y8" s="180">
        <f>IFERROR(_xlfn.XLOOKUP($Z$3,'Trail Project Summary'!$B$3:$B$25,'Trail Project Summary'!$C$3:$C$25),0)</f>
        <v>0</v>
      </c>
      <c r="AU8" t="s">
        <v>101</v>
      </c>
      <c r="AW8" t="s">
        <v>121</v>
      </c>
    </row>
    <row r="9" spans="1:49" x14ac:dyDescent="0.25">
      <c r="A9" s="61">
        <f t="shared" si="7"/>
        <v>0</v>
      </c>
      <c r="B9" s="2">
        <f t="shared" ref="B9:B31" si="14">B8+1</f>
        <v>2032</v>
      </c>
      <c r="C9" s="196">
        <f>IF(OR($B9&lt;$Y$6,$B9&gt;'Project Data and Assumptions'!$C$8),0,$AC$35*(1+$AA$15)^($B9-2020))</f>
        <v>0</v>
      </c>
      <c r="D9" s="75">
        <f>IF(OR($B9&lt;$Y$6,$B9&gt;'Project Data and Assumptions'!$C$8),0,$AB$34*(1+$AA$15)^($B9-2020))</f>
        <v>0</v>
      </c>
      <c r="E9" s="194">
        <f>IF(OR($B9&lt;$Y$6,$B9&gt;'Project Data and Assumptions'!$C$8),0,$AC$34*(1+$AA$15)^($B9-2020))</f>
        <v>0</v>
      </c>
      <c r="F9" s="196">
        <f>IF($B9&gt;'Project Data and Assumptions'!$C$8,0,$AC$30*(1+$AA$15)^($B9-2020))</f>
        <v>0</v>
      </c>
      <c r="G9" s="75">
        <f>IF($B9&gt;'Project Data and Assumptions'!$C$8,0,$AB$29*(1+$AA$15)^($B9-2020))</f>
        <v>0</v>
      </c>
      <c r="H9" s="194">
        <f>IF($B9&gt;'Project Data and Assumptions'!$C$8,0,$AC$29*(1+$AA$15)^($B9-2020))</f>
        <v>0</v>
      </c>
      <c r="I9" s="15">
        <f t="shared" si="0"/>
        <v>0</v>
      </c>
      <c r="J9" s="74">
        <f t="shared" si="8"/>
        <v>0</v>
      </c>
      <c r="K9" s="74">
        <f t="shared" si="9"/>
        <v>0</v>
      </c>
      <c r="L9" s="74">
        <f t="shared" si="1"/>
        <v>0</v>
      </c>
      <c r="M9" s="74">
        <f t="shared" si="10"/>
        <v>0</v>
      </c>
      <c r="N9" s="76">
        <f t="shared" si="2"/>
        <v>0</v>
      </c>
      <c r="O9" s="15">
        <f t="shared" si="3"/>
        <v>0</v>
      </c>
      <c r="P9" s="74">
        <f t="shared" si="11"/>
        <v>0</v>
      </c>
      <c r="Q9" s="74">
        <f t="shared" ref="Q9:Q26" si="15">F9*$AA$43+SUM(G9:H9)*$AA$44</f>
        <v>0</v>
      </c>
      <c r="R9" s="74">
        <f t="shared" si="4"/>
        <v>0</v>
      </c>
      <c r="S9" s="74">
        <f t="shared" si="12"/>
        <v>0</v>
      </c>
      <c r="T9" s="76">
        <f t="shared" si="5"/>
        <v>0</v>
      </c>
      <c r="U9" s="15">
        <f t="shared" si="13"/>
        <v>0</v>
      </c>
      <c r="V9" s="6">
        <f t="shared" si="6"/>
        <v>0</v>
      </c>
      <c r="X9" s="96" t="s">
        <v>341</v>
      </c>
      <c r="Y9" s="180">
        <f>IFERROR(_xlfn.XLOOKUP($Z$3,'Trail Project Summary'!$B$3:$B$25,'Trail Project Summary'!$D$3:$D$25),0)</f>
        <v>1.1000000000000001</v>
      </c>
      <c r="AU9" t="s">
        <v>108</v>
      </c>
      <c r="AW9" t="s">
        <v>120</v>
      </c>
    </row>
    <row r="10" spans="1:49" x14ac:dyDescent="0.25">
      <c r="A10" s="61">
        <f t="shared" si="7"/>
        <v>0</v>
      </c>
      <c r="B10" s="2">
        <f t="shared" si="14"/>
        <v>2033</v>
      </c>
      <c r="C10" s="196">
        <f>IF(OR($B10&lt;$Y$6,$B10&gt;'Project Data and Assumptions'!$C$8),0,$AC$35*(1+$AA$15)^($B10-2020))</f>
        <v>0</v>
      </c>
      <c r="D10" s="75">
        <f>IF(OR($B10&lt;$Y$6,$B10&gt;'Project Data and Assumptions'!$C$8),0,$AB$34*(1+$AA$15)^($B10-2020))</f>
        <v>0</v>
      </c>
      <c r="E10" s="194">
        <f>IF(OR($B10&lt;$Y$6,$B10&gt;'Project Data and Assumptions'!$C$8),0,$AC$34*(1+$AA$15)^($B10-2020))</f>
        <v>0</v>
      </c>
      <c r="F10" s="196">
        <f>IF($B10&gt;'Project Data and Assumptions'!$C$8,0,$AC$30*(1+$AA$15)^($B10-2020))</f>
        <v>0</v>
      </c>
      <c r="G10" s="75">
        <f>IF($B10&gt;'Project Data and Assumptions'!$C$8,0,$AB$29*(1+$AA$15)^($B10-2020))</f>
        <v>0</v>
      </c>
      <c r="H10" s="194">
        <f>IF($B10&gt;'Project Data and Assumptions'!$C$8,0,$AC$29*(1+$AA$15)^($B10-2020))</f>
        <v>0</v>
      </c>
      <c r="I10" s="15">
        <f t="shared" si="0"/>
        <v>0</v>
      </c>
      <c r="J10" s="74">
        <f t="shared" si="8"/>
        <v>0</v>
      </c>
      <c r="K10" s="74">
        <f t="shared" si="9"/>
        <v>0</v>
      </c>
      <c r="L10" s="74">
        <f t="shared" si="1"/>
        <v>0</v>
      </c>
      <c r="M10" s="74">
        <f t="shared" si="10"/>
        <v>0</v>
      </c>
      <c r="N10" s="76">
        <f t="shared" si="2"/>
        <v>0</v>
      </c>
      <c r="O10" s="15">
        <f t="shared" si="3"/>
        <v>0</v>
      </c>
      <c r="P10" s="74">
        <f t="shared" si="11"/>
        <v>0</v>
      </c>
      <c r="Q10" s="74">
        <f t="shared" si="15"/>
        <v>0</v>
      </c>
      <c r="R10" s="74">
        <f t="shared" si="4"/>
        <v>0</v>
      </c>
      <c r="S10" s="74">
        <f t="shared" si="12"/>
        <v>0</v>
      </c>
      <c r="T10" s="76">
        <f t="shared" si="5"/>
        <v>0</v>
      </c>
      <c r="U10" s="15">
        <f t="shared" si="13"/>
        <v>0</v>
      </c>
      <c r="V10" s="6">
        <f t="shared" si="6"/>
        <v>0</v>
      </c>
      <c r="X10" s="96" t="s">
        <v>340</v>
      </c>
      <c r="Y10" s="180">
        <f>IFERROR(_xlfn.XLOOKUP($Z$3,'Trail Project Summary'!$B$3:$B$25,'Trail Project Summary'!$E$3:$E$25),0)</f>
        <v>0</v>
      </c>
    </row>
    <row r="11" spans="1:49" x14ac:dyDescent="0.25">
      <c r="A11" s="61">
        <f t="shared" si="7"/>
        <v>5651.7080753630535</v>
      </c>
      <c r="B11" s="2">
        <f t="shared" si="14"/>
        <v>2034</v>
      </c>
      <c r="C11" s="196">
        <f>IF(OR($B11&lt;$Y$6,$B11&gt;'Project Data and Assumptions'!$C$8),0,$AC$35*(1+$AA$15)^($B11-2020))</f>
        <v>20634.443033421965</v>
      </c>
      <c r="D11" s="75">
        <f>IF(OR($B11&lt;$Y$6,$B11&gt;'Project Data and Assumptions'!$C$8),0,$AB$34*(1+$AA$15)^($B11-2020))</f>
        <v>2374.6672585559049</v>
      </c>
      <c r="E11" s="194">
        <f>IF(OR($B11&lt;$Y$6,$B11&gt;'Project Data and Assumptions'!$C$8),0,$AC$34*(1+$AA$15)^($B11-2020))</f>
        <v>9926.6353190610334</v>
      </c>
      <c r="F11" s="196">
        <f>IF($B11&gt;'Project Data and Assumptions'!$C$8,0,$AC$30*(1+$AA$15)^($B11-2020))</f>
        <v>0</v>
      </c>
      <c r="G11" s="75">
        <f>IF($B11&gt;'Project Data and Assumptions'!$C$8,0,$AB$29*(1+$AA$15)^($B11-2020))</f>
        <v>0</v>
      </c>
      <c r="H11" s="194">
        <f>IF($B11&gt;'Project Data and Assumptions'!$C$8,0,$AC$29*(1+$AA$15)^($B11-2020))</f>
        <v>0</v>
      </c>
      <c r="I11" s="15">
        <f t="shared" si="0"/>
        <v>271961.95918050152</v>
      </c>
      <c r="J11" s="74">
        <f t="shared" si="8"/>
        <v>5676.4046148520365</v>
      </c>
      <c r="K11" s="74">
        <f t="shared" si="9"/>
        <v>227542.35238893889</v>
      </c>
      <c r="L11" s="74">
        <f t="shared" si="1"/>
        <v>130833.05350522442</v>
      </c>
      <c r="M11" s="74">
        <f t="shared" si="10"/>
        <v>15762.889122958342</v>
      </c>
      <c r="N11" s="76">
        <f t="shared" si="2"/>
        <v>322.99654130735365</v>
      </c>
      <c r="O11" s="15">
        <f t="shared" si="3"/>
        <v>0</v>
      </c>
      <c r="P11" s="74">
        <f t="shared" si="11"/>
        <v>0</v>
      </c>
      <c r="Q11" s="74">
        <f t="shared" si="15"/>
        <v>0</v>
      </c>
      <c r="R11" s="74">
        <f t="shared" si="4"/>
        <v>0</v>
      </c>
      <c r="S11" s="74">
        <f t="shared" si="12"/>
        <v>0</v>
      </c>
      <c r="T11" s="76">
        <f t="shared" si="5"/>
        <v>0</v>
      </c>
      <c r="U11" s="15">
        <f t="shared" si="13"/>
        <v>652099.65535378247</v>
      </c>
      <c r="V11" s="6">
        <f t="shared" si="6"/>
        <v>270598.17345218797</v>
      </c>
      <c r="Y11" s="39"/>
    </row>
    <row r="12" spans="1:49" x14ac:dyDescent="0.25">
      <c r="A12" s="61">
        <f t="shared" si="7"/>
        <v>5787.3429526045848</v>
      </c>
      <c r="B12" s="2">
        <f t="shared" si="14"/>
        <v>2035</v>
      </c>
      <c r="C12" s="196">
        <f>IF(OR($B12&lt;$Y$6,$B12&gt;'Project Data and Assumptions'!$C$8),0,$AC$35*(1+$AA$15)^($B12-2020))</f>
        <v>21129.647334575784</v>
      </c>
      <c r="D12" s="75">
        <f>IF(OR($B12&lt;$Y$6,$B12&gt;'Project Data and Assumptions'!$C$8),0,$AB$34*(1+$AA$15)^($B12-2020))</f>
        <v>2431.6567027750357</v>
      </c>
      <c r="E12" s="194">
        <f>IF(OR($B12&lt;$Y$6,$B12&gt;'Project Data and Assumptions'!$C$8),0,$AC$34*(1+$AA$15)^($B12-2020))</f>
        <v>10164.86382360668</v>
      </c>
      <c r="F12" s="196">
        <f>IF($B12&gt;'Project Data and Assumptions'!$C$8,0,$AC$30*(1+$AA$15)^($B12-2020))</f>
        <v>0</v>
      </c>
      <c r="G12" s="75">
        <f>IF($B12&gt;'Project Data and Assumptions'!$C$8,0,$AB$29*(1+$AA$15)^($B12-2020))</f>
        <v>0</v>
      </c>
      <c r="H12" s="194">
        <f>IF($B12&gt;'Project Data and Assumptions'!$C$8,0,$AC$29*(1+$AA$15)^($B12-2020))</f>
        <v>0</v>
      </c>
      <c r="I12" s="15">
        <f t="shared" si="0"/>
        <v>278488.75186970882</v>
      </c>
      <c r="J12" s="74">
        <f t="shared" si="8"/>
        <v>5812.6321823134467</v>
      </c>
      <c r="K12" s="74">
        <f t="shared" si="9"/>
        <v>233003.12258831627</v>
      </c>
      <c r="L12" s="74">
        <f t="shared" si="1"/>
        <v>133972.90519513603</v>
      </c>
      <c r="M12" s="74">
        <f t="shared" si="10"/>
        <v>16141.181402505528</v>
      </c>
      <c r="N12" s="76">
        <f t="shared" si="2"/>
        <v>330.74810873537371</v>
      </c>
      <c r="O12" s="15">
        <f t="shared" si="3"/>
        <v>0</v>
      </c>
      <c r="P12" s="74">
        <f t="shared" si="11"/>
        <v>0</v>
      </c>
      <c r="Q12" s="74">
        <f t="shared" si="15"/>
        <v>0</v>
      </c>
      <c r="R12" s="74">
        <f t="shared" si="4"/>
        <v>0</v>
      </c>
      <c r="S12" s="74">
        <f t="shared" si="12"/>
        <v>0</v>
      </c>
      <c r="T12" s="76">
        <f t="shared" si="5"/>
        <v>0</v>
      </c>
      <c r="U12" s="15">
        <f t="shared" si="13"/>
        <v>667749.34134671546</v>
      </c>
      <c r="V12" s="6">
        <f t="shared" si="6"/>
        <v>258964.70725221912</v>
      </c>
    </row>
    <row r="13" spans="1:49" x14ac:dyDescent="0.25">
      <c r="A13" s="61">
        <f t="shared" si="7"/>
        <v>5926.2329201089196</v>
      </c>
      <c r="B13" s="2">
        <f t="shared" si="14"/>
        <v>2036</v>
      </c>
      <c r="C13" s="196">
        <f>IF(OR($B13&lt;$Y$6,$B13&gt;'Project Data and Assumptions'!$C$8),0,$AC$35*(1+$AA$15)^($B13-2020))</f>
        <v>21636.736003021902</v>
      </c>
      <c r="D13" s="75">
        <f>IF(OR($B13&lt;$Y$6,$B13&gt;'Project Data and Assumptions'!$C$8),0,$AB$34*(1+$AA$15)^($B13-2020))</f>
        <v>2490.0138319785378</v>
      </c>
      <c r="E13" s="194">
        <f>IF(OR($B13&lt;$Y$6,$B13&gt;'Project Data and Assumptions'!$C$8),0,$AC$34*(1+$AA$15)^($B13-2020))</f>
        <v>10408.809554438365</v>
      </c>
      <c r="F13" s="196">
        <f>IF($B13&gt;'Project Data and Assumptions'!$C$8,0,$AC$30*(1+$AA$15)^($B13-2020))</f>
        <v>0</v>
      </c>
      <c r="G13" s="75">
        <f>IF($B13&gt;'Project Data and Assumptions'!$C$8,0,$AB$29*(1+$AA$15)^($B13-2020))</f>
        <v>0</v>
      </c>
      <c r="H13" s="194">
        <f>IF($B13&gt;'Project Data and Assumptions'!$C$8,0,$AC$29*(1+$AA$15)^($B13-2020))</f>
        <v>0</v>
      </c>
      <c r="I13" s="15">
        <f t="shared" si="0"/>
        <v>285172.18051982869</v>
      </c>
      <c r="J13" s="74">
        <f t="shared" si="8"/>
        <v>5952.1290639614972</v>
      </c>
      <c r="K13" s="74">
        <f t="shared" si="9"/>
        <v>238594.94536255422</v>
      </c>
      <c r="L13" s="74">
        <f t="shared" si="1"/>
        <v>137188.10992749766</v>
      </c>
      <c r="M13" s="74">
        <f t="shared" si="10"/>
        <v>16528.552287354618</v>
      </c>
      <c r="N13" s="76">
        <f t="shared" si="2"/>
        <v>338.68570539252397</v>
      </c>
      <c r="O13" s="15">
        <f t="shared" si="3"/>
        <v>0</v>
      </c>
      <c r="P13" s="74">
        <f t="shared" si="11"/>
        <v>0</v>
      </c>
      <c r="Q13" s="74">
        <f t="shared" si="15"/>
        <v>0</v>
      </c>
      <c r="R13" s="74">
        <f t="shared" si="4"/>
        <v>0</v>
      </c>
      <c r="S13" s="74">
        <f t="shared" si="12"/>
        <v>0</v>
      </c>
      <c r="T13" s="76">
        <f t="shared" si="5"/>
        <v>0</v>
      </c>
      <c r="U13" s="15">
        <f t="shared" si="13"/>
        <v>683774.60286658921</v>
      </c>
      <c r="V13" s="6">
        <f t="shared" si="6"/>
        <v>247831.38314153047</v>
      </c>
      <c r="AU13" t="s">
        <v>357</v>
      </c>
      <c r="AV13" t="s">
        <v>371</v>
      </c>
    </row>
    <row r="14" spans="1:49" x14ac:dyDescent="0.25">
      <c r="A14" s="61">
        <f t="shared" si="7"/>
        <v>6068.4560965195415</v>
      </c>
      <c r="B14" s="2">
        <f t="shared" si="14"/>
        <v>2037</v>
      </c>
      <c r="C14" s="196">
        <f>IF(OR($B14&lt;$Y$6,$B14&gt;'Project Data and Assumptions'!$C$8),0,$AC$35*(1+$AA$15)^($B14-2020))</f>
        <v>22155.994250713473</v>
      </c>
      <c r="D14" s="75">
        <f>IF(OR($B14&lt;$Y$6,$B14&gt;'Project Data and Assumptions'!$C$8),0,$AB$34*(1+$AA$15)^($B14-2020))</f>
        <v>2549.7714691258579</v>
      </c>
      <c r="E14" s="194">
        <f>IF(OR($B14&lt;$Y$6,$B14&gt;'Project Data and Assumptions'!$C$8),0,$AC$34*(1+$AA$15)^($B14-2020))</f>
        <v>10658.60971879948</v>
      </c>
      <c r="F14" s="196">
        <f>IF($B14&gt;'Project Data and Assumptions'!$C$8,0,$AC$30*(1+$AA$15)^($B14-2020))</f>
        <v>0</v>
      </c>
      <c r="G14" s="75">
        <f>IF($B14&gt;'Project Data and Assumptions'!$C$8,0,$AB$29*(1+$AA$15)^($B14-2020))</f>
        <v>0</v>
      </c>
      <c r="H14" s="194">
        <f>IF($B14&gt;'Project Data and Assumptions'!$C$8,0,$AC$29*(1+$AA$15)^($B14-2020))</f>
        <v>0</v>
      </c>
      <c r="I14" s="15">
        <f t="shared" si="0"/>
        <v>292016.00422440359</v>
      </c>
      <c r="J14" s="74">
        <f t="shared" si="8"/>
        <v>6094.9737197984514</v>
      </c>
      <c r="K14" s="74">
        <f t="shared" si="9"/>
        <v>244320.96583161765</v>
      </c>
      <c r="L14" s="74">
        <f t="shared" si="1"/>
        <v>140480.47609377716</v>
      </c>
      <c r="M14" s="74">
        <f t="shared" si="10"/>
        <v>16925.219654207525</v>
      </c>
      <c r="N14" s="76">
        <f t="shared" si="2"/>
        <v>346.81379577897332</v>
      </c>
      <c r="O14" s="15">
        <f t="shared" si="3"/>
        <v>0</v>
      </c>
      <c r="P14" s="74">
        <f t="shared" si="11"/>
        <v>0</v>
      </c>
      <c r="Q14" s="74">
        <f t="shared" si="15"/>
        <v>0</v>
      </c>
      <c r="R14" s="74">
        <f t="shared" si="4"/>
        <v>0</v>
      </c>
      <c r="S14" s="74">
        <f t="shared" si="12"/>
        <v>0</v>
      </c>
      <c r="T14" s="76">
        <f t="shared" si="5"/>
        <v>0</v>
      </c>
      <c r="U14" s="15">
        <f t="shared" si="13"/>
        <v>700184.45331958344</v>
      </c>
      <c r="V14" s="6">
        <f t="shared" si="6"/>
        <v>237176.69917863986</v>
      </c>
      <c r="X14" s="8" t="s">
        <v>81</v>
      </c>
      <c r="AU14" t="s">
        <v>358</v>
      </c>
      <c r="AV14" t="s">
        <v>372</v>
      </c>
    </row>
    <row r="15" spans="1:49" ht="17.25" x14ac:dyDescent="0.25">
      <c r="A15" s="61">
        <f t="shared" si="7"/>
        <v>6214.0924752428336</v>
      </c>
      <c r="B15" s="2">
        <f t="shared" si="14"/>
        <v>2038</v>
      </c>
      <c r="C15" s="196">
        <f>IF(OR($B15&lt;$Y$6,$B15&gt;'Project Data and Assumptions'!$C$8),0,$AC$35*(1+$AA$15)^($B15-2020))</f>
        <v>22687.71413438184</v>
      </c>
      <c r="D15" s="75">
        <f>IF(OR($B15&lt;$Y$6,$B15&gt;'Project Data and Assumptions'!$C$8),0,$AB$34*(1+$AA$15)^($B15-2020))</f>
        <v>2610.963224891947</v>
      </c>
      <c r="E15" s="194">
        <f>IF(OR($B15&lt;$Y$6,$B15&gt;'Project Data and Assumptions'!$C$8),0,$AC$34*(1+$AA$15)^($B15-2020))</f>
        <v>10914.404816758764</v>
      </c>
      <c r="F15" s="196">
        <f>IF($B15&gt;'Project Data and Assumptions'!$C$8,0,$AC$30*(1+$AA$15)^($B15-2020))</f>
        <v>0</v>
      </c>
      <c r="G15" s="75">
        <f>IF($B15&gt;'Project Data and Assumptions'!$C$8,0,$AB$29*(1+$AA$15)^($B15-2020))</f>
        <v>0</v>
      </c>
      <c r="H15" s="194">
        <f>IF($B15&gt;'Project Data and Assumptions'!$C$8,0,$AC$29*(1+$AA$15)^($B15-2020))</f>
        <v>0</v>
      </c>
      <c r="I15" s="15">
        <f t="shared" si="0"/>
        <v>299024.07229115267</v>
      </c>
      <c r="J15" s="74">
        <f t="shared" si="8"/>
        <v>6241.2464927817109</v>
      </c>
      <c r="K15" s="74">
        <f t="shared" si="9"/>
        <v>250184.40459494683</v>
      </c>
      <c r="L15" s="74">
        <f t="shared" si="1"/>
        <v>143851.85548488051</v>
      </c>
      <c r="M15" s="74">
        <f t="shared" si="10"/>
        <v>17331.406608571222</v>
      </c>
      <c r="N15" s="76">
        <f t="shared" si="2"/>
        <v>355.13695153806293</v>
      </c>
      <c r="O15" s="15">
        <f t="shared" si="3"/>
        <v>0</v>
      </c>
      <c r="P15" s="74">
        <f t="shared" si="11"/>
        <v>0</v>
      </c>
      <c r="Q15" s="74">
        <f t="shared" si="15"/>
        <v>0</v>
      </c>
      <c r="R15" s="74">
        <f t="shared" si="4"/>
        <v>0</v>
      </c>
      <c r="S15" s="74">
        <f t="shared" si="12"/>
        <v>0</v>
      </c>
      <c r="T15" s="76">
        <f t="shared" si="5"/>
        <v>0</v>
      </c>
      <c r="U15" s="15">
        <f t="shared" si="13"/>
        <v>716988.12242387095</v>
      </c>
      <c r="V15" s="6">
        <f t="shared" si="6"/>
        <v>226980.07782634377</v>
      </c>
      <c r="X15" s="621" t="s">
        <v>518</v>
      </c>
      <c r="Y15" s="621"/>
      <c r="Z15" s="621"/>
      <c r="AA15" s="400">
        <f>('Annual Use'!$E$6-'Annual Use'!$B$6)/('Annual Use'!$B$6*21)</f>
        <v>2.3998917748917749E-2</v>
      </c>
      <c r="AB15" s="400"/>
      <c r="AU15" t="s">
        <v>359</v>
      </c>
    </row>
    <row r="16" spans="1:49" x14ac:dyDescent="0.25">
      <c r="A16" s="61">
        <f t="shared" si="7"/>
        <v>6363.2239694403543</v>
      </c>
      <c r="B16" s="2">
        <f t="shared" si="14"/>
        <v>2039</v>
      </c>
      <c r="C16" s="196">
        <f>IF(OR($B16&lt;$Y$6,$B16&gt;'Project Data and Assumptions'!$C$8),0,$AC$35*(1+$AA$15)^($B16-2020))</f>
        <v>23232.194719803825</v>
      </c>
      <c r="D16" s="75">
        <f>IF(OR($B16&lt;$Y$6,$B16&gt;'Project Data and Assumptions'!$C$8),0,$AB$34*(1+$AA$15)^($B16-2020))</f>
        <v>2673.6235165715775</v>
      </c>
      <c r="E16" s="194">
        <f>IF(OR($B16&lt;$Y$6,$B16&gt;'Project Data and Assumptions'!$C$8),0,$AC$34*(1+$AA$15)^($B16-2020))</f>
        <v>11176.338720234548</v>
      </c>
      <c r="F16" s="196">
        <f>IF($B16&gt;'Project Data and Assumptions'!$C$8,0,$AC$30*(1+$AA$15)^($B16-2020))</f>
        <v>0</v>
      </c>
      <c r="G16" s="75">
        <f>IF($B16&gt;'Project Data and Assumptions'!$C$8,0,$AB$29*(1+$AA$15)^($B16-2020))</f>
        <v>0</v>
      </c>
      <c r="H16" s="194">
        <f>IF($B16&gt;'Project Data and Assumptions'!$C$8,0,$AC$29*(1+$AA$15)^($B16-2020))</f>
        <v>0</v>
      </c>
      <c r="I16" s="15">
        <f t="shared" si="0"/>
        <v>306200.32640701445</v>
      </c>
      <c r="J16" s="74">
        <f t="shared" si="8"/>
        <v>6391.0296540126992</v>
      </c>
      <c r="K16" s="74">
        <f t="shared" si="9"/>
        <v>256188.55954288287</v>
      </c>
      <c r="L16" s="74">
        <f t="shared" si="1"/>
        <v>147304.14433269133</v>
      </c>
      <c r="M16" s="74">
        <f t="shared" si="10"/>
        <v>17747.341610243366</v>
      </c>
      <c r="N16" s="76">
        <f t="shared" si="2"/>
        <v>363.65985402762624</v>
      </c>
      <c r="O16" s="15">
        <f t="shared" si="3"/>
        <v>0</v>
      </c>
      <c r="P16" s="74">
        <f t="shared" si="11"/>
        <v>0</v>
      </c>
      <c r="Q16" s="74">
        <f t="shared" si="15"/>
        <v>0</v>
      </c>
      <c r="R16" s="74">
        <f t="shared" si="4"/>
        <v>0</v>
      </c>
      <c r="S16" s="74">
        <f t="shared" si="12"/>
        <v>0</v>
      </c>
      <c r="T16" s="76">
        <f t="shared" si="5"/>
        <v>0</v>
      </c>
      <c r="U16" s="15">
        <f t="shared" si="13"/>
        <v>734195.06140087231</v>
      </c>
      <c r="V16" s="6">
        <f t="shared" si="6"/>
        <v>217221.82621003839</v>
      </c>
      <c r="X16" s="621" t="s">
        <v>366</v>
      </c>
      <c r="Y16" s="621"/>
      <c r="Z16" s="621"/>
      <c r="AA16" s="138">
        <v>0.86</v>
      </c>
      <c r="AB16" s="92"/>
      <c r="AU16" t="s">
        <v>370</v>
      </c>
      <c r="AV16" t="s">
        <v>373</v>
      </c>
      <c r="AW16" t="s">
        <v>374</v>
      </c>
    </row>
    <row r="17" spans="1:33" x14ac:dyDescent="0.25">
      <c r="A17" s="61">
        <f t="shared" si="7"/>
        <v>6515.9344581008954</v>
      </c>
      <c r="B17" s="2">
        <f t="shared" si="14"/>
        <v>2040</v>
      </c>
      <c r="C17" s="196">
        <f>IF(OR($B17&lt;$Y$6,$B17&gt;'Project Data and Assumptions'!$C$8),0,$AC$35*(1+$AA$15)^($B17-2020))</f>
        <v>23789.742250011241</v>
      </c>
      <c r="D17" s="75">
        <f>IF(OR($B17&lt;$Y$6,$B17&gt;'Project Data and Assumptions'!$C$8),0,$AB$34*(1+$AA$15)^($B17-2020))</f>
        <v>2737.7875874373512</v>
      </c>
      <c r="E17" s="194">
        <f>IF(OR($B17&lt;$Y$6,$B17&gt;'Project Data and Assumptions'!$C$8),0,$AC$34*(1+$AA$15)^($B17-2020))</f>
        <v>11444.558753915502</v>
      </c>
      <c r="F17" s="196">
        <f>IF($B17&gt;'Project Data and Assumptions'!$C$8,0,$AC$30*(1+$AA$15)^($B17-2020))</f>
        <v>0</v>
      </c>
      <c r="G17" s="75">
        <f>IF($B17&gt;'Project Data and Assumptions'!$C$8,0,$AB$29*(1+$AA$15)^($B17-2020))</f>
        <v>0</v>
      </c>
      <c r="H17" s="194">
        <f>IF($B17&gt;'Project Data and Assumptions'!$C$8,0,$AC$29*(1+$AA$15)^($B17-2020))</f>
        <v>0</v>
      </c>
      <c r="I17" s="15">
        <f t="shared" si="0"/>
        <v>313548.80285514815</v>
      </c>
      <c r="J17" s="74">
        <f t="shared" si="8"/>
        <v>6544.4074490102457</v>
      </c>
      <c r="K17" s="74">
        <f t="shared" si="9"/>
        <v>262336.80771156627</v>
      </c>
      <c r="L17" s="74">
        <f t="shared" si="1"/>
        <v>150839.28437660632</v>
      </c>
      <c r="M17" s="74">
        <f t="shared" si="10"/>
        <v>18173.258601809546</v>
      </c>
      <c r="N17" s="76">
        <f t="shared" si="2"/>
        <v>372.38729695301868</v>
      </c>
      <c r="O17" s="15">
        <f t="shared" si="3"/>
        <v>0</v>
      </c>
      <c r="P17" s="74">
        <f t="shared" si="11"/>
        <v>0</v>
      </c>
      <c r="Q17" s="74">
        <f t="shared" si="15"/>
        <v>0</v>
      </c>
      <c r="R17" s="74">
        <f t="shared" si="4"/>
        <v>0</v>
      </c>
      <c r="S17" s="74">
        <f t="shared" si="12"/>
        <v>0</v>
      </c>
      <c r="T17" s="76">
        <f t="shared" si="5"/>
        <v>0</v>
      </c>
      <c r="U17" s="15">
        <f t="shared" si="13"/>
        <v>751814.94829109346</v>
      </c>
      <c r="V17" s="6">
        <f t="shared" si="6"/>
        <v>207883.09808460073</v>
      </c>
      <c r="X17" s="621" t="s">
        <v>367</v>
      </c>
      <c r="Y17" s="621"/>
      <c r="Z17" s="621"/>
      <c r="AA17" s="200">
        <f>MIN(Y7,2.38)</f>
        <v>2.38</v>
      </c>
      <c r="AB17" s="201" t="s">
        <v>368</v>
      </c>
      <c r="AC17" s="25" t="s">
        <v>369</v>
      </c>
    </row>
    <row r="18" spans="1:33" x14ac:dyDescent="0.25">
      <c r="A18" s="61">
        <f t="shared" si="7"/>
        <v>6672.3098332181962</v>
      </c>
      <c r="B18" s="2">
        <f t="shared" si="14"/>
        <v>2041</v>
      </c>
      <c r="C18" s="196">
        <f>IF(OR($B18&lt;$Y$6,$B18&gt;'Project Data and Assumptions'!$C$8),0,$AC$35*(1+$AA$15)^($B18-2020))</f>
        <v>24360.670317537209</v>
      </c>
      <c r="D18" s="75">
        <f>IF(OR($B18&lt;$Y$6,$B18&gt;'Project Data and Assumptions'!$C$8),0,$AB$34*(1+$AA$15)^($B18-2020))</f>
        <v>2803.4915265622676</v>
      </c>
      <c r="E18" s="194">
        <f>IF(OR($B18&lt;$Y$6,$B18&gt;'Project Data and Assumptions'!$C$8),0,$AC$34*(1+$AA$15)^($B18-2020))</f>
        <v>11719.215778123375</v>
      </c>
      <c r="F18" s="196">
        <f>IF($B18&gt;'Project Data and Assumptions'!$C$8,0,$AC$30*(1+$AA$15)^($B18-2020))</f>
        <v>0</v>
      </c>
      <c r="G18" s="75">
        <f>IF($B18&gt;'Project Data and Assumptions'!$C$8,0,$AB$29*(1+$AA$15)^($B18-2020))</f>
        <v>0</v>
      </c>
      <c r="H18" s="194">
        <f>IF($B18&gt;'Project Data and Assumptions'!$C$8,0,$AC$29*(1+$AA$15)^($B18-2020))</f>
        <v>0</v>
      </c>
      <c r="I18" s="15">
        <f t="shared" si="0"/>
        <v>321073.63478514046</v>
      </c>
      <c r="J18" s="74">
        <f t="shared" si="8"/>
        <v>6701.4661450944441</v>
      </c>
      <c r="K18" s="74">
        <f t="shared" si="9"/>
        <v>268632.60718234978</v>
      </c>
      <c r="L18" s="74">
        <f t="shared" si="1"/>
        <v>154459.2639556661</v>
      </c>
      <c r="M18" s="74">
        <f t="shared" si="10"/>
        <v>18609.39714022418</v>
      </c>
      <c r="N18" s="76">
        <f t="shared" si="2"/>
        <v>381.32418906333589</v>
      </c>
      <c r="O18" s="15">
        <f t="shared" si="3"/>
        <v>0</v>
      </c>
      <c r="P18" s="74">
        <f t="shared" si="11"/>
        <v>0</v>
      </c>
      <c r="Q18" s="74">
        <f t="shared" si="15"/>
        <v>0</v>
      </c>
      <c r="R18" s="74">
        <f t="shared" si="4"/>
        <v>0</v>
      </c>
      <c r="S18" s="74">
        <f t="shared" si="12"/>
        <v>0</v>
      </c>
      <c r="T18" s="76">
        <f t="shared" si="5"/>
        <v>0</v>
      </c>
      <c r="U18" s="15">
        <f t="shared" si="13"/>
        <v>769857.69339753827</v>
      </c>
      <c r="V18" s="6">
        <f t="shared" si="6"/>
        <v>198945.85743637691</v>
      </c>
      <c r="X18" s="621" t="s">
        <v>363</v>
      </c>
      <c r="Y18" s="621"/>
      <c r="Z18" s="621"/>
      <c r="AA18" s="621"/>
      <c r="AB18" s="138">
        <f>MIN($AA$16,$Y8)</f>
        <v>0</v>
      </c>
      <c r="AC18" s="138">
        <f>MIN($AA$17,$Y8)</f>
        <v>0</v>
      </c>
    </row>
    <row r="19" spans="1:33" x14ac:dyDescent="0.25">
      <c r="A19" s="61">
        <f t="shared" si="7"/>
        <v>6832.4380481008966</v>
      </c>
      <c r="B19" s="2">
        <f t="shared" si="14"/>
        <v>2042</v>
      </c>
      <c r="C19" s="196">
        <f>IF(OR($B19&lt;$Y$6,$B19&gt;'Project Data and Assumptions'!$C$8),0,$AC$35*(1+$AA$15)^($B19-2020))</f>
        <v>24945.30004079629</v>
      </c>
      <c r="D19" s="75">
        <f>IF(OR($B19&lt;$Y$6,$B19&gt;'Project Data and Assumptions'!$C$8),0,$AB$34*(1+$AA$15)^($B19-2020))</f>
        <v>2870.7722891180238</v>
      </c>
      <c r="E19" s="194">
        <f>IF(OR($B19&lt;$Y$6,$B19&gt;'Project Data and Assumptions'!$C$8),0,$AC$34*(1+$AA$15)^($B19-2020))</f>
        <v>12000.464273664378</v>
      </c>
      <c r="F19" s="196">
        <f>IF($B19&gt;'Project Data and Assumptions'!$C$8,0,$AC$30*(1+$AA$15)^($B19-2020))</f>
        <v>0</v>
      </c>
      <c r="G19" s="75">
        <f>IF($B19&gt;'Project Data and Assumptions'!$C$8,0,$AB$29*(1+$AA$15)^($B19-2020))</f>
        <v>0</v>
      </c>
      <c r="H19" s="194">
        <f>IF($B19&gt;'Project Data and Assumptions'!$C$8,0,$AC$29*(1+$AA$15)^($B19-2020))</f>
        <v>0</v>
      </c>
      <c r="I19" s="15">
        <f t="shared" si="0"/>
        <v>328779.05453769508</v>
      </c>
      <c r="J19" s="74">
        <f t="shared" si="8"/>
        <v>6862.2940799077242</v>
      </c>
      <c r="K19" s="74">
        <f t="shared" si="9"/>
        <v>275079.49902679631</v>
      </c>
      <c r="L19" s="74">
        <f t="shared" si="1"/>
        <v>158166.11912689652</v>
      </c>
      <c r="M19" s="74">
        <f t="shared" si="10"/>
        <v>19056.002531549369</v>
      </c>
      <c r="N19" s="76">
        <f t="shared" si="2"/>
        <v>390.4755569123397</v>
      </c>
      <c r="O19" s="15">
        <f t="shared" si="3"/>
        <v>0</v>
      </c>
      <c r="P19" s="74">
        <f t="shared" si="11"/>
        <v>0</v>
      </c>
      <c r="Q19" s="74">
        <f t="shared" si="15"/>
        <v>0</v>
      </c>
      <c r="R19" s="74">
        <f t="shared" si="4"/>
        <v>0</v>
      </c>
      <c r="S19" s="74">
        <f t="shared" si="12"/>
        <v>0</v>
      </c>
      <c r="T19" s="76">
        <f t="shared" si="5"/>
        <v>0</v>
      </c>
      <c r="U19" s="15">
        <f t="shared" si="13"/>
        <v>788333.44485975732</v>
      </c>
      <c r="V19" s="6">
        <f t="shared" si="6"/>
        <v>190392.84364998172</v>
      </c>
      <c r="X19" s="621" t="s">
        <v>364</v>
      </c>
      <c r="Y19" s="621"/>
      <c r="Z19" s="621"/>
      <c r="AA19" s="621"/>
      <c r="AB19" s="138">
        <f>MIN($AA$16,SUM($Y9:$Y10))</f>
        <v>0.86</v>
      </c>
      <c r="AC19" s="138">
        <f>MIN($AA$16,SUM($Y9:$Y10))</f>
        <v>0.86</v>
      </c>
    </row>
    <row r="20" spans="1:33" x14ac:dyDescent="0.25">
      <c r="A20" s="61">
        <f t="shared" si="7"/>
        <v>6996.409166841845</v>
      </c>
      <c r="B20" s="2">
        <f t="shared" si="14"/>
        <v>2043</v>
      </c>
      <c r="C20" s="196">
        <f>IF(OR($B20&lt;$Y$6,$B20&gt;'Project Data and Assumptions'!$C$8),0,$AC$35*(1+$AA$15)^($B20-2020))</f>
        <v>25543.960244697435</v>
      </c>
      <c r="D20" s="75">
        <f>IF(OR($B20&lt;$Y$6,$B20&gt;'Project Data and Assumptions'!$C$8),0,$AB$34*(1+$AA$15)^($B20-2020))</f>
        <v>2939.6677171604392</v>
      </c>
      <c r="E20" s="194">
        <f>IF(OR($B20&lt;$Y$6,$B20&gt;'Project Data and Assumptions'!$C$8),0,$AC$34*(1+$AA$15)^($B20-2020))</f>
        <v>12288.462428716875</v>
      </c>
      <c r="F20" s="196">
        <f>IF($B20&gt;'Project Data and Assumptions'!$C$8,0,$AC$30*(1+$AA$15)^($B20-2020))</f>
        <v>0</v>
      </c>
      <c r="G20" s="75">
        <f>IF($B20&gt;'Project Data and Assumptions'!$C$8,0,$AB$29*(1+$AA$15)^($B20-2020))</f>
        <v>0</v>
      </c>
      <c r="H20" s="194">
        <f>IF($B20&gt;'Project Data and Assumptions'!$C$8,0,$AC$29*(1+$AA$15)^($B20-2020))</f>
        <v>0</v>
      </c>
      <c r="I20" s="15">
        <f t="shared" si="0"/>
        <v>336669.39602511219</v>
      </c>
      <c r="J20" s="74">
        <f t="shared" si="8"/>
        <v>7026.9817111003149</v>
      </c>
      <c r="K20" s="74">
        <f t="shared" si="9"/>
        <v>281681.1092983539</v>
      </c>
      <c r="L20" s="74">
        <f t="shared" si="1"/>
        <v>161961.93481048843</v>
      </c>
      <c r="M20" s="74">
        <f t="shared" si="10"/>
        <v>19513.325968927187</v>
      </c>
      <c r="N20" s="76">
        <f t="shared" si="2"/>
        <v>399.84654768564172</v>
      </c>
      <c r="O20" s="15">
        <f t="shared" si="3"/>
        <v>0</v>
      </c>
      <c r="P20" s="74">
        <f t="shared" si="11"/>
        <v>0</v>
      </c>
      <c r="Q20" s="74">
        <f t="shared" si="15"/>
        <v>0</v>
      </c>
      <c r="R20" s="74">
        <f t="shared" si="4"/>
        <v>0</v>
      </c>
      <c r="S20" s="74">
        <f t="shared" si="12"/>
        <v>0</v>
      </c>
      <c r="T20" s="76">
        <f t="shared" si="5"/>
        <v>0</v>
      </c>
      <c r="U20" s="15">
        <f t="shared" si="13"/>
        <v>807252.59436166787</v>
      </c>
      <c r="V20" s="6">
        <f t="shared" si="6"/>
        <v>182207.53817263574</v>
      </c>
      <c r="X20" s="399"/>
      <c r="Y20" s="399"/>
      <c r="Z20" s="125"/>
      <c r="AA20" s="77"/>
    </row>
    <row r="21" spans="1:33" x14ac:dyDescent="0.25">
      <c r="A21" s="61">
        <f t="shared" si="7"/>
        <v>7164.3154149746551</v>
      </c>
      <c r="B21" s="2">
        <f t="shared" si="14"/>
        <v>2044</v>
      </c>
      <c r="C21" s="196">
        <f>IF(OR($B21&lt;$Y$6,$B21&gt;'Project Data and Assumptions'!$C$8),0,$AC$35*(1+$AA$15)^($B21-2020))</f>
        <v>26156.987645591547</v>
      </c>
      <c r="D21" s="75">
        <f>IF(OR($B21&lt;$Y$6,$B21&gt;'Project Data and Assumptions'!$C$8),0,$AB$34*(1+$AA$15)^($B21-2020))</f>
        <v>3010.216560913721</v>
      </c>
      <c r="E21" s="194">
        <f>IF(OR($B21&lt;$Y$6,$B21&gt;'Project Data and Assumptions'!$C$8),0,$AC$34*(1+$AA$15)^($B21-2020))</f>
        <v>12583.372227804315</v>
      </c>
      <c r="F21" s="196">
        <f>IF($B21&gt;'Project Data and Assumptions'!$C$8,0,$AC$30*(1+$AA$15)^($B21-2020))</f>
        <v>0</v>
      </c>
      <c r="G21" s="75">
        <f>IF($B21&gt;'Project Data and Assumptions'!$C$8,0,$AB$29*(1+$AA$15)^($B21-2020))</f>
        <v>0</v>
      </c>
      <c r="H21" s="194">
        <f>IF($B21&gt;'Project Data and Assumptions'!$C$8,0,$AC$29*(1+$AA$15)^($B21-2020))</f>
        <v>0</v>
      </c>
      <c r="I21" s="15">
        <f t="shared" si="0"/>
        <v>344749.09716889664</v>
      </c>
      <c r="J21" s="74">
        <f t="shared" si="8"/>
        <v>7195.62166720816</v>
      </c>
      <c r="K21" s="74">
        <f t="shared" si="9"/>
        <v>288441.15107182891</v>
      </c>
      <c r="L21" s="74">
        <f t="shared" si="1"/>
        <v>165848.84596246088</v>
      </c>
      <c r="M21" s="74">
        <f t="shared" si="10"/>
        <v>19981.624673863291</v>
      </c>
      <c r="N21" s="76">
        <f t="shared" si="2"/>
        <v>409.44243209573818</v>
      </c>
      <c r="O21" s="15">
        <f t="shared" si="3"/>
        <v>0</v>
      </c>
      <c r="P21" s="74">
        <f t="shared" si="11"/>
        <v>0</v>
      </c>
      <c r="Q21" s="74">
        <f t="shared" si="15"/>
        <v>0</v>
      </c>
      <c r="R21" s="74">
        <f t="shared" si="4"/>
        <v>0</v>
      </c>
      <c r="S21" s="74">
        <f t="shared" si="12"/>
        <v>0</v>
      </c>
      <c r="T21" s="76">
        <f t="shared" si="5"/>
        <v>0</v>
      </c>
      <c r="U21" s="15">
        <f t="shared" si="13"/>
        <v>826625.78297635366</v>
      </c>
      <c r="V21" s="6">
        <f t="shared" si="6"/>
        <v>174374.13261165749</v>
      </c>
      <c r="Z21" s="84"/>
      <c r="AA21" s="84"/>
      <c r="AB21" s="84"/>
      <c r="AC21" s="84"/>
    </row>
    <row r="22" spans="1:33" x14ac:dyDescent="0.25">
      <c r="A22" s="61">
        <f t="shared" si="7"/>
        <v>7336.2512313459356</v>
      </c>
      <c r="B22" s="2">
        <f t="shared" si="14"/>
        <v>2045</v>
      </c>
      <c r="C22" s="196">
        <f>IF(OR($B22&lt;$Y$6,$B22&gt;'Project Data and Assumptions'!$C$8),0,$AC$35*(1+$AA$15)^($B22-2020))</f>
        <v>26784.727040657555</v>
      </c>
      <c r="D22" s="75">
        <f>IF(OR($B22&lt;$Y$6,$B22&gt;'Project Data and Assumptions'!$C$8),0,$AB$34*(1+$AA$15)^($B22-2020))</f>
        <v>3082.4585005655194</v>
      </c>
      <c r="E22" s="194">
        <f>IF(OR($B22&lt;$Y$6,$B22&gt;'Project Data and Assumptions'!$C$8),0,$AC$34*(1+$AA$15)^($B22-2020))</f>
        <v>12885.359542903407</v>
      </c>
      <c r="F22" s="196">
        <f>IF($B22&gt;'Project Data and Assumptions'!$C$8,0,$AC$30*(1+$AA$15)^($B22-2020))</f>
        <v>0</v>
      </c>
      <c r="G22" s="75">
        <f>IF($B22&gt;'Project Data and Assumptions'!$C$8,0,$AB$29*(1+$AA$15)^($B22-2020))</f>
        <v>0</v>
      </c>
      <c r="H22" s="194">
        <f>IF($B22&gt;'Project Data and Assumptions'!$C$8,0,$AC$29*(1+$AA$15)^($B22-2020))</f>
        <v>0</v>
      </c>
      <c r="I22" s="15">
        <f t="shared" si="0"/>
        <v>353022.70239586657</v>
      </c>
      <c r="J22" s="74">
        <f t="shared" si="8"/>
        <v>7368.3087997518178</v>
      </c>
      <c r="K22" s="74">
        <f t="shared" si="9"/>
        <v>295363.4265318049</v>
      </c>
      <c r="L22" s="74">
        <f t="shared" si="1"/>
        <v>169829.03877546691</v>
      </c>
      <c r="M22" s="74">
        <f t="shared" si="10"/>
        <v>20461.162040901079</v>
      </c>
      <c r="N22" s="76">
        <f t="shared" si="2"/>
        <v>419.26860734652058</v>
      </c>
      <c r="O22" s="15">
        <f t="shared" si="3"/>
        <v>0</v>
      </c>
      <c r="P22" s="74">
        <f t="shared" si="11"/>
        <v>0</v>
      </c>
      <c r="Q22" s="74">
        <f t="shared" si="15"/>
        <v>0</v>
      </c>
      <c r="R22" s="74">
        <f t="shared" si="4"/>
        <v>0</v>
      </c>
      <c r="S22" s="74">
        <f t="shared" si="12"/>
        <v>0</v>
      </c>
      <c r="T22" s="76">
        <f t="shared" si="5"/>
        <v>0</v>
      </c>
      <c r="U22" s="15">
        <f t="shared" si="13"/>
        <v>846463.90715113794</v>
      </c>
      <c r="V22" s="6">
        <f t="shared" si="6"/>
        <v>166877.49820349866</v>
      </c>
      <c r="X22" s="8" t="s">
        <v>495</v>
      </c>
      <c r="Z22" s="84"/>
      <c r="AA22" s="84"/>
      <c r="AB22" s="84"/>
      <c r="AC22" s="84"/>
    </row>
    <row r="23" spans="1:33" x14ac:dyDescent="0.25">
      <c r="A23" s="61">
        <f t="shared" si="7"/>
        <v>7512.3133212324028</v>
      </c>
      <c r="B23" s="2">
        <f t="shared" si="14"/>
        <v>2046</v>
      </c>
      <c r="C23" s="196">
        <f>IF(OR($B23&lt;$Y$6,$B23&gt;'Project Data and Assumptions'!$C$8),0,$AC$35*(1+$AA$15)^($B23-2020))</f>
        <v>27427.531501833506</v>
      </c>
      <c r="D23" s="75">
        <f>IF(OR($B23&lt;$Y$6,$B23&gt;'Project Data and Assumptions'!$C$8),0,$AB$34*(1+$AA$15)^($B23-2020))</f>
        <v>3156.4341685850432</v>
      </c>
      <c r="E23" s="194">
        <f>IF(OR($B23&lt;$Y$6,$B23&gt;'Project Data and Assumptions'!$C$8),0,$AC$34*(1+$AA$15)^($B23-2020))</f>
        <v>13194.594226738776</v>
      </c>
      <c r="F23" s="196">
        <f>IF($B23&gt;'Project Data and Assumptions'!$C$8,0,$AC$30*(1+$AA$15)^($B23-2020))</f>
        <v>0</v>
      </c>
      <c r="G23" s="75">
        <f>IF($B23&gt;'Project Data and Assumptions'!$C$8,0,$AB$29*(1+$AA$15)^($B23-2020))</f>
        <v>0</v>
      </c>
      <c r="H23" s="194">
        <f>IF($B23&gt;'Project Data and Assumptions'!$C$8,0,$AC$29*(1+$AA$15)^($B23-2020))</f>
        <v>0</v>
      </c>
      <c r="I23" s="15">
        <f t="shared" si="0"/>
        <v>361494.86519416561</v>
      </c>
      <c r="J23" s="74">
        <f t="shared" si="8"/>
        <v>7545.1402365856884</v>
      </c>
      <c r="K23" s="74">
        <f t="shared" si="9"/>
        <v>302451.82911118015</v>
      </c>
      <c r="L23" s="74">
        <f t="shared" si="1"/>
        <v>173904.75190841706</v>
      </c>
      <c r="M23" s="74">
        <f t="shared" si="10"/>
        <v>20952.20778576794</v>
      </c>
      <c r="N23" s="76">
        <f t="shared" si="2"/>
        <v>429.33060016893296</v>
      </c>
      <c r="O23" s="15">
        <f t="shared" si="3"/>
        <v>0</v>
      </c>
      <c r="P23" s="74">
        <f t="shared" si="11"/>
        <v>0</v>
      </c>
      <c r="Q23" s="74">
        <f t="shared" si="15"/>
        <v>0</v>
      </c>
      <c r="R23" s="74">
        <f t="shared" si="4"/>
        <v>0</v>
      </c>
      <c r="S23" s="74">
        <f t="shared" si="12"/>
        <v>0</v>
      </c>
      <c r="T23" s="76">
        <f t="shared" si="5"/>
        <v>0</v>
      </c>
      <c r="U23" s="15">
        <f t="shared" si="13"/>
        <v>866778.12483628548</v>
      </c>
      <c r="V23" s="6">
        <f t="shared" si="6"/>
        <v>159703.1565953547</v>
      </c>
      <c r="Z23" s="78" t="s">
        <v>23</v>
      </c>
      <c r="AA23" s="78" t="s">
        <v>336</v>
      </c>
      <c r="AB23" s="78" t="s">
        <v>53</v>
      </c>
      <c r="AC23" s="78" t="s">
        <v>195</v>
      </c>
      <c r="AD23" s="78" t="s">
        <v>354</v>
      </c>
    </row>
    <row r="24" spans="1:33" x14ac:dyDescent="0.25">
      <c r="A24" s="61">
        <f t="shared" si="7"/>
        <v>7692.6007107327578</v>
      </c>
      <c r="B24" s="2">
        <f t="shared" si="14"/>
        <v>2047</v>
      </c>
      <c r="C24" s="196">
        <f>IF(OR($B24&lt;$Y$6,$B24&gt;'Project Data and Assumptions'!$C$8),0,$AC$35*(1+$AA$15)^($B24-2020))</f>
        <v>28085.762574401859</v>
      </c>
      <c r="D24" s="75">
        <f>IF(OR($B24&lt;$Y$6,$B24&gt;'Project Data and Assumptions'!$C$8),0,$AB$34*(1+$AA$15)^($B24-2020))</f>
        <v>3232.1851725767892</v>
      </c>
      <c r="E24" s="194">
        <f>IF(OR($B24&lt;$Y$6,$B24&gt;'Project Data and Assumptions'!$C$8),0,$AC$34*(1+$AA$15)^($B24-2020))</f>
        <v>13511.250208316626</v>
      </c>
      <c r="F24" s="196">
        <f>IF($B24&gt;'Project Data and Assumptions'!$C$8,0,$AC$30*(1+$AA$15)^($B24-2020))</f>
        <v>0</v>
      </c>
      <c r="G24" s="75">
        <f>IF($B24&gt;'Project Data and Assumptions'!$C$8,0,$AB$29*(1+$AA$15)^($B24-2020))</f>
        <v>0</v>
      </c>
      <c r="H24" s="194">
        <f>IF($B24&gt;'Project Data and Assumptions'!$C$8,0,$AC$29*(1+$AA$15)^($B24-2020))</f>
        <v>0</v>
      </c>
      <c r="I24" s="15">
        <f t="shared" si="0"/>
        <v>370170.35073061654</v>
      </c>
      <c r="J24" s="74">
        <f t="shared" si="8"/>
        <v>7726.2154365275592</v>
      </c>
      <c r="K24" s="74">
        <f t="shared" si="9"/>
        <v>309710.34568102914</v>
      </c>
      <c r="L24" s="74">
        <f t="shared" si="1"/>
        <v>178078.27774561316</v>
      </c>
      <c r="M24" s="74">
        <f t="shared" si="10"/>
        <v>21455.03809707682</v>
      </c>
      <c r="N24" s="76">
        <f t="shared" si="2"/>
        <v>439.63406992948069</v>
      </c>
      <c r="O24" s="15">
        <f t="shared" si="3"/>
        <v>0</v>
      </c>
      <c r="P24" s="74">
        <f t="shared" si="11"/>
        <v>0</v>
      </c>
      <c r="Q24" s="74">
        <f t="shared" si="15"/>
        <v>0</v>
      </c>
      <c r="R24" s="74">
        <f t="shared" si="4"/>
        <v>0</v>
      </c>
      <c r="S24" s="74">
        <f t="shared" si="12"/>
        <v>0</v>
      </c>
      <c r="T24" s="76">
        <f t="shared" si="5"/>
        <v>0</v>
      </c>
      <c r="U24" s="15">
        <f t="shared" si="13"/>
        <v>887579.86176079267</v>
      </c>
      <c r="V24" s="6">
        <f t="shared" si="6"/>
        <v>152837.25188292447</v>
      </c>
      <c r="X24" s="620" t="s">
        <v>125</v>
      </c>
      <c r="Y24" s="620"/>
      <c r="Z24" s="79">
        <f>'Annual Use'!$B$6*'Annual Use'!$F$6</f>
        <v>54560</v>
      </c>
      <c r="AA24" s="79">
        <f>Z24*(SUM('Bassett Creek'!$B$19:$B$22)+'Bassett Creek'!$B$18*5/7)</f>
        <v>41347.360685714288</v>
      </c>
      <c r="AB24" s="79">
        <f>SUM($Z24:$Z25)*'Annual Use'!$M$6</f>
        <v>32137.599999999999</v>
      </c>
      <c r="AC24" s="79">
        <f>Z24-AB24</f>
        <v>22422.400000000001</v>
      </c>
      <c r="AD24" s="235">
        <f>AA24/Z24</f>
        <v>0.7578328571428572</v>
      </c>
    </row>
    <row r="25" spans="1:33" x14ac:dyDescent="0.25">
      <c r="A25" s="61">
        <f t="shared" si="7"/>
        <v>7877.2148024648995</v>
      </c>
      <c r="B25" s="2">
        <f t="shared" si="14"/>
        <v>2048</v>
      </c>
      <c r="C25" s="196">
        <f>IF(OR($B25&lt;$Y$6,$B25&gt;'Project Data and Assumptions'!$C$8),0,$AC$35*(1+$AA$15)^($B25-2020))</f>
        <v>28759.790480340562</v>
      </c>
      <c r="D25" s="75">
        <f>IF(OR($B25&lt;$Y$6,$B25&gt;'Project Data and Assumptions'!$C$8),0,$AB$34*(1+$AA$15)^($B25-2020))</f>
        <v>3309.7541186827311</v>
      </c>
      <c r="E25" s="194">
        <f>IF(OR($B25&lt;$Y$6,$B25&gt;'Project Data and Assumptions'!$C$8),0,$AC$34*(1+$AA$15)^($B25-2020))</f>
        <v>13835.505590751063</v>
      </c>
      <c r="F25" s="196">
        <f>IF($B25&gt;'Project Data and Assumptions'!$C$8,0,$AC$30*(1+$AA$15)^($B25-2020))</f>
        <v>0</v>
      </c>
      <c r="G25" s="75">
        <f>IF($B25&gt;'Project Data and Assumptions'!$C$8,0,$AB$29*(1+$AA$15)^($B25-2020))</f>
        <v>0</v>
      </c>
      <c r="H25" s="194">
        <f>IF($B25&gt;'Project Data and Assumptions'!$C$8,0,$AC$29*(1+$AA$15)^($B25-2020))</f>
        <v>0</v>
      </c>
      <c r="I25" s="15">
        <f t="shared" si="0"/>
        <v>379054.03853088862</v>
      </c>
      <c r="J25" s="74">
        <f t="shared" si="8"/>
        <v>7911.6362452992016</v>
      </c>
      <c r="K25" s="74">
        <f t="shared" si="9"/>
        <v>317143.058793017</v>
      </c>
      <c r="L25" s="74">
        <f t="shared" si="1"/>
        <v>182351.96368609901</v>
      </c>
      <c r="M25" s="74">
        <f t="shared" si="10"/>
        <v>21969.93579166846</v>
      </c>
      <c r="N25" s="76">
        <f t="shared" si="2"/>
        <v>450.18481181334022</v>
      </c>
      <c r="O25" s="15">
        <f t="shared" si="3"/>
        <v>0</v>
      </c>
      <c r="P25" s="74">
        <f t="shared" si="11"/>
        <v>0</v>
      </c>
      <c r="Q25" s="74">
        <f t="shared" si="15"/>
        <v>0</v>
      </c>
      <c r="R25" s="74">
        <f t="shared" si="4"/>
        <v>0</v>
      </c>
      <c r="S25" s="74">
        <f t="shared" si="12"/>
        <v>0</v>
      </c>
      <c r="T25" s="76">
        <f t="shared" si="5"/>
        <v>0</v>
      </c>
      <c r="U25" s="15">
        <f t="shared" si="13"/>
        <v>908880.81785878562</v>
      </c>
      <c r="V25" s="6">
        <f t="shared" si="6"/>
        <v>146266.52385031153</v>
      </c>
      <c r="X25" s="620" t="s">
        <v>124</v>
      </c>
      <c r="Y25" s="620"/>
      <c r="Z25" s="79">
        <f>'Annual Use'!$B$6*'Annual Use'!$G$6</f>
        <v>91520</v>
      </c>
      <c r="AA25" s="79">
        <f>Z25*(SUM('Bassett Creek'!$B$19:$B$22)+'Bassett Creek'!$B$18*5/7)</f>
        <v>69356.863085714285</v>
      </c>
      <c r="AB25" s="79">
        <v>0</v>
      </c>
      <c r="AC25" s="79">
        <f>Z25-AB25</f>
        <v>91520</v>
      </c>
      <c r="AD25" s="235">
        <f>AA25/Z25</f>
        <v>0.75783285714285709</v>
      </c>
      <c r="AG25" s="91" t="s">
        <v>64</v>
      </c>
    </row>
    <row r="26" spans="1:33" x14ac:dyDescent="0.25">
      <c r="A26" s="61">
        <f t="shared" si="7"/>
        <v>8066.2594325998116</v>
      </c>
      <c r="B26" s="264">
        <f t="shared" si="14"/>
        <v>2049</v>
      </c>
      <c r="C26" s="265">
        <f>IF(OR($B26&lt;$Y$6,$B26&gt;'Project Data and Assumptions'!$C$8),0,$AC$35*(1+$AA$15)^($B26-2020))</f>
        <v>29449.994326554359</v>
      </c>
      <c r="D26" s="266">
        <f>IF(OR($B26&lt;$Y$6,$B26&gt;'Project Data and Assumptions'!$C$8),0,$AB$34*(1+$AA$15)^($B26-2020))</f>
        <v>3389.1846355461394</v>
      </c>
      <c r="E26" s="267">
        <f>IF(OR($B26&lt;$Y$6,$B26&gt;'Project Data and Assumptions'!$C$8),0,$AC$34*(1+$AA$15)^($B26-2020))</f>
        <v>14167.54275143819</v>
      </c>
      <c r="F26" s="265">
        <f>IF($B26&gt;'Project Data and Assumptions'!$C$8,0,$AC$30*(1+$AA$15)^($B26-2020))</f>
        <v>0</v>
      </c>
      <c r="G26" s="266">
        <f>IF($B26&gt;'Project Data and Assumptions'!$C$8,0,$AB$29*(1+$AA$15)^($B26-2020))</f>
        <v>0</v>
      </c>
      <c r="H26" s="267">
        <f>IF($B26&gt;'Project Data and Assumptions'!$C$8,0,$AC$29*(1+$AA$15)^($B26-2020))</f>
        <v>0</v>
      </c>
      <c r="I26" s="98">
        <f t="shared" si="0"/>
        <v>388150.9252239865</v>
      </c>
      <c r="J26" s="99">
        <f t="shared" si="8"/>
        <v>8101.5069528094928</v>
      </c>
      <c r="K26" s="99">
        <f t="shared" si="9"/>
        <v>324754.14897563076</v>
      </c>
      <c r="L26" s="99">
        <f t="shared" si="1"/>
        <v>186728.21346395536</v>
      </c>
      <c r="M26" s="99">
        <f t="shared" si="10"/>
        <v>22497.19047368172</v>
      </c>
      <c r="N26" s="101">
        <f t="shared" si="2"/>
        <v>460.98876008386054</v>
      </c>
      <c r="O26" s="98">
        <f t="shared" si="3"/>
        <v>0</v>
      </c>
      <c r="P26" s="99">
        <f t="shared" si="11"/>
        <v>0</v>
      </c>
      <c r="Q26" s="99">
        <f t="shared" si="15"/>
        <v>0</v>
      </c>
      <c r="R26" s="99">
        <f t="shared" si="4"/>
        <v>0</v>
      </c>
      <c r="S26" s="99">
        <f t="shared" si="12"/>
        <v>0</v>
      </c>
      <c r="T26" s="101">
        <f t="shared" si="5"/>
        <v>0</v>
      </c>
      <c r="U26" s="98">
        <f t="shared" si="13"/>
        <v>930692.97385014768</v>
      </c>
      <c r="V26" s="272">
        <f t="shared" si="6"/>
        <v>139978.28236038811</v>
      </c>
      <c r="Z26" s="84"/>
      <c r="AA26" s="84"/>
      <c r="AB26" s="84"/>
      <c r="AC26" s="84"/>
      <c r="AG26" s="91" t="s">
        <v>65</v>
      </c>
    </row>
    <row r="27" spans="1:33" x14ac:dyDescent="0.25">
      <c r="A27" s="61">
        <f t="shared" si="7"/>
        <v>8259.8409292642082</v>
      </c>
      <c r="B27" s="2">
        <f t="shared" si="14"/>
        <v>2050</v>
      </c>
      <c r="C27" s="196">
        <f>IF(OR($B27&lt;$Y$6,$B27&gt;'Project Data and Assumptions'!$C$8),0,$AC$35*(1+$AA$15)^($B27-2020))</f>
        <v>30156.76231810344</v>
      </c>
      <c r="D27" s="75">
        <f>IF(OR($B27&lt;$Y$6,$B27&gt;'Project Data and Assumptions'!$C$8),0,$AB$34*(1+$AA$15)^($B27-2020))</f>
        <v>3470.5213988505079</v>
      </c>
      <c r="E27" s="194">
        <f>IF(OR($B27&lt;$Y$6,$B27&gt;'Project Data and Assumptions'!$C$8),0,$AC$34*(1+$AA$15)^($B27-2020))</f>
        <v>14507.548444634234</v>
      </c>
      <c r="F27" s="196">
        <f>IF($B27&gt;'Project Data and Assumptions'!$C$8,0,$AC$30*(1+$AA$15)^($B27-2020))</f>
        <v>0</v>
      </c>
      <c r="G27" s="75">
        <f>IF($B27&gt;'Project Data and Assumptions'!$C$8,0,$AB$29*(1+$AA$15)^($B27-2020))</f>
        <v>0</v>
      </c>
      <c r="H27" s="194">
        <f>IF($B27&gt;'Project Data and Assumptions'!$C$8,0,$AC$29*(1+$AA$15)^($B27-2020))</f>
        <v>0</v>
      </c>
      <c r="I27" s="15">
        <f t="shared" si="0"/>
        <v>397466.12735260336</v>
      </c>
      <c r="J27" s="74">
        <f t="shared" ref="J27:J30" si="16">(D27*$AA$40)*$AA$38*$AA$39</f>
        <v>8295.934351812255</v>
      </c>
      <c r="K27" s="74">
        <f t="shared" ref="K27:K30" si="17">C27*$AA$43+SUM(D27:E27)*$AA$44</f>
        <v>332547.89708551683</v>
      </c>
      <c r="L27" s="74">
        <f t="shared" si="1"/>
        <v>191209.4885002792</v>
      </c>
      <c r="M27" s="74">
        <f t="shared" ref="M27:M30" si="18">SUM(D27:E27)*$AA$52</f>
        <v>23037.09869744135</v>
      </c>
      <c r="N27" s="76">
        <f t="shared" si="2"/>
        <v>472.0519914202888</v>
      </c>
      <c r="O27" s="15">
        <f t="shared" si="3"/>
        <v>0</v>
      </c>
      <c r="P27" s="74">
        <f t="shared" ref="P27:P30" si="19">(G27*$AA$40)*$AA$38*$AA$39</f>
        <v>0</v>
      </c>
      <c r="Q27" s="74">
        <f t="shared" ref="Q27:Q30" si="20">F27*$AA$43+SUM(G27:H27)*$AA$44</f>
        <v>0</v>
      </c>
      <c r="R27" s="74">
        <f t="shared" si="4"/>
        <v>0</v>
      </c>
      <c r="S27" s="74">
        <f t="shared" ref="S27:S30" si="21">SUM(G27:H27)*$AA$52</f>
        <v>0</v>
      </c>
      <c r="T27" s="76">
        <f t="shared" si="5"/>
        <v>0</v>
      </c>
      <c r="U27" s="15">
        <f t="shared" ref="U27:U30" si="22">SUM(I27:T27)</f>
        <v>953028.59797907341</v>
      </c>
      <c r="V27" s="6">
        <f t="shared" si="6"/>
        <v>133960.38284615881</v>
      </c>
      <c r="X27" s="8" t="s">
        <v>496</v>
      </c>
      <c r="Z27" s="84"/>
      <c r="AA27" s="84"/>
      <c r="AB27" s="84"/>
      <c r="AC27" s="84"/>
    </row>
    <row r="28" spans="1:33" x14ac:dyDescent="0.25">
      <c r="A28" s="61">
        <f t="shared" si="7"/>
        <v>0</v>
      </c>
      <c r="B28" s="2">
        <f t="shared" si="14"/>
        <v>2051</v>
      </c>
      <c r="C28" s="196">
        <f>IF(OR($B28&lt;$Y$6,$B28&gt;'Project Data and Assumptions'!$C$8),0,$AC$35*(1+$AA$15)^($B28-2020))</f>
        <v>0</v>
      </c>
      <c r="D28" s="75">
        <f>IF(OR($B28&lt;$Y$6,$B28&gt;'Project Data and Assumptions'!$C$8),0,$AB$34*(1+$AA$15)^($B28-2020))</f>
        <v>0</v>
      </c>
      <c r="E28" s="194">
        <f>IF(OR($B28&lt;$Y$6,$B28&gt;'Project Data and Assumptions'!$C$8),0,$AC$34*(1+$AA$15)^($B28-2020))</f>
        <v>0</v>
      </c>
      <c r="F28" s="196">
        <f>IF($B28&gt;'Project Data and Assumptions'!$C$8,0,$AC$30*(1+$AA$15)^($B28-2020))</f>
        <v>0</v>
      </c>
      <c r="G28" s="75">
        <f>IF($B28&gt;'Project Data and Assumptions'!$C$8,0,$AB$29*(1+$AA$15)^($B28-2020))</f>
        <v>0</v>
      </c>
      <c r="H28" s="194">
        <f>IF($B28&gt;'Project Data and Assumptions'!$C$8,0,$AC$29*(1+$AA$15)^($B28-2020))</f>
        <v>0</v>
      </c>
      <c r="I28" s="15">
        <f t="shared" si="0"/>
        <v>0</v>
      </c>
      <c r="J28" s="74">
        <f t="shared" si="16"/>
        <v>0</v>
      </c>
      <c r="K28" s="74">
        <f t="shared" si="17"/>
        <v>0</v>
      </c>
      <c r="L28" s="74">
        <f t="shared" si="1"/>
        <v>0</v>
      </c>
      <c r="M28" s="74">
        <f t="shared" si="18"/>
        <v>0</v>
      </c>
      <c r="N28" s="76">
        <f t="shared" si="2"/>
        <v>0</v>
      </c>
      <c r="O28" s="15">
        <f t="shared" si="3"/>
        <v>0</v>
      </c>
      <c r="P28" s="74">
        <f t="shared" si="19"/>
        <v>0</v>
      </c>
      <c r="Q28" s="74">
        <f t="shared" si="20"/>
        <v>0</v>
      </c>
      <c r="R28" s="74">
        <f t="shared" si="4"/>
        <v>0</v>
      </c>
      <c r="S28" s="74">
        <f t="shared" si="21"/>
        <v>0</v>
      </c>
      <c r="T28" s="76">
        <f t="shared" si="5"/>
        <v>0</v>
      </c>
      <c r="U28" s="15">
        <f t="shared" si="22"/>
        <v>0</v>
      </c>
      <c r="V28" s="6">
        <f t="shared" si="6"/>
        <v>0</v>
      </c>
      <c r="Z28" s="78" t="s">
        <v>23</v>
      </c>
      <c r="AA28" s="78" t="s">
        <v>336</v>
      </c>
      <c r="AB28" s="78" t="s">
        <v>53</v>
      </c>
      <c r="AC28" s="78" t="s">
        <v>195</v>
      </c>
      <c r="AD28" s="78" t="s">
        <v>354</v>
      </c>
    </row>
    <row r="29" spans="1:33" x14ac:dyDescent="0.25">
      <c r="A29" s="61">
        <f t="shared" si="7"/>
        <v>0</v>
      </c>
      <c r="B29" s="2">
        <f t="shared" si="14"/>
        <v>2052</v>
      </c>
      <c r="C29" s="196">
        <f>IF(OR($B29&lt;$Y$6,$B29&gt;'Project Data and Assumptions'!$C$8),0,$AC$35*(1+$AA$15)^($B29-2020))</f>
        <v>0</v>
      </c>
      <c r="D29" s="75">
        <f>IF(OR($B29&lt;$Y$6,$B29&gt;'Project Data and Assumptions'!$C$8),0,$AB$34*(1+$AA$15)^($B29-2020))</f>
        <v>0</v>
      </c>
      <c r="E29" s="194">
        <f>IF(OR($B29&lt;$Y$6,$B29&gt;'Project Data and Assumptions'!$C$8),0,$AC$34*(1+$AA$15)^($B29-2020))</f>
        <v>0</v>
      </c>
      <c r="F29" s="196">
        <f>IF($B29&gt;'Project Data and Assumptions'!$C$8,0,$AC$30*(1+$AA$15)^($B29-2020))</f>
        <v>0</v>
      </c>
      <c r="G29" s="75">
        <f>IF($B29&gt;'Project Data and Assumptions'!$C$8,0,$AB$29*(1+$AA$15)^($B29-2020))</f>
        <v>0</v>
      </c>
      <c r="H29" s="194">
        <f>IF($B29&gt;'Project Data and Assumptions'!$C$8,0,$AC$29*(1+$AA$15)^($B29-2020))</f>
        <v>0</v>
      </c>
      <c r="I29" s="15">
        <f t="shared" si="0"/>
        <v>0</v>
      </c>
      <c r="J29" s="74">
        <f t="shared" si="16"/>
        <v>0</v>
      </c>
      <c r="K29" s="74">
        <f t="shared" si="17"/>
        <v>0</v>
      </c>
      <c r="L29" s="74">
        <f t="shared" si="1"/>
        <v>0</v>
      </c>
      <c r="M29" s="74">
        <f t="shared" si="18"/>
        <v>0</v>
      </c>
      <c r="N29" s="76">
        <f t="shared" si="2"/>
        <v>0</v>
      </c>
      <c r="O29" s="15">
        <f t="shared" si="3"/>
        <v>0</v>
      </c>
      <c r="P29" s="74">
        <f t="shared" si="19"/>
        <v>0</v>
      </c>
      <c r="Q29" s="74">
        <f t="shared" si="20"/>
        <v>0</v>
      </c>
      <c r="R29" s="74">
        <f t="shared" si="4"/>
        <v>0</v>
      </c>
      <c r="S29" s="74">
        <f t="shared" si="21"/>
        <v>0</v>
      </c>
      <c r="T29" s="76">
        <f t="shared" si="5"/>
        <v>0</v>
      </c>
      <c r="U29" s="15">
        <f t="shared" si="22"/>
        <v>0</v>
      </c>
      <c r="V29" s="6">
        <f t="shared" si="6"/>
        <v>0</v>
      </c>
      <c r="X29" s="620" t="s">
        <v>125</v>
      </c>
      <c r="Y29" s="620"/>
      <c r="Z29" s="79">
        <f>$Y$8/$Y$7*Z24</f>
        <v>0</v>
      </c>
      <c r="AA29" s="79">
        <f>Z29*(SUM('Bassett Creek'!$B$19:$B$22)+'Bassett Creek'!$B$18*5/7)</f>
        <v>0</v>
      </c>
      <c r="AB29" s="79">
        <f>SUM($Z29:$Z30)*'Bassett Creek'!$C$46</f>
        <v>0</v>
      </c>
      <c r="AC29" s="79">
        <f>Z29-AB29</f>
        <v>0</v>
      </c>
      <c r="AD29" s="190" t="e">
        <f>AA29/Z29</f>
        <v>#DIV/0!</v>
      </c>
    </row>
    <row r="30" spans="1:33" x14ac:dyDescent="0.25">
      <c r="A30" s="61">
        <f t="shared" si="7"/>
        <v>0</v>
      </c>
      <c r="B30" s="2">
        <f t="shared" si="14"/>
        <v>2053</v>
      </c>
      <c r="C30" s="196">
        <f>IF(OR($B30&lt;$Y$6,$B30&gt;'Project Data and Assumptions'!$C$8),0,$AC$35*(1+$AA$15)^($B30-2020))</f>
        <v>0</v>
      </c>
      <c r="D30" s="75">
        <f>IF(OR($B30&lt;$Y$6,$B30&gt;'Project Data and Assumptions'!$C$8),0,$AB$34*(1+$AA$15)^($B30-2020))</f>
        <v>0</v>
      </c>
      <c r="E30" s="194">
        <f>IF(OR($B30&lt;$Y$6,$B30&gt;'Project Data and Assumptions'!$C$8),0,$AC$34*(1+$AA$15)^($B30-2020))</f>
        <v>0</v>
      </c>
      <c r="F30" s="196">
        <f>IF($B30&gt;'Project Data and Assumptions'!$C$8,0,$AC$30*(1+$AA$15)^($B30-2020))</f>
        <v>0</v>
      </c>
      <c r="G30" s="75">
        <f>IF($B30&gt;'Project Data and Assumptions'!$C$8,0,$AB$29*(1+$AA$15)^($B30-2020))</f>
        <v>0</v>
      </c>
      <c r="H30" s="194">
        <f>IF($B30&gt;'Project Data and Assumptions'!$C$8,0,$AC$29*(1+$AA$15)^($B30-2020))</f>
        <v>0</v>
      </c>
      <c r="I30" s="15">
        <f t="shared" si="0"/>
        <v>0</v>
      </c>
      <c r="J30" s="74">
        <f t="shared" si="16"/>
        <v>0</v>
      </c>
      <c r="K30" s="74">
        <f t="shared" si="17"/>
        <v>0</v>
      </c>
      <c r="L30" s="74">
        <f t="shared" si="1"/>
        <v>0</v>
      </c>
      <c r="M30" s="74">
        <f t="shared" si="18"/>
        <v>0</v>
      </c>
      <c r="N30" s="76">
        <f t="shared" si="2"/>
        <v>0</v>
      </c>
      <c r="O30" s="15">
        <f t="shared" si="3"/>
        <v>0</v>
      </c>
      <c r="P30" s="74">
        <f t="shared" si="19"/>
        <v>0</v>
      </c>
      <c r="Q30" s="74">
        <f t="shared" si="20"/>
        <v>0</v>
      </c>
      <c r="R30" s="74">
        <f t="shared" si="4"/>
        <v>0</v>
      </c>
      <c r="S30" s="74">
        <f t="shared" si="21"/>
        <v>0</v>
      </c>
      <c r="T30" s="76">
        <f t="shared" si="5"/>
        <v>0</v>
      </c>
      <c r="U30" s="15">
        <f t="shared" si="22"/>
        <v>0</v>
      </c>
      <c r="V30" s="6">
        <f t="shared" si="6"/>
        <v>0</v>
      </c>
      <c r="X30" s="620" t="s">
        <v>124</v>
      </c>
      <c r="Y30" s="620"/>
      <c r="Z30" s="79">
        <f>$Y$8/$Y$7*Z25</f>
        <v>0</v>
      </c>
      <c r="AA30" s="79">
        <f>Z30*(SUM('Bassett Creek'!$B$19:$B$22)+'Bassett Creek'!$B$18*5/7)</f>
        <v>0</v>
      </c>
      <c r="AB30" s="79">
        <v>0</v>
      </c>
      <c r="AC30" s="79">
        <f>Z30-AB30</f>
        <v>0</v>
      </c>
      <c r="AD30" s="190" t="e">
        <f>AA30/Z30</f>
        <v>#DIV/0!</v>
      </c>
    </row>
    <row r="31" spans="1:33" ht="15" customHeight="1" thickBot="1" x14ac:dyDescent="0.3">
      <c r="A31" s="61">
        <f t="shared" si="7"/>
        <v>0</v>
      </c>
      <c r="B31" s="268">
        <f t="shared" si="14"/>
        <v>2054</v>
      </c>
      <c r="C31" s="269">
        <f>IF(OR($B31&lt;$Y$6,$B31&gt;'Project Data and Assumptions'!$C$8),0,$AC$35*(1+$AA$15)^($B31-2020))</f>
        <v>0</v>
      </c>
      <c r="D31" s="270">
        <f>IF(OR($B31&lt;$Y$6,$B31&gt;'Project Data and Assumptions'!$C$8),0,$AB$34*(1+$AA$15)^($B31-2020))</f>
        <v>0</v>
      </c>
      <c r="E31" s="271">
        <f>IF(OR($B31&lt;$Y$6,$B31&gt;'Project Data and Assumptions'!$C$8),0,$AC$34*(1+$AA$15)^($B31-2020))</f>
        <v>0</v>
      </c>
      <c r="F31" s="269">
        <f>IF($B31&gt;'Project Data and Assumptions'!$C$8,0,$AC$30*(1+$AA$15)^($B31-2020))</f>
        <v>0</v>
      </c>
      <c r="G31" s="270">
        <f>IF($B31&gt;'Project Data and Assumptions'!$C$8,0,$AB$29*(1+$AA$15)^($B31-2020))</f>
        <v>0</v>
      </c>
      <c r="H31" s="271">
        <f>IF($B31&gt;'Project Data and Assumptions'!$C$8,0,$AC$29*(1+$AA$15)^($B31-2020))</f>
        <v>0</v>
      </c>
      <c r="I31" s="261">
        <f t="shared" si="0"/>
        <v>0</v>
      </c>
      <c r="J31" s="262">
        <f t="shared" ref="J31" si="23">(D31*$AA$40)*$AA$38*$AA$39</f>
        <v>0</v>
      </c>
      <c r="K31" s="262">
        <f t="shared" ref="K31" si="24">C31*$AA$43+SUM(D31:E31)*$AA$44</f>
        <v>0</v>
      </c>
      <c r="L31" s="262">
        <f t="shared" si="1"/>
        <v>0</v>
      </c>
      <c r="M31" s="262">
        <f t="shared" ref="M31" si="25">SUM(D31:E31)*$AA$52</f>
        <v>0</v>
      </c>
      <c r="N31" s="263">
        <f t="shared" si="2"/>
        <v>0</v>
      </c>
      <c r="O31" s="261">
        <f t="shared" si="3"/>
        <v>0</v>
      </c>
      <c r="P31" s="262">
        <f t="shared" ref="P31" si="26">(G31*$AA$40)*$AA$38*$AA$39</f>
        <v>0</v>
      </c>
      <c r="Q31" s="262">
        <f t="shared" ref="Q31" si="27">F31*$AA$43+SUM(G31:H31)*$AA$44</f>
        <v>0</v>
      </c>
      <c r="R31" s="262">
        <f t="shared" si="4"/>
        <v>0</v>
      </c>
      <c r="S31" s="262">
        <f t="shared" ref="S31" si="28">SUM(G31:H31)*$AA$52</f>
        <v>0</v>
      </c>
      <c r="T31" s="263">
        <f t="shared" si="5"/>
        <v>0</v>
      </c>
      <c r="U31" s="118">
        <f t="shared" ref="U31" si="29">SUM(I31:T31)</f>
        <v>0</v>
      </c>
      <c r="V31" s="119">
        <f t="shared" si="6"/>
        <v>0</v>
      </c>
      <c r="Z31" s="84"/>
      <c r="AA31" s="84"/>
      <c r="AB31" s="84"/>
      <c r="AC31" s="84"/>
    </row>
    <row r="32" spans="1:33" ht="15" customHeight="1" thickBot="1" x14ac:dyDescent="0.3">
      <c r="B32" s="4"/>
      <c r="D32" s="4"/>
      <c r="G32" s="4"/>
      <c r="H32" s="81" t="s">
        <v>2</v>
      </c>
      <c r="I32" s="115">
        <f t="shared" ref="I32:V32" si="30">SUM(I7:I31)</f>
        <v>5627042.2892927304</v>
      </c>
      <c r="J32" s="116">
        <f t="shared" si="30"/>
        <v>117447.92880282676</v>
      </c>
      <c r="K32" s="116">
        <f t="shared" si="30"/>
        <v>4707976.2307783309</v>
      </c>
      <c r="L32" s="116">
        <f t="shared" si="30"/>
        <v>2707007.7268511564</v>
      </c>
      <c r="M32" s="116">
        <f t="shared" si="30"/>
        <v>326142.83248875156</v>
      </c>
      <c r="N32" s="117">
        <f t="shared" si="30"/>
        <v>6682.9758202524117</v>
      </c>
      <c r="O32" s="115">
        <f t="shared" si="30"/>
        <v>0</v>
      </c>
      <c r="P32" s="116">
        <f t="shared" si="30"/>
        <v>0</v>
      </c>
      <c r="Q32" s="116">
        <f t="shared" si="30"/>
        <v>0</v>
      </c>
      <c r="R32" s="116">
        <f t="shared" si="30"/>
        <v>0</v>
      </c>
      <c r="S32" s="116">
        <f t="shared" si="30"/>
        <v>0</v>
      </c>
      <c r="T32" s="117">
        <f t="shared" si="30"/>
        <v>0</v>
      </c>
      <c r="U32" s="118">
        <f t="shared" si="30"/>
        <v>13492299.984034047</v>
      </c>
      <c r="V32" s="119">
        <f t="shared" si="30"/>
        <v>3312199.4327548482</v>
      </c>
      <c r="X32" s="8" t="s">
        <v>497</v>
      </c>
      <c r="Z32" s="84"/>
      <c r="AA32" s="84"/>
      <c r="AB32" s="84"/>
      <c r="AC32" s="84"/>
    </row>
    <row r="33" spans="1:33" ht="15" customHeight="1" x14ac:dyDescent="0.25">
      <c r="B33" s="4"/>
      <c r="D33" s="4"/>
      <c r="F33" s="81"/>
      <c r="G33" s="4"/>
      <c r="H33" s="4"/>
      <c r="I33" s="82"/>
      <c r="J33" s="82"/>
      <c r="K33" s="82"/>
      <c r="L33" s="82"/>
      <c r="M33" s="82"/>
      <c r="N33" s="82"/>
      <c r="O33" s="82"/>
      <c r="P33" s="82"/>
      <c r="Q33" s="82"/>
      <c r="R33" s="82"/>
      <c r="S33" s="82"/>
      <c r="T33" s="82"/>
      <c r="U33" s="82"/>
      <c r="V33" s="82"/>
      <c r="Z33" s="78" t="s">
        <v>23</v>
      </c>
      <c r="AA33" s="78" t="s">
        <v>336</v>
      </c>
      <c r="AB33" s="78" t="s">
        <v>53</v>
      </c>
      <c r="AC33" s="78" t="s">
        <v>195</v>
      </c>
      <c r="AD33" s="78" t="s">
        <v>354</v>
      </c>
    </row>
    <row r="34" spans="1:33" ht="17.25" customHeight="1" x14ac:dyDescent="0.25">
      <c r="D34" s="83"/>
      <c r="K34" s="38"/>
      <c r="T34" s="122"/>
      <c r="X34" s="620" t="s">
        <v>125</v>
      </c>
      <c r="Y34" s="620"/>
      <c r="Z34" s="79">
        <f>$Y$9/$Y$7*Z24</f>
        <v>8825.8823529411766</v>
      </c>
      <c r="AA34" s="79">
        <f>Z34*(SUM('Bassett Creek'!$B$19:$B$22)+'Bassett Creek'!$B$18*5/7)</f>
        <v>6688.5436403361346</v>
      </c>
      <c r="AB34" s="79">
        <f>SUM($Z34:$Z35)*'Bassett Creek'!$C$46</f>
        <v>1703.765411764706</v>
      </c>
      <c r="AC34" s="79">
        <f>Z34-AB34</f>
        <v>7122.1169411764704</v>
      </c>
      <c r="AD34" s="190">
        <f>AA34/Z34</f>
        <v>0.7578328571428572</v>
      </c>
    </row>
    <row r="35" spans="1:33" ht="17.25" customHeight="1" x14ac:dyDescent="0.25">
      <c r="D35" s="83"/>
      <c r="X35" s="620" t="s">
        <v>124</v>
      </c>
      <c r="Y35" s="620"/>
      <c r="Z35" s="79">
        <f>$Y$9/$Y$7*Z25</f>
        <v>14804.705882352942</v>
      </c>
      <c r="AA35" s="79">
        <f>Z35*(SUM('Bassett Creek'!$B$19:$B$22)+'Bassett Creek'!$B$18*5/7)</f>
        <v>11219.492557983194</v>
      </c>
      <c r="AB35" s="79">
        <v>0</v>
      </c>
      <c r="AC35" s="79">
        <f>Z35-AB35</f>
        <v>14804.705882352942</v>
      </c>
      <c r="AD35" s="190">
        <f>AA35/Z35</f>
        <v>0.7578328571428572</v>
      </c>
    </row>
    <row r="36" spans="1:33" ht="17.25" customHeight="1" x14ac:dyDescent="0.25">
      <c r="B36" s="8" t="s">
        <v>3</v>
      </c>
      <c r="H36" s="8"/>
      <c r="Z36" s="84"/>
      <c r="AA36" s="84"/>
      <c r="AB36" s="84"/>
      <c r="AC36" s="84"/>
    </row>
    <row r="37" spans="1:33" ht="15" customHeight="1" x14ac:dyDescent="0.25">
      <c r="A37" s="9" t="s">
        <v>18</v>
      </c>
      <c r="B37" s="398" t="s">
        <v>522</v>
      </c>
      <c r="C37" s="42"/>
      <c r="D37" s="42"/>
      <c r="E37" s="24"/>
      <c r="F37" s="24"/>
      <c r="G37" s="24"/>
      <c r="H37" s="24"/>
      <c r="I37" s="24"/>
      <c r="J37" s="24"/>
      <c r="K37" s="24"/>
      <c r="L37" s="24"/>
      <c r="M37" s="24"/>
      <c r="N37" s="24"/>
      <c r="O37" s="24"/>
      <c r="P37" s="24"/>
      <c r="Q37" s="24"/>
      <c r="R37" s="24"/>
      <c r="S37" s="24"/>
      <c r="T37" s="24"/>
      <c r="U37" s="24"/>
      <c r="V37" s="24"/>
      <c r="X37" s="8" t="s">
        <v>498</v>
      </c>
      <c r="Z37" s="84"/>
      <c r="AA37" s="84"/>
      <c r="AB37" s="84"/>
      <c r="AC37" s="84"/>
    </row>
    <row r="38" spans="1:33" ht="17.25" customHeight="1" x14ac:dyDescent="0.25">
      <c r="B38" s="398"/>
      <c r="C38" s="42"/>
      <c r="D38" s="42"/>
      <c r="E38" s="24"/>
      <c r="F38" s="24"/>
      <c r="G38" s="24"/>
      <c r="H38" s="24"/>
      <c r="I38" s="24"/>
      <c r="J38" s="47"/>
      <c r="K38" s="47"/>
      <c r="L38" s="24"/>
      <c r="M38" s="24"/>
      <c r="N38" s="24"/>
      <c r="O38" s="24"/>
      <c r="P38" s="47"/>
      <c r="Q38" s="47"/>
      <c r="R38" s="24"/>
      <c r="S38" s="24"/>
      <c r="T38" s="24"/>
      <c r="U38" s="24"/>
      <c r="V38" s="24"/>
      <c r="X38" s="620" t="s">
        <v>510</v>
      </c>
      <c r="Y38" s="620"/>
      <c r="Z38" s="620"/>
      <c r="AA38" s="85">
        <v>21.6</v>
      </c>
    </row>
    <row r="39" spans="1:33" ht="15" customHeight="1" x14ac:dyDescent="0.25">
      <c r="A39" s="9" t="s">
        <v>17</v>
      </c>
      <c r="B39" s="624" t="s">
        <v>695</v>
      </c>
      <c r="C39" s="624"/>
      <c r="D39" s="624"/>
      <c r="E39" s="624"/>
      <c r="F39" s="624"/>
      <c r="G39" s="624"/>
      <c r="H39" s="624"/>
      <c r="I39" s="624"/>
      <c r="J39" s="624"/>
      <c r="K39" s="624"/>
      <c r="L39" s="624"/>
      <c r="M39" s="624"/>
      <c r="N39" s="624"/>
      <c r="O39" s="624"/>
      <c r="P39" s="624"/>
      <c r="Q39" s="624"/>
      <c r="R39" s="624"/>
      <c r="S39" s="624"/>
      <c r="T39" s="24"/>
      <c r="U39" s="24"/>
      <c r="V39" s="24"/>
      <c r="X39" s="621" t="s">
        <v>511</v>
      </c>
      <c r="Y39" s="621"/>
      <c r="Z39" s="621"/>
      <c r="AA39" s="109">
        <f>16.6/60</f>
        <v>0.27666666666666667</v>
      </c>
      <c r="AB39" s="127"/>
    </row>
    <row r="40" spans="1:33" ht="15" customHeight="1" x14ac:dyDescent="0.25">
      <c r="B40" s="624"/>
      <c r="C40" s="624"/>
      <c r="D40" s="624"/>
      <c r="E40" s="624"/>
      <c r="F40" s="624"/>
      <c r="G40" s="624"/>
      <c r="H40" s="624"/>
      <c r="I40" s="624"/>
      <c r="J40" s="624"/>
      <c r="K40" s="624"/>
      <c r="L40" s="624"/>
      <c r="M40" s="624"/>
      <c r="N40" s="624"/>
      <c r="O40" s="624"/>
      <c r="P40" s="624"/>
      <c r="Q40" s="624"/>
      <c r="R40" s="624"/>
      <c r="S40" s="624"/>
      <c r="T40" s="24"/>
      <c r="U40" s="24"/>
      <c r="V40" s="24"/>
      <c r="X40" s="621" t="s">
        <v>512</v>
      </c>
      <c r="Y40" s="621"/>
      <c r="Z40" s="621"/>
      <c r="AA40" s="94">
        <v>0.4</v>
      </c>
    </row>
    <row r="41" spans="1:33" ht="17.25" customHeight="1" x14ac:dyDescent="0.25">
      <c r="B41" s="624"/>
      <c r="C41" s="624"/>
      <c r="D41" s="624"/>
      <c r="E41" s="624"/>
      <c r="F41" s="624"/>
      <c r="G41" s="624"/>
      <c r="H41" s="624"/>
      <c r="I41" s="624"/>
      <c r="J41" s="624"/>
      <c r="K41" s="624"/>
      <c r="L41" s="624"/>
      <c r="M41" s="624"/>
      <c r="N41" s="624"/>
      <c r="O41" s="624"/>
      <c r="P41" s="624"/>
      <c r="Q41" s="624"/>
      <c r="R41" s="624"/>
      <c r="S41" s="624"/>
      <c r="T41" s="189"/>
      <c r="U41" s="189"/>
      <c r="V41" s="189"/>
      <c r="AG41" s="95" t="s">
        <v>66</v>
      </c>
    </row>
    <row r="42" spans="1:33" x14ac:dyDescent="0.25">
      <c r="B42" s="733"/>
      <c r="C42" s="733"/>
      <c r="D42" s="733"/>
      <c r="E42" s="733"/>
      <c r="F42" s="733"/>
      <c r="G42" s="733"/>
      <c r="H42" s="733"/>
      <c r="I42" s="733"/>
      <c r="J42" s="733"/>
      <c r="K42" s="733"/>
      <c r="L42" s="733"/>
      <c r="M42" s="733"/>
      <c r="N42" s="733"/>
      <c r="O42" s="733"/>
      <c r="P42" s="733"/>
      <c r="Q42" s="733"/>
      <c r="R42" s="733"/>
      <c r="S42" s="733"/>
      <c r="W42" s="24"/>
      <c r="X42" s="8" t="s">
        <v>513</v>
      </c>
      <c r="AG42" s="95" t="s">
        <v>66</v>
      </c>
    </row>
    <row r="43" spans="1:33" ht="15" customHeight="1" x14ac:dyDescent="0.25">
      <c r="A43" s="9" t="s">
        <v>19</v>
      </c>
      <c r="B43" s="734" t="s">
        <v>693</v>
      </c>
      <c r="C43" s="735"/>
      <c r="D43" s="735"/>
      <c r="E43" s="735"/>
      <c r="F43" s="735"/>
      <c r="G43" s="735"/>
      <c r="H43" s="735"/>
      <c r="I43" s="735"/>
      <c r="J43" s="735"/>
      <c r="K43" s="735"/>
      <c r="L43" s="735"/>
      <c r="M43" s="735"/>
      <c r="N43" s="735"/>
      <c r="O43" s="735"/>
      <c r="P43" s="735"/>
      <c r="Q43" s="735"/>
      <c r="R43" s="735"/>
      <c r="S43" s="735"/>
      <c r="W43" s="24"/>
      <c r="X43" s="198" t="s">
        <v>122</v>
      </c>
      <c r="Y43" s="199"/>
      <c r="Z43" s="199"/>
      <c r="AA43" s="139">
        <v>7.2</v>
      </c>
      <c r="AG43" s="95" t="s">
        <v>55</v>
      </c>
    </row>
    <row r="44" spans="1:33" ht="15" customHeight="1" x14ac:dyDescent="0.25">
      <c r="C44" s="24"/>
      <c r="D44" s="24"/>
      <c r="E44" s="24"/>
      <c r="F44" s="24"/>
      <c r="G44" s="24"/>
      <c r="H44" s="24"/>
      <c r="I44" s="24"/>
      <c r="J44" s="24"/>
      <c r="K44" s="24"/>
      <c r="L44" s="24"/>
      <c r="M44" s="24"/>
      <c r="N44" s="24"/>
      <c r="O44" s="24"/>
      <c r="P44" s="24"/>
      <c r="Q44" s="24"/>
      <c r="R44" s="24"/>
      <c r="S44" s="24"/>
      <c r="U44" s="189"/>
      <c r="V44" s="189"/>
      <c r="W44" s="24"/>
      <c r="X44" s="198" t="s">
        <v>123</v>
      </c>
      <c r="Y44" s="199"/>
      <c r="Z44" s="404"/>
      <c r="AA44" s="403">
        <v>6.42</v>
      </c>
      <c r="AC44" s="93"/>
      <c r="AG44" s="95" t="s">
        <v>67</v>
      </c>
    </row>
    <row r="45" spans="1:33" ht="17.25" customHeight="1" x14ac:dyDescent="0.25">
      <c r="A45" s="9" t="s">
        <v>20</v>
      </c>
      <c r="B45" s="624" t="s">
        <v>694</v>
      </c>
      <c r="C45" s="624"/>
      <c r="D45" s="624"/>
      <c r="E45" s="624"/>
      <c r="F45" s="624"/>
      <c r="G45" s="624"/>
      <c r="H45" s="624"/>
      <c r="I45" s="624"/>
      <c r="J45" s="624"/>
      <c r="K45" s="624"/>
      <c r="L45" s="624"/>
      <c r="M45" s="624"/>
      <c r="N45" s="624"/>
      <c r="O45" s="624"/>
      <c r="P45" s="624"/>
      <c r="Q45" s="624"/>
      <c r="R45" s="624"/>
      <c r="S45" s="624"/>
      <c r="W45" s="24"/>
      <c r="AG45" s="95" t="s">
        <v>68</v>
      </c>
    </row>
    <row r="46" spans="1:33" ht="15" customHeight="1" x14ac:dyDescent="0.25">
      <c r="B46" s="624"/>
      <c r="C46" s="624"/>
      <c r="D46" s="624"/>
      <c r="E46" s="624"/>
      <c r="F46" s="624"/>
      <c r="G46" s="624"/>
      <c r="H46" s="624"/>
      <c r="I46" s="624"/>
      <c r="J46" s="624"/>
      <c r="K46" s="624"/>
      <c r="L46" s="624"/>
      <c r="M46" s="624"/>
      <c r="N46" s="624"/>
      <c r="O46" s="624"/>
      <c r="P46" s="624"/>
      <c r="Q46" s="624"/>
      <c r="R46" s="624"/>
      <c r="S46" s="624"/>
      <c r="W46" s="24"/>
      <c r="X46" s="8" t="s">
        <v>514</v>
      </c>
      <c r="AG46" s="125"/>
    </row>
    <row r="47" spans="1:33" ht="15" customHeight="1" x14ac:dyDescent="0.25">
      <c r="J47"/>
      <c r="K47"/>
      <c r="P47"/>
      <c r="Q47"/>
      <c r="T47" s="24"/>
      <c r="U47" s="24"/>
      <c r="V47" s="24"/>
      <c r="W47" s="24"/>
      <c r="X47" s="621" t="s">
        <v>360</v>
      </c>
      <c r="Y47" s="621"/>
      <c r="Z47" s="621"/>
      <c r="AA47" s="86">
        <v>10</v>
      </c>
      <c r="AG47" s="125"/>
    </row>
    <row r="48" spans="1:33" ht="16.5" customHeight="1" x14ac:dyDescent="0.25">
      <c r="A48" s="9" t="s">
        <v>57</v>
      </c>
      <c r="B48" s="624" t="s">
        <v>523</v>
      </c>
      <c r="C48" s="624"/>
      <c r="D48" s="624"/>
      <c r="E48" s="624"/>
      <c r="F48" s="624"/>
      <c r="G48" s="624"/>
      <c r="H48" s="624"/>
      <c r="I48" s="624"/>
      <c r="J48" s="624"/>
      <c r="K48" s="624"/>
      <c r="L48" s="624"/>
      <c r="M48" s="624"/>
      <c r="N48" s="624"/>
      <c r="O48" s="624"/>
      <c r="P48" s="624"/>
      <c r="Q48" s="624"/>
      <c r="R48" s="624"/>
      <c r="S48" s="624"/>
      <c r="T48" s="24"/>
      <c r="U48" s="24"/>
      <c r="V48" s="24"/>
      <c r="W48" s="24"/>
      <c r="X48" s="621" t="s">
        <v>58</v>
      </c>
      <c r="Y48" s="621"/>
      <c r="Z48" s="621"/>
      <c r="AA48" s="87">
        <f>365-90</f>
        <v>275</v>
      </c>
      <c r="AG48" s="95" t="s">
        <v>69</v>
      </c>
    </row>
    <row r="49" spans="1:39" x14ac:dyDescent="0.25">
      <c r="B49" s="624"/>
      <c r="C49" s="624"/>
      <c r="D49" s="624"/>
      <c r="E49" s="624"/>
      <c r="F49" s="624"/>
      <c r="G49" s="624"/>
      <c r="H49" s="624"/>
      <c r="I49" s="624"/>
      <c r="J49" s="624"/>
      <c r="K49" s="624"/>
      <c r="L49" s="624"/>
      <c r="M49" s="624"/>
      <c r="N49" s="624"/>
      <c r="O49" s="624"/>
      <c r="P49" s="624"/>
      <c r="Q49" s="624"/>
      <c r="R49" s="624"/>
      <c r="S49" s="624"/>
      <c r="T49" s="24"/>
      <c r="U49" s="24"/>
      <c r="V49" s="24"/>
      <c r="W49" s="24"/>
      <c r="X49" s="125"/>
      <c r="Y49" s="125"/>
      <c r="Z49" s="125"/>
      <c r="AA49" s="61"/>
    </row>
    <row r="50" spans="1:39" x14ac:dyDescent="0.25">
      <c r="B50" s="398"/>
      <c r="C50" s="42"/>
      <c r="D50" s="42"/>
      <c r="E50" s="24"/>
      <c r="F50" s="24"/>
      <c r="G50" s="24"/>
      <c r="H50" s="24"/>
      <c r="I50" s="24"/>
      <c r="J50" s="24"/>
      <c r="K50" s="24"/>
      <c r="L50" s="24"/>
      <c r="M50" s="24"/>
      <c r="N50" s="24"/>
      <c r="O50" s="24"/>
      <c r="P50" s="24"/>
      <c r="Q50" s="24"/>
      <c r="R50" s="24"/>
      <c r="S50" s="24"/>
      <c r="T50" s="24"/>
      <c r="U50" s="24"/>
      <c r="V50" s="24"/>
      <c r="W50" s="24"/>
      <c r="X50" s="8" t="s">
        <v>515</v>
      </c>
    </row>
    <row r="51" spans="1:39" ht="18" customHeight="1" x14ac:dyDescent="0.25">
      <c r="A51" s="9" t="s">
        <v>521</v>
      </c>
      <c r="B51" s="624" t="s">
        <v>519</v>
      </c>
      <c r="C51" s="624"/>
      <c r="D51" s="624"/>
      <c r="E51" s="624"/>
      <c r="F51" s="624"/>
      <c r="G51" s="624"/>
      <c r="H51" s="624"/>
      <c r="I51" s="624"/>
      <c r="J51" s="624"/>
      <c r="K51" s="624"/>
      <c r="L51" s="624"/>
      <c r="M51" s="624"/>
      <c r="N51" s="624"/>
      <c r="O51" s="624"/>
      <c r="P51" s="624"/>
      <c r="Q51" s="624"/>
      <c r="R51" s="624"/>
      <c r="S51" s="624"/>
      <c r="T51" s="24"/>
      <c r="U51" s="24"/>
      <c r="V51" s="24"/>
      <c r="W51" s="24"/>
      <c r="X51" s="621" t="s">
        <v>116</v>
      </c>
      <c r="Y51" s="621"/>
      <c r="Z51" s="621"/>
      <c r="AA51" s="137">
        <v>1.49</v>
      </c>
      <c r="AG51" s="95" t="s">
        <v>70</v>
      </c>
    </row>
    <row r="52" spans="1:39" ht="15" customHeight="1" x14ac:dyDescent="0.25">
      <c r="B52" s="624"/>
      <c r="C52" s="624"/>
      <c r="D52" s="624"/>
      <c r="E52" s="624"/>
      <c r="F52" s="624"/>
      <c r="G52" s="624"/>
      <c r="H52" s="624"/>
      <c r="I52" s="624"/>
      <c r="J52" s="624"/>
      <c r="K52" s="624"/>
      <c r="L52" s="624"/>
      <c r="M52" s="624"/>
      <c r="N52" s="624"/>
      <c r="O52" s="624"/>
      <c r="P52" s="624"/>
      <c r="Q52" s="624"/>
      <c r="R52" s="624"/>
      <c r="S52" s="624"/>
      <c r="W52" s="24"/>
      <c r="X52" s="630" t="s">
        <v>362</v>
      </c>
      <c r="Y52" s="631"/>
      <c r="Z52" s="632"/>
      <c r="AA52" s="137">
        <f>$AA$51*$AC$19</f>
        <v>1.2813999999999999</v>
      </c>
      <c r="AG52" s="91" t="s">
        <v>71</v>
      </c>
    </row>
    <row r="53" spans="1:39" x14ac:dyDescent="0.25">
      <c r="B53" s="624"/>
      <c r="C53" s="624"/>
      <c r="D53" s="624"/>
      <c r="E53" s="624"/>
      <c r="F53" s="624"/>
      <c r="G53" s="624"/>
      <c r="H53" s="624"/>
      <c r="I53" s="624"/>
      <c r="J53" s="624"/>
      <c r="K53" s="624"/>
      <c r="L53" s="624"/>
      <c r="M53" s="624"/>
      <c r="N53" s="624"/>
      <c r="O53" s="624"/>
      <c r="P53" s="624"/>
      <c r="Q53" s="624"/>
      <c r="R53" s="624"/>
      <c r="S53" s="624"/>
      <c r="W53" s="24"/>
      <c r="X53" s="630" t="s">
        <v>361</v>
      </c>
      <c r="Y53" s="631"/>
      <c r="Z53" s="632"/>
      <c r="AA53" s="137">
        <f>$AA$51*$AC$18</f>
        <v>0</v>
      </c>
    </row>
    <row r="54" spans="1:39" x14ac:dyDescent="0.25">
      <c r="B54" s="624"/>
      <c r="C54" s="624"/>
      <c r="D54" s="624"/>
      <c r="E54" s="624"/>
      <c r="F54" s="624"/>
      <c r="G54" s="624"/>
      <c r="H54" s="624"/>
      <c r="I54" s="624"/>
      <c r="J54" s="624"/>
      <c r="K54" s="624"/>
      <c r="L54" s="624"/>
      <c r="M54" s="624"/>
      <c r="N54" s="624"/>
      <c r="O54" s="624"/>
      <c r="P54" s="624"/>
      <c r="Q54" s="624"/>
      <c r="R54" s="624"/>
      <c r="S54" s="624"/>
      <c r="W54" s="24"/>
      <c r="AH54" s="97"/>
      <c r="AI54" s="97"/>
      <c r="AJ54" s="97"/>
      <c r="AK54" s="97"/>
    </row>
    <row r="55" spans="1:39" x14ac:dyDescent="0.25">
      <c r="B55" s="398"/>
      <c r="C55" s="42"/>
      <c r="D55" s="42"/>
      <c r="E55" s="24"/>
      <c r="F55" s="24"/>
      <c r="G55" s="24"/>
      <c r="H55" s="24"/>
      <c r="I55" s="24"/>
      <c r="J55" s="24"/>
      <c r="K55" s="24"/>
      <c r="L55" s="24"/>
      <c r="M55" s="24"/>
      <c r="N55" s="24"/>
      <c r="O55" s="24"/>
      <c r="P55" s="24"/>
      <c r="Q55" s="24"/>
      <c r="R55" s="24"/>
      <c r="S55" s="24"/>
      <c r="W55" s="24"/>
      <c r="X55" s="8" t="s">
        <v>516</v>
      </c>
      <c r="AG55" s="628" t="s">
        <v>72</v>
      </c>
      <c r="AH55" s="628"/>
      <c r="AI55" s="628"/>
      <c r="AJ55" s="628"/>
      <c r="AK55" s="628"/>
      <c r="AL55" s="628"/>
      <c r="AM55" s="628"/>
    </row>
    <row r="56" spans="1:39" x14ac:dyDescent="0.25">
      <c r="A56" s="9" t="s">
        <v>524</v>
      </c>
      <c r="B56" s="624" t="s">
        <v>520</v>
      </c>
      <c r="C56" s="624"/>
      <c r="D56" s="624"/>
      <c r="E56" s="624"/>
      <c r="F56" s="624"/>
      <c r="G56" s="624"/>
      <c r="H56" s="624"/>
      <c r="I56" s="624"/>
      <c r="J56" s="624"/>
      <c r="K56" s="624"/>
      <c r="L56" s="624"/>
      <c r="M56" s="624"/>
      <c r="N56" s="624"/>
      <c r="O56" s="624"/>
      <c r="P56" s="624"/>
      <c r="Q56" s="624"/>
      <c r="R56" s="624"/>
      <c r="S56" s="624"/>
      <c r="W56" s="24"/>
      <c r="X56" s="620" t="s">
        <v>59</v>
      </c>
      <c r="Y56" s="620"/>
      <c r="Z56" s="88">
        <v>0.12</v>
      </c>
      <c r="AG56" s="628"/>
      <c r="AH56" s="628"/>
      <c r="AI56" s="628"/>
      <c r="AJ56" s="628"/>
      <c r="AK56" s="628"/>
      <c r="AL56" s="628"/>
      <c r="AM56" s="628"/>
    </row>
    <row r="57" spans="1:39" ht="15" customHeight="1" x14ac:dyDescent="0.25">
      <c r="B57" s="624"/>
      <c r="C57" s="624"/>
      <c r="D57" s="624"/>
      <c r="E57" s="624"/>
      <c r="F57" s="624"/>
      <c r="G57" s="624"/>
      <c r="H57" s="624"/>
      <c r="I57" s="624"/>
      <c r="J57" s="624"/>
      <c r="K57" s="624"/>
      <c r="L57" s="624"/>
      <c r="M57" s="624"/>
      <c r="N57" s="624"/>
      <c r="O57" s="624"/>
      <c r="P57" s="624"/>
      <c r="Q57" s="624"/>
      <c r="R57" s="624"/>
      <c r="S57" s="624"/>
      <c r="W57" s="24"/>
      <c r="X57" s="629"/>
      <c r="Y57" s="629"/>
    </row>
    <row r="58" spans="1:39" x14ac:dyDescent="0.25">
      <c r="B58" s="624"/>
      <c r="C58" s="624"/>
      <c r="D58" s="624"/>
      <c r="E58" s="624"/>
      <c r="F58" s="624"/>
      <c r="G58" s="624"/>
      <c r="H58" s="624"/>
      <c r="I58" s="624"/>
      <c r="J58" s="624"/>
      <c r="K58" s="624"/>
      <c r="L58" s="624"/>
      <c r="M58" s="624"/>
      <c r="N58" s="624"/>
      <c r="O58" s="624"/>
      <c r="P58" s="624"/>
      <c r="Q58" s="624"/>
      <c r="R58" s="624"/>
      <c r="S58" s="624"/>
      <c r="W58" s="24"/>
      <c r="X58" s="89" t="s">
        <v>517</v>
      </c>
    </row>
    <row r="59" spans="1:39" x14ac:dyDescent="0.25">
      <c r="W59" s="24"/>
      <c r="X59" s="622" t="s">
        <v>491</v>
      </c>
      <c r="Y59" s="623"/>
      <c r="Z59" s="401">
        <v>1.5229999999999999</v>
      </c>
    </row>
    <row r="60" spans="1:39" x14ac:dyDescent="0.25">
      <c r="W60" s="24"/>
      <c r="X60" s="622" t="s">
        <v>533</v>
      </c>
      <c r="Y60" s="623"/>
      <c r="Z60" s="401">
        <v>1.3180000000000001</v>
      </c>
    </row>
    <row r="61" spans="1:39" x14ac:dyDescent="0.25">
      <c r="W61" s="24"/>
      <c r="Z61" s="39"/>
    </row>
    <row r="62" spans="1:39" x14ac:dyDescent="0.25">
      <c r="W62" s="24"/>
      <c r="X62" s="89" t="s">
        <v>499</v>
      </c>
    </row>
    <row r="63" spans="1:39" x14ac:dyDescent="0.25">
      <c r="X63" s="621" t="s">
        <v>60</v>
      </c>
      <c r="Y63" s="621"/>
      <c r="Z63" s="96">
        <v>0</v>
      </c>
    </row>
    <row r="64" spans="1:39" x14ac:dyDescent="0.25">
      <c r="X64" s="621" t="s">
        <v>61</v>
      </c>
      <c r="Y64" s="621"/>
      <c r="Z64" s="96">
        <v>0.75</v>
      </c>
      <c r="AG64" s="91" t="s">
        <v>62</v>
      </c>
    </row>
  </sheetData>
  <mergeCells count="57">
    <mergeCell ref="F4:H4"/>
    <mergeCell ref="X16:Z16"/>
    <mergeCell ref="X18:AA18"/>
    <mergeCell ref="O4:T4"/>
    <mergeCell ref="O5:O6"/>
    <mergeCell ref="P5:P6"/>
    <mergeCell ref="Q5:Q6"/>
    <mergeCell ref="R5:R6"/>
    <mergeCell ref="S5:S6"/>
    <mergeCell ref="T5:T6"/>
    <mergeCell ref="L5:L6"/>
    <mergeCell ref="V5:V6"/>
    <mergeCell ref="I4:N4"/>
    <mergeCell ref="U4:V4"/>
    <mergeCell ref="I5:I6"/>
    <mergeCell ref="J5:J6"/>
    <mergeCell ref="B5:B6"/>
    <mergeCell ref="H5:H6"/>
    <mergeCell ref="D5:D6"/>
    <mergeCell ref="G5:G6"/>
    <mergeCell ref="E5:E6"/>
    <mergeCell ref="F5:F6"/>
    <mergeCell ref="K5:K6"/>
    <mergeCell ref="M5:M6"/>
    <mergeCell ref="N5:N6"/>
    <mergeCell ref="U5:U6"/>
    <mergeCell ref="C5:C6"/>
    <mergeCell ref="C4:E4"/>
    <mergeCell ref="AG55:AM56"/>
    <mergeCell ref="X57:Y57"/>
    <mergeCell ref="X40:Z40"/>
    <mergeCell ref="X51:Z51"/>
    <mergeCell ref="X47:Z47"/>
    <mergeCell ref="X48:Z48"/>
    <mergeCell ref="X52:Z52"/>
    <mergeCell ref="X53:Z53"/>
    <mergeCell ref="X15:Z15"/>
    <mergeCell ref="X17:Z17"/>
    <mergeCell ref="X24:Y24"/>
    <mergeCell ref="X25:Y25"/>
    <mergeCell ref="X29:Y29"/>
    <mergeCell ref="X30:Y30"/>
    <mergeCell ref="X34:Y34"/>
    <mergeCell ref="X60:Y60"/>
    <mergeCell ref="X63:Y63"/>
    <mergeCell ref="B48:S49"/>
    <mergeCell ref="B51:S54"/>
    <mergeCell ref="B56:S58"/>
    <mergeCell ref="X59:Y59"/>
    <mergeCell ref="X56:Y56"/>
    <mergeCell ref="B45:S46"/>
    <mergeCell ref="B39:S41"/>
    <mergeCell ref="X35:Y35"/>
    <mergeCell ref="X19:AA19"/>
    <mergeCell ref="X64:Y64"/>
    <mergeCell ref="X38:Z38"/>
    <mergeCell ref="X39:Z39"/>
  </mergeCells>
  <pageMargins left="0.7" right="0.7" top="0.75" bottom="0.75" header="0.3" footer="0.3"/>
  <pageSetup scale="27" orientation="portrait" horizontalDpi="300" verticalDpi="1200" r:id="rId1"/>
  <colBreaks count="2" manualBreakCount="2">
    <brk id="22" max="65" man="1"/>
    <brk id="32" max="6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2D9A0-4AA9-4DC8-852C-DBF9352DEE64}">
  <sheetPr>
    <tabColor rgb="FF00B050"/>
  </sheetPr>
  <dimension ref="A1:AW64"/>
  <sheetViews>
    <sheetView view="pageBreakPreview" topLeftCell="O1" zoomScale="85" zoomScaleNormal="100" zoomScaleSheetLayoutView="85" workbookViewId="0">
      <selection activeCell="X12" sqref="X12"/>
    </sheetView>
  </sheetViews>
  <sheetFormatPr defaultRowHeight="15" x14ac:dyDescent="0.25"/>
  <cols>
    <col min="1" max="1" width="9.140625" style="9"/>
    <col min="2" max="2" width="10.140625" customWidth="1"/>
    <col min="3" max="5" width="11.42578125" customWidth="1"/>
    <col min="6" max="6" width="12.5703125" customWidth="1"/>
    <col min="7" max="8" width="11.42578125" customWidth="1"/>
    <col min="9" max="9" width="12.5703125" customWidth="1"/>
    <col min="10" max="10" width="13.7109375" style="23" bestFit="1" customWidth="1"/>
    <col min="11" max="11" width="11.42578125" style="23" customWidth="1"/>
    <col min="12" max="13" width="12.5703125" customWidth="1"/>
    <col min="14" max="14" width="15.28515625" customWidth="1"/>
    <col min="15" max="15" width="12.5703125" customWidth="1"/>
    <col min="16" max="16" width="13.7109375" style="23" bestFit="1" customWidth="1"/>
    <col min="17" max="17" width="11.42578125" style="23" customWidth="1"/>
    <col min="18" max="19" width="12.5703125" customWidth="1"/>
    <col min="20" max="20" width="15.28515625" customWidth="1"/>
    <col min="21" max="21" width="14" customWidth="1"/>
    <col min="22" max="22" width="13.140625" bestFit="1" customWidth="1"/>
    <col min="24" max="24" width="36.7109375" customWidth="1"/>
    <col min="25" max="25" width="12" customWidth="1"/>
    <col min="26" max="26" width="12.140625" customWidth="1"/>
    <col min="27" max="27" width="12.5703125" customWidth="1"/>
    <col min="28" max="29" width="16.5703125" customWidth="1"/>
    <col min="30" max="30" width="16" customWidth="1"/>
    <col min="31" max="31" width="18.140625" customWidth="1"/>
    <col min="32" max="32" width="17.7109375" customWidth="1"/>
    <col min="47" max="47" width="76.140625" customWidth="1"/>
  </cols>
  <sheetData>
    <row r="1" spans="1:49" ht="16.5" customHeight="1" x14ac:dyDescent="0.25"/>
    <row r="2" spans="1:49" ht="16.5" customHeight="1" x14ac:dyDescent="0.25">
      <c r="B2" s="8" t="s">
        <v>74</v>
      </c>
    </row>
    <row r="3" spans="1:49" ht="15.75" thickBot="1" x14ac:dyDescent="0.3">
      <c r="H3" s="8"/>
      <c r="J3" s="23" t="s">
        <v>348</v>
      </c>
      <c r="K3" s="23" t="s">
        <v>349</v>
      </c>
      <c r="L3" t="s">
        <v>115</v>
      </c>
      <c r="M3" t="s">
        <v>350</v>
      </c>
      <c r="N3" t="s">
        <v>348</v>
      </c>
      <c r="P3" s="23" t="s">
        <v>348</v>
      </c>
      <c r="Q3" s="23" t="s">
        <v>349</v>
      </c>
      <c r="R3" t="s">
        <v>115</v>
      </c>
      <c r="S3" t="s">
        <v>350</v>
      </c>
      <c r="T3" t="s">
        <v>348</v>
      </c>
      <c r="X3" s="402" t="s">
        <v>494</v>
      </c>
      <c r="Y3" s="9" t="s">
        <v>342</v>
      </c>
      <c r="Z3" s="593" t="s">
        <v>656</v>
      </c>
    </row>
    <row r="4" spans="1:49" ht="15.75" thickBot="1" x14ac:dyDescent="0.3">
      <c r="C4" s="625" t="s">
        <v>355</v>
      </c>
      <c r="D4" s="626"/>
      <c r="E4" s="627"/>
      <c r="F4" s="625" t="s">
        <v>356</v>
      </c>
      <c r="G4" s="626"/>
      <c r="H4" s="627"/>
      <c r="I4" s="645" t="s">
        <v>365</v>
      </c>
      <c r="J4" s="646"/>
      <c r="K4" s="646"/>
      <c r="L4" s="646"/>
      <c r="M4" s="646"/>
      <c r="N4" s="646"/>
      <c r="O4" s="645" t="s">
        <v>375</v>
      </c>
      <c r="P4" s="646"/>
      <c r="Q4" s="646"/>
      <c r="R4" s="646"/>
      <c r="S4" s="646"/>
      <c r="T4" s="646"/>
      <c r="U4" s="651" t="s">
        <v>2</v>
      </c>
      <c r="V4" s="652"/>
      <c r="X4" s="96" t="s">
        <v>52</v>
      </c>
      <c r="Y4" s="25">
        <f>'Project Data and Assumptions'!C3</f>
        <v>2021</v>
      </c>
      <c r="Z4" s="594"/>
      <c r="AU4" s="8" t="s">
        <v>98</v>
      </c>
    </row>
    <row r="5" spans="1:49" ht="18" customHeight="1" x14ac:dyDescent="0.25">
      <c r="B5" s="639" t="s">
        <v>0</v>
      </c>
      <c r="C5" s="637" t="s">
        <v>353</v>
      </c>
      <c r="D5" s="643" t="s">
        <v>352</v>
      </c>
      <c r="E5" s="641" t="s">
        <v>351</v>
      </c>
      <c r="F5" s="637" t="s">
        <v>46</v>
      </c>
      <c r="G5" s="643" t="s">
        <v>47</v>
      </c>
      <c r="H5" s="641" t="s">
        <v>48</v>
      </c>
      <c r="I5" s="647" t="s">
        <v>347</v>
      </c>
      <c r="J5" s="633" t="s">
        <v>49</v>
      </c>
      <c r="K5" s="633" t="s">
        <v>50</v>
      </c>
      <c r="L5" s="633" t="s">
        <v>115</v>
      </c>
      <c r="M5" s="633" t="s">
        <v>346</v>
      </c>
      <c r="N5" s="635" t="s">
        <v>51</v>
      </c>
      <c r="O5" s="647" t="s">
        <v>347</v>
      </c>
      <c r="P5" s="633" t="s">
        <v>49</v>
      </c>
      <c r="Q5" s="633" t="s">
        <v>50</v>
      </c>
      <c r="R5" s="633" t="s">
        <v>115</v>
      </c>
      <c r="S5" s="633" t="s">
        <v>346</v>
      </c>
      <c r="T5" s="635" t="s">
        <v>51</v>
      </c>
      <c r="U5" s="637" t="s">
        <v>76</v>
      </c>
      <c r="V5" s="649" t="s">
        <v>1</v>
      </c>
      <c r="X5" s="96" t="s">
        <v>411</v>
      </c>
      <c r="Y5" s="25">
        <f>IFERROR((_xlfn.XLOOKUP($Z$3,'Trail Project Summary'!$B$3:$B$25,'Trail Project Summary'!$L$3:$L$25)),0)</f>
        <v>2031</v>
      </c>
      <c r="Z5" s="594"/>
      <c r="AU5" t="s">
        <v>102</v>
      </c>
      <c r="AV5" s="92">
        <v>0.05</v>
      </c>
      <c r="AW5" t="s">
        <v>117</v>
      </c>
    </row>
    <row r="6" spans="1:49" ht="18.75" customHeight="1" thickBot="1" x14ac:dyDescent="0.3">
      <c r="B6" s="640"/>
      <c r="C6" s="638"/>
      <c r="D6" s="644"/>
      <c r="E6" s="642"/>
      <c r="F6" s="638"/>
      <c r="G6" s="644"/>
      <c r="H6" s="642"/>
      <c r="I6" s="648"/>
      <c r="J6" s="634"/>
      <c r="K6" s="634"/>
      <c r="L6" s="634"/>
      <c r="M6" s="634"/>
      <c r="N6" s="636"/>
      <c r="O6" s="648"/>
      <c r="P6" s="634"/>
      <c r="Q6" s="634"/>
      <c r="R6" s="634"/>
      <c r="S6" s="634"/>
      <c r="T6" s="636"/>
      <c r="U6" s="638"/>
      <c r="V6" s="650"/>
      <c r="X6" s="96" t="s">
        <v>412</v>
      </c>
      <c r="Y6" s="25">
        <f>'Original Build Years'!D10+30</f>
        <v>2031</v>
      </c>
      <c r="Z6" s="595"/>
      <c r="AU6" t="s">
        <v>99</v>
      </c>
      <c r="AW6" t="s">
        <v>118</v>
      </c>
    </row>
    <row r="7" spans="1:49" ht="18.75" customHeight="1" x14ac:dyDescent="0.25">
      <c r="A7" s="61">
        <f>(G7+D7)*2.38</f>
        <v>66973.568138126779</v>
      </c>
      <c r="B7" s="213">
        <f>$Y$5</f>
        <v>2031</v>
      </c>
      <c r="C7" s="192">
        <f>IF(OR($B7&lt;$Y$6,$B7&gt;'Project Data and Assumptions'!$C$8),0,$AC$35*(1+$AA$15)^($B7-2020))</f>
        <v>82650.149729389304</v>
      </c>
      <c r="D7" s="191">
        <f>IF(OR($B7&lt;$Y$6,$B7&gt;'Project Data and Assumptions'!$C$8),0,$AB$34*(1+$AA$15)^($B7-2020))</f>
        <v>20356.707640768018</v>
      </c>
      <c r="E7" s="193">
        <f>IF(OR($B7&lt;$Y$6,$B7&gt;'Project Data and Assumptions'!$C$8),0,$AC$34*(1+$AA$15)^($B7-2020))</f>
        <v>116827.99836167872</v>
      </c>
      <c r="F7" s="192">
        <f>IF($B7&gt;'Project Data and Assumptions'!$C$8,0,$AC$30*(1+$AA$15)^($B7-2020))</f>
        <v>31601.527837707679</v>
      </c>
      <c r="G7" s="191">
        <f>IF($B7&gt;'Project Data and Assumptions'!$C$8,0,$AB$29*(1+$AA$15)^($B7-2020))</f>
        <v>7783.4470391171835</v>
      </c>
      <c r="H7" s="193">
        <f>IF($B7&gt;'Project Data and Assumptions'!$C$8,0,$AC$29*(1+$AA$15)^($B7-2020))</f>
        <v>44669.528785347742</v>
      </c>
      <c r="I7" s="71">
        <f t="shared" ref="I7:I28" si="0">C7*$AA$47*$Z$60</f>
        <v>1089328.9734333511</v>
      </c>
      <c r="J7" s="73">
        <f>(D7*$AA$40)*$AA$38*$AA$39</f>
        <v>48660.673944491871</v>
      </c>
      <c r="K7" s="73">
        <f>C7*$AA$43+SUM(D7:E7)*$AA$44</f>
        <v>1475806.8905873112</v>
      </c>
      <c r="L7" s="73">
        <f t="shared" ref="L7:L28" si="1">E7*$AA$47*$Z$60</f>
        <v>1539793.0184069257</v>
      </c>
      <c r="M7" s="73">
        <f>SUM(D7:E7)*$AA$52</f>
        <v>175788.48227153523</v>
      </c>
      <c r="N7" s="100">
        <f t="shared" ref="N7:N28" si="2">D7*$AC$19*$Z$56*$Z$60</f>
        <v>2768.8705171989277</v>
      </c>
      <c r="O7" s="71">
        <f t="shared" ref="O7:O28" si="3">F7*$AA$47*$Z$60</f>
        <v>416508.13690098724</v>
      </c>
      <c r="P7" s="73">
        <f>(G7*$AA$40)*$AA$38*$AA$39</f>
        <v>18605.551802305716</v>
      </c>
      <c r="Q7" s="73">
        <f>F7*$AA$43+SUM(G7:H7)*$AA$44</f>
        <v>564279.10522456013</v>
      </c>
      <c r="R7" s="73">
        <f t="shared" ref="R7:R28" si="4">H7*$AA$47*$Z$60</f>
        <v>588744.38939088327</v>
      </c>
      <c r="S7" s="73">
        <f>SUM(G7:H7)*$AA$52</f>
        <v>67213.243221469354</v>
      </c>
      <c r="T7" s="100">
        <f t="shared" ref="T7:T28" si="5">G7*$AC$19*$Z$56*$Z$60</f>
        <v>1058.6857859878255</v>
      </c>
      <c r="U7" s="71">
        <f>SUM(I7:T7)</f>
        <v>5988556.0214870069</v>
      </c>
      <c r="V7" s="108">
        <f t="shared" ref="V7:V28" si="6">$U7*(1+0.07)^-($B7-$Y$4)</f>
        <v>3044278.2144320221</v>
      </c>
      <c r="X7" s="96" t="s">
        <v>338</v>
      </c>
      <c r="Y7" s="260">
        <f>'Trail Project Summary'!I8</f>
        <v>5.25</v>
      </c>
      <c r="AU7" t="s">
        <v>100</v>
      </c>
      <c r="AW7" t="s">
        <v>119</v>
      </c>
    </row>
    <row r="8" spans="1:49" x14ac:dyDescent="0.25">
      <c r="A8" s="61">
        <f t="shared" ref="A8:A28" si="7">(G8+D8)*2.38</f>
        <v>71996.262828678475</v>
      </c>
      <c r="B8" s="2">
        <f>B7+1</f>
        <v>2032</v>
      </c>
      <c r="C8" s="196">
        <f>IF(OR($B8&lt;$Y$6,$B8&gt;'Project Data and Assumptions'!$C$8),0,$AC$35*(1+$AA$15)^($B8-2020))</f>
        <v>88848.5124530678</v>
      </c>
      <c r="D8" s="75">
        <f>IF(OR($B8&lt;$Y$6,$B8&gt;'Project Data and Assumptions'!$C$8),0,$AB$34*(1+$AA$15)^($B8-2020))</f>
        <v>21883.362561908354</v>
      </c>
      <c r="E8" s="194">
        <f>IF(OR($B8&lt;$Y$6,$B8&gt;'Project Data and Assumptions'!$C$8),0,$AC$34*(1+$AA$15)^($B8-2020))</f>
        <v>125589.53494083759</v>
      </c>
      <c r="F8" s="196">
        <f>IF($B8&gt;'Project Data and Assumptions'!$C$8,0,$AC$30*(1+$AA$15)^($B8-2020))</f>
        <v>33971.490055584749</v>
      </c>
      <c r="G8" s="75">
        <f>IF($B8&gt;'Project Data and Assumptions'!$C$8,0,$AB$29*(1+$AA$15)^($B8-2020))</f>
        <v>8367.1680383767234</v>
      </c>
      <c r="H8" s="194">
        <f>IF($B8&gt;'Project Data and Assumptions'!$C$8,0,$AC$29*(1+$AA$15)^($B8-2020))</f>
        <v>48019.528065614373</v>
      </c>
      <c r="I8" s="15">
        <f>C8*$AA$47*$Z$60</f>
        <v>1171023.3941314337</v>
      </c>
      <c r="J8" s="74">
        <f t="shared" ref="J8:J26" si="8">(D8*$AA$40)*$AA$38*$AA$39</f>
        <v>52309.989867985743</v>
      </c>
      <c r="K8" s="74">
        <f t="shared" ref="K8:K26" si="9">C8*$AA$43+SUM(D8:E8)*$AA$44</f>
        <v>1586485.2916297172</v>
      </c>
      <c r="L8" s="74">
        <f t="shared" si="1"/>
        <v>1655270.0705202396</v>
      </c>
      <c r="M8" s="74">
        <f t="shared" ref="M8:M26" si="10">SUM(D8:E8)*$AA$52</f>
        <v>188971.77086001862</v>
      </c>
      <c r="N8" s="76">
        <f t="shared" si="2"/>
        <v>2976.5224556006256</v>
      </c>
      <c r="O8" s="15">
        <f t="shared" si="3"/>
        <v>447744.23893260706</v>
      </c>
      <c r="P8" s="74">
        <f t="shared" ref="P8:P26" si="11">(G8*$AA$40)*$AA$38*$AA$39</f>
        <v>20000.878478935723</v>
      </c>
      <c r="Q8" s="74">
        <f t="shared" ref="Q8:Q26" si="12">F8*$AA$43+SUM(G8:H8)*$AA$44</f>
        <v>606597.31738783303</v>
      </c>
      <c r="R8" s="74">
        <f t="shared" si="4"/>
        <v>632897.37990479742</v>
      </c>
      <c r="S8" s="74">
        <f t="shared" ref="S8:S26" si="13">SUM(G8:H8)*$AA$52</f>
        <v>72253.912387654185</v>
      </c>
      <c r="T8" s="76">
        <f t="shared" si="5"/>
        <v>1138.0821153767097</v>
      </c>
      <c r="U8" s="15">
        <f t="shared" ref="U8:U26" si="14">SUM(I8:T8)</f>
        <v>6437668.8486721991</v>
      </c>
      <c r="V8" s="6">
        <f t="shared" si="6"/>
        <v>3058490.0955329305</v>
      </c>
      <c r="X8" s="96" t="s">
        <v>339</v>
      </c>
      <c r="Y8" s="180">
        <f>IFERROR(_xlfn.XLOOKUP($Z$3,'Trail Project Summary'!$B$3:$B$25,'Trail Project Summary'!$C$3:$C$25),0)</f>
        <v>1.3</v>
      </c>
      <c r="AB8" s="400"/>
      <c r="AU8" t="s">
        <v>101</v>
      </c>
      <c r="AW8" t="s">
        <v>121</v>
      </c>
    </row>
    <row r="9" spans="1:49" x14ac:dyDescent="0.25">
      <c r="A9" s="61">
        <f t="shared" si="7"/>
        <v>77395.635403592969</v>
      </c>
      <c r="B9" s="2">
        <f t="shared" ref="B9:B28" si="15">B8+1</f>
        <v>2033</v>
      </c>
      <c r="C9" s="196">
        <f>IF(OR($B9&lt;$Y$6,$B9&gt;'Project Data and Assumptions'!$C$8),0,$AC$35*(1+$AA$15)^($B9-2020))</f>
        <v>95511.7224949917</v>
      </c>
      <c r="D9" s="75">
        <f>IF(OR($B9&lt;$Y$6,$B9&gt;'Project Data and Assumptions'!$C$8),0,$AB$34*(1+$AA$15)^($B9-2020))</f>
        <v>23524.509241213669</v>
      </c>
      <c r="E9" s="194">
        <f>IF(OR($B9&lt;$Y$6,$B9&gt;'Project Data and Assumptions'!$C$8),0,$AC$34*(1+$AA$15)^($B9-2020))</f>
        <v>135008.14451880186</v>
      </c>
      <c r="F9" s="196">
        <f>IF($B9&gt;'Project Data and Assumptions'!$C$8,0,$AC$30*(1+$AA$15)^($B9-2020))</f>
        <v>36519.188012790946</v>
      </c>
      <c r="G9" s="75">
        <f>IF($B9&gt;'Project Data and Assumptions'!$C$8,0,$AB$29*(1+$AA$15)^($B9-2020))</f>
        <v>8994.6652981111092</v>
      </c>
      <c r="H9" s="194">
        <f>IF($B9&gt;'Project Data and Assumptions'!$C$8,0,$AC$29*(1+$AA$15)^($B9-2020))</f>
        <v>51620.761139541886</v>
      </c>
      <c r="I9" s="15">
        <f t="shared" si="0"/>
        <v>1258844.5024839907</v>
      </c>
      <c r="J9" s="74">
        <f t="shared" si="8"/>
        <v>56232.986890197157</v>
      </c>
      <c r="K9" s="74">
        <f t="shared" si="9"/>
        <v>1705464.0391032398</v>
      </c>
      <c r="L9" s="74">
        <f t="shared" si="1"/>
        <v>1779407.3447578084</v>
      </c>
      <c r="M9" s="74">
        <f t="shared" si="10"/>
        <v>203143.74252808388</v>
      </c>
      <c r="N9" s="76">
        <f t="shared" si="2"/>
        <v>3199.7472881677045</v>
      </c>
      <c r="O9" s="15">
        <f t="shared" si="3"/>
        <v>481322.89800858469</v>
      </c>
      <c r="P9" s="74">
        <f t="shared" si="11"/>
        <v>21500.847928604795</v>
      </c>
      <c r="Q9" s="74">
        <f t="shared" si="12"/>
        <v>652089.19142182707</v>
      </c>
      <c r="R9" s="74">
        <f t="shared" si="4"/>
        <v>680361.63181916217</v>
      </c>
      <c r="S9" s="74">
        <f t="shared" si="13"/>
        <v>77672.607437208542</v>
      </c>
      <c r="T9" s="76">
        <f t="shared" si="5"/>
        <v>1223.4327866523574</v>
      </c>
      <c r="U9" s="15">
        <f t="shared" si="14"/>
        <v>6920462.9724535281</v>
      </c>
      <c r="V9" s="6">
        <f t="shared" si="6"/>
        <v>3072768.3232520535</v>
      </c>
      <c r="X9" s="96" t="s">
        <v>341</v>
      </c>
      <c r="Y9" s="180">
        <f>IFERROR(_xlfn.XLOOKUP($Z$3,'Trail Project Summary'!$B$3:$B$25,'Trail Project Summary'!$D$3:$D$25),0)</f>
        <v>3.4</v>
      </c>
      <c r="AU9" t="s">
        <v>108</v>
      </c>
      <c r="AW9" t="s">
        <v>120</v>
      </c>
    </row>
    <row r="10" spans="1:49" x14ac:dyDescent="0.25">
      <c r="A10" s="61">
        <f t="shared" si="7"/>
        <v>83199.934888007076</v>
      </c>
      <c r="B10" s="2">
        <f t="shared" si="15"/>
        <v>2034</v>
      </c>
      <c r="C10" s="196">
        <f>IF(OR($B10&lt;$Y$6,$B10&gt;'Project Data and Assumptions'!$C$8),0,$AC$35*(1+$AA$15)^($B10-2020))</f>
        <v>102674.64116272121</v>
      </c>
      <c r="D10" s="75">
        <f>IF(OR($B10&lt;$Y$6,$B10&gt;'Project Data and Assumptions'!$C$8),0,$AB$34*(1+$AA$15)^($B10-2020))</f>
        <v>25288.734008512787</v>
      </c>
      <c r="E10" s="194">
        <f>IF(OR($B10&lt;$Y$6,$B10&gt;'Project Data and Assumptions'!$C$8),0,$AC$34*(1+$AA$15)^($B10-2020))</f>
        <v>145133.10440233824</v>
      </c>
      <c r="F10" s="196">
        <f>IF($B10&gt;'Project Data and Assumptions'!$C$8,0,$AC$30*(1+$AA$15)^($B10-2020))</f>
        <v>39257.951032805169</v>
      </c>
      <c r="G10" s="75">
        <f>IF($B10&gt;'Project Data and Assumptions'!$C$8,0,$AB$29*(1+$AA$15)^($B10-2020))</f>
        <v>9669.2218267843018</v>
      </c>
      <c r="H10" s="194">
        <f>IF($B10&gt;'Project Data and Assumptions'!$C$8,0,$AC$29*(1+$AA$15)^($B10-2020))</f>
        <v>55492.069330305792</v>
      </c>
      <c r="I10" s="15">
        <f t="shared" si="0"/>
        <v>1353251.7705246655</v>
      </c>
      <c r="J10" s="74">
        <f t="shared" si="8"/>
        <v>60450.189773948972</v>
      </c>
      <c r="K10" s="74">
        <f t="shared" si="9"/>
        <v>1833365.6189692561</v>
      </c>
      <c r="L10" s="74">
        <f t="shared" si="1"/>
        <v>1912854.3160228182</v>
      </c>
      <c r="M10" s="74">
        <f t="shared" si="10"/>
        <v>218378.54373966448</v>
      </c>
      <c r="N10" s="76">
        <f t="shared" si="2"/>
        <v>3439.7129068762888</v>
      </c>
      <c r="O10" s="15">
        <f t="shared" si="3"/>
        <v>517419.79461237218</v>
      </c>
      <c r="P10" s="74">
        <f t="shared" si="11"/>
        <v>23113.307854745199</v>
      </c>
      <c r="Q10" s="74">
        <f t="shared" si="12"/>
        <v>700992.73666471569</v>
      </c>
      <c r="R10" s="74">
        <f t="shared" si="4"/>
        <v>731385.47377343033</v>
      </c>
      <c r="S10" s="74">
        <f t="shared" si="13"/>
        <v>83497.678488695237</v>
      </c>
      <c r="T10" s="76">
        <f t="shared" si="5"/>
        <v>1315.1843467468163</v>
      </c>
      <c r="U10" s="15">
        <f t="shared" si="14"/>
        <v>7439464.3276779354</v>
      </c>
      <c r="V10" s="6">
        <f t="shared" si="6"/>
        <v>3087113.2073213449</v>
      </c>
      <c r="X10" s="96" t="s">
        <v>340</v>
      </c>
      <c r="Y10" s="180"/>
    </row>
    <row r="11" spans="1:49" x14ac:dyDescent="0.25">
      <c r="A11" s="61">
        <f t="shared" si="7"/>
        <v>89439.528847737369</v>
      </c>
      <c r="B11" s="2">
        <f t="shared" si="15"/>
        <v>2035</v>
      </c>
      <c r="C11" s="196">
        <f>IF(OR($B11&lt;$Y$6,$B11&gt;'Project Data and Assumptions'!$C$8),0,$AC$35*(1+$AA$15)^($B11-2020))</f>
        <v>110374.74419379629</v>
      </c>
      <c r="D11" s="75">
        <f>IF(OR($B11&lt;$Y$6,$B11&gt;'Project Data and Assumptions'!$C$8),0,$AB$34*(1+$AA$15)^($B11-2020))</f>
        <v>27185.267126971845</v>
      </c>
      <c r="E11" s="194">
        <f>IF(OR($B11&lt;$Y$6,$B11&gt;'Project Data and Assumptions'!$C$8),0,$AC$34*(1+$AA$15)^($B11-2020))</f>
        <v>156017.38745862545</v>
      </c>
      <c r="F11" s="196">
        <f>IF($B11&gt;'Project Data and Assumptions'!$C$8,0,$AC$30*(1+$AA$15)^($B11-2020))</f>
        <v>42202.108074098578</v>
      </c>
      <c r="G11" s="75">
        <f>IF($B11&gt;'Project Data and Assumptions'!$C$8,0,$AB$29*(1+$AA$15)^($B11-2020))</f>
        <v>10394.366842665706</v>
      </c>
      <c r="H11" s="194">
        <f>IF($B11&gt;'Project Data and Assumptions'!$C$8,0,$AC$29*(1+$AA$15)^($B11-2020))</f>
        <v>59653.706969474442</v>
      </c>
      <c r="I11" s="15">
        <f t="shared" si="0"/>
        <v>1454739.1284742351</v>
      </c>
      <c r="J11" s="74">
        <f t="shared" si="8"/>
        <v>64983.662540313519</v>
      </c>
      <c r="K11" s="74">
        <f t="shared" si="9"/>
        <v>1970859.2006348681</v>
      </c>
      <c r="L11" s="74">
        <f t="shared" si="1"/>
        <v>2056309.1667046836</v>
      </c>
      <c r="M11" s="74">
        <f t="shared" si="10"/>
        <v>234755.88158598437</v>
      </c>
      <c r="N11" s="76">
        <f t="shared" si="2"/>
        <v>3697.6747899696056</v>
      </c>
      <c r="O11" s="15">
        <f t="shared" si="3"/>
        <v>556223.78441661934</v>
      </c>
      <c r="P11" s="74">
        <f t="shared" si="11"/>
        <v>24846.694500708109</v>
      </c>
      <c r="Q11" s="74">
        <f t="shared" si="12"/>
        <v>753563.81200744957</v>
      </c>
      <c r="R11" s="74">
        <f t="shared" si="4"/>
        <v>786235.8578576732</v>
      </c>
      <c r="S11" s="74">
        <f t="shared" si="13"/>
        <v>89759.601782876387</v>
      </c>
      <c r="T11" s="76">
        <f t="shared" si="5"/>
        <v>1413.816831458967</v>
      </c>
      <c r="U11" s="15">
        <f t="shared" si="14"/>
        <v>7997388.2821268402</v>
      </c>
      <c r="V11" s="6">
        <f t="shared" si="6"/>
        <v>3101525.0589187145</v>
      </c>
      <c r="Y11" s="39"/>
    </row>
    <row r="12" spans="1:49" x14ac:dyDescent="0.25">
      <c r="A12" s="61">
        <f t="shared" si="7"/>
        <v>96147.062269616377</v>
      </c>
      <c r="B12" s="2">
        <f t="shared" si="15"/>
        <v>2036</v>
      </c>
      <c r="C12" s="196">
        <f>IF(OR($B12&lt;$Y$6,$B12&gt;'Project Data and Assumptions'!$C$8),0,$AC$35*(1+$AA$15)^($B12-2020))</f>
        <v>118652.31782537923</v>
      </c>
      <c r="D12" s="75">
        <f>IF(OR($B12&lt;$Y$6,$B12&gt;'Project Data and Assumptions'!$C$8),0,$AB$34*(1+$AA$15)^($B12-2020))</f>
        <v>29224.03108498978</v>
      </c>
      <c r="E12" s="194">
        <f>IF(OR($B12&lt;$Y$6,$B12&gt;'Project Data and Assumptions'!$C$8),0,$AC$34*(1+$AA$15)^($B12-2020))</f>
        <v>167717.93926446664</v>
      </c>
      <c r="F12" s="196">
        <f>IF($B12&gt;'Project Data and Assumptions'!$C$8,0,$AC$30*(1+$AA$15)^($B12-2020))</f>
        <v>45367.062697939124</v>
      </c>
      <c r="G12" s="75">
        <f>IF($B12&gt;'Project Data and Assumptions'!$C$8,0,$AB$29*(1+$AA$15)^($B12-2020))</f>
        <v>11173.894238378445</v>
      </c>
      <c r="H12" s="194">
        <f>IF($B12&gt;'Project Data and Assumptions'!$C$8,0,$AC$29*(1+$AA$15)^($B12-2020))</f>
        <v>64127.447365825472</v>
      </c>
      <c r="I12" s="15">
        <f t="shared" si="0"/>
        <v>1563837.5489384981</v>
      </c>
      <c r="J12" s="74">
        <f t="shared" si="8"/>
        <v>69857.12390555958</v>
      </c>
      <c r="K12" s="74">
        <f t="shared" si="9"/>
        <v>2118664.1379862409</v>
      </c>
      <c r="L12" s="74">
        <f t="shared" si="1"/>
        <v>2210522.4395056702</v>
      </c>
      <c r="M12" s="74">
        <f t="shared" si="10"/>
        <v>252361.44080579342</v>
      </c>
      <c r="N12" s="76">
        <f t="shared" si="2"/>
        <v>3974.9825705057056</v>
      </c>
      <c r="O12" s="15">
        <f t="shared" si="3"/>
        <v>597937.8863588376</v>
      </c>
      <c r="P12" s="74">
        <f t="shared" si="11"/>
        <v>26710.076787419839</v>
      </c>
      <c r="Q12" s="74">
        <f t="shared" si="12"/>
        <v>810077.46452415083</v>
      </c>
      <c r="R12" s="74">
        <f t="shared" si="4"/>
        <v>845199.75628157973</v>
      </c>
      <c r="S12" s="74">
        <f t="shared" si="13"/>
        <v>96491.139131626886</v>
      </c>
      <c r="T12" s="76">
        <f t="shared" si="5"/>
        <v>1519.846276958064</v>
      </c>
      <c r="U12" s="15">
        <f t="shared" si="14"/>
        <v>8597153.8430728391</v>
      </c>
      <c r="V12" s="6">
        <f t="shared" si="6"/>
        <v>3116004.190674766</v>
      </c>
    </row>
    <row r="13" spans="1:49" x14ac:dyDescent="0.25">
      <c r="A13" s="61">
        <f t="shared" si="7"/>
        <v>103357.62835708799</v>
      </c>
      <c r="B13" s="2">
        <f t="shared" si="15"/>
        <v>2037</v>
      </c>
      <c r="C13" s="196">
        <f>IF(OR($B13&lt;$Y$6,$B13&gt;'Project Data and Assumptions'!$C$8),0,$AC$35*(1+$AA$15)^($B13-2020))</f>
        <v>127550.66956817552</v>
      </c>
      <c r="D13" s="75">
        <f>IF(OR($B13&lt;$Y$6,$B13&gt;'Project Data and Assumptions'!$C$8),0,$AB$34*(1+$AA$15)^($B13-2020))</f>
        <v>31415.692509753189</v>
      </c>
      <c r="E13" s="194">
        <f>IF(OR($B13&lt;$Y$6,$B13&gt;'Project Data and Assumptions'!$C$8),0,$AC$34*(1+$AA$15)^($B13-2020))</f>
        <v>180295.9760403563</v>
      </c>
      <c r="F13" s="196">
        <f>IF($B13&gt;'Project Data and Assumptions'!$C$8,0,$AC$30*(1+$AA$15)^($B13-2020))</f>
        <v>48769.373658420052</v>
      </c>
      <c r="G13" s="75">
        <f>IF($B13&gt;'Project Data and Assumptions'!$C$8,0,$AB$29*(1+$AA$15)^($B13-2020))</f>
        <v>12011.88243019975</v>
      </c>
      <c r="H13" s="194">
        <f>IF($B13&gt;'Project Data and Assumptions'!$C$8,0,$AC$29*(1+$AA$15)^($B13-2020))</f>
        <v>68936.696721312692</v>
      </c>
      <c r="I13" s="15">
        <f t="shared" si="0"/>
        <v>1681117.8249085534</v>
      </c>
      <c r="J13" s="74">
        <f t="shared" si="8"/>
        <v>75096.07137531403</v>
      </c>
      <c r="K13" s="74">
        <f t="shared" si="9"/>
        <v>2277553.7329825666</v>
      </c>
      <c r="L13" s="74">
        <f t="shared" si="1"/>
        <v>2376300.9642118961</v>
      </c>
      <c r="M13" s="74">
        <f t="shared" si="10"/>
        <v>271287.33208011027</v>
      </c>
      <c r="N13" s="76">
        <f t="shared" si="2"/>
        <v>4273.0870975146054</v>
      </c>
      <c r="O13" s="15">
        <f t="shared" si="3"/>
        <v>642780.34481797635</v>
      </c>
      <c r="P13" s="74">
        <f t="shared" si="11"/>
        <v>28713.203761149485</v>
      </c>
      <c r="Q13" s="74">
        <f t="shared" si="12"/>
        <v>870829.36849333427</v>
      </c>
      <c r="R13" s="74">
        <f t="shared" si="4"/>
        <v>908585.66278690135</v>
      </c>
      <c r="S13" s="74">
        <f t="shared" si="13"/>
        <v>103727.50932474804</v>
      </c>
      <c r="T13" s="76">
        <f t="shared" si="5"/>
        <v>1633.8274196379377</v>
      </c>
      <c r="U13" s="15">
        <f t="shared" si="14"/>
        <v>9241898.9292597026</v>
      </c>
      <c r="V13" s="6">
        <f t="shared" si="6"/>
        <v>3130550.9166795937</v>
      </c>
      <c r="AU13" t="s">
        <v>357</v>
      </c>
      <c r="AV13" t="s">
        <v>371</v>
      </c>
    </row>
    <row r="14" spans="1:49" x14ac:dyDescent="0.25">
      <c r="A14" s="61">
        <f t="shared" si="7"/>
        <v>111108.95213464898</v>
      </c>
      <c r="B14" s="2">
        <f t="shared" si="15"/>
        <v>2038</v>
      </c>
      <c r="C14" s="196">
        <f>IF(OR($B14&lt;$Y$6,$B14&gt;'Project Data and Assumptions'!$C$8),0,$AC$35*(1+$AA$15)^($B14-2020))</f>
        <v>137116.35478738192</v>
      </c>
      <c r="D14" s="75">
        <f>IF(OR($B14&lt;$Y$6,$B14&gt;'Project Data and Assumptions'!$C$8),0,$AB$34*(1+$AA$15)^($B14-2020))</f>
        <v>33771.717974057443</v>
      </c>
      <c r="E14" s="194">
        <f>IF(OR($B14&lt;$Y$6,$B14&gt;'Project Data and Assumptions'!$C$8),0,$AC$34*(1+$AA$15)^($B14-2020))</f>
        <v>193817.30492816586</v>
      </c>
      <c r="F14" s="196">
        <f>IF($B14&gt;'Project Data and Assumptions'!$C$8,0,$AC$30*(1+$AA$15)^($B14-2020))</f>
        <v>52426.841536351909</v>
      </c>
      <c r="G14" s="75">
        <f>IF($B14&gt;'Project Data and Assumptions'!$C$8,0,$AB$29*(1+$AA$15)^($B14-2020))</f>
        <v>12912.715695963139</v>
      </c>
      <c r="H14" s="194">
        <f>IF($B14&gt;'Project Data and Assumptions'!$C$8,0,$AC$29*(1+$AA$15)^($B14-2020))</f>
        <v>74106.61659018106</v>
      </c>
      <c r="I14" s="15">
        <f t="shared" si="0"/>
        <v>1807193.5560976937</v>
      </c>
      <c r="J14" s="74">
        <f t="shared" si="8"/>
        <v>80727.914645186931</v>
      </c>
      <c r="K14" s="74">
        <f t="shared" si="9"/>
        <v>2448359.2815014236</v>
      </c>
      <c r="L14" s="74">
        <f t="shared" si="1"/>
        <v>2554512.0789532261</v>
      </c>
      <c r="M14" s="74">
        <f t="shared" si="10"/>
        <v>291632.57394690893</v>
      </c>
      <c r="N14" s="76">
        <f t="shared" si="2"/>
        <v>4593.5480267081557</v>
      </c>
      <c r="O14" s="15">
        <f t="shared" si="3"/>
        <v>690985.77144911815</v>
      </c>
      <c r="P14" s="74">
        <f t="shared" si="11"/>
        <v>30866.555599630294</v>
      </c>
      <c r="Q14" s="74">
        <f t="shared" si="12"/>
        <v>936137.3723387795</v>
      </c>
      <c r="R14" s="74">
        <f t="shared" si="4"/>
        <v>976725.20665858651</v>
      </c>
      <c r="S14" s="74">
        <f t="shared" si="13"/>
        <v>111506.57239146516</v>
      </c>
      <c r="T14" s="76">
        <f t="shared" si="5"/>
        <v>1756.3565984472357</v>
      </c>
      <c r="U14" s="15">
        <f t="shared" si="14"/>
        <v>9934996.7882071752</v>
      </c>
      <c r="V14" s="6">
        <f t="shared" si="6"/>
        <v>3145165.5524895787</v>
      </c>
      <c r="X14" s="8" t="s">
        <v>81</v>
      </c>
      <c r="AU14" t="s">
        <v>358</v>
      </c>
      <c r="AV14" t="s">
        <v>372</v>
      </c>
    </row>
    <row r="15" spans="1:49" ht="17.25" x14ac:dyDescent="0.25">
      <c r="A15" s="61">
        <f t="shared" si="7"/>
        <v>119441.58782173833</v>
      </c>
      <c r="B15" s="2">
        <f t="shared" si="15"/>
        <v>2039</v>
      </c>
      <c r="C15" s="196">
        <f>IF(OR($B15&lt;$Y$6,$B15&gt;'Project Data and Assumptions'!$C$8),0,$AC$35*(1+$AA$15)^($B15-2020))</f>
        <v>147399.42027611352</v>
      </c>
      <c r="D15" s="75">
        <f>IF(OR($B15&lt;$Y$6,$B15&gt;'Project Data and Assumptions'!$C$8),0,$AB$34*(1+$AA$15)^($B15-2020))</f>
        <v>36304.433988370314</v>
      </c>
      <c r="E15" s="194">
        <f>IF(OR($B15&lt;$Y$6,$B15&gt;'Project Data and Assumptions'!$C$8),0,$AC$34*(1+$AA$15)^($B15-2020))</f>
        <v>208352.66828811137</v>
      </c>
      <c r="F15" s="196">
        <f>IF($B15&gt;'Project Data and Assumptions'!$C$8,0,$AC$30*(1+$AA$15)^($B15-2020))</f>
        <v>56358.601870278711</v>
      </c>
      <c r="G15" s="75">
        <f>IF($B15&gt;'Project Data and Assumptions'!$C$8,0,$AB$29*(1+$AA$15)^($B15-2020))</f>
        <v>13881.107113200414</v>
      </c>
      <c r="H15" s="194">
        <f>IF($B15&gt;'Project Data and Assumptions'!$C$8,0,$AC$29*(1+$AA$15)^($B15-2020))</f>
        <v>79664.255521924919</v>
      </c>
      <c r="I15" s="15">
        <f t="shared" si="0"/>
        <v>1942724.3592391764</v>
      </c>
      <c r="J15" s="74">
        <f t="shared" si="8"/>
        <v>86782.119005800399</v>
      </c>
      <c r="K15" s="74">
        <f t="shared" si="9"/>
        <v>2631974.4226030298</v>
      </c>
      <c r="L15" s="74">
        <f t="shared" si="1"/>
        <v>2746088.1680373079</v>
      </c>
      <c r="M15" s="74">
        <f t="shared" si="10"/>
        <v>313503.61085708358</v>
      </c>
      <c r="N15" s="76">
        <f t="shared" si="2"/>
        <v>4938.0419804565581</v>
      </c>
      <c r="O15" s="15">
        <f t="shared" si="3"/>
        <v>742806.37265027349</v>
      </c>
      <c r="P15" s="74">
        <f t="shared" si="11"/>
        <v>33181.398443394275</v>
      </c>
      <c r="Q15" s="74">
        <f t="shared" si="12"/>
        <v>1006343.1615835114</v>
      </c>
      <c r="R15" s="74">
        <f t="shared" si="4"/>
        <v>1049974.8877789704</v>
      </c>
      <c r="S15" s="74">
        <f t="shared" si="13"/>
        <v>119869.0276806496</v>
      </c>
      <c r="T15" s="76">
        <f t="shared" si="5"/>
        <v>1888.0748748804488</v>
      </c>
      <c r="U15" s="15">
        <f t="shared" si="14"/>
        <v>10680073.644734534</v>
      </c>
      <c r="V15" s="6">
        <f t="shared" si="6"/>
        <v>3159848.4151342451</v>
      </c>
      <c r="X15" s="621" t="s">
        <v>518</v>
      </c>
      <c r="Y15" s="621"/>
      <c r="Z15" s="621"/>
      <c r="AA15" s="400">
        <f>('Annual Use'!$E$9-'Annual Use'!$C$9)/('Annual Use'!$C$9*17)</f>
        <v>7.4995178399228549E-2</v>
      </c>
      <c r="AB15" s="400"/>
      <c r="AU15" t="s">
        <v>359</v>
      </c>
    </row>
    <row r="16" spans="1:49" x14ac:dyDescent="0.25">
      <c r="A16" s="61">
        <f t="shared" si="7"/>
        <v>128399.13100871671</v>
      </c>
      <c r="B16" s="2">
        <f t="shared" si="15"/>
        <v>2040</v>
      </c>
      <c r="C16" s="196">
        <f>IF(OR($B16&lt;$Y$6,$B16&gt;'Project Data and Assumptions'!$C$8),0,$AC$35*(1+$AA$15)^($B16-2020))</f>
        <v>158453.66609566353</v>
      </c>
      <c r="D16" s="75">
        <f>IF(OR($B16&lt;$Y$6,$B16&gt;'Project Data and Assumptions'!$C$8),0,$AB$34*(1+$AA$15)^($B16-2020))</f>
        <v>39027.091492011161</v>
      </c>
      <c r="E16" s="194">
        <f>IF(OR($B16&lt;$Y$6,$B16&gt;'Project Data and Assumptions'!$C$8),0,$AC$34*(1+$AA$15)^($B16-2020))</f>
        <v>223978.11381633353</v>
      </c>
      <c r="F16" s="196">
        <f>IF($B16&gt;'Project Data and Assumptions'!$C$8,0,$AC$30*(1+$AA$15)^($B16-2020))</f>
        <v>60585.225271871357</v>
      </c>
      <c r="G16" s="75">
        <f>IF($B16&gt;'Project Data and Assumptions'!$C$8,0,$AB$29*(1+$AA$15)^($B16-2020))</f>
        <v>14922.123217533679</v>
      </c>
      <c r="H16" s="194">
        <f>IF($B16&gt;'Project Data and Assumptions'!$C$8,0,$AC$29*(1+$AA$15)^($B16-2020))</f>
        <v>85638.690576833411</v>
      </c>
      <c r="I16" s="15">
        <f t="shared" si="0"/>
        <v>2088419.3191408454</v>
      </c>
      <c r="J16" s="74">
        <f t="shared" si="8"/>
        <v>93290.359502503503</v>
      </c>
      <c r="K16" s="74">
        <f t="shared" si="9"/>
        <v>2829359.8139683502</v>
      </c>
      <c r="L16" s="74">
        <f t="shared" si="1"/>
        <v>2952031.5400992758</v>
      </c>
      <c r="M16" s="74">
        <f t="shared" si="10"/>
        <v>337014.87008211284</v>
      </c>
      <c r="N16" s="76">
        <f t="shared" si="2"/>
        <v>5308.3713197237776</v>
      </c>
      <c r="O16" s="15">
        <f t="shared" si="3"/>
        <v>798513.26908326452</v>
      </c>
      <c r="P16" s="74">
        <f t="shared" si="11"/>
        <v>35669.843339192514</v>
      </c>
      <c r="Q16" s="74">
        <f t="shared" si="12"/>
        <v>1081814.0465173107</v>
      </c>
      <c r="R16" s="74">
        <f t="shared" si="4"/>
        <v>1128717.9418026644</v>
      </c>
      <c r="S16" s="74">
        <f t="shared" si="13"/>
        <v>128858.62679610198</v>
      </c>
      <c r="T16" s="76">
        <f t="shared" si="5"/>
        <v>2029.6713869532089</v>
      </c>
      <c r="U16" s="15">
        <f t="shared" si="14"/>
        <v>11481027.673038298</v>
      </c>
      <c r="V16" s="6">
        <f t="shared" si="6"/>
        <v>3174599.8231231375</v>
      </c>
      <c r="X16" s="621" t="s">
        <v>366</v>
      </c>
      <c r="Y16" s="621"/>
      <c r="Z16" s="621"/>
      <c r="AA16" s="138">
        <v>0.86</v>
      </c>
      <c r="AB16" s="92"/>
      <c r="AU16" t="s">
        <v>370</v>
      </c>
      <c r="AV16" t="s">
        <v>373</v>
      </c>
      <c r="AW16" t="s">
        <v>374</v>
      </c>
    </row>
    <row r="17" spans="1:33" x14ac:dyDescent="0.25">
      <c r="A17" s="61">
        <f t="shared" si="7"/>
        <v>138028.44674502136</v>
      </c>
      <c r="B17" s="2">
        <f t="shared" si="15"/>
        <v>2041</v>
      </c>
      <c r="C17" s="196">
        <f>IF(OR($B17&lt;$Y$6,$B17&gt;'Project Data and Assumptions'!$C$8),0,$AC$35*(1+$AA$15)^($B17-2020))</f>
        <v>170336.92705251963</v>
      </c>
      <c r="D17" s="75">
        <f>IF(OR($B17&lt;$Y$6,$B17&gt;'Project Data and Assumptions'!$C$8),0,$AB$34*(1+$AA$15)^($B17-2020))</f>
        <v>41953.935180857552</v>
      </c>
      <c r="E17" s="194">
        <f>IF(OR($B17&lt;$Y$6,$B17&gt;'Project Data and Assumptions'!$C$8),0,$AC$34*(1+$AA$15)^($B17-2020))</f>
        <v>240775.39241951221</v>
      </c>
      <c r="F17" s="196">
        <f>IF($B17&gt;'Project Data and Assumptions'!$C$8,0,$AC$30*(1+$AA$15)^($B17-2020))</f>
        <v>65128.8250494928</v>
      </c>
      <c r="G17" s="75">
        <f>IF($B17&gt;'Project Data and Assumptions'!$C$8,0,$AB$29*(1+$AA$15)^($B17-2020))</f>
        <v>16041.21051032789</v>
      </c>
      <c r="H17" s="194">
        <f>IF($B17&gt;'Project Data and Assumptions'!$C$8,0,$AC$29*(1+$AA$15)^($B17-2020))</f>
        <v>92061.17945451937</v>
      </c>
      <c r="I17" s="15">
        <f t="shared" si="0"/>
        <v>2245040.698552209</v>
      </c>
      <c r="J17" s="74">
        <f t="shared" si="8"/>
        <v>100286.68665632189</v>
      </c>
      <c r="K17" s="74">
        <f t="shared" si="9"/>
        <v>3041548.1579725156</v>
      </c>
      <c r="L17" s="74">
        <f t="shared" si="1"/>
        <v>3173419.6720891711</v>
      </c>
      <c r="M17" s="74">
        <f t="shared" si="10"/>
        <v>362289.36038711376</v>
      </c>
      <c r="N17" s="76">
        <f t="shared" si="2"/>
        <v>5706.4735738558102</v>
      </c>
      <c r="O17" s="15">
        <f t="shared" si="3"/>
        <v>858397.91415231512</v>
      </c>
      <c r="P17" s="74">
        <f t="shared" si="11"/>
        <v>38344.909603887791</v>
      </c>
      <c r="Q17" s="74">
        <f t="shared" si="12"/>
        <v>1162944.8839306675</v>
      </c>
      <c r="R17" s="74">
        <f t="shared" si="4"/>
        <v>1213366.3452105653</v>
      </c>
      <c r="S17" s="74">
        <f t="shared" si="13"/>
        <v>138522.40250095527</v>
      </c>
      <c r="T17" s="76">
        <f t="shared" si="5"/>
        <v>2181.8869547095746</v>
      </c>
      <c r="U17" s="15">
        <f t="shared" si="14"/>
        <v>12342049.391584288</v>
      </c>
      <c r="V17" s="6">
        <f t="shared" si="6"/>
        <v>3189420.0964527265</v>
      </c>
      <c r="X17" s="621" t="s">
        <v>367</v>
      </c>
      <c r="Y17" s="621"/>
      <c r="Z17" s="621"/>
      <c r="AA17" s="200">
        <f>MIN(Y7,2.38)</f>
        <v>2.38</v>
      </c>
      <c r="AB17" s="201" t="s">
        <v>368</v>
      </c>
      <c r="AC17" s="25" t="s">
        <v>369</v>
      </c>
    </row>
    <row r="18" spans="1:33" x14ac:dyDescent="0.25">
      <c r="A18" s="61">
        <f t="shared" si="7"/>
        <v>148379.91473283267</v>
      </c>
      <c r="B18" s="2">
        <f t="shared" si="15"/>
        <v>2042</v>
      </c>
      <c r="C18" s="196">
        <f>IF(OR($B18&lt;$Y$6,$B18&gt;'Project Data and Assumptions'!$C$8),0,$AC$35*(1+$AA$15)^($B18-2020))</f>
        <v>183111.37528479972</v>
      </c>
      <c r="D18" s="75">
        <f>IF(OR($B18&lt;$Y$6,$B18&gt;'Project Data and Assumptions'!$C$8),0,$AB$34*(1+$AA$15)^($B18-2020))</f>
        <v>45100.278034295639</v>
      </c>
      <c r="E18" s="194">
        <f>IF(OR($B18&lt;$Y$6,$B18&gt;'Project Data and Assumptions'!$C$8),0,$AC$34*(1+$AA$15)^($B18-2020))</f>
        <v>258832.3859281578</v>
      </c>
      <c r="F18" s="196">
        <f>IF($B18&gt;'Project Data and Assumptions'!$C$8,0,$AC$30*(1+$AA$15)^($B18-2020))</f>
        <v>70013.172903011669</v>
      </c>
      <c r="G18" s="75">
        <f>IF($B18&gt;'Project Data and Assumptions'!$C$8,0,$AB$29*(1+$AA$15)^($B18-2020))</f>
        <v>17244.223954289511</v>
      </c>
      <c r="H18" s="194">
        <f>IF($B18&gt;'Project Data and Assumptions'!$C$8,0,$AC$29*(1+$AA$15)^($B18-2020))</f>
        <v>98965.324031354452</v>
      </c>
      <c r="I18" s="15">
        <f t="shared" si="0"/>
        <v>2413407.9262536606</v>
      </c>
      <c r="J18" s="74">
        <f t="shared" si="8"/>
        <v>107807.70461318032</v>
      </c>
      <c r="K18" s="74">
        <f t="shared" si="9"/>
        <v>3269649.6046895087</v>
      </c>
      <c r="L18" s="74">
        <f t="shared" si="1"/>
        <v>3411410.8465331201</v>
      </c>
      <c r="M18" s="74">
        <f t="shared" si="10"/>
        <v>389459.31560148776</v>
      </c>
      <c r="N18" s="76">
        <f t="shared" si="2"/>
        <v>6134.4315775576106</v>
      </c>
      <c r="O18" s="15">
        <f t="shared" si="3"/>
        <v>922773.61886169389</v>
      </c>
      <c r="P18" s="74">
        <f t="shared" si="11"/>
        <v>41220.592940333656</v>
      </c>
      <c r="Q18" s="74">
        <f t="shared" si="12"/>
        <v>1250160.1429695182</v>
      </c>
      <c r="R18" s="74">
        <f t="shared" si="4"/>
        <v>1304362.9707332517</v>
      </c>
      <c r="S18" s="74">
        <f t="shared" si="13"/>
        <v>148910.91478880416</v>
      </c>
      <c r="T18" s="76">
        <f t="shared" si="5"/>
        <v>2345.5179561249688</v>
      </c>
      <c r="U18" s="15">
        <f t="shared" si="14"/>
        <v>13267643.587518243</v>
      </c>
      <c r="V18" s="6">
        <f t="shared" si="6"/>
        <v>3204309.5566133494</v>
      </c>
      <c r="X18" s="621" t="s">
        <v>363</v>
      </c>
      <c r="Y18" s="621"/>
      <c r="Z18" s="621"/>
      <c r="AA18" s="621"/>
      <c r="AB18" s="138">
        <f>MIN($AA$16,$Y8)</f>
        <v>0.86</v>
      </c>
      <c r="AC18" s="138">
        <f>MIN($AA$17,$Y8)</f>
        <v>1.3</v>
      </c>
    </row>
    <row r="19" spans="1:33" x14ac:dyDescent="0.25">
      <c r="A19" s="61">
        <f t="shared" si="7"/>
        <v>159507.69290908379</v>
      </c>
      <c r="B19" s="2">
        <f t="shared" si="15"/>
        <v>2043</v>
      </c>
      <c r="C19" s="196">
        <f>IF(OR($B19&lt;$Y$6,$B19&gt;'Project Data and Assumptions'!$C$8),0,$AC$35*(1+$AA$15)^($B19-2020))</f>
        <v>196843.8455412114</v>
      </c>
      <c r="D19" s="75">
        <f>IF(OR($B19&lt;$Y$6,$B19&gt;'Project Data and Assumptions'!$C$8),0,$AB$34*(1+$AA$15)^($B19-2020))</f>
        <v>48482.581431332459</v>
      </c>
      <c r="E19" s="194">
        <f>IF(OR($B19&lt;$Y$6,$B19&gt;'Project Data and Assumptions'!$C$8),0,$AC$34*(1+$AA$15)^($B19-2020))</f>
        <v>278243.566886338</v>
      </c>
      <c r="F19" s="196">
        <f>IF($B19&gt;'Project Data and Assumptions'!$C$8,0,$AC$30*(1+$AA$15)^($B19-2020))</f>
        <v>75263.823295169059</v>
      </c>
      <c r="G19" s="75">
        <f>IF($B19&gt;'Project Data and Assumptions'!$C$8,0,$AB$29*(1+$AA$15)^($B19-2020))</f>
        <v>18537.457606097705</v>
      </c>
      <c r="H19" s="194">
        <f>IF($B19&gt;'Project Data and Assumptions'!$C$8,0,$AC$29*(1+$AA$15)^($B19-2020))</f>
        <v>106387.24616242334</v>
      </c>
      <c r="I19" s="15">
        <f t="shared" si="0"/>
        <v>2594401.8842331665</v>
      </c>
      <c r="J19" s="74">
        <f t="shared" si="8"/>
        <v>115892.76265345715</v>
      </c>
      <c r="K19" s="74">
        <f t="shared" si="9"/>
        <v>3514857.5600961661</v>
      </c>
      <c r="L19" s="74">
        <f t="shared" si="1"/>
        <v>3667250.211561935</v>
      </c>
      <c r="M19" s="74">
        <f t="shared" si="10"/>
        <v>418666.88645426289</v>
      </c>
      <c r="N19" s="76">
        <f t="shared" si="2"/>
        <v>6594.484368094405</v>
      </c>
      <c r="O19" s="15">
        <f t="shared" si="3"/>
        <v>991977.19103032816</v>
      </c>
      <c r="P19" s="74">
        <f t="shared" si="11"/>
        <v>44311.938661615961</v>
      </c>
      <c r="Q19" s="74">
        <f t="shared" si="12"/>
        <v>1343916.1259191225</v>
      </c>
      <c r="R19" s="74">
        <f t="shared" si="4"/>
        <v>1402183.9044207397</v>
      </c>
      <c r="S19" s="74">
        <f t="shared" si="13"/>
        <v>160078.51540898287</v>
      </c>
      <c r="T19" s="76">
        <f t="shared" si="5"/>
        <v>2521.4204936831552</v>
      </c>
      <c r="U19" s="15">
        <f t="shared" si="14"/>
        <v>14262652.885301555</v>
      </c>
      <c r="V19" s="6">
        <f t="shared" si="6"/>
        <v>3219268.5265961876</v>
      </c>
      <c r="X19" s="621" t="s">
        <v>364</v>
      </c>
      <c r="Y19" s="621"/>
      <c r="Z19" s="621"/>
      <c r="AA19" s="621"/>
      <c r="AB19" s="138">
        <f>MIN($AA$16,SUM($Y9:$Y10))</f>
        <v>0.86</v>
      </c>
      <c r="AC19" s="138">
        <f>MIN($AA$16,SUM($Y9:$Y10))</f>
        <v>0.86</v>
      </c>
    </row>
    <row r="20" spans="1:33" x14ac:dyDescent="0.25">
      <c r="A20" s="61">
        <f t="shared" si="7"/>
        <v>171470.00079484985</v>
      </c>
      <c r="B20" s="2">
        <f t="shared" si="15"/>
        <v>2044</v>
      </c>
      <c r="C20" s="196">
        <f>IF(OR($B20&lt;$Y$6,$B20&gt;'Project Data and Assumptions'!$C$8),0,$AC$35*(1+$AA$15)^($B20-2020))</f>
        <v>211606.18485436469</v>
      </c>
      <c r="D20" s="75">
        <f>IF(OR($B20&lt;$Y$6,$B20&gt;'Project Data and Assumptions'!$C$8),0,$AB$34*(1+$AA$15)^($B20-2020))</f>
        <v>52118.541275030351</v>
      </c>
      <c r="E20" s="194">
        <f>IF(OR($B20&lt;$Y$6,$B20&gt;'Project Data and Assumptions'!$C$8),0,$AC$34*(1+$AA$15)^($B20-2020))</f>
        <v>299110.49282341654</v>
      </c>
      <c r="F20" s="196">
        <f>IF($B20&gt;'Project Data and Assumptions'!$C$8,0,$AC$30*(1+$AA$15)^($B20-2020))</f>
        <v>80908.247150198265</v>
      </c>
      <c r="G20" s="75">
        <f>IF($B20&gt;'Project Data and Assumptions'!$C$8,0,$AB$29*(1+$AA$15)^($B20-2020))</f>
        <v>19927.677546335133</v>
      </c>
      <c r="H20" s="194">
        <f>IF($B20&gt;'Project Data and Assumptions'!$C$8,0,$AC$29*(1+$AA$15)^($B20-2020))</f>
        <v>114365.77666777691</v>
      </c>
      <c r="I20" s="15">
        <f t="shared" si="0"/>
        <v>2788969.5163805266</v>
      </c>
      <c r="J20" s="74">
        <f t="shared" si="8"/>
        <v>124584.16106383258</v>
      </c>
      <c r="K20" s="74">
        <f t="shared" si="9"/>
        <v>3778454.9298634548</v>
      </c>
      <c r="L20" s="74">
        <f t="shared" si="1"/>
        <v>3942276.2954126303</v>
      </c>
      <c r="M20" s="74">
        <f t="shared" si="10"/>
        <v>450064.88429374981</v>
      </c>
      <c r="N20" s="76">
        <f t="shared" si="2"/>
        <v>7089.038899730569</v>
      </c>
      <c r="O20" s="15">
        <f t="shared" si="3"/>
        <v>1066370.6974396133</v>
      </c>
      <c r="P20" s="74">
        <f t="shared" si="11"/>
        <v>47635.12040675951</v>
      </c>
      <c r="Q20" s="74">
        <f t="shared" si="12"/>
        <v>1444703.3555360269</v>
      </c>
      <c r="R20" s="74">
        <f t="shared" si="4"/>
        <v>1507340.9364812998</v>
      </c>
      <c r="S20" s="74">
        <f t="shared" si="13"/>
        <v>172083.63222996317</v>
      </c>
      <c r="T20" s="76">
        <f t="shared" si="5"/>
        <v>2710.5148734263935</v>
      </c>
      <c r="U20" s="15">
        <f t="shared" si="14"/>
        <v>15332283.082881013</v>
      </c>
      <c r="V20" s="6">
        <f t="shared" si="6"/>
        <v>3234297.33090027</v>
      </c>
      <c r="X20" s="399"/>
      <c r="Y20" s="399"/>
      <c r="Z20" s="125"/>
      <c r="AA20" s="77"/>
    </row>
    <row r="21" spans="1:33" x14ac:dyDescent="0.25">
      <c r="A21" s="61">
        <f t="shared" si="7"/>
        <v>184329.42409457549</v>
      </c>
      <c r="B21" s="2">
        <f t="shared" si="15"/>
        <v>2045</v>
      </c>
      <c r="C21" s="196">
        <f>IF(OR($B21&lt;$Y$6,$B21&gt;'Project Data and Assumptions'!$C$8),0,$AC$35*(1+$AA$15)^($B21-2020))</f>
        <v>227475.62843789795</v>
      </c>
      <c r="D21" s="75">
        <f>IF(OR($B21&lt;$Y$6,$B21&gt;'Project Data and Assumptions'!$C$8),0,$AB$34*(1+$AA$15)^($B21-2020))</f>
        <v>56027.180575858816</v>
      </c>
      <c r="E21" s="194">
        <f>IF(OR($B21&lt;$Y$6,$B21&gt;'Project Data and Assumptions'!$C$8),0,$AC$34*(1+$AA$15)^($B21-2020))</f>
        <v>321542.33759378991</v>
      </c>
      <c r="F21" s="196">
        <f>IF($B21&gt;'Project Data and Assumptions'!$C$8,0,$AC$30*(1+$AA$15)^($B21-2020))</f>
        <v>86975.975579196267</v>
      </c>
      <c r="G21" s="75">
        <f>IF($B21&gt;'Project Data and Assumptions'!$C$8,0,$AB$29*(1+$AA$15)^($B21-2020))</f>
        <v>21422.157279004841</v>
      </c>
      <c r="H21" s="194">
        <f>IF($B21&gt;'Project Data and Assumptions'!$C$8,0,$AC$29*(1+$AA$15)^($B21-2020))</f>
        <v>122942.65849174319</v>
      </c>
      <c r="I21" s="15">
        <f t="shared" si="0"/>
        <v>2998128.782811495</v>
      </c>
      <c r="J21" s="74">
        <f t="shared" si="8"/>
        <v>133927.37244853293</v>
      </c>
      <c r="K21" s="74">
        <f t="shared" si="9"/>
        <v>4061820.8314020103</v>
      </c>
      <c r="L21" s="74">
        <f t="shared" si="1"/>
        <v>4237928.0094861509</v>
      </c>
      <c r="M21" s="74">
        <f t="shared" si="10"/>
        <v>483817.58058258781</v>
      </c>
      <c r="N21" s="76">
        <f t="shared" si="2"/>
        <v>7620.6826366949344</v>
      </c>
      <c r="O21" s="15">
        <f t="shared" si="3"/>
        <v>1146343.3581338068</v>
      </c>
      <c r="P21" s="74">
        <f t="shared" si="11"/>
        <v>51207.524759733176</v>
      </c>
      <c r="Q21" s="74">
        <f t="shared" si="12"/>
        <v>1553049.1414184156</v>
      </c>
      <c r="R21" s="74">
        <f t="shared" si="4"/>
        <v>1620384.2389211752</v>
      </c>
      <c r="S21" s="74">
        <f t="shared" si="13"/>
        <v>184989.07492863652</v>
      </c>
      <c r="T21" s="76">
        <f t="shared" si="5"/>
        <v>2913.7904199127688</v>
      </c>
      <c r="U21" s="15">
        <f t="shared" si="14"/>
        <v>16482130.38794915</v>
      </c>
      <c r="V21" s="6">
        <f t="shared" si="6"/>
        <v>3249396.2955395188</v>
      </c>
      <c r="Z21" s="84"/>
      <c r="AA21" s="84"/>
      <c r="AB21" s="84"/>
      <c r="AC21" s="84"/>
    </row>
    <row r="22" spans="1:33" x14ac:dyDescent="0.25">
      <c r="A22" s="61">
        <f t="shared" si="7"/>
        <v>198153.24213877524</v>
      </c>
      <c r="B22" s="2">
        <f t="shared" si="15"/>
        <v>2046</v>
      </c>
      <c r="C22" s="196">
        <f>IF(OR($B22&lt;$Y$6,$B22&gt;'Project Data and Assumptions'!$C$8),0,$AC$35*(1+$AA$15)^($B22-2020))</f>
        <v>244535.2037740747</v>
      </c>
      <c r="D22" s="75">
        <f>IF(OR($B22&lt;$Y$6,$B22&gt;'Project Data and Assumptions'!$C$8),0,$AB$34*(1+$AA$15)^($B22-2020))</f>
        <v>60228.948978351138</v>
      </c>
      <c r="E22" s="194">
        <f>IF(OR($B22&lt;$Y$6,$B22&gt;'Project Data and Assumptions'!$C$8),0,$AC$34*(1+$AA$15)^($B22-2020))</f>
        <v>345656.46256454114</v>
      </c>
      <c r="F22" s="196">
        <f>IF($B22&gt;'Project Data and Assumptions'!$C$8,0,$AC$30*(1+$AA$15)^($B22-2020))</f>
        <v>93498.754384205036</v>
      </c>
      <c r="G22" s="75">
        <f>IF($B22&gt;'Project Data and Assumptions'!$C$8,0,$AB$29*(1+$AA$15)^($B22-2020))</f>
        <v>23028.715785840141</v>
      </c>
      <c r="H22" s="194">
        <f>IF($B22&gt;'Project Data and Assumptions'!$C$8,0,$AC$29*(1+$AA$15)^($B22-2020))</f>
        <v>132162.7650982069</v>
      </c>
      <c r="I22" s="15">
        <f t="shared" si="0"/>
        <v>3222973.9857423045</v>
      </c>
      <c r="J22" s="74">
        <f t="shared" si="8"/>
        <v>143971.27963785059</v>
      </c>
      <c r="K22" s="74">
        <f t="shared" si="9"/>
        <v>4366437.8092787061</v>
      </c>
      <c r="L22" s="74">
        <f t="shared" si="1"/>
        <v>4555752.1766006518</v>
      </c>
      <c r="M22" s="74">
        <f t="shared" si="10"/>
        <v>520101.56635106209</v>
      </c>
      <c r="N22" s="76">
        <f t="shared" si="2"/>
        <v>8192.1970905577728</v>
      </c>
      <c r="O22" s="15">
        <f t="shared" si="3"/>
        <v>1232313.5827838224</v>
      </c>
      <c r="P22" s="74">
        <f t="shared" si="11"/>
        <v>55047.842214472279</v>
      </c>
      <c r="Q22" s="74">
        <f t="shared" si="12"/>
        <v>1669520.3388418583</v>
      </c>
      <c r="R22" s="74">
        <f t="shared" si="4"/>
        <v>1741905.2439943671</v>
      </c>
      <c r="S22" s="74">
        <f t="shared" si="13"/>
        <v>198862.36360481786</v>
      </c>
      <c r="T22" s="76">
        <f t="shared" si="5"/>
        <v>3132.3106522720896</v>
      </c>
      <c r="U22" s="15">
        <f t="shared" si="14"/>
        <v>17718210.69679274</v>
      </c>
      <c r="V22" s="6">
        <f t="shared" si="6"/>
        <v>3264565.7480498096</v>
      </c>
      <c r="X22" s="8" t="s">
        <v>495</v>
      </c>
      <c r="Z22" s="84"/>
      <c r="AA22" s="84"/>
      <c r="AB22" s="84"/>
      <c r="AC22" s="84"/>
    </row>
    <row r="23" spans="1:33" x14ac:dyDescent="0.25">
      <c r="A23" s="61">
        <f t="shared" si="7"/>
        <v>213013.77988335828</v>
      </c>
      <c r="B23" s="2">
        <f t="shared" si="15"/>
        <v>2047</v>
      </c>
      <c r="C23" s="196">
        <f>IF(OR($B23&lt;$Y$6,$B23&gt;'Project Data and Assumptions'!$C$8),0,$AC$35*(1+$AA$15)^($B23-2020))</f>
        <v>262874.16500600323</v>
      </c>
      <c r="D23" s="75">
        <f>IF(OR($B23&lt;$Y$6,$B23&gt;'Project Data and Assumptions'!$C$8),0,$AB$34*(1+$AA$15)^($B23-2020))</f>
        <v>64745.829751780635</v>
      </c>
      <c r="E23" s="194">
        <f>IF(OR($B23&lt;$Y$6,$B23&gt;'Project Data and Assumptions'!$C$8),0,$AC$34*(1+$AA$15)^($B23-2020))</f>
        <v>371579.03063941526</v>
      </c>
      <c r="F23" s="196">
        <f>IF($B23&gt;'Project Data and Assumptions'!$C$8,0,$AC$30*(1+$AA$15)^($B23-2020))</f>
        <v>100510.71014935417</v>
      </c>
      <c r="G23" s="75">
        <f>IF($B23&gt;'Project Data and Assumptions'!$C$8,0,$AB$29*(1+$AA$15)^($B23-2020))</f>
        <v>24755.758434504362</v>
      </c>
      <c r="H23" s="194">
        <f>IF($B23&gt;'Project Data and Assumptions'!$C$8,0,$AC$29*(1+$AA$15)^($B23-2020))</f>
        <v>142074.3352444823</v>
      </c>
      <c r="I23" s="15">
        <f t="shared" si="0"/>
        <v>3464681.494779123</v>
      </c>
      <c r="J23" s="74">
        <f t="shared" si="8"/>
        <v>154768.43143865644</v>
      </c>
      <c r="K23" s="74">
        <f t="shared" si="9"/>
        <v>4693899.591754701</v>
      </c>
      <c r="L23" s="74">
        <f t="shared" si="1"/>
        <v>4897411.6238274928</v>
      </c>
      <c r="M23" s="74">
        <f t="shared" si="10"/>
        <v>559106.67610527831</v>
      </c>
      <c r="N23" s="76">
        <f t="shared" si="2"/>
        <v>8806.5723728457979</v>
      </c>
      <c r="O23" s="15">
        <f t="shared" si="3"/>
        <v>1324731.159768488</v>
      </c>
      <c r="P23" s="74">
        <f t="shared" si="11"/>
        <v>59176.16496183924</v>
      </c>
      <c r="Q23" s="74">
        <f t="shared" si="12"/>
        <v>1794726.3144944445</v>
      </c>
      <c r="R23" s="74">
        <f t="shared" si="4"/>
        <v>1872539.7385222767</v>
      </c>
      <c r="S23" s="74">
        <f t="shared" si="13"/>
        <v>213776.08204025347</v>
      </c>
      <c r="T23" s="76">
        <f t="shared" si="5"/>
        <v>3367.2188484410399</v>
      </c>
      <c r="U23" s="15">
        <f t="shared" si="14"/>
        <v>19046991.06891384</v>
      </c>
      <c r="V23" s="6">
        <f t="shared" si="6"/>
        <v>3279806.0174960918</v>
      </c>
      <c r="Z23" s="78" t="s">
        <v>23</v>
      </c>
      <c r="AA23" s="78" t="s">
        <v>336</v>
      </c>
      <c r="AB23" s="78" t="s">
        <v>53</v>
      </c>
      <c r="AC23" s="78" t="s">
        <v>195</v>
      </c>
      <c r="AD23" s="78" t="s">
        <v>354</v>
      </c>
    </row>
    <row r="24" spans="1:33" x14ac:dyDescent="0.25">
      <c r="A24" s="61">
        <f t="shared" si="7"/>
        <v>228988.78630720472</v>
      </c>
      <c r="B24" s="2">
        <f t="shared" si="15"/>
        <v>2048</v>
      </c>
      <c r="C24" s="196">
        <f>IF(OR($B24&lt;$Y$6,$B24&gt;'Project Data and Assumptions'!$C$8),0,$AC$35*(1+$AA$15)^($B24-2020))</f>
        <v>282588.45990717667</v>
      </c>
      <c r="D24" s="75">
        <f>IF(OR($B24&lt;$Y$6,$B24&gt;'Project Data and Assumptions'!$C$8),0,$AB$34*(1+$AA$15)^($B24-2020))</f>
        <v>69601.454804621491</v>
      </c>
      <c r="E24" s="194">
        <f>IF(OR($B24&lt;$Y$6,$B24&gt;'Project Data and Assumptions'!$C$8),0,$AC$34*(1+$AA$15)^($B24-2020))</f>
        <v>399445.66633163055</v>
      </c>
      <c r="F24" s="196">
        <f>IF($B24&gt;'Project Data and Assumptions'!$C$8,0,$AC$30*(1+$AA$15)^($B24-2020))</f>
        <v>108048.52878803814</v>
      </c>
      <c r="G24" s="75">
        <f>IF($B24&gt;'Project Data and Assumptions'!$C$8,0,$AB$29*(1+$AA$15)^($B24-2020))</f>
        <v>26612.320954708219</v>
      </c>
      <c r="H24" s="194">
        <f>IF($B24&gt;'Project Data and Assumptions'!$C$8,0,$AC$29*(1+$AA$15)^($B24-2020))</f>
        <v>152729.22536209403</v>
      </c>
      <c r="I24" s="15">
        <f t="shared" si="0"/>
        <v>3724515.9015765889</v>
      </c>
      <c r="J24" s="74">
        <f t="shared" si="8"/>
        <v>166375.31756496723</v>
      </c>
      <c r="K24" s="74">
        <f t="shared" si="9"/>
        <v>5045919.42902641</v>
      </c>
      <c r="L24" s="74">
        <f t="shared" si="1"/>
        <v>5264693.8822508911</v>
      </c>
      <c r="M24" s="74">
        <f t="shared" si="10"/>
        <v>601036.98102399334</v>
      </c>
      <c r="N24" s="76">
        <f t="shared" si="2"/>
        <v>9467.0228390330831</v>
      </c>
      <c r="O24" s="15">
        <f t="shared" si="3"/>
        <v>1424079.6094263426</v>
      </c>
      <c r="P24" s="74">
        <f t="shared" si="11"/>
        <v>63614.09201013454</v>
      </c>
      <c r="Q24" s="74">
        <f t="shared" si="12"/>
        <v>1929322.134627745</v>
      </c>
      <c r="R24" s="74">
        <f t="shared" si="4"/>
        <v>2012971.1902723995</v>
      </c>
      <c r="S24" s="74">
        <f t="shared" si="13"/>
        <v>229808.25745035036</v>
      </c>
      <c r="T24" s="76">
        <f t="shared" si="5"/>
        <v>3619.7440266891203</v>
      </c>
      <c r="U24" s="15">
        <f t="shared" si="14"/>
        <v>20475423.562095545</v>
      </c>
      <c r="V24" s="6">
        <f t="shared" si="6"/>
        <v>3295117.4344795081</v>
      </c>
      <c r="X24" s="620" t="s">
        <v>125</v>
      </c>
      <c r="Y24" s="620"/>
      <c r="Z24" s="79">
        <f>District!$B$6*District!$B$3*(Y7/'Trail Lengths'!F24)</f>
        <v>95612.44044981162</v>
      </c>
      <c r="AA24" s="79">
        <f>Z24*(SUM(District!$B$27:$B$30)+District!$B$26*5/7)</f>
        <v>81398.777981350257</v>
      </c>
      <c r="AB24" s="79">
        <f>SUM($Z24:$Z25)*District!$C$11</f>
        <v>14187.838817998003</v>
      </c>
      <c r="AC24" s="79">
        <f>Z24-AB24</f>
        <v>81424.601631813624</v>
      </c>
      <c r="AD24" s="235">
        <f>AA24/Z24</f>
        <v>0.85134086734327918</v>
      </c>
    </row>
    <row r="25" spans="1:33" x14ac:dyDescent="0.25">
      <c r="A25" s="61">
        <f t="shared" si="7"/>
        <v>246161.84118773634</v>
      </c>
      <c r="B25" s="2">
        <f t="shared" si="15"/>
        <v>2049</v>
      </c>
      <c r="C25" s="196">
        <f>IF(OR($B25&lt;$Y$6,$B25&gt;'Project Data and Assumptions'!$C$8),0,$AC$35*(1+$AA$15)^($B25-2020))</f>
        <v>303781.23187147861</v>
      </c>
      <c r="D25" s="75">
        <f>IF(OR($B25&lt;$Y$6,$B25&gt;'Project Data and Assumptions'!$C$8),0,$AB$34*(1+$AA$15)^($B25-2020))</f>
        <v>74821.22832453993</v>
      </c>
      <c r="E25" s="194">
        <f>IF(OR($B25&lt;$Y$6,$B25&gt;'Project Data and Assumptions'!$C$8),0,$AC$34*(1+$AA$15)^($B25-2020))</f>
        <v>429402.16533896991</v>
      </c>
      <c r="F25" s="196">
        <f>IF($B25&gt;'Project Data and Assumptions'!$C$8,0,$AC$30*(1+$AA$15)^($B25-2020))</f>
        <v>116151.64748027123</v>
      </c>
      <c r="G25" s="75">
        <f>IF($B25&gt;'Project Data and Assumptions'!$C$8,0,$AB$29*(1+$AA$15)^($B25-2020))</f>
        <v>28608.116712324088</v>
      </c>
      <c r="H25" s="194">
        <f>IF($B25&gt;'Project Data and Assumptions'!$C$8,0,$AC$29*(1+$AA$15)^($B25-2020))</f>
        <v>164183.18086490023</v>
      </c>
      <c r="I25" s="15">
        <f t="shared" si="0"/>
        <v>4003836.6360660885</v>
      </c>
      <c r="J25" s="74">
        <f t="shared" si="8"/>
        <v>178852.66418698028</v>
      </c>
      <c r="K25" s="74">
        <f t="shared" si="9"/>
        <v>5424339.0567943789</v>
      </c>
      <c r="L25" s="74">
        <f t="shared" si="1"/>
        <v>5659520.539167623</v>
      </c>
      <c r="M25" s="74">
        <f t="shared" si="10"/>
        <v>646111.85664042144</v>
      </c>
      <c r="N25" s="76">
        <f t="shared" si="2"/>
        <v>10177.003905755942</v>
      </c>
      <c r="O25" s="15">
        <f t="shared" si="3"/>
        <v>1530878.713789975</v>
      </c>
      <c r="P25" s="74">
        <f t="shared" si="11"/>
        <v>68384.842189139512</v>
      </c>
      <c r="Q25" s="74">
        <f t="shared" si="12"/>
        <v>2074011.9923037332</v>
      </c>
      <c r="R25" s="74">
        <f t="shared" si="4"/>
        <v>2163934.3237993852</v>
      </c>
      <c r="S25" s="74">
        <f t="shared" si="13"/>
        <v>247042.76871545523</v>
      </c>
      <c r="T25" s="76">
        <f t="shared" si="5"/>
        <v>3891.2073757302128</v>
      </c>
      <c r="U25" s="15">
        <f t="shared" si="14"/>
        <v>22010981.60493467</v>
      </c>
      <c r="V25" s="6">
        <f t="shared" si="6"/>
        <v>3310500.3311445867</v>
      </c>
      <c r="X25" s="620" t="s">
        <v>124</v>
      </c>
      <c r="Y25" s="620"/>
      <c r="Z25" s="79">
        <f>District!$B$6*SUM(District!C3)*(Y7/'Trail Lengths'!F24)</f>
        <v>57603.961472413022</v>
      </c>
      <c r="AA25" s="79">
        <f>Z25*(SUM(District!$B$27:$B$30)+District!$B$26*5/7)</f>
        <v>49040.606522332942</v>
      </c>
      <c r="AB25" s="79">
        <v>0</v>
      </c>
      <c r="AC25" s="79">
        <f>Z25-AB25</f>
        <v>57603.961472413022</v>
      </c>
      <c r="AD25" s="235">
        <f>AA25/Z25</f>
        <v>0.85134086734327918</v>
      </c>
      <c r="AG25" s="91" t="s">
        <v>64</v>
      </c>
    </row>
    <row r="26" spans="1:33" x14ac:dyDescent="0.25">
      <c r="A26" s="61">
        <f t="shared" si="7"/>
        <v>264622.79238269321</v>
      </c>
      <c r="B26" s="2">
        <f t="shared" si="15"/>
        <v>2050</v>
      </c>
      <c r="C26" s="196">
        <f>IF(OR($B26&lt;$Y$6,$B26&gt;'Project Data and Assumptions'!$C$8),0,$AC$35*(1+$AA$15)^($B26-2020))</f>
        <v>326563.35955001751</v>
      </c>
      <c r="D26" s="75">
        <f>IF(OR($B26&lt;$Y$6,$B26&gt;'Project Data and Assumptions'!$C$8),0,$AB$34*(1+$AA$15)^($B26-2020))</f>
        <v>80432.459690788208</v>
      </c>
      <c r="E26" s="194">
        <f>IF(OR($B26&lt;$Y$6,$B26&gt;'Project Data and Assumptions'!$C$8),0,$AC$34*(1+$AA$15)^($B26-2020))</f>
        <v>461605.25733358099</v>
      </c>
      <c r="F26" s="196">
        <f>IF($B26&gt;'Project Data and Assumptions'!$C$8,0,$AC$30*(1+$AA$15)^($B26-2020))</f>
        <v>124862.46100441848</v>
      </c>
      <c r="G26" s="75">
        <f>IF($B26&gt;'Project Data and Assumptions'!$C$8,0,$AB$29*(1+$AA$15)^($B26-2020))</f>
        <v>30753.587528830787</v>
      </c>
      <c r="H26" s="194">
        <f>IF($B26&gt;'Project Data and Assumptions'!$C$8,0,$AC$29*(1+$AA$15)^($B26-2020))</f>
        <v>176496.12780401623</v>
      </c>
      <c r="I26" s="15">
        <f t="shared" si="0"/>
        <v>4304105.078869231</v>
      </c>
      <c r="J26" s="74">
        <f t="shared" si="8"/>
        <v>192265.75164486017</v>
      </c>
      <c r="K26" s="74">
        <f t="shared" si="9"/>
        <v>5831138.3320565764</v>
      </c>
      <c r="L26" s="74">
        <f t="shared" si="1"/>
        <v>6083957.2916565975</v>
      </c>
      <c r="M26" s="74">
        <f t="shared" si="10"/>
        <v>694567.13059502654</v>
      </c>
      <c r="N26" s="76">
        <f t="shared" si="2"/>
        <v>10940.230129237754</v>
      </c>
      <c r="O26" s="15">
        <f t="shared" si="3"/>
        <v>1645687.2360382357</v>
      </c>
      <c r="P26" s="74">
        <f t="shared" si="11"/>
        <v>73513.375628917129</v>
      </c>
      <c r="Q26" s="74">
        <f t="shared" si="12"/>
        <v>2229552.8916686908</v>
      </c>
      <c r="R26" s="74">
        <f t="shared" si="4"/>
        <v>2326218.964456934</v>
      </c>
      <c r="S26" s="74">
        <f t="shared" si="13"/>
        <v>265569.78522751015</v>
      </c>
      <c r="T26" s="76">
        <f t="shared" si="5"/>
        <v>4183.0291670614943</v>
      </c>
      <c r="U26" s="15">
        <f t="shared" si="14"/>
        <v>23661699.097138878</v>
      </c>
      <c r="V26" s="6">
        <f t="shared" si="6"/>
        <v>3325955.0411864296</v>
      </c>
      <c r="Z26" s="84"/>
      <c r="AA26" s="84"/>
      <c r="AB26" s="84"/>
      <c r="AC26" s="84"/>
      <c r="AG26" s="91" t="s">
        <v>65</v>
      </c>
    </row>
    <row r="27" spans="1:33" x14ac:dyDescent="0.25">
      <c r="A27" s="61">
        <f t="shared" si="7"/>
        <v>0</v>
      </c>
      <c r="B27" s="2">
        <f t="shared" si="15"/>
        <v>2051</v>
      </c>
      <c r="C27" s="196">
        <f>IF(OR($B27&lt;$Y$6,$B27&gt;'Project Data and Assumptions'!$C$8),0,$AC$35*(1+$AA$15)^($B27-2020))</f>
        <v>0</v>
      </c>
      <c r="D27" s="75">
        <f>IF(OR($B27&lt;$Y$6,$B27&gt;'Project Data and Assumptions'!$C$8),0,$AB$34*(1+$AA$15)^($B27-2020))</f>
        <v>0</v>
      </c>
      <c r="E27" s="194">
        <f>IF(OR($B27&lt;$Y$6,$B27&gt;'Project Data and Assumptions'!$C$8),0,$AC$34*(1+$AA$15)^($B27-2020))</f>
        <v>0</v>
      </c>
      <c r="F27" s="196">
        <f>IF($B27&gt;'Project Data and Assumptions'!$C$8,0,$AC$30*(1+$AA$15)^($B27-2020))</f>
        <v>0</v>
      </c>
      <c r="G27" s="75">
        <f>IF($B27&gt;'Project Data and Assumptions'!$C$8,0,$AB$29*(1+$AA$15)^($B27-2020))</f>
        <v>0</v>
      </c>
      <c r="H27" s="194">
        <f>IF($B27&gt;'Project Data and Assumptions'!$C$8,0,$AC$29*(1+$AA$15)^($B27-2020))</f>
        <v>0</v>
      </c>
      <c r="I27" s="15">
        <f t="shared" si="0"/>
        <v>0</v>
      </c>
      <c r="J27" s="74">
        <f t="shared" ref="J27:J28" si="16">(D27*$AA$40)*$AA$38*$AA$39</f>
        <v>0</v>
      </c>
      <c r="K27" s="74">
        <f t="shared" ref="K27:K28" si="17">C27*$AA$43+SUM(D27:E27)*$AA$44</f>
        <v>0</v>
      </c>
      <c r="L27" s="74">
        <f t="shared" si="1"/>
        <v>0</v>
      </c>
      <c r="M27" s="74">
        <f t="shared" ref="M27:M28" si="18">SUM(D27:E27)*$AA$52</f>
        <v>0</v>
      </c>
      <c r="N27" s="76">
        <f t="shared" si="2"/>
        <v>0</v>
      </c>
      <c r="O27" s="15">
        <f t="shared" si="3"/>
        <v>0</v>
      </c>
      <c r="P27" s="74">
        <f t="shared" ref="P27:P28" si="19">(G27*$AA$40)*$AA$38*$AA$39</f>
        <v>0</v>
      </c>
      <c r="Q27" s="74">
        <f t="shared" ref="Q27:Q28" si="20">F27*$AA$43+SUM(G27:H27)*$AA$44</f>
        <v>0</v>
      </c>
      <c r="R27" s="74">
        <f t="shared" si="4"/>
        <v>0</v>
      </c>
      <c r="S27" s="74">
        <f t="shared" ref="S27:S28" si="21">SUM(G27:H27)*$AA$52</f>
        <v>0</v>
      </c>
      <c r="T27" s="76">
        <f t="shared" si="5"/>
        <v>0</v>
      </c>
      <c r="U27" s="15">
        <f t="shared" ref="U27:U28" si="22">SUM(I27:T27)</f>
        <v>0</v>
      </c>
      <c r="V27" s="6">
        <f t="shared" si="6"/>
        <v>0</v>
      </c>
      <c r="X27" s="8" t="s">
        <v>496</v>
      </c>
      <c r="Z27" s="84"/>
      <c r="AA27" s="84"/>
      <c r="AB27" s="84"/>
      <c r="AC27" s="84"/>
    </row>
    <row r="28" spans="1:33" ht="15.75" thickBot="1" x14ac:dyDescent="0.3">
      <c r="A28" s="61">
        <f t="shared" si="7"/>
        <v>0</v>
      </c>
      <c r="B28" s="3">
        <f t="shared" si="15"/>
        <v>2052</v>
      </c>
      <c r="C28" s="197">
        <f>IF(OR($B28&lt;$Y$6,$B28&gt;'Project Data and Assumptions'!$C$8),0,$AC$35*(1+$AA$15)^($B28-2020))</f>
        <v>0</v>
      </c>
      <c r="D28" s="80">
        <f>IF(OR($B28&lt;$Y$6,$B28&gt;'Project Data and Assumptions'!$C$8),0,$AB$34*(1+$AA$15)^($B28-2020))</f>
        <v>0</v>
      </c>
      <c r="E28" s="195">
        <f>IF(OR($B28&lt;$Y$6,$B28&gt;'Project Data and Assumptions'!$C$8),0,$AC$34*(1+$AA$15)^($B28-2020))</f>
        <v>0</v>
      </c>
      <c r="F28" s="197">
        <f>IF($B28&gt;'Project Data and Assumptions'!$C$8,0,$AC$30*(1+$AA$15)^($B28-2020))</f>
        <v>0</v>
      </c>
      <c r="G28" s="80">
        <f>IF($B28&gt;'Project Data and Assumptions'!$C$8,0,$AB$29*(1+$AA$15)^($B28-2020))</f>
        <v>0</v>
      </c>
      <c r="H28" s="195">
        <f>IF($B28&gt;'Project Data and Assumptions'!$C$8,0,$AC$29*(1+$AA$15)^($B28-2020))</f>
        <v>0</v>
      </c>
      <c r="I28" s="98">
        <f t="shared" si="0"/>
        <v>0</v>
      </c>
      <c r="J28" s="99">
        <f t="shared" si="16"/>
        <v>0</v>
      </c>
      <c r="K28" s="99">
        <f t="shared" si="17"/>
        <v>0</v>
      </c>
      <c r="L28" s="99">
        <f t="shared" si="1"/>
        <v>0</v>
      </c>
      <c r="M28" s="99">
        <f t="shared" si="18"/>
        <v>0</v>
      </c>
      <c r="N28" s="101">
        <f t="shared" si="2"/>
        <v>0</v>
      </c>
      <c r="O28" s="98">
        <f t="shared" si="3"/>
        <v>0</v>
      </c>
      <c r="P28" s="99">
        <f t="shared" si="19"/>
        <v>0</v>
      </c>
      <c r="Q28" s="99">
        <f t="shared" si="20"/>
        <v>0</v>
      </c>
      <c r="R28" s="99">
        <f t="shared" si="4"/>
        <v>0</v>
      </c>
      <c r="S28" s="99">
        <f t="shared" si="21"/>
        <v>0</v>
      </c>
      <c r="T28" s="101">
        <f t="shared" si="5"/>
        <v>0</v>
      </c>
      <c r="U28" s="16">
        <f t="shared" si="22"/>
        <v>0</v>
      </c>
      <c r="V28" s="7">
        <f t="shared" si="6"/>
        <v>0</v>
      </c>
      <c r="Z28" s="78" t="s">
        <v>23</v>
      </c>
      <c r="AA28" s="78" t="s">
        <v>336</v>
      </c>
      <c r="AB28" s="78" t="s">
        <v>53</v>
      </c>
      <c r="AC28" s="78" t="s">
        <v>195</v>
      </c>
      <c r="AD28" s="78" t="s">
        <v>354</v>
      </c>
    </row>
    <row r="29" spans="1:33" ht="15.75" thickBot="1" x14ac:dyDescent="0.3">
      <c r="A29" s="61"/>
      <c r="B29" s="4"/>
      <c r="D29" s="4"/>
      <c r="G29" s="4"/>
      <c r="H29" s="81" t="s">
        <v>2</v>
      </c>
      <c r="I29" s="115">
        <f t="shared" ref="I29:V29" si="23">SUM(I7:I28)</f>
        <v>47170542.282636829</v>
      </c>
      <c r="J29" s="116">
        <f t="shared" si="23"/>
        <v>2107123.2233599415</v>
      </c>
      <c r="K29" s="116">
        <f t="shared" si="23"/>
        <v>63905957.732900418</v>
      </c>
      <c r="L29" s="116">
        <f t="shared" si="23"/>
        <v>66676709.655806109</v>
      </c>
      <c r="M29" s="116">
        <f t="shared" si="23"/>
        <v>7612060.4867922794</v>
      </c>
      <c r="N29" s="117">
        <f t="shared" si="23"/>
        <v>119898.69634608565</v>
      </c>
      <c r="O29" s="115">
        <f t="shared" si="23"/>
        <v>18035795.578655258</v>
      </c>
      <c r="P29" s="116">
        <f t="shared" si="23"/>
        <v>805664.76187291869</v>
      </c>
      <c r="Q29" s="116">
        <f t="shared" si="23"/>
        <v>24434630.897873696</v>
      </c>
      <c r="R29" s="116">
        <f t="shared" si="23"/>
        <v>25494036.044867042</v>
      </c>
      <c r="S29" s="116">
        <f t="shared" si="23"/>
        <v>2910493.7155382242</v>
      </c>
      <c r="T29" s="117">
        <f t="shared" si="23"/>
        <v>45843.619191150392</v>
      </c>
      <c r="U29" s="118">
        <f t="shared" si="23"/>
        <v>259318756.69584</v>
      </c>
      <c r="V29" s="119">
        <f t="shared" si="23"/>
        <v>63662980.176016867</v>
      </c>
      <c r="X29" s="620" t="s">
        <v>125</v>
      </c>
      <c r="Y29" s="620"/>
      <c r="Z29" s="79">
        <f>$Y$8/$Y$7*Z24</f>
        <v>23675.46144471526</v>
      </c>
      <c r="AA29" s="737">
        <f>Z29*(SUM(District!$B$27:$B$30)+District!$B$26*5/7)</f>
        <v>20155.887881096256</v>
      </c>
      <c r="AB29" s="737">
        <f>SUM($Z29:$Z30)*District!$C$11</f>
        <v>3513.1791358852197</v>
      </c>
      <c r="AC29" s="79">
        <f>Z29-AB29</f>
        <v>20162.282308830039</v>
      </c>
      <c r="AD29" s="235">
        <f>IFERROR(AA29/Z29,0)</f>
        <v>0.85134086734327918</v>
      </c>
    </row>
    <row r="30" spans="1:33" x14ac:dyDescent="0.25">
      <c r="A30" s="61"/>
      <c r="B30" s="4"/>
      <c r="D30" s="4"/>
      <c r="F30" s="81"/>
      <c r="G30" s="4"/>
      <c r="H30" s="4"/>
      <c r="I30" s="82"/>
      <c r="J30" s="82"/>
      <c r="K30" s="82"/>
      <c r="L30" s="82"/>
      <c r="M30" s="82"/>
      <c r="N30" s="82"/>
      <c r="O30" s="82"/>
      <c r="P30" s="82"/>
      <c r="Q30" s="82"/>
      <c r="R30" s="82"/>
      <c r="S30" s="82"/>
      <c r="T30" s="82"/>
      <c r="U30" s="82"/>
      <c r="V30" s="82"/>
      <c r="X30" s="620" t="s">
        <v>124</v>
      </c>
      <c r="Y30" s="620"/>
      <c r="Z30" s="79">
        <f>$Y$8/$Y$7*Z25</f>
        <v>14263.838078883226</v>
      </c>
      <c r="AA30" s="737">
        <f>Z30*(SUM(District!$B$27:$B$30)+District!$B$26*5/7)</f>
        <v>12143.388281720538</v>
      </c>
      <c r="AB30" s="738">
        <v>0</v>
      </c>
      <c r="AC30" s="79">
        <f>Z30-AB30</f>
        <v>14263.838078883226</v>
      </c>
      <c r="AD30" s="235">
        <f>IFERROR(AA30/Z30,0)</f>
        <v>0.85134086734327918</v>
      </c>
    </row>
    <row r="31" spans="1:33" ht="15" customHeight="1" x14ac:dyDescent="0.25">
      <c r="A31" s="61"/>
      <c r="D31" s="83"/>
      <c r="Z31" s="84"/>
      <c r="AA31" s="84"/>
      <c r="AB31" s="84"/>
      <c r="AC31" s="84"/>
    </row>
    <row r="32" spans="1:33" ht="15" customHeight="1" x14ac:dyDescent="0.25">
      <c r="D32" s="83"/>
      <c r="X32" s="8" t="s">
        <v>497</v>
      </c>
      <c r="Z32" s="84"/>
      <c r="AA32" s="84"/>
      <c r="AB32" s="84"/>
      <c r="AC32" s="84"/>
    </row>
    <row r="33" spans="1:33" ht="15" customHeight="1" x14ac:dyDescent="0.25">
      <c r="B33" s="8" t="s">
        <v>3</v>
      </c>
      <c r="H33" s="8"/>
      <c r="Z33" s="78" t="s">
        <v>23</v>
      </c>
      <c r="AA33" s="78" t="s">
        <v>336</v>
      </c>
      <c r="AB33" s="78" t="s">
        <v>53</v>
      </c>
      <c r="AC33" s="78" t="s">
        <v>195</v>
      </c>
      <c r="AD33" s="78" t="s">
        <v>354</v>
      </c>
    </row>
    <row r="34" spans="1:33" ht="17.25" customHeight="1" x14ac:dyDescent="0.25">
      <c r="A34" s="9" t="s">
        <v>18</v>
      </c>
      <c r="B34" s="398" t="s">
        <v>522</v>
      </c>
      <c r="C34" s="42"/>
      <c r="D34" s="42"/>
      <c r="E34" s="24"/>
      <c r="F34" s="24"/>
      <c r="G34" s="24"/>
      <c r="H34" s="24"/>
      <c r="I34" s="24"/>
      <c r="J34" s="24"/>
      <c r="K34" s="24"/>
      <c r="L34" s="24"/>
      <c r="M34" s="24"/>
      <c r="N34" s="24"/>
      <c r="O34" s="24"/>
      <c r="P34" s="24"/>
      <c r="Q34" s="24"/>
      <c r="R34" s="24"/>
      <c r="S34" s="24"/>
      <c r="T34" s="24"/>
      <c r="U34" s="24"/>
      <c r="V34" s="24"/>
      <c r="X34" s="620" t="s">
        <v>125</v>
      </c>
      <c r="Y34" s="620"/>
      <c r="Z34" s="79">
        <f>$Y$9/$Y$7*Z24</f>
        <v>61920.437624639912</v>
      </c>
      <c r="AA34" s="737">
        <f>Z34*(SUM(District!$B$27:$B$30)+District!$B$26*5/7)</f>
        <v>52715.399073636363</v>
      </c>
      <c r="AB34" s="737">
        <f>SUM($Z34:$Z35)*District!$C$11</f>
        <v>9188.3146630844203</v>
      </c>
      <c r="AC34" s="79">
        <f>Z34-AB34</f>
        <v>52732.122961555491</v>
      </c>
      <c r="AD34" s="190">
        <f>IFERROR(AA34/Z34,0)</f>
        <v>0.85134086734327918</v>
      </c>
    </row>
    <row r="35" spans="1:33" ht="17.25" customHeight="1" x14ac:dyDescent="0.25">
      <c r="B35" s="398"/>
      <c r="C35" s="42"/>
      <c r="D35" s="42"/>
      <c r="E35" s="24"/>
      <c r="F35" s="24"/>
      <c r="G35" s="24"/>
      <c r="H35" s="24"/>
      <c r="I35" s="24"/>
      <c r="J35" s="47"/>
      <c r="K35" s="47"/>
      <c r="L35" s="24"/>
      <c r="M35" s="24"/>
      <c r="N35" s="24"/>
      <c r="O35" s="24"/>
      <c r="P35" s="47"/>
      <c r="Q35" s="47"/>
      <c r="R35" s="24"/>
      <c r="S35" s="24"/>
      <c r="T35" s="24"/>
      <c r="U35" s="24"/>
      <c r="V35" s="24"/>
      <c r="X35" s="620" t="s">
        <v>124</v>
      </c>
      <c r="Y35" s="620"/>
      <c r="Z35" s="79">
        <f>$Y$9/$Y$7*Z25</f>
        <v>37305.422667848434</v>
      </c>
      <c r="AA35" s="737">
        <f>Z35*(SUM(District!$B$27:$B$30)+District!$B$26*5/7)</f>
        <v>31759.630890653712</v>
      </c>
      <c r="AB35" s="738">
        <v>0</v>
      </c>
      <c r="AC35" s="79">
        <f>Z35-AB35</f>
        <v>37305.422667848434</v>
      </c>
      <c r="AD35" s="190">
        <f>IFERROR(AA35/Z35,0)</f>
        <v>0.85134086734327918</v>
      </c>
    </row>
    <row r="36" spans="1:33" ht="17.25" customHeight="1" x14ac:dyDescent="0.25">
      <c r="A36" s="9" t="s">
        <v>17</v>
      </c>
      <c r="B36" s="624" t="s">
        <v>695</v>
      </c>
      <c r="C36" s="624"/>
      <c r="D36" s="624"/>
      <c r="E36" s="624"/>
      <c r="F36" s="624"/>
      <c r="G36" s="624"/>
      <c r="H36" s="624"/>
      <c r="I36" s="624"/>
      <c r="J36" s="624"/>
      <c r="K36" s="624"/>
      <c r="L36" s="624"/>
      <c r="M36" s="624"/>
      <c r="N36" s="624"/>
      <c r="O36" s="624"/>
      <c r="P36" s="624"/>
      <c r="Q36" s="624"/>
      <c r="R36" s="624"/>
      <c r="S36" s="624"/>
      <c r="T36" s="24"/>
      <c r="U36" s="24"/>
      <c r="V36" s="24"/>
      <c r="Z36" s="84"/>
      <c r="AA36" s="84"/>
      <c r="AB36" s="84"/>
      <c r="AC36" s="84"/>
    </row>
    <row r="37" spans="1:33" ht="15" customHeight="1" x14ac:dyDescent="0.25">
      <c r="B37" s="624"/>
      <c r="C37" s="624"/>
      <c r="D37" s="624"/>
      <c r="E37" s="624"/>
      <c r="F37" s="624"/>
      <c r="G37" s="624"/>
      <c r="H37" s="624"/>
      <c r="I37" s="624"/>
      <c r="J37" s="624"/>
      <c r="K37" s="624"/>
      <c r="L37" s="624"/>
      <c r="M37" s="624"/>
      <c r="N37" s="624"/>
      <c r="O37" s="624"/>
      <c r="P37" s="624"/>
      <c r="Q37" s="624"/>
      <c r="R37" s="624"/>
      <c r="S37" s="624"/>
      <c r="T37" s="24"/>
      <c r="U37" s="24"/>
      <c r="V37" s="24"/>
      <c r="X37" s="8" t="s">
        <v>498</v>
      </c>
      <c r="Z37" s="84"/>
      <c r="AA37" s="84"/>
      <c r="AB37" s="84"/>
      <c r="AC37" s="84"/>
    </row>
    <row r="38" spans="1:33" ht="17.25" customHeight="1" x14ac:dyDescent="0.25">
      <c r="B38" s="624"/>
      <c r="C38" s="624"/>
      <c r="D38" s="624"/>
      <c r="E38" s="624"/>
      <c r="F38" s="624"/>
      <c r="G38" s="624"/>
      <c r="H38" s="624"/>
      <c r="I38" s="624"/>
      <c r="J38" s="624"/>
      <c r="K38" s="624"/>
      <c r="L38" s="624"/>
      <c r="M38" s="624"/>
      <c r="N38" s="624"/>
      <c r="O38" s="624"/>
      <c r="P38" s="624"/>
      <c r="Q38" s="624"/>
      <c r="R38" s="624"/>
      <c r="S38" s="624"/>
      <c r="T38" s="189"/>
      <c r="U38" s="189"/>
      <c r="V38" s="189"/>
      <c r="X38" s="620" t="s">
        <v>510</v>
      </c>
      <c r="Y38" s="620"/>
      <c r="Z38" s="620"/>
      <c r="AA38" s="85">
        <v>21.6</v>
      </c>
    </row>
    <row r="39" spans="1:33" ht="15" customHeight="1" x14ac:dyDescent="0.25">
      <c r="B39" s="733"/>
      <c r="C39" s="733"/>
      <c r="D39" s="733"/>
      <c r="E39" s="733"/>
      <c r="F39" s="733"/>
      <c r="G39" s="733"/>
      <c r="H39" s="733"/>
      <c r="I39" s="733"/>
      <c r="J39" s="733"/>
      <c r="K39" s="733"/>
      <c r="L39" s="733"/>
      <c r="M39" s="733"/>
      <c r="N39" s="733"/>
      <c r="O39" s="733"/>
      <c r="P39" s="733"/>
      <c r="Q39" s="733"/>
      <c r="R39" s="733"/>
      <c r="S39" s="733"/>
      <c r="X39" s="621" t="s">
        <v>511</v>
      </c>
      <c r="Y39" s="621"/>
      <c r="Z39" s="621"/>
      <c r="AA39" s="109">
        <f>16.6/60</f>
        <v>0.27666666666666667</v>
      </c>
      <c r="AB39" s="127"/>
    </row>
    <row r="40" spans="1:33" ht="15" customHeight="1" x14ac:dyDescent="0.25">
      <c r="A40" s="9" t="s">
        <v>19</v>
      </c>
      <c r="B40" s="734" t="s">
        <v>693</v>
      </c>
      <c r="C40" s="735"/>
      <c r="D40" s="735"/>
      <c r="E40" s="735"/>
      <c r="F40" s="735"/>
      <c r="G40" s="735"/>
      <c r="H40" s="735"/>
      <c r="I40" s="735"/>
      <c r="J40" s="735"/>
      <c r="K40" s="735"/>
      <c r="L40" s="735"/>
      <c r="M40" s="735"/>
      <c r="N40" s="735"/>
      <c r="O40" s="735"/>
      <c r="P40" s="735"/>
      <c r="Q40" s="735"/>
      <c r="R40" s="735"/>
      <c r="S40" s="735"/>
      <c r="X40" s="621" t="s">
        <v>512</v>
      </c>
      <c r="Y40" s="621"/>
      <c r="Z40" s="621"/>
      <c r="AA40" s="94">
        <v>0.4</v>
      </c>
    </row>
    <row r="41" spans="1:33" ht="17.25" customHeight="1" x14ac:dyDescent="0.25">
      <c r="C41" s="24"/>
      <c r="D41" s="24"/>
      <c r="E41" s="24"/>
      <c r="F41" s="24"/>
      <c r="G41" s="24"/>
      <c r="H41" s="24"/>
      <c r="I41" s="24"/>
      <c r="J41" s="24"/>
      <c r="K41" s="24"/>
      <c r="L41" s="24"/>
      <c r="M41" s="24"/>
      <c r="N41" s="24"/>
      <c r="O41" s="24"/>
      <c r="P41" s="24"/>
      <c r="Q41" s="24"/>
      <c r="R41" s="24"/>
      <c r="S41" s="24"/>
      <c r="AG41" s="95" t="s">
        <v>66</v>
      </c>
    </row>
    <row r="42" spans="1:33" ht="27" customHeight="1" x14ac:dyDescent="0.25">
      <c r="A42" s="9" t="s">
        <v>20</v>
      </c>
      <c r="B42" s="624" t="s">
        <v>694</v>
      </c>
      <c r="C42" s="624"/>
      <c r="D42" s="624"/>
      <c r="E42" s="624"/>
      <c r="F42" s="624"/>
      <c r="G42" s="624"/>
      <c r="H42" s="624"/>
      <c r="I42" s="624"/>
      <c r="J42" s="624"/>
      <c r="K42" s="624"/>
      <c r="L42" s="624"/>
      <c r="M42" s="624"/>
      <c r="N42" s="624"/>
      <c r="O42" s="624"/>
      <c r="P42" s="624"/>
      <c r="Q42" s="624"/>
      <c r="R42" s="624"/>
      <c r="S42" s="624"/>
      <c r="T42" s="24"/>
      <c r="U42" s="24"/>
      <c r="V42" s="24"/>
      <c r="W42" s="24"/>
      <c r="X42" s="8" t="s">
        <v>513</v>
      </c>
      <c r="AG42" s="95" t="s">
        <v>66</v>
      </c>
    </row>
    <row r="43" spans="1:33" ht="15" customHeight="1" x14ac:dyDescent="0.25">
      <c r="B43" s="624"/>
      <c r="C43" s="624"/>
      <c r="D43" s="624"/>
      <c r="E43" s="624"/>
      <c r="F43" s="624"/>
      <c r="G43" s="624"/>
      <c r="H43" s="624"/>
      <c r="I43" s="624"/>
      <c r="J43" s="624"/>
      <c r="K43" s="624"/>
      <c r="L43" s="624"/>
      <c r="M43" s="624"/>
      <c r="N43" s="624"/>
      <c r="O43" s="624"/>
      <c r="P43" s="624"/>
      <c r="Q43" s="624"/>
      <c r="R43" s="624"/>
      <c r="S43" s="624"/>
      <c r="T43" s="24"/>
      <c r="U43" s="24"/>
      <c r="V43" s="24"/>
      <c r="W43" s="24"/>
      <c r="X43" s="198" t="s">
        <v>122</v>
      </c>
      <c r="Y43" s="199"/>
      <c r="Z43" s="199"/>
      <c r="AA43" s="139">
        <v>7.2</v>
      </c>
      <c r="AG43" s="95" t="s">
        <v>55</v>
      </c>
    </row>
    <row r="44" spans="1:33" ht="15" customHeight="1" x14ac:dyDescent="0.25">
      <c r="J44"/>
      <c r="K44"/>
      <c r="P44"/>
      <c r="Q44"/>
      <c r="T44" s="24"/>
      <c r="U44" s="24"/>
      <c r="V44" s="24"/>
      <c r="W44" s="24"/>
      <c r="X44" s="198" t="s">
        <v>123</v>
      </c>
      <c r="Y44" s="199"/>
      <c r="Z44" s="199"/>
      <c r="AA44" s="443">
        <v>6.42</v>
      </c>
      <c r="AC44" s="93"/>
      <c r="AG44" s="95" t="s">
        <v>67</v>
      </c>
    </row>
    <row r="45" spans="1:33" ht="17.25" customHeight="1" x14ac:dyDescent="0.25">
      <c r="A45" s="9" t="s">
        <v>57</v>
      </c>
      <c r="B45" s="624" t="s">
        <v>523</v>
      </c>
      <c r="C45" s="624"/>
      <c r="D45" s="624"/>
      <c r="E45" s="624"/>
      <c r="F45" s="624"/>
      <c r="G45" s="624"/>
      <c r="H45" s="624"/>
      <c r="I45" s="624"/>
      <c r="J45" s="624"/>
      <c r="K45" s="624"/>
      <c r="L45" s="624"/>
      <c r="M45" s="624"/>
      <c r="N45" s="624"/>
      <c r="O45" s="624"/>
      <c r="P45" s="624"/>
      <c r="Q45" s="624"/>
      <c r="R45" s="624"/>
      <c r="S45" s="624"/>
      <c r="T45" s="24"/>
      <c r="U45" s="24"/>
      <c r="V45" s="24"/>
      <c r="W45" s="24"/>
      <c r="AG45" s="95" t="s">
        <v>68</v>
      </c>
    </row>
    <row r="46" spans="1:33" ht="15" customHeight="1" x14ac:dyDescent="0.25">
      <c r="B46" s="624"/>
      <c r="C46" s="624"/>
      <c r="D46" s="624"/>
      <c r="E46" s="624"/>
      <c r="F46" s="624"/>
      <c r="G46" s="624"/>
      <c r="H46" s="624"/>
      <c r="I46" s="624"/>
      <c r="J46" s="624"/>
      <c r="K46" s="624"/>
      <c r="L46" s="624"/>
      <c r="M46" s="624"/>
      <c r="N46" s="624"/>
      <c r="O46" s="624"/>
      <c r="P46" s="624"/>
      <c r="Q46" s="624"/>
      <c r="R46" s="624"/>
      <c r="S46" s="624"/>
      <c r="T46" s="24"/>
      <c r="U46" s="24"/>
      <c r="V46" s="24"/>
      <c r="W46" s="24"/>
      <c r="X46" s="8" t="s">
        <v>514</v>
      </c>
      <c r="AG46" s="125"/>
    </row>
    <row r="47" spans="1:33" ht="15" customHeight="1" x14ac:dyDescent="0.25">
      <c r="B47" s="398"/>
      <c r="C47" s="42"/>
      <c r="D47" s="42"/>
      <c r="E47" s="24"/>
      <c r="F47" s="24"/>
      <c r="G47" s="24"/>
      <c r="H47" s="24"/>
      <c r="I47" s="24"/>
      <c r="J47" s="24"/>
      <c r="K47" s="24"/>
      <c r="L47" s="24"/>
      <c r="M47" s="24"/>
      <c r="N47" s="24"/>
      <c r="O47" s="24"/>
      <c r="P47" s="24"/>
      <c r="Q47" s="24"/>
      <c r="R47" s="24"/>
      <c r="S47" s="24"/>
      <c r="T47" s="24"/>
      <c r="U47" s="24"/>
      <c r="V47" s="24"/>
      <c r="W47" s="24"/>
      <c r="X47" s="621" t="s">
        <v>360</v>
      </c>
      <c r="Y47" s="621"/>
      <c r="Z47" s="621"/>
      <c r="AA47" s="86">
        <v>10</v>
      </c>
      <c r="AG47" s="125"/>
    </row>
    <row r="48" spans="1:33" ht="16.5" customHeight="1" x14ac:dyDescent="0.25">
      <c r="A48" s="9" t="s">
        <v>521</v>
      </c>
      <c r="B48" s="624" t="s">
        <v>519</v>
      </c>
      <c r="C48" s="624"/>
      <c r="D48" s="624"/>
      <c r="E48" s="624"/>
      <c r="F48" s="624"/>
      <c r="G48" s="624"/>
      <c r="H48" s="624"/>
      <c r="I48" s="624"/>
      <c r="J48" s="624"/>
      <c r="K48" s="624"/>
      <c r="L48" s="624"/>
      <c r="M48" s="624"/>
      <c r="N48" s="624"/>
      <c r="O48" s="624"/>
      <c r="P48" s="624"/>
      <c r="Q48" s="624"/>
      <c r="R48" s="624"/>
      <c r="S48" s="624"/>
      <c r="W48" s="24"/>
      <c r="X48" s="621" t="s">
        <v>58</v>
      </c>
      <c r="Y48" s="621"/>
      <c r="Z48" s="621"/>
      <c r="AA48" s="87">
        <f>365-90</f>
        <v>275</v>
      </c>
      <c r="AG48" s="95" t="s">
        <v>69</v>
      </c>
    </row>
    <row r="49" spans="1:39" ht="34.5" customHeight="1" x14ac:dyDescent="0.25">
      <c r="B49" s="624"/>
      <c r="C49" s="624"/>
      <c r="D49" s="624"/>
      <c r="E49" s="624"/>
      <c r="F49" s="624"/>
      <c r="G49" s="624"/>
      <c r="H49" s="624"/>
      <c r="I49" s="624"/>
      <c r="J49" s="624"/>
      <c r="K49" s="624"/>
      <c r="L49" s="624"/>
      <c r="M49" s="624"/>
      <c r="N49" s="624"/>
      <c r="O49" s="624"/>
      <c r="P49" s="624"/>
      <c r="Q49" s="624"/>
      <c r="R49" s="624"/>
      <c r="S49" s="624"/>
      <c r="W49" s="24"/>
      <c r="X49" s="125"/>
      <c r="Y49" s="125"/>
      <c r="Z49" s="125"/>
      <c r="AA49" s="61"/>
    </row>
    <row r="50" spans="1:39" x14ac:dyDescent="0.25">
      <c r="B50" s="624"/>
      <c r="C50" s="624"/>
      <c r="D50" s="624"/>
      <c r="E50" s="624"/>
      <c r="F50" s="624"/>
      <c r="G50" s="624"/>
      <c r="H50" s="624"/>
      <c r="I50" s="624"/>
      <c r="J50" s="624"/>
      <c r="K50" s="624"/>
      <c r="L50" s="624"/>
      <c r="M50" s="624"/>
      <c r="N50" s="624"/>
      <c r="O50" s="624"/>
      <c r="P50" s="624"/>
      <c r="Q50" s="624"/>
      <c r="R50" s="624"/>
      <c r="S50" s="624"/>
      <c r="W50" s="24"/>
      <c r="X50" s="8" t="s">
        <v>515</v>
      </c>
    </row>
    <row r="51" spans="1:39" ht="18" customHeight="1" x14ac:dyDescent="0.25">
      <c r="B51" s="624"/>
      <c r="C51" s="624"/>
      <c r="D51" s="624"/>
      <c r="E51" s="624"/>
      <c r="F51" s="624"/>
      <c r="G51" s="624"/>
      <c r="H51" s="624"/>
      <c r="I51" s="624"/>
      <c r="J51" s="624"/>
      <c r="K51" s="624"/>
      <c r="L51" s="624"/>
      <c r="M51" s="624"/>
      <c r="N51" s="624"/>
      <c r="O51" s="624"/>
      <c r="P51" s="624"/>
      <c r="Q51" s="624"/>
      <c r="R51" s="624"/>
      <c r="S51" s="624"/>
      <c r="T51" s="24"/>
      <c r="U51" s="24"/>
      <c r="V51" s="24"/>
      <c r="W51" s="24"/>
      <c r="X51" s="621" t="s">
        <v>116</v>
      </c>
      <c r="Y51" s="621"/>
      <c r="Z51" s="621"/>
      <c r="AA51" s="137">
        <v>1.49</v>
      </c>
      <c r="AG51" s="95" t="s">
        <v>70</v>
      </c>
    </row>
    <row r="52" spans="1:39" x14ac:dyDescent="0.25">
      <c r="B52" s="398"/>
      <c r="C52" s="42"/>
      <c r="D52" s="42"/>
      <c r="E52" s="24"/>
      <c r="F52" s="24"/>
      <c r="G52" s="24"/>
      <c r="H52" s="24"/>
      <c r="I52" s="24"/>
      <c r="J52" s="24"/>
      <c r="K52" s="24"/>
      <c r="L52" s="24"/>
      <c r="M52" s="24"/>
      <c r="N52" s="24"/>
      <c r="O52" s="24"/>
      <c r="P52" s="24"/>
      <c r="Q52" s="24"/>
      <c r="R52" s="24"/>
      <c r="S52" s="24"/>
      <c r="T52" s="24"/>
      <c r="U52" s="24"/>
      <c r="V52" s="24"/>
      <c r="W52" s="24"/>
      <c r="X52" s="212" t="s">
        <v>362</v>
      </c>
      <c r="Y52" s="212"/>
      <c r="Z52" s="212"/>
      <c r="AA52" s="137">
        <f>$AA$51*$AC$19</f>
        <v>1.2813999999999999</v>
      </c>
      <c r="AG52" s="91" t="s">
        <v>71</v>
      </c>
    </row>
    <row r="53" spans="1:39" ht="15" customHeight="1" x14ac:dyDescent="0.25">
      <c r="A53" s="9" t="s">
        <v>524</v>
      </c>
      <c r="B53" s="624" t="s">
        <v>520</v>
      </c>
      <c r="C53" s="624"/>
      <c r="D53" s="624"/>
      <c r="E53" s="624"/>
      <c r="F53" s="624"/>
      <c r="G53" s="624"/>
      <c r="H53" s="624"/>
      <c r="I53" s="624"/>
      <c r="J53" s="624"/>
      <c r="K53" s="624"/>
      <c r="L53" s="624"/>
      <c r="M53" s="624"/>
      <c r="N53" s="624"/>
      <c r="O53" s="624"/>
      <c r="P53" s="624"/>
      <c r="Q53" s="624"/>
      <c r="R53" s="624"/>
      <c r="S53" s="624"/>
      <c r="W53" s="24"/>
      <c r="X53" s="212" t="s">
        <v>361</v>
      </c>
      <c r="Y53" s="212"/>
      <c r="Z53" s="212"/>
      <c r="AA53" s="137">
        <f>$AA$51*$AC$18</f>
        <v>1.9370000000000001</v>
      </c>
    </row>
    <row r="54" spans="1:39" x14ac:dyDescent="0.25">
      <c r="B54" s="624"/>
      <c r="C54" s="624"/>
      <c r="D54" s="624"/>
      <c r="E54" s="624"/>
      <c r="F54" s="624"/>
      <c r="G54" s="624"/>
      <c r="H54" s="624"/>
      <c r="I54" s="624"/>
      <c r="J54" s="624"/>
      <c r="K54" s="624"/>
      <c r="L54" s="624"/>
      <c r="M54" s="624"/>
      <c r="N54" s="624"/>
      <c r="O54" s="624"/>
      <c r="P54" s="624"/>
      <c r="Q54" s="624"/>
      <c r="R54" s="624"/>
      <c r="S54" s="624"/>
      <c r="W54" s="24"/>
      <c r="AH54" s="97"/>
      <c r="AI54" s="97"/>
      <c r="AJ54" s="97"/>
      <c r="AK54" s="97"/>
    </row>
    <row r="55" spans="1:39" x14ac:dyDescent="0.25">
      <c r="B55" s="624"/>
      <c r="C55" s="624"/>
      <c r="D55" s="624"/>
      <c r="E55" s="624"/>
      <c r="F55" s="624"/>
      <c r="G55" s="624"/>
      <c r="H55" s="624"/>
      <c r="I55" s="624"/>
      <c r="J55" s="624"/>
      <c r="K55" s="624"/>
      <c r="L55" s="624"/>
      <c r="M55" s="624"/>
      <c r="N55" s="624"/>
      <c r="O55" s="624"/>
      <c r="P55" s="624"/>
      <c r="Q55" s="624"/>
      <c r="R55" s="624"/>
      <c r="S55" s="624"/>
      <c r="W55" s="24"/>
      <c r="X55" s="8" t="s">
        <v>516</v>
      </c>
      <c r="AG55" s="628" t="s">
        <v>72</v>
      </c>
      <c r="AH55" s="628"/>
      <c r="AI55" s="628"/>
      <c r="AJ55" s="628"/>
      <c r="AK55" s="628"/>
      <c r="AL55" s="628"/>
      <c r="AM55" s="628"/>
    </row>
    <row r="56" spans="1:39" x14ac:dyDescent="0.25">
      <c r="W56" s="24"/>
      <c r="X56" s="620" t="s">
        <v>59</v>
      </c>
      <c r="Y56" s="620"/>
      <c r="Z56" s="88">
        <v>0.12</v>
      </c>
      <c r="AG56" s="628"/>
      <c r="AH56" s="628"/>
      <c r="AI56" s="628"/>
      <c r="AJ56" s="628"/>
      <c r="AK56" s="628"/>
      <c r="AL56" s="628"/>
      <c r="AM56" s="628"/>
    </row>
    <row r="57" spans="1:39" ht="15" customHeight="1" x14ac:dyDescent="0.25">
      <c r="W57" s="24"/>
      <c r="X57" s="629"/>
      <c r="Y57" s="629"/>
    </row>
    <row r="58" spans="1:39" x14ac:dyDescent="0.25">
      <c r="W58" s="24"/>
      <c r="X58" s="89" t="s">
        <v>517</v>
      </c>
    </row>
    <row r="59" spans="1:39" x14ac:dyDescent="0.25">
      <c r="W59" s="24"/>
      <c r="X59" s="622" t="s">
        <v>75</v>
      </c>
      <c r="Y59" s="623"/>
      <c r="Z59" s="401">
        <v>1.5229999999999999</v>
      </c>
    </row>
    <row r="60" spans="1:39" x14ac:dyDescent="0.25">
      <c r="W60" s="24"/>
      <c r="X60" s="622" t="s">
        <v>533</v>
      </c>
      <c r="Y60" s="623"/>
      <c r="Z60" s="401">
        <v>1.3180000000000001</v>
      </c>
    </row>
    <row r="61" spans="1:39" x14ac:dyDescent="0.25">
      <c r="W61" s="24"/>
      <c r="Z61" s="39"/>
    </row>
    <row r="62" spans="1:39" x14ac:dyDescent="0.25">
      <c r="W62" s="24"/>
      <c r="X62" s="89" t="s">
        <v>499</v>
      </c>
    </row>
    <row r="63" spans="1:39" x14ac:dyDescent="0.25">
      <c r="X63" s="621" t="s">
        <v>60</v>
      </c>
      <c r="Y63" s="621"/>
      <c r="Z63" s="96">
        <v>0</v>
      </c>
    </row>
    <row r="64" spans="1:39" x14ac:dyDescent="0.25">
      <c r="X64" s="621" t="s">
        <v>61</v>
      </c>
      <c r="Y64" s="621"/>
      <c r="Z64" s="96">
        <v>0.75</v>
      </c>
      <c r="AG64" s="91" t="s">
        <v>62</v>
      </c>
    </row>
  </sheetData>
  <mergeCells count="56">
    <mergeCell ref="B36:S38"/>
    <mergeCell ref="B42:S43"/>
    <mergeCell ref="AG55:AM56"/>
    <mergeCell ref="X51:Z51"/>
    <mergeCell ref="X56:Y56"/>
    <mergeCell ref="X40:Z40"/>
    <mergeCell ref="X47:Z47"/>
    <mergeCell ref="X48:Z48"/>
    <mergeCell ref="B53:S55"/>
    <mergeCell ref="B45:S46"/>
    <mergeCell ref="B48:S51"/>
    <mergeCell ref="X57:Y57"/>
    <mergeCell ref="X59:Y59"/>
    <mergeCell ref="X60:Y60"/>
    <mergeCell ref="X63:Y63"/>
    <mergeCell ref="X64:Y64"/>
    <mergeCell ref="X19:AA19"/>
    <mergeCell ref="X39:Z39"/>
    <mergeCell ref="X24:Y24"/>
    <mergeCell ref="X25:Y25"/>
    <mergeCell ref="X29:Y29"/>
    <mergeCell ref="X30:Y30"/>
    <mergeCell ref="X34:Y34"/>
    <mergeCell ref="X35:Y35"/>
    <mergeCell ref="X38:Z38"/>
    <mergeCell ref="V5:V6"/>
    <mergeCell ref="X15:Z15"/>
    <mergeCell ref="X16:Z16"/>
    <mergeCell ref="X17:Z17"/>
    <mergeCell ref="X18:AA18"/>
    <mergeCell ref="Z3:Z6"/>
    <mergeCell ref="P5:P6"/>
    <mergeCell ref="Q5:Q6"/>
    <mergeCell ref="S5:S6"/>
    <mergeCell ref="T5:T6"/>
    <mergeCell ref="U5:U6"/>
    <mergeCell ref="C4:E4"/>
    <mergeCell ref="F4:H4"/>
    <mergeCell ref="I4:N4"/>
    <mergeCell ref="O4:T4"/>
    <mergeCell ref="U4:V4"/>
    <mergeCell ref="B5:B6"/>
    <mergeCell ref="C5:C6"/>
    <mergeCell ref="D5:D6"/>
    <mergeCell ref="E5:E6"/>
    <mergeCell ref="F5:F6"/>
    <mergeCell ref="R5:R6"/>
    <mergeCell ref="G5:G6"/>
    <mergeCell ref="H5:H6"/>
    <mergeCell ref="I5:I6"/>
    <mergeCell ref="J5:J6"/>
    <mergeCell ref="K5:K6"/>
    <mergeCell ref="L5:L6"/>
    <mergeCell ref="M5:M6"/>
    <mergeCell ref="N5:N6"/>
    <mergeCell ref="O5:O6"/>
  </mergeCells>
  <pageMargins left="0.7" right="0.7" top="0.75" bottom="0.75" header="0.3" footer="0.3"/>
  <pageSetup scale="27" orientation="portrait" horizontalDpi="300" verticalDpi="1200" r:id="rId1"/>
  <colBreaks count="2" manualBreakCount="2">
    <brk id="22" max="65" man="1"/>
    <brk id="32" max="65"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6AE40-BFCB-48A0-B665-4D590C843525}">
  <sheetPr>
    <tabColor rgb="FF00B050"/>
  </sheetPr>
  <dimension ref="A1:AW64"/>
  <sheetViews>
    <sheetView view="pageBreakPreview" topLeftCell="P1" zoomScale="85" zoomScaleNormal="100" zoomScaleSheetLayoutView="85" workbookViewId="0">
      <selection activeCell="X15" sqref="X15:Z15"/>
    </sheetView>
  </sheetViews>
  <sheetFormatPr defaultRowHeight="15" x14ac:dyDescent="0.25"/>
  <cols>
    <col min="1" max="1" width="9.140625" style="9"/>
    <col min="2" max="2" width="10.140625" customWidth="1"/>
    <col min="3" max="5" width="11.42578125" customWidth="1"/>
    <col min="6" max="6" width="12.5703125" customWidth="1"/>
    <col min="7" max="8" width="11.42578125" customWidth="1"/>
    <col min="9" max="9" width="12.5703125" customWidth="1"/>
    <col min="10" max="10" width="13.7109375" style="23" bestFit="1" customWidth="1"/>
    <col min="11" max="11" width="11.42578125" style="23" customWidth="1"/>
    <col min="12" max="13" width="12.5703125" customWidth="1"/>
    <col min="14" max="14" width="15.28515625" customWidth="1"/>
    <col min="15" max="15" width="12.5703125" customWidth="1"/>
    <col min="16" max="16" width="13.7109375" style="23" bestFit="1" customWidth="1"/>
    <col min="17" max="17" width="11.42578125" style="23" customWidth="1"/>
    <col min="18" max="19" width="12.5703125" customWidth="1"/>
    <col min="20" max="20" width="15.28515625" customWidth="1"/>
    <col min="21" max="21" width="14" customWidth="1"/>
    <col min="22" max="22" width="24.85546875" customWidth="1"/>
    <col min="24" max="24" width="36.7109375" customWidth="1"/>
    <col min="25" max="25" width="12" customWidth="1"/>
    <col min="26" max="26" width="12.140625" customWidth="1"/>
    <col min="27" max="27" width="12.5703125" customWidth="1"/>
    <col min="28" max="29" width="16.5703125" customWidth="1"/>
    <col min="30" max="30" width="16" customWidth="1"/>
    <col min="31" max="31" width="18.140625" customWidth="1"/>
    <col min="32" max="32" width="17.7109375" customWidth="1"/>
    <col min="47" max="47" width="76.140625" customWidth="1"/>
  </cols>
  <sheetData>
    <row r="1" spans="1:49" ht="16.5" customHeight="1" x14ac:dyDescent="0.25"/>
    <row r="2" spans="1:49" ht="16.5" customHeight="1" x14ac:dyDescent="0.25">
      <c r="B2" s="8" t="s">
        <v>74</v>
      </c>
    </row>
    <row r="3" spans="1:49" ht="15.75" thickBot="1" x14ac:dyDescent="0.3">
      <c r="H3" s="8"/>
      <c r="J3" s="23" t="s">
        <v>348</v>
      </c>
      <c r="K3" s="23" t="s">
        <v>349</v>
      </c>
      <c r="L3" t="s">
        <v>115</v>
      </c>
      <c r="M3" t="s">
        <v>350</v>
      </c>
      <c r="N3" t="s">
        <v>348</v>
      </c>
      <c r="P3" s="23" t="s">
        <v>348</v>
      </c>
      <c r="Q3" s="23" t="s">
        <v>349</v>
      </c>
      <c r="R3" t="s">
        <v>115</v>
      </c>
      <c r="S3" t="s">
        <v>350</v>
      </c>
      <c r="T3" t="s">
        <v>348</v>
      </c>
      <c r="X3" s="402" t="s">
        <v>494</v>
      </c>
      <c r="Y3" s="9" t="s">
        <v>342</v>
      </c>
      <c r="Z3" s="653" t="s">
        <v>657</v>
      </c>
    </row>
    <row r="4" spans="1:49" ht="15.75" thickBot="1" x14ac:dyDescent="0.3">
      <c r="C4" s="625" t="s">
        <v>355</v>
      </c>
      <c r="D4" s="626"/>
      <c r="E4" s="627"/>
      <c r="F4" s="625" t="s">
        <v>356</v>
      </c>
      <c r="G4" s="626"/>
      <c r="H4" s="627"/>
      <c r="I4" s="645" t="s">
        <v>365</v>
      </c>
      <c r="J4" s="646"/>
      <c r="K4" s="646"/>
      <c r="L4" s="646"/>
      <c r="M4" s="646"/>
      <c r="N4" s="646"/>
      <c r="O4" s="645" t="s">
        <v>375</v>
      </c>
      <c r="P4" s="646"/>
      <c r="Q4" s="646"/>
      <c r="R4" s="646"/>
      <c r="S4" s="646"/>
      <c r="T4" s="646"/>
      <c r="U4" s="651" t="s">
        <v>2</v>
      </c>
      <c r="V4" s="652"/>
      <c r="X4" s="96" t="s">
        <v>52</v>
      </c>
      <c r="Y4" s="25">
        <f>'Project Data and Assumptions'!C3</f>
        <v>2021</v>
      </c>
      <c r="Z4" s="654"/>
      <c r="AU4" s="8" t="s">
        <v>98</v>
      </c>
    </row>
    <row r="5" spans="1:49" ht="18" customHeight="1" x14ac:dyDescent="0.25">
      <c r="B5" s="639" t="s">
        <v>0</v>
      </c>
      <c r="C5" s="637" t="s">
        <v>353</v>
      </c>
      <c r="D5" s="643" t="s">
        <v>352</v>
      </c>
      <c r="E5" s="641" t="s">
        <v>351</v>
      </c>
      <c r="F5" s="637" t="s">
        <v>46</v>
      </c>
      <c r="G5" s="643" t="s">
        <v>47</v>
      </c>
      <c r="H5" s="641" t="s">
        <v>48</v>
      </c>
      <c r="I5" s="647" t="s">
        <v>347</v>
      </c>
      <c r="J5" s="633" t="s">
        <v>49</v>
      </c>
      <c r="K5" s="633" t="s">
        <v>50</v>
      </c>
      <c r="L5" s="633" t="s">
        <v>115</v>
      </c>
      <c r="M5" s="633" t="s">
        <v>346</v>
      </c>
      <c r="N5" s="635" t="s">
        <v>51</v>
      </c>
      <c r="O5" s="647" t="s">
        <v>347</v>
      </c>
      <c r="P5" s="633" t="s">
        <v>49</v>
      </c>
      <c r="Q5" s="633" t="s">
        <v>50</v>
      </c>
      <c r="R5" s="633" t="s">
        <v>115</v>
      </c>
      <c r="S5" s="633" t="s">
        <v>346</v>
      </c>
      <c r="T5" s="635" t="s">
        <v>51</v>
      </c>
      <c r="U5" s="637" t="s">
        <v>76</v>
      </c>
      <c r="V5" s="649" t="s">
        <v>1</v>
      </c>
      <c r="X5" s="96" t="s">
        <v>411</v>
      </c>
      <c r="Y5" s="25">
        <f>IFERROR((_xlfn.XLOOKUP($Z$3,'Trail Project Summary'!$B$3:$B$25,'Trail Project Summary'!$L$3:$L$25)),0)</f>
        <v>2031</v>
      </c>
      <c r="Z5" s="655"/>
      <c r="AU5" t="s">
        <v>102</v>
      </c>
      <c r="AV5" s="92">
        <v>0.05</v>
      </c>
      <c r="AW5" t="s">
        <v>117</v>
      </c>
    </row>
    <row r="6" spans="1:49" ht="18.75" customHeight="1" thickBot="1" x14ac:dyDescent="0.3">
      <c r="B6" s="640"/>
      <c r="C6" s="638"/>
      <c r="D6" s="644"/>
      <c r="E6" s="642"/>
      <c r="F6" s="638"/>
      <c r="G6" s="644"/>
      <c r="H6" s="642"/>
      <c r="I6" s="648"/>
      <c r="J6" s="634"/>
      <c r="K6" s="634"/>
      <c r="L6" s="634"/>
      <c r="M6" s="634"/>
      <c r="N6" s="636"/>
      <c r="O6" s="648"/>
      <c r="P6" s="634"/>
      <c r="Q6" s="634"/>
      <c r="R6" s="634"/>
      <c r="S6" s="634"/>
      <c r="T6" s="636"/>
      <c r="U6" s="638"/>
      <c r="V6" s="650"/>
      <c r="X6" s="96" t="s">
        <v>412</v>
      </c>
      <c r="Y6" s="25">
        <f>'Original Build Years'!D10+30</f>
        <v>2031</v>
      </c>
      <c r="AU6" t="s">
        <v>99</v>
      </c>
      <c r="AW6" t="s">
        <v>118</v>
      </c>
    </row>
    <row r="7" spans="1:49" ht="18.75" customHeight="1" x14ac:dyDescent="0.25">
      <c r="A7" s="61">
        <f>(G7+D7)*2.38</f>
        <v>52723.872789589164</v>
      </c>
      <c r="B7" s="213">
        <f>$Y$5</f>
        <v>2031</v>
      </c>
      <c r="C7" s="192">
        <f>IF(OR($B7&lt;$Y$6,$B7&gt;'Project Data and Assumptions'!$C$8),0,$AC$35*(1+$AA$15)^($B7-2020))</f>
        <v>0</v>
      </c>
      <c r="D7" s="191">
        <f>IF(OR($B7&lt;$Y$6,$B7&gt;'Project Data and Assumptions'!$C$8),0,$AB$34*(1+$AA$15)^($B7-2020))</f>
        <v>0</v>
      </c>
      <c r="E7" s="193">
        <f>IF(OR($B7&lt;$Y$6,$B7&gt;'Project Data and Assumptions'!$C$8),0,$AC$34*(1+$AA$15)^($B7-2020))</f>
        <v>0</v>
      </c>
      <c r="F7" s="192">
        <f>IF($B7&gt;'Project Data and Assumptions'!$C$8,0,$AC$30*(1+$AA$15)^($B7-2020))</f>
        <v>89942.809999629535</v>
      </c>
      <c r="G7" s="191">
        <f>IF($B7&gt;'Project Data and Assumptions'!$C$8,0,$AB$29*(1+$AA$15)^($B7-2020))</f>
        <v>22152.887726718138</v>
      </c>
      <c r="H7" s="193">
        <f>IF($B7&gt;'Project Data and Assumptions'!$C$8,0,$AC$29*(1+$AA$15)^($B7-2020))</f>
        <v>127136.35115829743</v>
      </c>
      <c r="I7" s="71">
        <f t="shared" ref="I7:I28" si="0">C7*$AA$47*$Z$60</f>
        <v>0</v>
      </c>
      <c r="J7" s="73">
        <f>(D7*$AA$40)*$AA$38*$AA$39</f>
        <v>0</v>
      </c>
      <c r="K7" s="73">
        <f>C7*$AA$43+SUM(D7:E7)*$AA$44</f>
        <v>0</v>
      </c>
      <c r="L7" s="73">
        <f t="shared" ref="L7:L28" si="1">E7*$AA$47*$Z$60</f>
        <v>0</v>
      </c>
      <c r="M7" s="73">
        <f>SUM(D7:E7)*$AA$52</f>
        <v>0</v>
      </c>
      <c r="N7" s="100">
        <f t="shared" ref="N7:N28" si="2">D7*$AC$19*$Z$56*$Z$60</f>
        <v>0</v>
      </c>
      <c r="O7" s="71">
        <f t="shared" ref="O7:O28" si="3">F7*$AA$47*$Z$60</f>
        <v>1185446.2357951172</v>
      </c>
      <c r="P7" s="73">
        <f>(G7*$AA$40)*$AA$38*$AA$39</f>
        <v>52954.26282194705</v>
      </c>
      <c r="Q7" s="73">
        <f>F7*$AA$43+SUM(G7:H7)*$AA$44</f>
        <v>1606025.1456391327</v>
      </c>
      <c r="R7" s="73">
        <f t="shared" ref="R7:R28" si="4">H7*$AA$47*$Z$60</f>
        <v>1675657.1082663604</v>
      </c>
      <c r="S7" s="73">
        <f>SUM(G7:H7)*$AA$52</f>
        <v>191299.23070725892</v>
      </c>
      <c r="T7" s="100">
        <f t="shared" ref="T7:T28" si="5">G7*$AC$19*$Z$56*$Z$60</f>
        <v>3013.1826216576569</v>
      </c>
      <c r="U7" s="71">
        <f>SUM(I7:T7)</f>
        <v>4714395.1658514738</v>
      </c>
      <c r="V7" s="108">
        <f t="shared" ref="V7:V28" si="6">$U7*(1+0.07)^-($B7-$Y$4)</f>
        <v>2396559.4454039321</v>
      </c>
      <c r="X7" s="96" t="s">
        <v>338</v>
      </c>
      <c r="Y7" s="260">
        <v>1.1000000000000001</v>
      </c>
      <c r="AU7" t="s">
        <v>100</v>
      </c>
      <c r="AW7" t="s">
        <v>119</v>
      </c>
    </row>
    <row r="8" spans="1:49" x14ac:dyDescent="0.25">
      <c r="A8" s="61">
        <f t="shared" ref="A8:A28" si="7">(G8+D8)*2.38</f>
        <v>56677.909035342629</v>
      </c>
      <c r="B8" s="2">
        <f>B7+1</f>
        <v>2032</v>
      </c>
      <c r="C8" s="196">
        <f>IF(OR($B8&lt;$Y$6,$B8&gt;'Project Data and Assumptions'!$C$8),0,$AC$35*(1+$AA$15)^($B8-2020))</f>
        <v>0</v>
      </c>
      <c r="D8" s="75">
        <f>IF(OR($B8&lt;$Y$6,$B8&gt;'Project Data and Assumptions'!$C$8),0,$AB$34*(1+$AA$15)^($B8-2020))</f>
        <v>0</v>
      </c>
      <c r="E8" s="194">
        <f>IF(OR($B8&lt;$Y$6,$B8&gt;'Project Data and Assumptions'!$C$8),0,$AC$34*(1+$AA$15)^($B8-2020))</f>
        <v>0</v>
      </c>
      <c r="F8" s="196">
        <f>IF($B8&gt;'Project Data and Assumptions'!$C$8,0,$AC$30*(1+$AA$15)^($B8-2020))</f>
        <v>96688.087081279664</v>
      </c>
      <c r="G8" s="75">
        <f>IF($B8&gt;'Project Data and Assumptions'!$C$8,0,$AB$29*(1+$AA$15)^($B8-2020))</f>
        <v>23814.247493841442</v>
      </c>
      <c r="H8" s="194">
        <f>IF($B8&gt;'Project Data and Assumptions'!$C$8,0,$AC$29*(1+$AA$15)^($B8-2020))</f>
        <v>136670.96449444091</v>
      </c>
      <c r="I8" s="15">
        <f>C8*$AA$47*$Z$60</f>
        <v>0</v>
      </c>
      <c r="J8" s="74">
        <f t="shared" ref="J8:J28" si="8">(D8*$AA$40)*$AA$38*$AA$39</f>
        <v>0</v>
      </c>
      <c r="K8" s="74">
        <f t="shared" ref="K8:K28" si="9">C8*$AA$43+SUM(D8:E8)*$AA$44</f>
        <v>0</v>
      </c>
      <c r="L8" s="74">
        <f t="shared" si="1"/>
        <v>0</v>
      </c>
      <c r="M8" s="74">
        <f t="shared" ref="M8:M28" si="10">SUM(D8:E8)*$AA$52</f>
        <v>0</v>
      </c>
      <c r="N8" s="76">
        <f t="shared" si="2"/>
        <v>0</v>
      </c>
      <c r="O8" s="15">
        <f t="shared" si="3"/>
        <v>1274348.9877312661</v>
      </c>
      <c r="P8" s="74">
        <f t="shared" ref="P8:P28" si="11">(G8*$AA$40)*$AA$38*$AA$39</f>
        <v>56925.577209278592</v>
      </c>
      <c r="Q8" s="74">
        <f t="shared" ref="Q8:Q28" si="12">F8*$AA$43+SUM(G8:H8)*$AA$44</f>
        <v>1726469.2879499863</v>
      </c>
      <c r="R8" s="74">
        <f t="shared" si="4"/>
        <v>1801323.3120367313</v>
      </c>
      <c r="S8" s="74">
        <f t="shared" ref="S8:S28" si="13">SUM(G8:H8)*$AA$52</f>
        <v>205645.75064178501</v>
      </c>
      <c r="T8" s="76">
        <f t="shared" si="5"/>
        <v>3239.1567899183274</v>
      </c>
      <c r="U8" s="15">
        <f t="shared" ref="U8:U28" si="14">SUM(I8:T8)</f>
        <v>5067952.0723589659</v>
      </c>
      <c r="V8" s="6">
        <f t="shared" si="6"/>
        <v>2407747.5220152861</v>
      </c>
      <c r="X8" s="96" t="s">
        <v>339</v>
      </c>
      <c r="Y8" s="180">
        <f>IFERROR(_xlfn.XLOOKUP($Z$3,'Trail Project Summary'!$B$3:$B$25,'Trail Project Summary'!$C$3:$C$25),0)</f>
        <v>3.7</v>
      </c>
      <c r="AU8" t="s">
        <v>101</v>
      </c>
      <c r="AW8" t="s">
        <v>121</v>
      </c>
    </row>
    <row r="9" spans="1:49" x14ac:dyDescent="0.25">
      <c r="A9" s="61">
        <f t="shared" si="7"/>
        <v>60928.478934743398</v>
      </c>
      <c r="B9" s="2">
        <f t="shared" ref="B9:B28" si="15">B8+1</f>
        <v>2033</v>
      </c>
      <c r="C9" s="196">
        <f>IF(OR($B9&lt;$Y$6,$B9&gt;'Project Data and Assumptions'!$C$8),0,$AC$35*(1+$AA$15)^($B9-2020))</f>
        <v>0</v>
      </c>
      <c r="D9" s="75">
        <f>IF(OR($B9&lt;$Y$6,$B9&gt;'Project Data and Assumptions'!$C$8),0,$AB$34*(1+$AA$15)^($B9-2020))</f>
        <v>0</v>
      </c>
      <c r="E9" s="194">
        <f>IF(OR($B9&lt;$Y$6,$B9&gt;'Project Data and Assumptions'!$C$8),0,$AC$34*(1+$AA$15)^($B9-2020))</f>
        <v>0</v>
      </c>
      <c r="F9" s="196">
        <f>IF($B9&gt;'Project Data and Assumptions'!$C$8,0,$AC$30*(1+$AA$15)^($B9-2020))</f>
        <v>103939.22742102039</v>
      </c>
      <c r="G9" s="75">
        <f>IF($B9&gt;'Project Data and Assumptions'!$C$8,0,$AB$29*(1+$AA$15)^($B9-2020))</f>
        <v>25600.201233085463</v>
      </c>
      <c r="H9" s="194">
        <f>IF($B9&gt;'Project Data and Assumptions'!$C$8,0,$AC$29*(1+$AA$15)^($B9-2020))</f>
        <v>146920.62785869613</v>
      </c>
      <c r="I9" s="15">
        <f t="shared" si="0"/>
        <v>0</v>
      </c>
      <c r="J9" s="74">
        <f t="shared" si="8"/>
        <v>0</v>
      </c>
      <c r="K9" s="74">
        <f t="shared" si="9"/>
        <v>0</v>
      </c>
      <c r="L9" s="74">
        <f t="shared" si="1"/>
        <v>0</v>
      </c>
      <c r="M9" s="74">
        <f t="shared" si="10"/>
        <v>0</v>
      </c>
      <c r="N9" s="76">
        <f t="shared" si="2"/>
        <v>0</v>
      </c>
      <c r="O9" s="15">
        <f t="shared" si="3"/>
        <v>1369919.0174090487</v>
      </c>
      <c r="P9" s="74">
        <f t="shared" si="11"/>
        <v>61194.721027567495</v>
      </c>
      <c r="Q9" s="74">
        <f t="shared" si="12"/>
        <v>1855946.1602005844</v>
      </c>
      <c r="R9" s="74">
        <f t="shared" si="4"/>
        <v>1936413.8751776151</v>
      </c>
      <c r="S9" s="74">
        <f t="shared" si="13"/>
        <v>221068.19039820888</v>
      </c>
      <c r="T9" s="76">
        <f t="shared" si="5"/>
        <v>3482.0779312413247</v>
      </c>
      <c r="U9" s="15">
        <f t="shared" si="14"/>
        <v>5448024.042144266</v>
      </c>
      <c r="V9" s="6">
        <f t="shared" si="6"/>
        <v>2418987.8289431059</v>
      </c>
      <c r="X9" s="96" t="s">
        <v>341</v>
      </c>
      <c r="Y9" s="180">
        <f>IFERROR(_xlfn.XLOOKUP($Z$3,'Trail Project Summary'!$B$3:$B$25,'Trail Project Summary'!$D$3:$D$25),0)</f>
        <v>0</v>
      </c>
      <c r="AU9" t="s">
        <v>108</v>
      </c>
      <c r="AW9" t="s">
        <v>120</v>
      </c>
    </row>
    <row r="10" spans="1:49" x14ac:dyDescent="0.25">
      <c r="A10" s="61">
        <f t="shared" si="7"/>
        <v>65497.821082048111</v>
      </c>
      <c r="B10" s="2">
        <f t="shared" si="15"/>
        <v>2034</v>
      </c>
      <c r="C10" s="196">
        <f>IF(OR($B10&lt;$Y$6,$B10&gt;'Project Data and Assumptions'!$C$8),0,$AC$35*(1+$AA$15)^($B10-2020))</f>
        <v>0</v>
      </c>
      <c r="D10" s="75">
        <f>IF(OR($B10&lt;$Y$6,$B10&gt;'Project Data and Assumptions'!$C$8),0,$AB$34*(1+$AA$15)^($B10-2020))</f>
        <v>0</v>
      </c>
      <c r="E10" s="194">
        <f>IF(OR($B10&lt;$Y$6,$B10&gt;'Project Data and Assumptions'!$C$8),0,$AC$34*(1+$AA$15)^($B10-2020))</f>
        <v>0</v>
      </c>
      <c r="F10" s="196">
        <f>IF($B10&gt;'Project Data and Assumptions'!$C$8,0,$AC$30*(1+$AA$15)^($B10-2020))</f>
        <v>111734.16832413779</v>
      </c>
      <c r="G10" s="75">
        <f>IF($B10&gt;'Project Data and Assumptions'!$C$8,0,$AB$29*(1+$AA$15)^($B10-2020))</f>
        <v>27520.092891616856</v>
      </c>
      <c r="H10" s="194">
        <f>IF($B10&gt;'Project Data and Assumptions'!$C$8,0,$AC$29*(1+$AA$15)^($B10-2020))</f>
        <v>157938.96655548571</v>
      </c>
      <c r="I10" s="15">
        <f t="shared" si="0"/>
        <v>0</v>
      </c>
      <c r="J10" s="74">
        <f t="shared" si="8"/>
        <v>0</v>
      </c>
      <c r="K10" s="74">
        <f t="shared" si="9"/>
        <v>0</v>
      </c>
      <c r="L10" s="74">
        <f t="shared" si="1"/>
        <v>0</v>
      </c>
      <c r="M10" s="74">
        <f t="shared" si="10"/>
        <v>0</v>
      </c>
      <c r="N10" s="76">
        <f t="shared" si="2"/>
        <v>0</v>
      </c>
      <c r="O10" s="15">
        <f t="shared" si="3"/>
        <v>1472656.3385121361</v>
      </c>
      <c r="P10" s="74">
        <f t="shared" si="11"/>
        <v>65784.030048120942</v>
      </c>
      <c r="Q10" s="74">
        <f t="shared" si="12"/>
        <v>1995133.1735841907</v>
      </c>
      <c r="R10" s="74">
        <f t="shared" si="4"/>
        <v>2081635.5792013018</v>
      </c>
      <c r="S10" s="74">
        <f t="shared" si="13"/>
        <v>237647.23877551721</v>
      </c>
      <c r="T10" s="76">
        <f t="shared" si="5"/>
        <v>3743.2169868947854</v>
      </c>
      <c r="U10" s="15">
        <f t="shared" si="14"/>
        <v>5856599.5771081606</v>
      </c>
      <c r="V10" s="6">
        <f t="shared" si="6"/>
        <v>2430280.6100189304</v>
      </c>
      <c r="X10" s="96" t="s">
        <v>340</v>
      </c>
      <c r="Y10" s="180">
        <v>1.1000000000000001</v>
      </c>
    </row>
    <row r="11" spans="1:49" x14ac:dyDescent="0.25">
      <c r="A11" s="61">
        <f t="shared" si="7"/>
        <v>70409.841858857078</v>
      </c>
      <c r="B11" s="2">
        <f t="shared" si="15"/>
        <v>2035</v>
      </c>
      <c r="C11" s="196">
        <f>IF(OR($B11&lt;$Y$6,$B11&gt;'Project Data and Assumptions'!$C$8),0,$AC$35*(1+$AA$15)^($B11-2020))</f>
        <v>0</v>
      </c>
      <c r="D11" s="75">
        <f>IF(OR($B11&lt;$Y$6,$B11&gt;'Project Data and Assumptions'!$C$8),0,$AB$34*(1+$AA$15)^($B11-2020))</f>
        <v>0</v>
      </c>
      <c r="E11" s="194">
        <f>IF(OR($B11&lt;$Y$6,$B11&gt;'Project Data and Assumptions'!$C$8),0,$AC$34*(1+$AA$15)^($B11-2020))</f>
        <v>0</v>
      </c>
      <c r="F11" s="196">
        <f>IF($B11&gt;'Project Data and Assumptions'!$C$8,0,$AC$30*(1+$AA$15)^($B11-2020))</f>
        <v>120113.69221089596</v>
      </c>
      <c r="G11" s="75">
        <f>IF($B11&gt;'Project Data and Assumptions'!$C$8,0,$AB$29*(1+$AA$15)^($B11-2020))</f>
        <v>29583.967167587009</v>
      </c>
      <c r="H11" s="194">
        <f>IF($B11&gt;'Project Data and Assumptions'!$C$8,0,$AC$29*(1+$AA$15)^($B11-2020))</f>
        <v>169783.62752850418</v>
      </c>
      <c r="I11" s="15">
        <f t="shared" si="0"/>
        <v>0</v>
      </c>
      <c r="J11" s="74">
        <f t="shared" si="8"/>
        <v>0</v>
      </c>
      <c r="K11" s="74">
        <f t="shared" si="9"/>
        <v>0</v>
      </c>
      <c r="L11" s="74">
        <f t="shared" si="1"/>
        <v>0</v>
      </c>
      <c r="M11" s="74">
        <f t="shared" si="10"/>
        <v>0</v>
      </c>
      <c r="N11" s="76">
        <f t="shared" si="2"/>
        <v>0</v>
      </c>
      <c r="O11" s="15">
        <f t="shared" si="3"/>
        <v>1583098.4633396089</v>
      </c>
      <c r="P11" s="74">
        <f t="shared" si="11"/>
        <v>70717.515117399991</v>
      </c>
      <c r="Q11" s="74">
        <f t="shared" si="12"/>
        <v>2144758.5418673563</v>
      </c>
      <c r="R11" s="74">
        <f t="shared" si="4"/>
        <v>2237748.2108256854</v>
      </c>
      <c r="S11" s="74">
        <f t="shared" si="13"/>
        <v>255469.63584357125</v>
      </c>
      <c r="T11" s="76">
        <f t="shared" si="5"/>
        <v>4023.9402126139826</v>
      </c>
      <c r="U11" s="15">
        <f t="shared" si="14"/>
        <v>6295816.3072062358</v>
      </c>
      <c r="V11" s="6">
        <f t="shared" si="6"/>
        <v>2441626.110212605</v>
      </c>
      <c r="Y11" s="39"/>
    </row>
    <row r="12" spans="1:49" x14ac:dyDescent="0.25">
      <c r="A12" s="61">
        <f t="shared" si="7"/>
        <v>75690.24051012352</v>
      </c>
      <c r="B12" s="2">
        <f t="shared" si="15"/>
        <v>2036</v>
      </c>
      <c r="C12" s="196">
        <f>IF(OR($B12&lt;$Y$6,$B12&gt;'Project Data and Assumptions'!$C$8),0,$AC$35*(1+$AA$15)^($B12-2020))</f>
        <v>0</v>
      </c>
      <c r="D12" s="75">
        <f>IF(OR($B12&lt;$Y$6,$B12&gt;'Project Data and Assumptions'!$C$8),0,$AB$34*(1+$AA$15)^($B12-2020))</f>
        <v>0</v>
      </c>
      <c r="E12" s="194">
        <f>IF(OR($B12&lt;$Y$6,$B12&gt;'Project Data and Assumptions'!$C$8),0,$AC$34*(1+$AA$15)^($B12-2020))</f>
        <v>0</v>
      </c>
      <c r="F12" s="196">
        <f>IF($B12&gt;'Project Data and Assumptions'!$C$8,0,$AC$30*(1+$AA$15)^($B12-2020))</f>
        <v>129121.6399864421</v>
      </c>
      <c r="G12" s="75">
        <f>IF($B12&gt;'Project Data and Assumptions'!$C$8,0,$AB$29*(1+$AA$15)^($B12-2020))</f>
        <v>31802.622063077113</v>
      </c>
      <c r="H12" s="194">
        <f>IF($B12&gt;'Project Data and Assumptions'!$C$8,0,$AC$29*(1+$AA$15)^($B12-2020))</f>
        <v>182516.58096427249</v>
      </c>
      <c r="I12" s="15">
        <f t="shared" si="0"/>
        <v>0</v>
      </c>
      <c r="J12" s="74">
        <f t="shared" si="8"/>
        <v>0</v>
      </c>
      <c r="K12" s="74">
        <f t="shared" si="9"/>
        <v>0</v>
      </c>
      <c r="L12" s="74">
        <f t="shared" si="1"/>
        <v>0</v>
      </c>
      <c r="M12" s="74">
        <f t="shared" si="10"/>
        <v>0</v>
      </c>
      <c r="N12" s="76">
        <f t="shared" si="2"/>
        <v>0</v>
      </c>
      <c r="O12" s="15">
        <f t="shared" si="3"/>
        <v>1701823.2150213069</v>
      </c>
      <c r="P12" s="74">
        <f t="shared" si="11"/>
        <v>76020.987779579547</v>
      </c>
      <c r="Q12" s="74">
        <f t="shared" si="12"/>
        <v>2305605.0913379677</v>
      </c>
      <c r="R12" s="74">
        <f t="shared" si="4"/>
        <v>2405568.5371091114</v>
      </c>
      <c r="S12" s="74">
        <f t="shared" si="13"/>
        <v>274628.62675924576</v>
      </c>
      <c r="T12" s="76">
        <f t="shared" si="5"/>
        <v>4325.7163267267979</v>
      </c>
      <c r="U12" s="15">
        <f t="shared" si="14"/>
        <v>6767972.1743339384</v>
      </c>
      <c r="V12" s="6">
        <f t="shared" si="6"/>
        <v>2453024.5756375822</v>
      </c>
    </row>
    <row r="13" spans="1:49" x14ac:dyDescent="0.25">
      <c r="A13" s="61">
        <f t="shared" si="7"/>
        <v>81366.643600260766</v>
      </c>
      <c r="B13" s="2">
        <f t="shared" si="15"/>
        <v>2037</v>
      </c>
      <c r="C13" s="196">
        <f>IF(OR($B13&lt;$Y$6,$B13&gt;'Project Data and Assumptions'!$C$8),0,$AC$35*(1+$AA$15)^($B13-2020))</f>
        <v>0</v>
      </c>
      <c r="D13" s="75">
        <f>IF(OR($B13&lt;$Y$6,$B13&gt;'Project Data and Assumptions'!$C$8),0,$AB$34*(1+$AA$15)^($B13-2020))</f>
        <v>0</v>
      </c>
      <c r="E13" s="194">
        <f>IF(OR($B13&lt;$Y$6,$B13&gt;'Project Data and Assumptions'!$C$8),0,$AC$34*(1+$AA$15)^($B13-2020))</f>
        <v>0</v>
      </c>
      <c r="F13" s="196">
        <f>IF($B13&gt;'Project Data and Assumptions'!$C$8,0,$AC$30*(1+$AA$15)^($B13-2020))</f>
        <v>138805.14041242629</v>
      </c>
      <c r="G13" s="75">
        <f>IF($B13&gt;'Project Data and Assumptions'!$C$8,0,$AB$29*(1+$AA$15)^($B13-2020))</f>
        <v>34187.665378260826</v>
      </c>
      <c r="H13" s="194">
        <f>IF($B13&gt;'Project Data and Assumptions'!$C$8,0,$AC$29*(1+$AA$15)^($B13-2020))</f>
        <v>196204.44451450536</v>
      </c>
      <c r="I13" s="15">
        <f t="shared" si="0"/>
        <v>0</v>
      </c>
      <c r="J13" s="74">
        <f t="shared" si="8"/>
        <v>0</v>
      </c>
      <c r="K13" s="74">
        <f t="shared" si="9"/>
        <v>0</v>
      </c>
      <c r="L13" s="74">
        <f t="shared" si="1"/>
        <v>0</v>
      </c>
      <c r="M13" s="74">
        <f t="shared" si="10"/>
        <v>0</v>
      </c>
      <c r="N13" s="76">
        <f t="shared" si="2"/>
        <v>0</v>
      </c>
      <c r="O13" s="15">
        <f t="shared" si="3"/>
        <v>1829451.7506357788</v>
      </c>
      <c r="P13" s="74">
        <f t="shared" si="11"/>
        <v>81722.195320194689</v>
      </c>
      <c r="Q13" s="74">
        <f t="shared" si="12"/>
        <v>2478514.3564810283</v>
      </c>
      <c r="R13" s="74">
        <f t="shared" si="4"/>
        <v>2585974.5787011809</v>
      </c>
      <c r="S13" s="74">
        <f t="shared" si="13"/>
        <v>295224.44961659057</v>
      </c>
      <c r="T13" s="76">
        <f t="shared" si="5"/>
        <v>4650.1241943541299</v>
      </c>
      <c r="U13" s="15">
        <f t="shared" si="14"/>
        <v>7275537.4549491275</v>
      </c>
      <c r="V13" s="6">
        <f t="shared" si="6"/>
        <v>2464476.2535562762</v>
      </c>
      <c r="AU13" t="s">
        <v>357</v>
      </c>
      <c r="AV13" t="s">
        <v>371</v>
      </c>
    </row>
    <row r="14" spans="1:49" x14ac:dyDescent="0.25">
      <c r="A14" s="61">
        <f t="shared" si="7"/>
        <v>87468.74955280876</v>
      </c>
      <c r="B14" s="2">
        <f t="shared" si="15"/>
        <v>2038</v>
      </c>
      <c r="C14" s="196">
        <f>IF(OR($B14&lt;$Y$6,$B14&gt;'Project Data and Assumptions'!$C$8),0,$AC$35*(1+$AA$15)^($B14-2020))</f>
        <v>0</v>
      </c>
      <c r="D14" s="75">
        <f>IF(OR($B14&lt;$Y$6,$B14&gt;'Project Data and Assumptions'!$C$8),0,$AB$34*(1+$AA$15)^($B14-2020))</f>
        <v>0</v>
      </c>
      <c r="E14" s="194">
        <f>IF(OR($B14&lt;$Y$6,$B14&gt;'Project Data and Assumptions'!$C$8),0,$AC$34*(1+$AA$15)^($B14-2020))</f>
        <v>0</v>
      </c>
      <c r="F14" s="196">
        <f>IF($B14&gt;'Project Data and Assumptions'!$C$8,0,$AC$30*(1+$AA$15)^($B14-2020))</f>
        <v>149214.85668038618</v>
      </c>
      <c r="G14" s="75">
        <f>IF($B14&gt;'Project Data and Assumptions'!$C$8,0,$AB$29*(1+$AA$15)^($B14-2020))</f>
        <v>36751.575442356625</v>
      </c>
      <c r="H14" s="194">
        <f>IF($B14&gt;'Project Data and Assumptions'!$C$8,0,$AC$29*(1+$AA$15)^($B14-2020))</f>
        <v>210918.83183359224</v>
      </c>
      <c r="I14" s="15">
        <f t="shared" si="0"/>
        <v>0</v>
      </c>
      <c r="J14" s="74">
        <f t="shared" si="8"/>
        <v>0</v>
      </c>
      <c r="K14" s="74">
        <f t="shared" si="9"/>
        <v>0</v>
      </c>
      <c r="L14" s="74">
        <f t="shared" si="1"/>
        <v>0</v>
      </c>
      <c r="M14" s="74">
        <f t="shared" si="10"/>
        <v>0</v>
      </c>
      <c r="N14" s="76">
        <f t="shared" si="2"/>
        <v>0</v>
      </c>
      <c r="O14" s="15">
        <f t="shared" si="3"/>
        <v>1966651.81104749</v>
      </c>
      <c r="P14" s="74">
        <f t="shared" si="11"/>
        <v>87850.965937409273</v>
      </c>
      <c r="Q14" s="74">
        <f t="shared" si="12"/>
        <v>2664390.9828103725</v>
      </c>
      <c r="R14" s="74">
        <f t="shared" si="4"/>
        <v>2779910.2035667459</v>
      </c>
      <c r="S14" s="74">
        <f t="shared" si="13"/>
        <v>317364.85988340084</v>
      </c>
      <c r="T14" s="76">
        <f t="shared" si="5"/>
        <v>4998.8610878882864</v>
      </c>
      <c r="U14" s="15">
        <f t="shared" si="14"/>
        <v>7821167.6843333067</v>
      </c>
      <c r="V14" s="6">
        <f t="shared" si="6"/>
        <v>2475981.3923854125</v>
      </c>
      <c r="X14" s="8" t="s">
        <v>81</v>
      </c>
      <c r="AU14" t="s">
        <v>358</v>
      </c>
      <c r="AV14" t="s">
        <v>372</v>
      </c>
    </row>
    <row r="15" spans="1:49" x14ac:dyDescent="0.25">
      <c r="A15" s="61">
        <f t="shared" si="7"/>
        <v>94028.48402987911</v>
      </c>
      <c r="B15" s="2">
        <f t="shared" si="15"/>
        <v>2039</v>
      </c>
      <c r="C15" s="196">
        <f>IF(OR($B15&lt;$Y$6,$B15&gt;'Project Data and Assumptions'!$C$8),0,$AC$35*(1+$AA$15)^($B15-2020))</f>
        <v>0</v>
      </c>
      <c r="D15" s="75">
        <f>IF(OR($B15&lt;$Y$6,$B15&gt;'Project Data and Assumptions'!$C$8),0,$AB$34*(1+$AA$15)^($B15-2020))</f>
        <v>0</v>
      </c>
      <c r="E15" s="194">
        <f>IF(OR($B15&lt;$Y$6,$B15&gt;'Project Data and Assumptions'!$C$8),0,$AC$34*(1+$AA$15)^($B15-2020))</f>
        <v>0</v>
      </c>
      <c r="F15" s="196">
        <f>IF($B15&gt;'Project Data and Assumptions'!$C$8,0,$AC$30*(1+$AA$15)^($B15-2020))</f>
        <v>160405.25147694707</v>
      </c>
      <c r="G15" s="75">
        <f>IF($B15&gt;'Project Data and Assumptions'!$C$8,0,$AB$29*(1+$AA$15)^($B15-2020))</f>
        <v>39507.76639910887</v>
      </c>
      <c r="H15" s="194">
        <f>IF($B15&gt;'Project Data and Assumptions'!$C$8,0,$AC$29*(1+$AA$15)^($B15-2020))</f>
        <v>226736.7272547094</v>
      </c>
      <c r="I15" s="15">
        <f t="shared" si="0"/>
        <v>0</v>
      </c>
      <c r="J15" s="74">
        <f t="shared" si="8"/>
        <v>0</v>
      </c>
      <c r="K15" s="74">
        <f t="shared" si="9"/>
        <v>0</v>
      </c>
      <c r="L15" s="74">
        <f t="shared" si="1"/>
        <v>0</v>
      </c>
      <c r="M15" s="74">
        <f t="shared" si="10"/>
        <v>0</v>
      </c>
      <c r="N15" s="76">
        <f t="shared" si="2"/>
        <v>0</v>
      </c>
      <c r="O15" s="15">
        <f t="shared" si="3"/>
        <v>2114141.2144661625</v>
      </c>
      <c r="P15" s="74">
        <f t="shared" si="11"/>
        <v>94439.364800429859</v>
      </c>
      <c r="Q15" s="74">
        <f t="shared" si="12"/>
        <v>2864207.4598915321</v>
      </c>
      <c r="R15" s="74">
        <f t="shared" si="4"/>
        <v>2988390.0652170703</v>
      </c>
      <c r="S15" s="74">
        <f t="shared" si="13"/>
        <v>341165.69416800269</v>
      </c>
      <c r="T15" s="76">
        <f t="shared" si="5"/>
        <v>5373.7515669674303</v>
      </c>
      <c r="U15" s="15">
        <f t="shared" si="14"/>
        <v>8407717.550110165</v>
      </c>
      <c r="V15" s="6">
        <f t="shared" si="6"/>
        <v>2487540.2417014269</v>
      </c>
      <c r="X15" s="621" t="s">
        <v>518</v>
      </c>
      <c r="Y15" s="621"/>
      <c r="Z15" s="621"/>
      <c r="AA15" s="400">
        <f>('Annual Use'!$E$9-'Annual Use'!$C$9)/('Annual Use'!$C$9*17)</f>
        <v>7.4995178399228549E-2</v>
      </c>
      <c r="AB15" s="400"/>
      <c r="AU15" t="s">
        <v>359</v>
      </c>
    </row>
    <row r="16" spans="1:49" x14ac:dyDescent="0.25">
      <c r="A16" s="61">
        <f t="shared" si="7"/>
        <v>101080.16696430891</v>
      </c>
      <c r="B16" s="2">
        <f t="shared" si="15"/>
        <v>2040</v>
      </c>
      <c r="C16" s="196">
        <f>IF(OR($B16&lt;$Y$6,$B16&gt;'Project Data and Assumptions'!$C$8),0,$AC$35*(1+$AA$15)^($B16-2020))</f>
        <v>0</v>
      </c>
      <c r="D16" s="75">
        <f>IF(OR($B16&lt;$Y$6,$B16&gt;'Project Data and Assumptions'!$C$8),0,$AB$34*(1+$AA$15)^($B16-2020))</f>
        <v>0</v>
      </c>
      <c r="E16" s="194">
        <f>IF(OR($B16&lt;$Y$6,$B16&gt;'Project Data and Assumptions'!$C$8),0,$AC$34*(1+$AA$15)^($B16-2020))</f>
        <v>0</v>
      </c>
      <c r="F16" s="196">
        <f>IF($B16&gt;'Project Data and Assumptions'!$C$8,0,$AC$30*(1+$AA$15)^($B16-2020))</f>
        <v>172434.87192763385</v>
      </c>
      <c r="G16" s="75">
        <f>IF($B16&gt;'Project Data and Assumptions'!$C$8,0,$AB$29*(1+$AA$15)^($B16-2020))</f>
        <v>42470.658388365089</v>
      </c>
      <c r="H16" s="194">
        <f>IF($B16&gt;'Project Data and Assumptions'!$C$8,0,$AC$29*(1+$AA$15)^($B16-2020))</f>
        <v>243740.88856483356</v>
      </c>
      <c r="I16" s="15">
        <f t="shared" si="0"/>
        <v>0</v>
      </c>
      <c r="J16" s="74">
        <f t="shared" si="8"/>
        <v>0</v>
      </c>
      <c r="K16" s="74">
        <f t="shared" si="9"/>
        <v>0</v>
      </c>
      <c r="L16" s="74">
        <f t="shared" si="1"/>
        <v>0</v>
      </c>
      <c r="M16" s="74">
        <f t="shared" si="10"/>
        <v>0</v>
      </c>
      <c r="N16" s="76">
        <f t="shared" si="2"/>
        <v>0</v>
      </c>
      <c r="O16" s="15">
        <f t="shared" si="3"/>
        <v>2272691.6120062144</v>
      </c>
      <c r="P16" s="74">
        <f t="shared" si="11"/>
        <v>101521.86181154792</v>
      </c>
      <c r="Q16" s="74">
        <f t="shared" si="12"/>
        <v>3079009.2093184991</v>
      </c>
      <c r="R16" s="74">
        <f t="shared" si="4"/>
        <v>3212504.9112845063</v>
      </c>
      <c r="S16" s="74">
        <f t="shared" si="13"/>
        <v>366751.47626582865</v>
      </c>
      <c r="T16" s="76">
        <f t="shared" si="5"/>
        <v>5776.7570244052877</v>
      </c>
      <c r="U16" s="15">
        <f t="shared" si="14"/>
        <v>9038255.8277110029</v>
      </c>
      <c r="V16" s="6">
        <f t="shared" si="6"/>
        <v>2499153.0522458749</v>
      </c>
      <c r="X16" s="621" t="s">
        <v>366</v>
      </c>
      <c r="Y16" s="621"/>
      <c r="Z16" s="621"/>
      <c r="AA16" s="138">
        <v>0.86</v>
      </c>
      <c r="AB16" s="92"/>
      <c r="AU16" t="s">
        <v>370</v>
      </c>
      <c r="AV16" t="s">
        <v>373</v>
      </c>
      <c r="AW16" t="s">
        <v>374</v>
      </c>
    </row>
    <row r="17" spans="1:33" x14ac:dyDescent="0.25">
      <c r="A17" s="61">
        <f t="shared" si="7"/>
        <v>108660.69211842107</v>
      </c>
      <c r="B17" s="2">
        <f t="shared" si="15"/>
        <v>2041</v>
      </c>
      <c r="C17" s="196">
        <f>IF(OR($B17&lt;$Y$6,$B17&gt;'Project Data and Assumptions'!$C$8),0,$AC$35*(1+$AA$15)^($B17-2020))</f>
        <v>0</v>
      </c>
      <c r="D17" s="75">
        <f>IF(OR($B17&lt;$Y$6,$B17&gt;'Project Data and Assumptions'!$C$8),0,$AB$34*(1+$AA$15)^($B17-2020))</f>
        <v>0</v>
      </c>
      <c r="E17" s="194">
        <f>IF(OR($B17&lt;$Y$6,$B17&gt;'Project Data and Assumptions'!$C$8),0,$AC$34*(1+$AA$15)^($B17-2020))</f>
        <v>0</v>
      </c>
      <c r="F17" s="196">
        <f>IF($B17&gt;'Project Data and Assumptions'!$C$8,0,$AC$30*(1+$AA$15)^($B17-2020))</f>
        <v>185366.65591009488</v>
      </c>
      <c r="G17" s="75">
        <f>IF($B17&gt;'Project Data and Assumptions'!$C$8,0,$AB$29*(1+$AA$15)^($B17-2020))</f>
        <v>45655.752990933222</v>
      </c>
      <c r="H17" s="194">
        <f>IF($B17&gt;'Project Data and Assumptions'!$C$8,0,$AC$29*(1+$AA$15)^($B17-2020))</f>
        <v>262020.27998593973</v>
      </c>
      <c r="I17" s="15">
        <f t="shared" si="0"/>
        <v>0</v>
      </c>
      <c r="J17" s="74">
        <f t="shared" si="8"/>
        <v>0</v>
      </c>
      <c r="K17" s="74">
        <f t="shared" si="9"/>
        <v>0</v>
      </c>
      <c r="L17" s="74">
        <f t="shared" si="1"/>
        <v>0</v>
      </c>
      <c r="M17" s="74">
        <f t="shared" si="10"/>
        <v>0</v>
      </c>
      <c r="N17" s="76">
        <f t="shared" si="2"/>
        <v>0</v>
      </c>
      <c r="O17" s="15">
        <f t="shared" si="3"/>
        <v>2443132.5248950506</v>
      </c>
      <c r="P17" s="74">
        <f t="shared" si="11"/>
        <v>109135.51194952679</v>
      </c>
      <c r="Q17" s="74">
        <f t="shared" si="12"/>
        <v>3309920.0542642074</v>
      </c>
      <c r="R17" s="74">
        <f t="shared" si="4"/>
        <v>3453427.2902146857</v>
      </c>
      <c r="S17" s="74">
        <f t="shared" si="13"/>
        <v>394256.06865656498</v>
      </c>
      <c r="T17" s="76">
        <f t="shared" si="5"/>
        <v>6209.9859480195582</v>
      </c>
      <c r="U17" s="15">
        <f t="shared" si="14"/>
        <v>9716081.4359280542</v>
      </c>
      <c r="V17" s="6">
        <f t="shared" si="6"/>
        <v>2510820.0759308692</v>
      </c>
      <c r="X17" s="621" t="s">
        <v>367</v>
      </c>
      <c r="Y17" s="621"/>
      <c r="Z17" s="621"/>
      <c r="AA17" s="200">
        <f>MIN(Y7,2.38)</f>
        <v>1.1000000000000001</v>
      </c>
      <c r="AB17" s="201" t="s">
        <v>368</v>
      </c>
      <c r="AC17" s="25" t="s">
        <v>369</v>
      </c>
    </row>
    <row r="18" spans="1:33" x14ac:dyDescent="0.25">
      <c r="A18" s="61">
        <f t="shared" si="7"/>
        <v>116809.72010882571</v>
      </c>
      <c r="B18" s="2">
        <f t="shared" si="15"/>
        <v>2042</v>
      </c>
      <c r="C18" s="196">
        <f>IF(OR($B18&lt;$Y$6,$B18&gt;'Project Data and Assumptions'!$C$8),0,$AC$35*(1+$AA$15)^($B18-2020))</f>
        <v>0</v>
      </c>
      <c r="D18" s="75">
        <f>IF(OR($B18&lt;$Y$6,$B18&gt;'Project Data and Assumptions'!$C$8),0,$AB$34*(1+$AA$15)^($B18-2020))</f>
        <v>0</v>
      </c>
      <c r="E18" s="194">
        <f>IF(OR($B18&lt;$Y$6,$B18&gt;'Project Data and Assumptions'!$C$8),0,$AC$34*(1+$AA$15)^($B18-2020))</f>
        <v>0</v>
      </c>
      <c r="F18" s="196">
        <f>IF($B18&gt;'Project Data and Assumptions'!$C$8,0,$AC$30*(1+$AA$15)^($B18-2020))</f>
        <v>199268.26133934088</v>
      </c>
      <c r="G18" s="75">
        <f>IF($B18&gt;'Project Data and Assumptions'!$C$8,0,$AB$29*(1+$AA$15)^($B18-2020))</f>
        <v>49079.714331439376</v>
      </c>
      <c r="H18" s="194">
        <f>IF($B18&gt;'Project Data and Assumptions'!$C$8,0,$AC$29*(1+$AA$15)^($B18-2020))</f>
        <v>281670.53762770112</v>
      </c>
      <c r="I18" s="15">
        <f t="shared" si="0"/>
        <v>0</v>
      </c>
      <c r="J18" s="74">
        <f t="shared" si="8"/>
        <v>0</v>
      </c>
      <c r="K18" s="74">
        <f t="shared" si="9"/>
        <v>0</v>
      </c>
      <c r="L18" s="74">
        <f t="shared" si="1"/>
        <v>0</v>
      </c>
      <c r="M18" s="74">
        <f t="shared" si="10"/>
        <v>0</v>
      </c>
      <c r="N18" s="76">
        <f t="shared" si="2"/>
        <v>0</v>
      </c>
      <c r="O18" s="15">
        <f t="shared" si="3"/>
        <v>2626355.6844525128</v>
      </c>
      <c r="P18" s="74">
        <f t="shared" si="11"/>
        <v>117320.14913787271</v>
      </c>
      <c r="Q18" s="74">
        <f t="shared" si="12"/>
        <v>3558148.0992209367</v>
      </c>
      <c r="R18" s="74">
        <f t="shared" si="4"/>
        <v>3712417.685933101</v>
      </c>
      <c r="S18" s="74">
        <f t="shared" si="13"/>
        <v>423823.37286044261</v>
      </c>
      <c r="T18" s="76">
        <f t="shared" si="5"/>
        <v>6675.7049520479877</v>
      </c>
      <c r="U18" s="15">
        <f t="shared" si="14"/>
        <v>10444740.696556913</v>
      </c>
      <c r="V18" s="6">
        <f t="shared" si="6"/>
        <v>2522541.5658445512</v>
      </c>
      <c r="X18" s="621" t="s">
        <v>363</v>
      </c>
      <c r="Y18" s="621"/>
      <c r="Z18" s="621"/>
      <c r="AA18" s="621"/>
      <c r="AB18" s="138">
        <f>MIN($AA$16,$Y8)</f>
        <v>0.86</v>
      </c>
      <c r="AC18" s="138">
        <f>MIN($AA$17,$Y8)</f>
        <v>1.1000000000000001</v>
      </c>
    </row>
    <row r="19" spans="1:33" x14ac:dyDescent="0.25">
      <c r="A19" s="61">
        <f t="shared" si="7"/>
        <v>125569.88590715107</v>
      </c>
      <c r="B19" s="2">
        <f t="shared" si="15"/>
        <v>2043</v>
      </c>
      <c r="C19" s="196">
        <f>IF(OR($B19&lt;$Y$6,$B19&gt;'Project Data and Assumptions'!$C$8),0,$AC$35*(1+$AA$15)^($B19-2020))</f>
        <v>0</v>
      </c>
      <c r="D19" s="75">
        <f>IF(OR($B19&lt;$Y$6,$B19&gt;'Project Data and Assumptions'!$C$8),0,$AB$34*(1+$AA$15)^($B19-2020))</f>
        <v>0</v>
      </c>
      <c r="E19" s="194">
        <f>IF(OR($B19&lt;$Y$6,$B19&gt;'Project Data and Assumptions'!$C$8),0,$AC$34*(1+$AA$15)^($B19-2020))</f>
        <v>0</v>
      </c>
      <c r="F19" s="196">
        <f>IF($B19&gt;'Project Data and Assumptions'!$C$8,0,$AC$30*(1+$AA$15)^($B19-2020))</f>
        <v>214212.42014778886</v>
      </c>
      <c r="G19" s="75">
        <f>IF($B19&gt;'Project Data and Assumptions'!$C$8,0,$AB$29*(1+$AA$15)^($B19-2020))</f>
        <v>52760.456263508851</v>
      </c>
      <c r="H19" s="194">
        <f>IF($B19&gt;'Project Data and Assumptions'!$C$8,0,$AC$29*(1+$AA$15)^($B19-2020))</f>
        <v>302794.46984689723</v>
      </c>
      <c r="I19" s="15">
        <f t="shared" si="0"/>
        <v>0</v>
      </c>
      <c r="J19" s="74">
        <f t="shared" si="8"/>
        <v>0</v>
      </c>
      <c r="K19" s="74">
        <f t="shared" si="9"/>
        <v>0</v>
      </c>
      <c r="L19" s="74">
        <f t="shared" si="1"/>
        <v>0</v>
      </c>
      <c r="M19" s="74">
        <f t="shared" si="10"/>
        <v>0</v>
      </c>
      <c r="N19" s="76">
        <f t="shared" si="2"/>
        <v>0</v>
      </c>
      <c r="O19" s="15">
        <f t="shared" si="3"/>
        <v>2823319.6975478572</v>
      </c>
      <c r="P19" s="74">
        <f t="shared" si="11"/>
        <v>126118.59465229158</v>
      </c>
      <c r="Q19" s="74">
        <f t="shared" si="12"/>
        <v>3824992.0506928861</v>
      </c>
      <c r="R19" s="74">
        <f t="shared" si="4"/>
        <v>3990831.1125821057</v>
      </c>
      <c r="S19" s="74">
        <f t="shared" si="13"/>
        <v>455608.0823178743</v>
      </c>
      <c r="T19" s="76">
        <f t="shared" si="5"/>
        <v>7176.3506358674413</v>
      </c>
      <c r="U19" s="15">
        <f t="shared" si="14"/>
        <v>11228045.888428882</v>
      </c>
      <c r="V19" s="6">
        <f t="shared" si="6"/>
        <v>2534317.7762565729</v>
      </c>
      <c r="X19" s="621" t="s">
        <v>364</v>
      </c>
      <c r="Y19" s="621"/>
      <c r="Z19" s="621"/>
      <c r="AA19" s="621"/>
      <c r="AB19" s="138">
        <f>MIN($AA$16,SUM($Y9:$Y10))</f>
        <v>0.86</v>
      </c>
      <c r="AC19" s="138">
        <f>MIN($AA$16,SUM($Y9:$Y10))</f>
        <v>0.86</v>
      </c>
    </row>
    <row r="20" spans="1:33" x14ac:dyDescent="0.25">
      <c r="A20" s="61">
        <f t="shared" si="7"/>
        <v>134987.02190232862</v>
      </c>
      <c r="B20" s="2">
        <f t="shared" si="15"/>
        <v>2044</v>
      </c>
      <c r="C20" s="196">
        <f>IF(OR($B20&lt;$Y$6,$B20&gt;'Project Data and Assumptions'!$C$8),0,$AC$35*(1+$AA$15)^($B20-2020))</f>
        <v>0</v>
      </c>
      <c r="D20" s="75">
        <f>IF(OR($B20&lt;$Y$6,$B20&gt;'Project Data and Assumptions'!$C$8),0,$AB$34*(1+$AA$15)^($B20-2020))</f>
        <v>0</v>
      </c>
      <c r="E20" s="194">
        <f>IF(OR($B20&lt;$Y$6,$B20&gt;'Project Data and Assumptions'!$C$8),0,$AC$34*(1+$AA$15)^($B20-2020))</f>
        <v>0</v>
      </c>
      <c r="F20" s="196">
        <f>IF($B20&gt;'Project Data and Assumptions'!$C$8,0,$AC$30*(1+$AA$15)^($B20-2020))</f>
        <v>230277.31881210275</v>
      </c>
      <c r="G20" s="75">
        <f>IF($B20&gt;'Project Data and Assumptions'!$C$8,0,$AB$29*(1+$AA$15)^($B20-2020))</f>
        <v>56717.236093415384</v>
      </c>
      <c r="H20" s="194">
        <f>IF($B20&gt;'Project Data and Assumptions'!$C$8,0,$AC$29*(1+$AA$15)^($B20-2020))</f>
        <v>325502.59513136506</v>
      </c>
      <c r="I20" s="15">
        <f t="shared" si="0"/>
        <v>0</v>
      </c>
      <c r="J20" s="74">
        <f t="shared" si="8"/>
        <v>0</v>
      </c>
      <c r="K20" s="74">
        <f t="shared" si="9"/>
        <v>0</v>
      </c>
      <c r="L20" s="74">
        <f t="shared" si="1"/>
        <v>0</v>
      </c>
      <c r="M20" s="74">
        <f t="shared" si="10"/>
        <v>0</v>
      </c>
      <c r="N20" s="76">
        <f t="shared" si="2"/>
        <v>0</v>
      </c>
      <c r="O20" s="15">
        <f t="shared" si="3"/>
        <v>3035055.0619435143</v>
      </c>
      <c r="P20" s="74">
        <f t="shared" si="11"/>
        <v>135576.88115770015</v>
      </c>
      <c r="Q20" s="74">
        <f t="shared" si="12"/>
        <v>4111848.0119102299</v>
      </c>
      <c r="R20" s="74">
        <f t="shared" si="4"/>
        <v>4290124.2038313914</v>
      </c>
      <c r="S20" s="74">
        <f t="shared" si="13"/>
        <v>489776.49173143355</v>
      </c>
      <c r="T20" s="76">
        <f t="shared" si="5"/>
        <v>7714.5423320597356</v>
      </c>
      <c r="U20" s="15">
        <f t="shared" si="14"/>
        <v>12070095.192906329</v>
      </c>
      <c r="V20" s="6">
        <f t="shared" si="6"/>
        <v>2546148.9626236171</v>
      </c>
      <c r="X20" s="399"/>
      <c r="Y20" s="399"/>
      <c r="Z20" s="125"/>
      <c r="AA20" s="77"/>
    </row>
    <row r="21" spans="1:33" x14ac:dyDescent="0.25">
      <c r="A21" s="61">
        <f t="shared" si="7"/>
        <v>145110.39769147433</v>
      </c>
      <c r="B21" s="2">
        <f t="shared" si="15"/>
        <v>2045</v>
      </c>
      <c r="C21" s="196">
        <f>IF(OR($B21&lt;$Y$6,$B21&gt;'Project Data and Assumptions'!$C$8),0,$AC$35*(1+$AA$15)^($B21-2020))</f>
        <v>0</v>
      </c>
      <c r="D21" s="75">
        <f>IF(OR($B21&lt;$Y$6,$B21&gt;'Project Data and Assumptions'!$C$8),0,$AB$34*(1+$AA$15)^($B21-2020))</f>
        <v>0</v>
      </c>
      <c r="E21" s="194">
        <f>IF(OR($B21&lt;$Y$6,$B21&gt;'Project Data and Assumptions'!$C$8),0,$AC$34*(1+$AA$15)^($B21-2020))</f>
        <v>0</v>
      </c>
      <c r="F21" s="196">
        <f>IF($B21&gt;'Project Data and Assumptions'!$C$8,0,$AC$30*(1+$AA$15)^($B21-2020))</f>
        <v>247547.00741771245</v>
      </c>
      <c r="G21" s="75">
        <f>IF($B21&gt;'Project Data and Assumptions'!$C$8,0,$AB$29*(1+$AA$15)^($B21-2020))</f>
        <v>60970.755332552239</v>
      </c>
      <c r="H21" s="194">
        <f>IF($B21&gt;'Project Data and Assumptions'!$C$8,0,$AC$29*(1+$AA$15)^($B21-2020))</f>
        <v>349913.72032265371</v>
      </c>
      <c r="I21" s="15">
        <f t="shared" si="0"/>
        <v>0</v>
      </c>
      <c r="J21" s="74">
        <f t="shared" si="8"/>
        <v>0</v>
      </c>
      <c r="K21" s="74">
        <f t="shared" si="9"/>
        <v>0</v>
      </c>
      <c r="L21" s="74">
        <f t="shared" si="1"/>
        <v>0</v>
      </c>
      <c r="M21" s="74">
        <f t="shared" si="10"/>
        <v>0</v>
      </c>
      <c r="N21" s="76">
        <f t="shared" si="2"/>
        <v>0</v>
      </c>
      <c r="O21" s="15">
        <f t="shared" si="3"/>
        <v>3262669.5577654503</v>
      </c>
      <c r="P21" s="74">
        <f t="shared" si="11"/>
        <v>145744.49354693291</v>
      </c>
      <c r="Q21" s="74">
        <f t="shared" si="12"/>
        <v>4420216.7871139515</v>
      </c>
      <c r="R21" s="74">
        <f t="shared" si="4"/>
        <v>4611862.8338525761</v>
      </c>
      <c r="S21" s="74">
        <f t="shared" si="13"/>
        <v>526507.36710458086</v>
      </c>
      <c r="T21" s="76">
        <f t="shared" si="5"/>
        <v>8293.0958105209575</v>
      </c>
      <c r="U21" s="15">
        <f t="shared" si="14"/>
        <v>12975294.135194013</v>
      </c>
      <c r="V21" s="6">
        <f t="shared" si="6"/>
        <v>2558035.3815949406</v>
      </c>
      <c r="Z21" s="84"/>
      <c r="AA21" s="84"/>
      <c r="AB21" s="84"/>
      <c r="AC21" s="84"/>
    </row>
    <row r="22" spans="1:33" x14ac:dyDescent="0.25">
      <c r="A22" s="61">
        <f t="shared" si="7"/>
        <v>155992.97785392942</v>
      </c>
      <c r="B22" s="2">
        <f t="shared" si="15"/>
        <v>2046</v>
      </c>
      <c r="C22" s="196">
        <f>IF(OR($B22&lt;$Y$6,$B22&gt;'Project Data and Assumptions'!$C$8),0,$AC$35*(1+$AA$15)^($B22-2020))</f>
        <v>0</v>
      </c>
      <c r="D22" s="75">
        <f>IF(OR($B22&lt;$Y$6,$B22&gt;'Project Data and Assumptions'!$C$8),0,$AB$34*(1+$AA$15)^($B22-2020))</f>
        <v>0</v>
      </c>
      <c r="E22" s="194">
        <f>IF(OR($B22&lt;$Y$6,$B22&gt;'Project Data and Assumptions'!$C$8),0,$AC$34*(1+$AA$15)^($B22-2020))</f>
        <v>0</v>
      </c>
      <c r="F22" s="196">
        <f>IF($B22&gt;'Project Data and Assumptions'!$C$8,0,$AC$30*(1+$AA$15)^($B22-2020))</f>
        <v>266111.83940119896</v>
      </c>
      <c r="G22" s="75">
        <f>IF($B22&gt;'Project Data and Assumptions'!$C$8,0,$AB$29*(1+$AA$15)^($B22-2020))</f>
        <v>65543.268005852704</v>
      </c>
      <c r="H22" s="194">
        <f>IF($B22&gt;'Project Data and Assumptions'!$C$8,0,$AC$29*(1+$AA$15)^($B22-2020))</f>
        <v>376155.56220258883</v>
      </c>
      <c r="I22" s="15">
        <f t="shared" si="0"/>
        <v>0</v>
      </c>
      <c r="J22" s="74">
        <f t="shared" si="8"/>
        <v>0</v>
      </c>
      <c r="K22" s="74">
        <f t="shared" si="9"/>
        <v>0</v>
      </c>
      <c r="L22" s="74">
        <f t="shared" si="1"/>
        <v>0</v>
      </c>
      <c r="M22" s="74">
        <f t="shared" si="10"/>
        <v>0</v>
      </c>
      <c r="N22" s="76">
        <f t="shared" si="2"/>
        <v>0</v>
      </c>
      <c r="O22" s="15">
        <f t="shared" si="3"/>
        <v>3507354.0433078026</v>
      </c>
      <c r="P22" s="74">
        <f t="shared" si="11"/>
        <v>156674.62784119032</v>
      </c>
      <c r="Q22" s="74">
        <f t="shared" si="12"/>
        <v>4751711.7336268267</v>
      </c>
      <c r="R22" s="74">
        <f t="shared" si="4"/>
        <v>4957730.3098301208</v>
      </c>
      <c r="S22" s="74">
        <f t="shared" si="13"/>
        <v>565992.8810290969</v>
      </c>
      <c r="T22" s="76">
        <f t="shared" si="5"/>
        <v>8915.0380103128718</v>
      </c>
      <c r="U22" s="15">
        <f t="shared" si="14"/>
        <v>13948378.633645352</v>
      </c>
      <c r="V22" s="6">
        <f t="shared" si="6"/>
        <v>2569977.2910179361</v>
      </c>
      <c r="X22" s="8" t="s">
        <v>495</v>
      </c>
      <c r="Z22" s="84"/>
      <c r="AA22" s="84"/>
      <c r="AB22" s="84"/>
      <c r="AC22" s="84"/>
    </row>
    <row r="23" spans="1:33" x14ac:dyDescent="0.25">
      <c r="A23" s="61">
        <f t="shared" si="7"/>
        <v>167691.69905711184</v>
      </c>
      <c r="B23" s="2">
        <f t="shared" si="15"/>
        <v>2047</v>
      </c>
      <c r="C23" s="196">
        <f>IF(OR($B23&lt;$Y$6,$B23&gt;'Project Data and Assumptions'!$C$8),0,$AC$35*(1+$AA$15)^($B23-2020))</f>
        <v>0</v>
      </c>
      <c r="D23" s="75">
        <f>IF(OR($B23&lt;$Y$6,$B23&gt;'Project Data and Assumptions'!$C$8),0,$AB$34*(1+$AA$15)^($B23-2020))</f>
        <v>0</v>
      </c>
      <c r="E23" s="194">
        <f>IF(OR($B23&lt;$Y$6,$B23&gt;'Project Data and Assumptions'!$C$8),0,$AC$34*(1+$AA$15)^($B23-2020))</f>
        <v>0</v>
      </c>
      <c r="F23" s="196">
        <f>IF($B23&gt;'Project Data and Assumptions'!$C$8,0,$AC$30*(1+$AA$15)^($B23-2020))</f>
        <v>286068.94427123881</v>
      </c>
      <c r="G23" s="75">
        <f>IF($B23&gt;'Project Data and Assumptions'!$C$8,0,$AB$29*(1+$AA$15)^($B23-2020))</f>
        <v>70458.697082820101</v>
      </c>
      <c r="H23" s="194">
        <f>IF($B23&gt;'Project Data and Assumptions'!$C$8,0,$AC$29*(1+$AA$15)^($B23-2020))</f>
        <v>404365.41569583421</v>
      </c>
      <c r="I23" s="15">
        <f t="shared" si="0"/>
        <v>0</v>
      </c>
      <c r="J23" s="74">
        <f t="shared" si="8"/>
        <v>0</v>
      </c>
      <c r="K23" s="74">
        <f t="shared" si="9"/>
        <v>0</v>
      </c>
      <c r="L23" s="74">
        <f t="shared" si="1"/>
        <v>0</v>
      </c>
      <c r="M23" s="74">
        <f t="shared" si="10"/>
        <v>0</v>
      </c>
      <c r="N23" s="76">
        <f t="shared" si="2"/>
        <v>0</v>
      </c>
      <c r="O23" s="15">
        <f t="shared" si="3"/>
        <v>3770388.6854949277</v>
      </c>
      <c r="P23" s="74">
        <f t="shared" si="11"/>
        <v>168424.4695067732</v>
      </c>
      <c r="Q23" s="74">
        <f t="shared" si="12"/>
        <v>5108067.2027918799</v>
      </c>
      <c r="R23" s="74">
        <f t="shared" si="4"/>
        <v>5329536.1788710952</v>
      </c>
      <c r="S23" s="74">
        <f t="shared" si="13"/>
        <v>608439.61811456759</v>
      </c>
      <c r="T23" s="76">
        <f t="shared" si="5"/>
        <v>9583.6228763321906</v>
      </c>
      <c r="U23" s="15">
        <f t="shared" si="14"/>
        <v>14994439.777655577</v>
      </c>
      <c r="V23" s="6">
        <f t="shared" si="6"/>
        <v>2581974.949943732</v>
      </c>
      <c r="Z23" s="78" t="s">
        <v>23</v>
      </c>
      <c r="AA23" s="78" t="s">
        <v>336</v>
      </c>
      <c r="AB23" s="78" t="s">
        <v>53</v>
      </c>
      <c r="AC23" s="78" t="s">
        <v>195</v>
      </c>
      <c r="AD23" s="78" t="s">
        <v>354</v>
      </c>
    </row>
    <row r="24" spans="1:33" x14ac:dyDescent="0.25">
      <c r="A24" s="61">
        <f t="shared" si="7"/>
        <v>180267.76794396967</v>
      </c>
      <c r="B24" s="2">
        <f t="shared" si="15"/>
        <v>2048</v>
      </c>
      <c r="C24" s="196">
        <f>IF(OR($B24&lt;$Y$6,$B24&gt;'Project Data and Assumptions'!$C$8),0,$AC$35*(1+$AA$15)^($B24-2020))</f>
        <v>0</v>
      </c>
      <c r="D24" s="75">
        <f>IF(OR($B24&lt;$Y$6,$B24&gt;'Project Data and Assumptions'!$C$8),0,$AB$34*(1+$AA$15)^($B24-2020))</f>
        <v>0</v>
      </c>
      <c r="E24" s="194">
        <f>IF(OR($B24&lt;$Y$6,$B24&gt;'Project Data and Assumptions'!$C$8),0,$AC$34*(1+$AA$15)^($B24-2020))</f>
        <v>0</v>
      </c>
      <c r="F24" s="196">
        <f>IF($B24&gt;'Project Data and Assumptions'!$C$8,0,$AC$30*(1+$AA$15)^($B24-2020))</f>
        <v>307522.73578133929</v>
      </c>
      <c r="G24" s="75">
        <f>IF($B24&gt;'Project Data and Assumptions'!$C$8,0,$AB$29*(1+$AA$15)^($B24-2020))</f>
        <v>75742.759640323391</v>
      </c>
      <c r="H24" s="194">
        <f>IF($B24&gt;'Project Data and Assumptions'!$C$8,0,$AC$29*(1+$AA$15)^($B24-2020))</f>
        <v>434690.87218442146</v>
      </c>
      <c r="I24" s="15">
        <f t="shared" si="0"/>
        <v>0</v>
      </c>
      <c r="J24" s="74">
        <f t="shared" si="8"/>
        <v>0</v>
      </c>
      <c r="K24" s="74">
        <f t="shared" si="9"/>
        <v>0</v>
      </c>
      <c r="L24" s="74">
        <f t="shared" si="1"/>
        <v>0</v>
      </c>
      <c r="M24" s="74">
        <f t="shared" si="10"/>
        <v>0</v>
      </c>
      <c r="N24" s="76">
        <f t="shared" si="2"/>
        <v>0</v>
      </c>
      <c r="O24" s="15">
        <f t="shared" si="3"/>
        <v>4053149.6575980517</v>
      </c>
      <c r="P24" s="74">
        <f t="shared" si="11"/>
        <v>181055.49264422906</v>
      </c>
      <c r="Q24" s="74">
        <f t="shared" si="12"/>
        <v>5491147.6139405053</v>
      </c>
      <c r="R24" s="74">
        <f t="shared" si="4"/>
        <v>5729225.6953906752</v>
      </c>
      <c r="S24" s="74">
        <f t="shared" si="13"/>
        <v>654069.65582022804</v>
      </c>
      <c r="T24" s="76">
        <f t="shared" si="5"/>
        <v>10302.348383653651</v>
      </c>
      <c r="U24" s="15">
        <f t="shared" si="14"/>
        <v>16118950.463777345</v>
      </c>
      <c r="V24" s="6">
        <f t="shared" si="6"/>
        <v>2594028.6186328041</v>
      </c>
      <c r="X24" s="620" t="s">
        <v>125</v>
      </c>
      <c r="Y24" s="620"/>
      <c r="Z24" s="79">
        <f>District!$B$6*District!$B$3*(Y7/'Trail Lengths'!F24)</f>
        <v>20033.082760912912</v>
      </c>
      <c r="AA24" s="79">
        <f>Z24*(SUM(District!$B$27:$B$30)+District!$B$26*5/7)</f>
        <v>17054.982053235293</v>
      </c>
      <c r="AB24" s="79">
        <f>SUM($Z24:$Z25)*District!$C$11</f>
        <v>2972.6900380567245</v>
      </c>
      <c r="AC24" s="79">
        <f>Z24-AB24</f>
        <v>17060.392722856188</v>
      </c>
      <c r="AD24" s="235">
        <f>AA24/Z24</f>
        <v>0.85134086734327918</v>
      </c>
    </row>
    <row r="25" spans="1:33" x14ac:dyDescent="0.25">
      <c r="A25" s="61">
        <f t="shared" si="7"/>
        <v>193786.98136055842</v>
      </c>
      <c r="B25" s="2">
        <f t="shared" si="15"/>
        <v>2049</v>
      </c>
      <c r="C25" s="196">
        <f>IF(OR($B25&lt;$Y$6,$B25&gt;'Project Data and Assumptions'!$C$8),0,$AC$35*(1+$AA$15)^($B25-2020))</f>
        <v>0</v>
      </c>
      <c r="D25" s="75">
        <f>IF(OR($B25&lt;$Y$6,$B25&gt;'Project Data and Assumptions'!$C$8),0,$AB$34*(1+$AA$15)^($B25-2020))</f>
        <v>0</v>
      </c>
      <c r="E25" s="194">
        <f>IF(OR($B25&lt;$Y$6,$B25&gt;'Project Data and Assumptions'!$C$8),0,$AC$34*(1+$AA$15)^($B25-2020))</f>
        <v>0</v>
      </c>
      <c r="F25" s="196">
        <f>IF($B25&gt;'Project Data and Assumptions'!$C$8,0,$AC$30*(1+$AA$15)^($B25-2020))</f>
        <v>330585.45821307966</v>
      </c>
      <c r="G25" s="75">
        <f>IF($B25&gt;'Project Data and Assumptions'!$C$8,0,$AB$29*(1+$AA$15)^($B25-2020))</f>
        <v>81423.101411999334</v>
      </c>
      <c r="H25" s="194">
        <f>IF($B25&gt;'Project Data and Assumptions'!$C$8,0,$AC$29*(1+$AA$15)^($B25-2020))</f>
        <v>467290.59169240843</v>
      </c>
      <c r="I25" s="15">
        <f t="shared" si="0"/>
        <v>0</v>
      </c>
      <c r="J25" s="74">
        <f t="shared" si="8"/>
        <v>0</v>
      </c>
      <c r="K25" s="74">
        <f t="shared" si="9"/>
        <v>0</v>
      </c>
      <c r="L25" s="74">
        <f t="shared" si="1"/>
        <v>0</v>
      </c>
      <c r="M25" s="74">
        <f t="shared" si="10"/>
        <v>0</v>
      </c>
      <c r="N25" s="76">
        <f t="shared" si="2"/>
        <v>0</v>
      </c>
      <c r="O25" s="15">
        <f t="shared" si="3"/>
        <v>4357116.3392483899</v>
      </c>
      <c r="P25" s="74">
        <f t="shared" si="11"/>
        <v>194633.78161524324</v>
      </c>
      <c r="Q25" s="74">
        <f t="shared" si="12"/>
        <v>5902957.2088644709</v>
      </c>
      <c r="R25" s="74">
        <f t="shared" si="4"/>
        <v>6158889.9985059435</v>
      </c>
      <c r="S25" s="74">
        <f t="shared" si="13"/>
        <v>703121.72634398798</v>
      </c>
      <c r="T25" s="76">
        <f t="shared" si="5"/>
        <v>11074.974838616761</v>
      </c>
      <c r="U25" s="15">
        <f t="shared" si="14"/>
        <v>17327794.029416654</v>
      </c>
      <c r="V25" s="6">
        <f t="shared" si="6"/>
        <v>2606138.5585606322</v>
      </c>
      <c r="X25" s="620" t="s">
        <v>124</v>
      </c>
      <c r="Y25" s="620"/>
      <c r="Z25" s="79">
        <f>District!$B$6*SUM(District!C3)*(Y7/'Trail Lengths'!F24)</f>
        <v>12069.40145136273</v>
      </c>
      <c r="AA25" s="79">
        <f>Z25*(SUM(District!$B$27:$B$30)+District!$B$26*5/7)</f>
        <v>10275.174699917379</v>
      </c>
      <c r="AB25" s="79">
        <v>0</v>
      </c>
      <c r="AC25" s="79">
        <f>Z25-AB25</f>
        <v>12069.40145136273</v>
      </c>
      <c r="AD25" s="235">
        <f>AA25/Z25</f>
        <v>0.85134086734327918</v>
      </c>
      <c r="AG25" s="91" t="s">
        <v>64</v>
      </c>
    </row>
    <row r="26" spans="1:33" x14ac:dyDescent="0.25">
      <c r="A26" s="61">
        <f t="shared" si="7"/>
        <v>208320.07059914141</v>
      </c>
      <c r="B26" s="2">
        <f t="shared" si="15"/>
        <v>2050</v>
      </c>
      <c r="C26" s="196">
        <f>IF(OR($B26&lt;$Y$6,$B26&gt;'Project Data and Assumptions'!$C$8),0,$AC$35*(1+$AA$15)^($B26-2020))</f>
        <v>0</v>
      </c>
      <c r="D26" s="75">
        <f>IF(OR($B26&lt;$Y$6,$B26&gt;'Project Data and Assumptions'!$C$8),0,$AB$34*(1+$AA$15)^($B26-2020))</f>
        <v>0</v>
      </c>
      <c r="E26" s="194">
        <f>IF(OR($B26&lt;$Y$6,$B26&gt;'Project Data and Assumptions'!$C$8),0,$AC$34*(1+$AA$15)^($B26-2020))</f>
        <v>0</v>
      </c>
      <c r="F26" s="196">
        <f>IF($B26&gt;'Project Data and Assumptions'!$C$8,0,$AC$30*(1+$AA$15)^($B26-2020))</f>
        <v>355377.77362796024</v>
      </c>
      <c r="G26" s="75">
        <f>IF($B26&gt;'Project Data and Assumptions'!$C$8,0,$AB$29*(1+$AA$15)^($B26-2020))</f>
        <v>87529.441428210688</v>
      </c>
      <c r="H26" s="194">
        <f>IF($B26&gt;'Project Data and Assumptions'!$C$8,0,$AC$29*(1+$AA$15)^($B26-2020))</f>
        <v>502335.13298066164</v>
      </c>
      <c r="I26" s="15">
        <f t="shared" si="0"/>
        <v>0</v>
      </c>
      <c r="J26" s="74">
        <f t="shared" si="8"/>
        <v>0</v>
      </c>
      <c r="K26" s="74">
        <f t="shared" si="9"/>
        <v>0</v>
      </c>
      <c r="L26" s="74">
        <f t="shared" si="1"/>
        <v>0</v>
      </c>
      <c r="M26" s="74">
        <f t="shared" si="10"/>
        <v>0</v>
      </c>
      <c r="N26" s="76">
        <f t="shared" si="2"/>
        <v>0</v>
      </c>
      <c r="O26" s="15">
        <f t="shared" si="3"/>
        <v>4683879.0564165162</v>
      </c>
      <c r="P26" s="74">
        <f t="shared" si="11"/>
        <v>209230.37678999483</v>
      </c>
      <c r="Q26" s="74">
        <f t="shared" si="12"/>
        <v>6345650.5378262736</v>
      </c>
      <c r="R26" s="74">
        <f t="shared" si="4"/>
        <v>6620777.0526851211</v>
      </c>
      <c r="S26" s="74">
        <f t="shared" si="13"/>
        <v>755852.46564752888</v>
      </c>
      <c r="T26" s="76">
        <f t="shared" si="5"/>
        <v>11905.544552405789</v>
      </c>
      <c r="U26" s="15">
        <f t="shared" si="14"/>
        <v>18627295.033917837</v>
      </c>
      <c r="V26" s="6">
        <f t="shared" si="6"/>
        <v>2618305.0324233589</v>
      </c>
      <c r="Z26" s="84"/>
      <c r="AA26" s="84"/>
      <c r="AB26" s="84"/>
      <c r="AC26" s="84"/>
      <c r="AG26" s="91" t="s">
        <v>65</v>
      </c>
    </row>
    <row r="27" spans="1:33" x14ac:dyDescent="0.25">
      <c r="A27" s="61">
        <f t="shared" si="7"/>
        <v>0</v>
      </c>
      <c r="B27" s="2">
        <f t="shared" si="15"/>
        <v>2051</v>
      </c>
      <c r="C27" s="196">
        <f>IF(OR($B27&lt;$Y$6,$B27&gt;'Project Data and Assumptions'!$C$8),0,$AC$35*(1+$AA$15)^($B27-2020))</f>
        <v>0</v>
      </c>
      <c r="D27" s="75">
        <f>IF(OR($B27&lt;$Y$6,$B27&gt;'Project Data and Assumptions'!$C$8),0,$AB$34*(1+$AA$15)^($B27-2020))</f>
        <v>0</v>
      </c>
      <c r="E27" s="194">
        <f>IF(OR($B27&lt;$Y$6,$B27&gt;'Project Data and Assumptions'!$C$8),0,$AC$34*(1+$AA$15)^($B27-2020))</f>
        <v>0</v>
      </c>
      <c r="F27" s="196">
        <f>IF($B27&gt;'Project Data and Assumptions'!$C$8,0,$AC$30*(1+$AA$15)^($B27-2020))</f>
        <v>0</v>
      </c>
      <c r="G27" s="75">
        <f>IF($B27&gt;'Project Data and Assumptions'!$C$8,0,$AB$29*(1+$AA$15)^($B27-2020))</f>
        <v>0</v>
      </c>
      <c r="H27" s="194">
        <f>IF($B27&gt;'Project Data and Assumptions'!$C$8,0,$AC$29*(1+$AA$15)^($B27-2020))</f>
        <v>0</v>
      </c>
      <c r="I27" s="15">
        <f t="shared" si="0"/>
        <v>0</v>
      </c>
      <c r="J27" s="74">
        <f t="shared" si="8"/>
        <v>0</v>
      </c>
      <c r="K27" s="74">
        <f t="shared" si="9"/>
        <v>0</v>
      </c>
      <c r="L27" s="74">
        <f t="shared" si="1"/>
        <v>0</v>
      </c>
      <c r="M27" s="74">
        <f t="shared" si="10"/>
        <v>0</v>
      </c>
      <c r="N27" s="76">
        <f t="shared" si="2"/>
        <v>0</v>
      </c>
      <c r="O27" s="15">
        <f t="shared" si="3"/>
        <v>0</v>
      </c>
      <c r="P27" s="74">
        <f t="shared" si="11"/>
        <v>0</v>
      </c>
      <c r="Q27" s="74">
        <f t="shared" si="12"/>
        <v>0</v>
      </c>
      <c r="R27" s="74">
        <f t="shared" si="4"/>
        <v>0</v>
      </c>
      <c r="S27" s="74">
        <f t="shared" si="13"/>
        <v>0</v>
      </c>
      <c r="T27" s="76">
        <f t="shared" si="5"/>
        <v>0</v>
      </c>
      <c r="U27" s="15">
        <f t="shared" si="14"/>
        <v>0</v>
      </c>
      <c r="V27" s="6">
        <f t="shared" si="6"/>
        <v>0</v>
      </c>
      <c r="X27" s="8" t="s">
        <v>496</v>
      </c>
      <c r="Z27" s="84"/>
      <c r="AA27" s="84"/>
      <c r="AB27" s="84"/>
      <c r="AC27" s="84"/>
    </row>
    <row r="28" spans="1:33" ht="15.75" thickBot="1" x14ac:dyDescent="0.3">
      <c r="A28" s="61">
        <f t="shared" si="7"/>
        <v>0</v>
      </c>
      <c r="B28" s="3">
        <f t="shared" si="15"/>
        <v>2052</v>
      </c>
      <c r="C28" s="197">
        <f>IF(OR($B28&lt;$Y$6,$B28&gt;'Project Data and Assumptions'!$C$8),0,$AC$35*(1+$AA$15)^($B28-2020))</f>
        <v>0</v>
      </c>
      <c r="D28" s="80">
        <f>IF(OR($B28&lt;$Y$6,$B28&gt;'Project Data and Assumptions'!$C$8),0,$AB$34*(1+$AA$15)^($B28-2020))</f>
        <v>0</v>
      </c>
      <c r="E28" s="195">
        <f>IF(OR($B28&lt;$Y$6,$B28&gt;'Project Data and Assumptions'!$C$8),0,$AC$34*(1+$AA$15)^($B28-2020))</f>
        <v>0</v>
      </c>
      <c r="F28" s="197">
        <f>IF($B28&gt;'Project Data and Assumptions'!$C$8,0,$AC$30*(1+$AA$15)^($B28-2020))</f>
        <v>0</v>
      </c>
      <c r="G28" s="80">
        <f>IF($B28&gt;'Project Data and Assumptions'!$C$8,0,$AB$29*(1+$AA$15)^($B28-2020))</f>
        <v>0</v>
      </c>
      <c r="H28" s="195">
        <f>IF($B28&gt;'Project Data and Assumptions'!$C$8,0,$AC$29*(1+$AA$15)^($B28-2020))</f>
        <v>0</v>
      </c>
      <c r="I28" s="98">
        <f t="shared" si="0"/>
        <v>0</v>
      </c>
      <c r="J28" s="99">
        <f t="shared" si="8"/>
        <v>0</v>
      </c>
      <c r="K28" s="99">
        <f t="shared" si="9"/>
        <v>0</v>
      </c>
      <c r="L28" s="99">
        <f t="shared" si="1"/>
        <v>0</v>
      </c>
      <c r="M28" s="99">
        <f t="shared" si="10"/>
        <v>0</v>
      </c>
      <c r="N28" s="101">
        <f t="shared" si="2"/>
        <v>0</v>
      </c>
      <c r="O28" s="98">
        <f t="shared" si="3"/>
        <v>0</v>
      </c>
      <c r="P28" s="99">
        <f t="shared" si="11"/>
        <v>0</v>
      </c>
      <c r="Q28" s="99">
        <f t="shared" si="12"/>
        <v>0</v>
      </c>
      <c r="R28" s="99">
        <f t="shared" si="4"/>
        <v>0</v>
      </c>
      <c r="S28" s="99">
        <f t="shared" si="13"/>
        <v>0</v>
      </c>
      <c r="T28" s="101">
        <f t="shared" si="5"/>
        <v>0</v>
      </c>
      <c r="U28" s="16">
        <f t="shared" si="14"/>
        <v>0</v>
      </c>
      <c r="V28" s="7">
        <f t="shared" si="6"/>
        <v>0</v>
      </c>
      <c r="Z28" s="78" t="s">
        <v>23</v>
      </c>
      <c r="AA28" s="78" t="s">
        <v>336</v>
      </c>
      <c r="AB28" s="78" t="s">
        <v>53</v>
      </c>
      <c r="AC28" s="78" t="s">
        <v>195</v>
      </c>
      <c r="AD28" s="78" t="s">
        <v>354</v>
      </c>
    </row>
    <row r="29" spans="1:33" ht="15.75" thickBot="1" x14ac:dyDescent="0.3">
      <c r="A29" s="61"/>
      <c r="B29" s="4"/>
      <c r="D29" s="4"/>
      <c r="G29" s="4"/>
      <c r="H29" s="81" t="s">
        <v>2</v>
      </c>
      <c r="I29" s="115">
        <f t="shared" ref="I29:V29" si="16">SUM(I7:I28)</f>
        <v>0</v>
      </c>
      <c r="J29" s="116">
        <f t="shared" si="16"/>
        <v>0</v>
      </c>
      <c r="K29" s="116">
        <f t="shared" si="16"/>
        <v>0</v>
      </c>
      <c r="L29" s="116">
        <f t="shared" si="16"/>
        <v>0</v>
      </c>
      <c r="M29" s="116">
        <f t="shared" si="16"/>
        <v>0</v>
      </c>
      <c r="N29" s="117">
        <f t="shared" si="16"/>
        <v>0</v>
      </c>
      <c r="O29" s="115">
        <f t="shared" si="16"/>
        <v>51332648.954634197</v>
      </c>
      <c r="P29" s="116">
        <f t="shared" si="16"/>
        <v>2293045.8607152305</v>
      </c>
      <c r="Q29" s="116">
        <f t="shared" si="16"/>
        <v>69544718.709332809</v>
      </c>
      <c r="R29" s="116">
        <f t="shared" si="16"/>
        <v>72559948.743083119</v>
      </c>
      <c r="S29" s="116">
        <f t="shared" si="16"/>
        <v>8283712.8826857163</v>
      </c>
      <c r="T29" s="117">
        <f t="shared" si="16"/>
        <v>130477.99308250494</v>
      </c>
      <c r="U29" s="118">
        <f t="shared" si="16"/>
        <v>204144553.14353359</v>
      </c>
      <c r="V29" s="119">
        <f t="shared" si="16"/>
        <v>50117665.244949438</v>
      </c>
      <c r="X29" s="620" t="s">
        <v>125</v>
      </c>
      <c r="Y29" s="620"/>
      <c r="Z29" s="79">
        <f>$Y$8/$Y$7*Z24</f>
        <v>67384.005650343432</v>
      </c>
      <c r="AA29" s="737">
        <f>Z29*(SUM(District!$B$27:$B$30)+District!$B$26*5/7)</f>
        <v>57366.757815427802</v>
      </c>
      <c r="AB29" s="737">
        <f>SUM($Z29:$Z30)*District!$C$11</f>
        <v>9999.0483098271634</v>
      </c>
      <c r="AC29" s="79">
        <f>Z29-AB29</f>
        <v>57384.957340516266</v>
      </c>
      <c r="AD29" s="235">
        <f>IFERROR(AA29/Z29,0)</f>
        <v>0.85134086734327918</v>
      </c>
    </row>
    <row r="30" spans="1:33" x14ac:dyDescent="0.25">
      <c r="A30" s="61"/>
      <c r="B30" s="4"/>
      <c r="D30" s="4"/>
      <c r="F30" s="81"/>
      <c r="G30" s="4"/>
      <c r="H30" s="4"/>
      <c r="I30" s="82"/>
      <c r="J30" s="82"/>
      <c r="K30" s="82"/>
      <c r="L30" s="82"/>
      <c r="M30" s="82"/>
      <c r="N30" s="82"/>
      <c r="O30" s="82"/>
      <c r="P30" s="82"/>
      <c r="Q30" s="82"/>
      <c r="R30" s="82"/>
      <c r="S30" s="82"/>
      <c r="T30" s="82"/>
      <c r="U30" s="82"/>
      <c r="V30" s="82"/>
      <c r="X30" s="620" t="s">
        <v>124</v>
      </c>
      <c r="Y30" s="620"/>
      <c r="Z30" s="79">
        <f>$Y$8/$Y$7*Z25</f>
        <v>40597.077609129177</v>
      </c>
      <c r="AA30" s="737">
        <f>Z30*(SUM(District!$B$27:$B$30)+District!$B$26*5/7)</f>
        <v>34561.951263358453</v>
      </c>
      <c r="AB30" s="738">
        <v>0</v>
      </c>
      <c r="AC30" s="79">
        <f>Z30-AB30</f>
        <v>40597.077609129177</v>
      </c>
      <c r="AD30" s="235">
        <f>IFERROR(AA30/Z30,0)</f>
        <v>0.85134086734327918</v>
      </c>
    </row>
    <row r="31" spans="1:33" ht="15" customHeight="1" x14ac:dyDescent="0.25">
      <c r="A31" s="61"/>
      <c r="D31" s="83"/>
      <c r="Z31" s="84"/>
      <c r="AA31" s="739"/>
      <c r="AB31" s="739"/>
      <c r="AC31" s="84"/>
    </row>
    <row r="32" spans="1:33" ht="15" customHeight="1" x14ac:dyDescent="0.25">
      <c r="D32" s="83"/>
      <c r="X32" s="8" t="s">
        <v>497</v>
      </c>
      <c r="Z32" s="84"/>
      <c r="AA32" s="739"/>
      <c r="AB32" s="739"/>
      <c r="AC32" s="84"/>
    </row>
    <row r="33" spans="1:33" ht="15" customHeight="1" x14ac:dyDescent="0.25">
      <c r="B33" s="8" t="s">
        <v>3</v>
      </c>
      <c r="H33" s="8"/>
      <c r="Z33" s="78" t="s">
        <v>23</v>
      </c>
      <c r="AA33" s="740" t="s">
        <v>336</v>
      </c>
      <c r="AB33" s="740" t="s">
        <v>53</v>
      </c>
      <c r="AC33" s="78" t="s">
        <v>195</v>
      </c>
      <c r="AD33" s="78" t="s">
        <v>354</v>
      </c>
    </row>
    <row r="34" spans="1:33" ht="17.25" customHeight="1" x14ac:dyDescent="0.25">
      <c r="A34" s="9" t="s">
        <v>18</v>
      </c>
      <c r="B34" s="398" t="s">
        <v>522</v>
      </c>
      <c r="C34" s="42"/>
      <c r="D34" s="42"/>
      <c r="E34" s="24"/>
      <c r="F34" s="24"/>
      <c r="G34" s="24"/>
      <c r="H34" s="24"/>
      <c r="I34" s="24"/>
      <c r="J34" s="24"/>
      <c r="K34" s="24"/>
      <c r="L34" s="24"/>
      <c r="M34" s="24"/>
      <c r="N34" s="24"/>
      <c r="O34" s="24"/>
      <c r="P34" s="24"/>
      <c r="Q34" s="24"/>
      <c r="R34" s="24"/>
      <c r="S34" s="24"/>
      <c r="T34" s="24"/>
      <c r="U34" s="24"/>
      <c r="V34" s="24"/>
      <c r="X34" s="620" t="s">
        <v>125</v>
      </c>
      <c r="Y34" s="620"/>
      <c r="Z34" s="79">
        <f>$Y$9/$Y$7*Z24</f>
        <v>0</v>
      </c>
      <c r="AA34" s="737">
        <f>Z34*(SUM(District!$B$27:$B$30)+District!$B$26*5/7)</f>
        <v>0</v>
      </c>
      <c r="AB34" s="737">
        <f>SUM($Z34:$Z35)*District!$C$11</f>
        <v>0</v>
      </c>
      <c r="AC34" s="79">
        <f>Z34-AB34</f>
        <v>0</v>
      </c>
      <c r="AD34" s="190">
        <f>IFERROR(AA34/Z34,0)</f>
        <v>0</v>
      </c>
    </row>
    <row r="35" spans="1:33" ht="17.25" customHeight="1" x14ac:dyDescent="0.25">
      <c r="B35" s="398"/>
      <c r="C35" s="42"/>
      <c r="D35" s="42"/>
      <c r="E35" s="24"/>
      <c r="F35" s="24"/>
      <c r="G35" s="24"/>
      <c r="H35" s="24"/>
      <c r="I35" s="24"/>
      <c r="J35" s="47"/>
      <c r="K35" s="47"/>
      <c r="L35" s="24"/>
      <c r="M35" s="24"/>
      <c r="N35" s="24"/>
      <c r="O35" s="24"/>
      <c r="P35" s="47"/>
      <c r="Q35" s="47"/>
      <c r="R35" s="24"/>
      <c r="S35" s="24"/>
      <c r="T35" s="24"/>
      <c r="U35" s="24"/>
      <c r="V35" s="24"/>
      <c r="X35" s="620" t="s">
        <v>124</v>
      </c>
      <c r="Y35" s="620"/>
      <c r="Z35" s="79">
        <f>$Y$9/$Y$7*Z25</f>
        <v>0</v>
      </c>
      <c r="AA35" s="737">
        <f>Z35*(SUM(District!$B$27:$B$30)+District!$B$26*5/7)</f>
        <v>0</v>
      </c>
      <c r="AB35" s="738">
        <v>0</v>
      </c>
      <c r="AC35" s="79">
        <f>Z35-AB35</f>
        <v>0</v>
      </c>
      <c r="AD35" s="190">
        <f>IFERROR(AA35/Z35,0)</f>
        <v>0</v>
      </c>
    </row>
    <row r="36" spans="1:33" ht="17.25" customHeight="1" x14ac:dyDescent="0.25">
      <c r="A36" s="9" t="s">
        <v>17</v>
      </c>
      <c r="B36" s="624" t="s">
        <v>695</v>
      </c>
      <c r="C36" s="624"/>
      <c r="D36" s="624"/>
      <c r="E36" s="624"/>
      <c r="F36" s="624"/>
      <c r="G36" s="624"/>
      <c r="H36" s="624"/>
      <c r="I36" s="624"/>
      <c r="J36" s="624"/>
      <c r="K36" s="624"/>
      <c r="L36" s="624"/>
      <c r="M36" s="624"/>
      <c r="N36" s="624"/>
      <c r="O36" s="624"/>
      <c r="P36" s="624"/>
      <c r="Q36" s="624"/>
      <c r="R36" s="624"/>
      <c r="S36" s="624"/>
      <c r="T36" s="24"/>
      <c r="U36" s="24"/>
      <c r="V36" s="24"/>
      <c r="Z36" s="84"/>
      <c r="AA36" s="84"/>
      <c r="AB36" s="84"/>
      <c r="AC36" s="84"/>
    </row>
    <row r="37" spans="1:33" ht="15" customHeight="1" x14ac:dyDescent="0.25">
      <c r="B37" s="624"/>
      <c r="C37" s="624"/>
      <c r="D37" s="624"/>
      <c r="E37" s="624"/>
      <c r="F37" s="624"/>
      <c r="G37" s="624"/>
      <c r="H37" s="624"/>
      <c r="I37" s="624"/>
      <c r="J37" s="624"/>
      <c r="K37" s="624"/>
      <c r="L37" s="624"/>
      <c r="M37" s="624"/>
      <c r="N37" s="624"/>
      <c r="O37" s="624"/>
      <c r="P37" s="624"/>
      <c r="Q37" s="624"/>
      <c r="R37" s="624"/>
      <c r="S37" s="624"/>
      <c r="T37" s="24"/>
      <c r="U37" s="24"/>
      <c r="V37" s="24"/>
      <c r="X37" s="8" t="s">
        <v>498</v>
      </c>
      <c r="Z37" s="84"/>
      <c r="AA37" s="84"/>
      <c r="AB37" s="84"/>
      <c r="AC37" s="84"/>
    </row>
    <row r="38" spans="1:33" ht="17.25" customHeight="1" x14ac:dyDescent="0.25">
      <c r="B38" s="624"/>
      <c r="C38" s="624"/>
      <c r="D38" s="624"/>
      <c r="E38" s="624"/>
      <c r="F38" s="624"/>
      <c r="G38" s="624"/>
      <c r="H38" s="624"/>
      <c r="I38" s="624"/>
      <c r="J38" s="624"/>
      <c r="K38" s="624"/>
      <c r="L38" s="624"/>
      <c r="M38" s="624"/>
      <c r="N38" s="624"/>
      <c r="O38" s="624"/>
      <c r="P38" s="624"/>
      <c r="Q38" s="624"/>
      <c r="R38" s="624"/>
      <c r="S38" s="624"/>
      <c r="T38" s="189"/>
      <c r="U38" s="189"/>
      <c r="V38" s="189"/>
      <c r="X38" s="620" t="s">
        <v>510</v>
      </c>
      <c r="Y38" s="620"/>
      <c r="Z38" s="620"/>
      <c r="AA38" s="85">
        <v>21.6</v>
      </c>
    </row>
    <row r="39" spans="1:33" ht="15" customHeight="1" x14ac:dyDescent="0.25">
      <c r="B39" s="733"/>
      <c r="C39" s="733"/>
      <c r="D39" s="733"/>
      <c r="E39" s="733"/>
      <c r="F39" s="733"/>
      <c r="G39" s="733"/>
      <c r="H39" s="733"/>
      <c r="I39" s="733"/>
      <c r="J39" s="733"/>
      <c r="K39" s="733"/>
      <c r="L39" s="733"/>
      <c r="M39" s="733"/>
      <c r="N39" s="733"/>
      <c r="O39" s="733"/>
      <c r="P39" s="733"/>
      <c r="Q39" s="733"/>
      <c r="R39" s="733"/>
      <c r="S39" s="733"/>
      <c r="X39" s="621" t="s">
        <v>511</v>
      </c>
      <c r="Y39" s="621"/>
      <c r="Z39" s="621"/>
      <c r="AA39" s="109">
        <f>16.6/60</f>
        <v>0.27666666666666667</v>
      </c>
      <c r="AB39" s="127"/>
    </row>
    <row r="40" spans="1:33" ht="15" customHeight="1" x14ac:dyDescent="0.25">
      <c r="A40" s="9" t="s">
        <v>19</v>
      </c>
      <c r="B40" s="734" t="s">
        <v>693</v>
      </c>
      <c r="C40" s="735"/>
      <c r="D40" s="735"/>
      <c r="E40" s="735"/>
      <c r="F40" s="735"/>
      <c r="G40" s="735"/>
      <c r="H40" s="735"/>
      <c r="I40" s="735"/>
      <c r="J40" s="735"/>
      <c r="K40" s="735"/>
      <c r="L40" s="735"/>
      <c r="M40" s="735"/>
      <c r="N40" s="735"/>
      <c r="O40" s="735"/>
      <c r="P40" s="735"/>
      <c r="Q40" s="735"/>
      <c r="R40" s="735"/>
      <c r="S40" s="735"/>
      <c r="X40" s="621" t="s">
        <v>512</v>
      </c>
      <c r="Y40" s="621"/>
      <c r="Z40" s="621"/>
      <c r="AA40" s="94">
        <v>0.4</v>
      </c>
    </row>
    <row r="41" spans="1:33" ht="17.25" customHeight="1" x14ac:dyDescent="0.25">
      <c r="C41" s="24"/>
      <c r="D41" s="24"/>
      <c r="E41" s="24"/>
      <c r="F41" s="24"/>
      <c r="G41" s="24"/>
      <c r="H41" s="24"/>
      <c r="I41" s="24"/>
      <c r="J41" s="24"/>
      <c r="K41" s="24"/>
      <c r="L41" s="24"/>
      <c r="M41" s="24"/>
      <c r="N41" s="24"/>
      <c r="O41" s="24"/>
      <c r="P41" s="24"/>
      <c r="Q41" s="24"/>
      <c r="R41" s="24"/>
      <c r="S41" s="24"/>
      <c r="AG41" s="95" t="s">
        <v>66</v>
      </c>
    </row>
    <row r="42" spans="1:33" ht="27" customHeight="1" x14ac:dyDescent="0.25">
      <c r="A42" s="9" t="s">
        <v>20</v>
      </c>
      <c r="B42" s="624" t="s">
        <v>694</v>
      </c>
      <c r="C42" s="624"/>
      <c r="D42" s="624"/>
      <c r="E42" s="624"/>
      <c r="F42" s="624"/>
      <c r="G42" s="624"/>
      <c r="H42" s="624"/>
      <c r="I42" s="624"/>
      <c r="J42" s="624"/>
      <c r="K42" s="624"/>
      <c r="L42" s="624"/>
      <c r="M42" s="624"/>
      <c r="N42" s="624"/>
      <c r="O42" s="624"/>
      <c r="P42" s="624"/>
      <c r="Q42" s="624"/>
      <c r="R42" s="624"/>
      <c r="S42" s="624"/>
      <c r="T42" s="24"/>
      <c r="U42" s="24"/>
      <c r="V42" s="24"/>
      <c r="W42" s="24"/>
      <c r="X42" s="8" t="s">
        <v>513</v>
      </c>
      <c r="AG42" s="95" t="s">
        <v>66</v>
      </c>
    </row>
    <row r="43" spans="1:33" ht="15" customHeight="1" x14ac:dyDescent="0.25">
      <c r="B43" s="624"/>
      <c r="C43" s="624"/>
      <c r="D43" s="624"/>
      <c r="E43" s="624"/>
      <c r="F43" s="624"/>
      <c r="G43" s="624"/>
      <c r="H43" s="624"/>
      <c r="I43" s="624"/>
      <c r="J43" s="624"/>
      <c r="K43" s="624"/>
      <c r="L43" s="624"/>
      <c r="M43" s="624"/>
      <c r="N43" s="624"/>
      <c r="O43" s="624"/>
      <c r="P43" s="624"/>
      <c r="Q43" s="624"/>
      <c r="R43" s="624"/>
      <c r="S43" s="624"/>
      <c r="T43" s="24"/>
      <c r="U43" s="24"/>
      <c r="V43" s="24"/>
      <c r="W43" s="24"/>
      <c r="X43" s="198" t="s">
        <v>122</v>
      </c>
      <c r="Y43" s="199"/>
      <c r="Z43" s="199"/>
      <c r="AA43" s="139">
        <v>7.2</v>
      </c>
      <c r="AG43" s="95" t="s">
        <v>55</v>
      </c>
    </row>
    <row r="44" spans="1:33" ht="15" customHeight="1" x14ac:dyDescent="0.25">
      <c r="J44"/>
      <c r="K44"/>
      <c r="P44"/>
      <c r="Q44"/>
      <c r="T44" s="24"/>
      <c r="U44" s="24"/>
      <c r="V44" s="24"/>
      <c r="W44" s="24"/>
      <c r="X44" s="198" t="s">
        <v>123</v>
      </c>
      <c r="Y44" s="199"/>
      <c r="Z44" s="199"/>
      <c r="AA44" s="443">
        <v>6.42</v>
      </c>
      <c r="AC44" s="93"/>
      <c r="AG44" s="95" t="s">
        <v>67</v>
      </c>
    </row>
    <row r="45" spans="1:33" ht="17.25" customHeight="1" x14ac:dyDescent="0.25">
      <c r="A45" s="9" t="s">
        <v>57</v>
      </c>
      <c r="B45" s="624" t="s">
        <v>523</v>
      </c>
      <c r="C45" s="624"/>
      <c r="D45" s="624"/>
      <c r="E45" s="624"/>
      <c r="F45" s="624"/>
      <c r="G45" s="624"/>
      <c r="H45" s="624"/>
      <c r="I45" s="624"/>
      <c r="J45" s="624"/>
      <c r="K45" s="624"/>
      <c r="L45" s="624"/>
      <c r="M45" s="624"/>
      <c r="N45" s="624"/>
      <c r="O45" s="624"/>
      <c r="P45" s="624"/>
      <c r="Q45" s="624"/>
      <c r="R45" s="624"/>
      <c r="S45" s="624"/>
      <c r="T45" s="24"/>
      <c r="U45" s="24"/>
      <c r="V45" s="24"/>
      <c r="W45" s="24"/>
      <c r="AG45" s="95" t="s">
        <v>68</v>
      </c>
    </row>
    <row r="46" spans="1:33" ht="15" customHeight="1" x14ac:dyDescent="0.25">
      <c r="B46" s="624"/>
      <c r="C46" s="624"/>
      <c r="D46" s="624"/>
      <c r="E46" s="624"/>
      <c r="F46" s="624"/>
      <c r="G46" s="624"/>
      <c r="H46" s="624"/>
      <c r="I46" s="624"/>
      <c r="J46" s="624"/>
      <c r="K46" s="624"/>
      <c r="L46" s="624"/>
      <c r="M46" s="624"/>
      <c r="N46" s="624"/>
      <c r="O46" s="624"/>
      <c r="P46" s="624"/>
      <c r="Q46" s="624"/>
      <c r="R46" s="624"/>
      <c r="S46" s="624"/>
      <c r="T46" s="24"/>
      <c r="U46" s="24"/>
      <c r="V46" s="24"/>
      <c r="W46" s="24"/>
      <c r="X46" s="8" t="s">
        <v>514</v>
      </c>
      <c r="AG46" s="125"/>
    </row>
    <row r="47" spans="1:33" ht="15" customHeight="1" x14ac:dyDescent="0.25">
      <c r="B47" s="398"/>
      <c r="C47" s="42"/>
      <c r="D47" s="42"/>
      <c r="E47" s="24"/>
      <c r="F47" s="24"/>
      <c r="G47" s="24"/>
      <c r="H47" s="24"/>
      <c r="I47" s="24"/>
      <c r="J47" s="24"/>
      <c r="K47" s="24"/>
      <c r="L47" s="24"/>
      <c r="M47" s="24"/>
      <c r="N47" s="24"/>
      <c r="O47" s="24"/>
      <c r="P47" s="24"/>
      <c r="Q47" s="24"/>
      <c r="R47" s="24"/>
      <c r="S47" s="24"/>
      <c r="T47" s="24"/>
      <c r="U47" s="24"/>
      <c r="V47" s="24"/>
      <c r="W47" s="24"/>
      <c r="X47" s="621" t="s">
        <v>360</v>
      </c>
      <c r="Y47" s="621"/>
      <c r="Z47" s="621"/>
      <c r="AA47" s="86">
        <v>10</v>
      </c>
      <c r="AG47" s="125"/>
    </row>
    <row r="48" spans="1:33" ht="16.5" customHeight="1" x14ac:dyDescent="0.25">
      <c r="A48" s="9" t="s">
        <v>521</v>
      </c>
      <c r="B48" s="624" t="s">
        <v>519</v>
      </c>
      <c r="C48" s="624"/>
      <c r="D48" s="624"/>
      <c r="E48" s="624"/>
      <c r="F48" s="624"/>
      <c r="G48" s="624"/>
      <c r="H48" s="624"/>
      <c r="I48" s="624"/>
      <c r="J48" s="624"/>
      <c r="K48" s="624"/>
      <c r="L48" s="624"/>
      <c r="M48" s="624"/>
      <c r="N48" s="624"/>
      <c r="O48" s="624"/>
      <c r="P48" s="624"/>
      <c r="Q48" s="624"/>
      <c r="R48" s="624"/>
      <c r="S48" s="624"/>
      <c r="W48" s="24"/>
      <c r="X48" s="621" t="s">
        <v>58</v>
      </c>
      <c r="Y48" s="621"/>
      <c r="Z48" s="621"/>
      <c r="AA48" s="87">
        <f>365-90</f>
        <v>275</v>
      </c>
      <c r="AG48" s="95" t="s">
        <v>69</v>
      </c>
    </row>
    <row r="49" spans="1:39" ht="34.5" customHeight="1" x14ac:dyDescent="0.25">
      <c r="B49" s="624"/>
      <c r="C49" s="624"/>
      <c r="D49" s="624"/>
      <c r="E49" s="624"/>
      <c r="F49" s="624"/>
      <c r="G49" s="624"/>
      <c r="H49" s="624"/>
      <c r="I49" s="624"/>
      <c r="J49" s="624"/>
      <c r="K49" s="624"/>
      <c r="L49" s="624"/>
      <c r="M49" s="624"/>
      <c r="N49" s="624"/>
      <c r="O49" s="624"/>
      <c r="P49" s="624"/>
      <c r="Q49" s="624"/>
      <c r="R49" s="624"/>
      <c r="S49" s="624"/>
      <c r="W49" s="24"/>
      <c r="X49" s="125"/>
      <c r="Y49" s="125"/>
      <c r="Z49" s="125"/>
      <c r="AA49" s="61"/>
    </row>
    <row r="50" spans="1:39" x14ac:dyDescent="0.25">
      <c r="B50" s="624"/>
      <c r="C50" s="624"/>
      <c r="D50" s="624"/>
      <c r="E50" s="624"/>
      <c r="F50" s="624"/>
      <c r="G50" s="624"/>
      <c r="H50" s="624"/>
      <c r="I50" s="624"/>
      <c r="J50" s="624"/>
      <c r="K50" s="624"/>
      <c r="L50" s="624"/>
      <c r="M50" s="624"/>
      <c r="N50" s="624"/>
      <c r="O50" s="624"/>
      <c r="P50" s="624"/>
      <c r="Q50" s="624"/>
      <c r="R50" s="624"/>
      <c r="S50" s="624"/>
      <c r="W50" s="24"/>
      <c r="X50" s="8" t="s">
        <v>515</v>
      </c>
    </row>
    <row r="51" spans="1:39" ht="18" customHeight="1" x14ac:dyDescent="0.25">
      <c r="B51" s="624"/>
      <c r="C51" s="624"/>
      <c r="D51" s="624"/>
      <c r="E51" s="624"/>
      <c r="F51" s="624"/>
      <c r="G51" s="624"/>
      <c r="H51" s="624"/>
      <c r="I51" s="624"/>
      <c r="J51" s="624"/>
      <c r="K51" s="624"/>
      <c r="L51" s="624"/>
      <c r="M51" s="624"/>
      <c r="N51" s="624"/>
      <c r="O51" s="624"/>
      <c r="P51" s="624"/>
      <c r="Q51" s="624"/>
      <c r="R51" s="624"/>
      <c r="S51" s="624"/>
      <c r="T51" s="24"/>
      <c r="U51" s="24"/>
      <c r="V51" s="24"/>
      <c r="W51" s="24"/>
      <c r="X51" s="621" t="s">
        <v>116</v>
      </c>
      <c r="Y51" s="621"/>
      <c r="Z51" s="621"/>
      <c r="AA51" s="137">
        <v>1.49</v>
      </c>
      <c r="AG51" s="95" t="s">
        <v>70</v>
      </c>
    </row>
    <row r="52" spans="1:39" x14ac:dyDescent="0.25">
      <c r="B52" s="398"/>
      <c r="C52" s="42"/>
      <c r="D52" s="42"/>
      <c r="E52" s="24"/>
      <c r="F52" s="24"/>
      <c r="G52" s="24"/>
      <c r="H52" s="24"/>
      <c r="I52" s="24"/>
      <c r="J52" s="24"/>
      <c r="K52" s="24"/>
      <c r="L52" s="24"/>
      <c r="M52" s="24"/>
      <c r="N52" s="24"/>
      <c r="O52" s="24"/>
      <c r="P52" s="24"/>
      <c r="Q52" s="24"/>
      <c r="R52" s="24"/>
      <c r="S52" s="24"/>
      <c r="T52" s="24"/>
      <c r="U52" s="24"/>
      <c r="V52" s="24"/>
      <c r="W52" s="24"/>
      <c r="X52" s="212" t="s">
        <v>362</v>
      </c>
      <c r="Y52" s="212"/>
      <c r="Z52" s="212"/>
      <c r="AA52" s="137">
        <f>$AA$51*$AC$19</f>
        <v>1.2813999999999999</v>
      </c>
      <c r="AG52" s="91" t="s">
        <v>71</v>
      </c>
    </row>
    <row r="53" spans="1:39" ht="15" customHeight="1" x14ac:dyDescent="0.25">
      <c r="A53" s="9" t="s">
        <v>524</v>
      </c>
      <c r="B53" s="624" t="s">
        <v>520</v>
      </c>
      <c r="C53" s="624"/>
      <c r="D53" s="624"/>
      <c r="E53" s="624"/>
      <c r="F53" s="624"/>
      <c r="G53" s="624"/>
      <c r="H53" s="624"/>
      <c r="I53" s="624"/>
      <c r="J53" s="624"/>
      <c r="K53" s="624"/>
      <c r="L53" s="624"/>
      <c r="M53" s="624"/>
      <c r="N53" s="624"/>
      <c r="O53" s="624"/>
      <c r="P53" s="624"/>
      <c r="Q53" s="624"/>
      <c r="R53" s="624"/>
      <c r="S53" s="624"/>
      <c r="W53" s="24"/>
      <c r="X53" s="212" t="s">
        <v>361</v>
      </c>
      <c r="Y53" s="212"/>
      <c r="Z53" s="212"/>
      <c r="AA53" s="137">
        <f>$AA$51*$AC$18</f>
        <v>1.639</v>
      </c>
    </row>
    <row r="54" spans="1:39" x14ac:dyDescent="0.25">
      <c r="B54" s="624"/>
      <c r="C54" s="624"/>
      <c r="D54" s="624"/>
      <c r="E54" s="624"/>
      <c r="F54" s="624"/>
      <c r="G54" s="624"/>
      <c r="H54" s="624"/>
      <c r="I54" s="624"/>
      <c r="J54" s="624"/>
      <c r="K54" s="624"/>
      <c r="L54" s="624"/>
      <c r="M54" s="624"/>
      <c r="N54" s="624"/>
      <c r="O54" s="624"/>
      <c r="P54" s="624"/>
      <c r="Q54" s="624"/>
      <c r="R54" s="624"/>
      <c r="S54" s="624"/>
      <c r="W54" s="24"/>
      <c r="AH54" s="97"/>
      <c r="AI54" s="97"/>
      <c r="AJ54" s="97"/>
      <c r="AK54" s="97"/>
    </row>
    <row r="55" spans="1:39" x14ac:dyDescent="0.25">
      <c r="B55" s="624"/>
      <c r="C55" s="624"/>
      <c r="D55" s="624"/>
      <c r="E55" s="624"/>
      <c r="F55" s="624"/>
      <c r="G55" s="624"/>
      <c r="H55" s="624"/>
      <c r="I55" s="624"/>
      <c r="J55" s="624"/>
      <c r="K55" s="624"/>
      <c r="L55" s="624"/>
      <c r="M55" s="624"/>
      <c r="N55" s="624"/>
      <c r="O55" s="624"/>
      <c r="P55" s="624"/>
      <c r="Q55" s="624"/>
      <c r="R55" s="624"/>
      <c r="S55" s="624"/>
      <c r="W55" s="24"/>
      <c r="X55" s="8" t="s">
        <v>516</v>
      </c>
      <c r="AG55" s="628" t="s">
        <v>72</v>
      </c>
      <c r="AH55" s="628"/>
      <c r="AI55" s="628"/>
      <c r="AJ55" s="628"/>
      <c r="AK55" s="628"/>
      <c r="AL55" s="628"/>
      <c r="AM55" s="628"/>
    </row>
    <row r="56" spans="1:39" x14ac:dyDescent="0.25">
      <c r="W56" s="24"/>
      <c r="X56" s="620" t="s">
        <v>59</v>
      </c>
      <c r="Y56" s="620"/>
      <c r="Z56" s="88">
        <v>0.12</v>
      </c>
      <c r="AG56" s="628"/>
      <c r="AH56" s="628"/>
      <c r="AI56" s="628"/>
      <c r="AJ56" s="628"/>
      <c r="AK56" s="628"/>
      <c r="AL56" s="628"/>
      <c r="AM56" s="628"/>
    </row>
    <row r="57" spans="1:39" ht="15" customHeight="1" x14ac:dyDescent="0.25">
      <c r="W57" s="24"/>
      <c r="X57" s="629"/>
      <c r="Y57" s="629"/>
    </row>
    <row r="58" spans="1:39" x14ac:dyDescent="0.25">
      <c r="W58" s="24"/>
      <c r="X58" s="89" t="s">
        <v>517</v>
      </c>
    </row>
    <row r="59" spans="1:39" x14ac:dyDescent="0.25">
      <c r="W59" s="24"/>
      <c r="X59" s="622" t="s">
        <v>75</v>
      </c>
      <c r="Y59" s="623"/>
      <c r="Z59" s="401">
        <v>1.5229999999999999</v>
      </c>
    </row>
    <row r="60" spans="1:39" x14ac:dyDescent="0.25">
      <c r="W60" s="24"/>
      <c r="X60" s="622" t="s">
        <v>533</v>
      </c>
      <c r="Y60" s="623"/>
      <c r="Z60" s="401">
        <v>1.3180000000000001</v>
      </c>
    </row>
    <row r="61" spans="1:39" x14ac:dyDescent="0.25">
      <c r="W61" s="24"/>
      <c r="Z61" s="39"/>
    </row>
    <row r="62" spans="1:39" x14ac:dyDescent="0.25">
      <c r="W62" s="24"/>
      <c r="X62" s="89" t="s">
        <v>499</v>
      </c>
    </row>
    <row r="63" spans="1:39" x14ac:dyDescent="0.25">
      <c r="X63" s="621" t="s">
        <v>60</v>
      </c>
      <c r="Y63" s="621"/>
      <c r="Z63" s="96">
        <v>0</v>
      </c>
    </row>
    <row r="64" spans="1:39" x14ac:dyDescent="0.25">
      <c r="X64" s="621" t="s">
        <v>61</v>
      </c>
      <c r="Y64" s="621"/>
      <c r="Z64" s="96">
        <v>0.75</v>
      </c>
      <c r="AG64" s="91" t="s">
        <v>62</v>
      </c>
    </row>
  </sheetData>
  <mergeCells count="56">
    <mergeCell ref="X63:Y63"/>
    <mergeCell ref="X64:Y64"/>
    <mergeCell ref="B53:S55"/>
    <mergeCell ref="AG55:AM56"/>
    <mergeCell ref="X56:Y56"/>
    <mergeCell ref="X57:Y57"/>
    <mergeCell ref="X59:Y59"/>
    <mergeCell ref="X60:Y60"/>
    <mergeCell ref="X40:Z40"/>
    <mergeCell ref="B45:S46"/>
    <mergeCell ref="X47:Z47"/>
    <mergeCell ref="B48:S51"/>
    <mergeCell ref="X48:Z48"/>
    <mergeCell ref="X51:Z51"/>
    <mergeCell ref="B42:S43"/>
    <mergeCell ref="X30:Y30"/>
    <mergeCell ref="X34:Y34"/>
    <mergeCell ref="X35:Y35"/>
    <mergeCell ref="X38:Z38"/>
    <mergeCell ref="X39:Z39"/>
    <mergeCell ref="B36:S38"/>
    <mergeCell ref="X29:Y29"/>
    <mergeCell ref="S5:S6"/>
    <mergeCell ref="T5:T6"/>
    <mergeCell ref="U5:U6"/>
    <mergeCell ref="V5:V6"/>
    <mergeCell ref="X15:Z15"/>
    <mergeCell ref="X16:Z16"/>
    <mergeCell ref="X17:Z17"/>
    <mergeCell ref="X18:AA18"/>
    <mergeCell ref="X19:AA19"/>
    <mergeCell ref="X24:Y24"/>
    <mergeCell ref="X25:Y25"/>
    <mergeCell ref="Z3:Z5"/>
    <mergeCell ref="R5:R6"/>
    <mergeCell ref="G5:G6"/>
    <mergeCell ref="H5:H6"/>
    <mergeCell ref="I5:I6"/>
    <mergeCell ref="J5:J6"/>
    <mergeCell ref="K5:K6"/>
    <mergeCell ref="L5:L6"/>
    <mergeCell ref="M5:M6"/>
    <mergeCell ref="N5:N6"/>
    <mergeCell ref="O5:O6"/>
    <mergeCell ref="P5:P6"/>
    <mergeCell ref="Q5:Q6"/>
    <mergeCell ref="C4:E4"/>
    <mergeCell ref="F4:H4"/>
    <mergeCell ref="I4:N4"/>
    <mergeCell ref="O4:T4"/>
    <mergeCell ref="U4:V4"/>
    <mergeCell ref="B5:B6"/>
    <mergeCell ref="C5:C6"/>
    <mergeCell ref="D5:D6"/>
    <mergeCell ref="E5:E6"/>
    <mergeCell ref="F5:F6"/>
  </mergeCells>
  <pageMargins left="0.7" right="0.7" top="0.75" bottom="0.75" header="0.3" footer="0.3"/>
  <pageSetup scale="27" orientation="portrait" horizontalDpi="300" verticalDpi="1200" r:id="rId1"/>
  <colBreaks count="2" manualBreakCount="2">
    <brk id="22" max="65" man="1"/>
    <brk id="32" max="6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9FE82-5618-4010-82F7-1E85E26B65DD}">
  <sheetPr>
    <tabColor rgb="FF00B050"/>
  </sheetPr>
  <dimension ref="A1:AW64"/>
  <sheetViews>
    <sheetView view="pageBreakPreview" topLeftCell="L9" zoomScale="85" zoomScaleNormal="100" zoomScaleSheetLayoutView="85" workbookViewId="0">
      <selection activeCell="X28" sqref="X28"/>
    </sheetView>
  </sheetViews>
  <sheetFormatPr defaultRowHeight="15" x14ac:dyDescent="0.25"/>
  <cols>
    <col min="1" max="1" width="9.140625" style="9"/>
    <col min="2" max="2" width="10.140625" customWidth="1"/>
    <col min="3" max="5" width="11.42578125" customWidth="1"/>
    <col min="6" max="6" width="12.5703125" customWidth="1"/>
    <col min="7" max="8" width="11.42578125" customWidth="1"/>
    <col min="9" max="9" width="12.5703125" customWidth="1"/>
    <col min="10" max="10" width="13.7109375" style="23" bestFit="1" customWidth="1"/>
    <col min="11" max="11" width="11.42578125" style="23" customWidth="1"/>
    <col min="12" max="13" width="12.5703125" customWidth="1"/>
    <col min="14" max="14" width="15.28515625" customWidth="1"/>
    <col min="15" max="15" width="12.5703125" customWidth="1"/>
    <col min="16" max="16" width="13.7109375" style="23" bestFit="1" customWidth="1"/>
    <col min="17" max="17" width="11.42578125" style="23" customWidth="1"/>
    <col min="18" max="19" width="12.5703125" customWidth="1"/>
    <col min="20" max="20" width="15.28515625" customWidth="1"/>
    <col min="21" max="21" width="14" customWidth="1"/>
    <col min="22" max="22" width="13.140625" bestFit="1" customWidth="1"/>
    <col min="24" max="24" width="36.7109375" customWidth="1"/>
    <col min="25" max="25" width="12" customWidth="1"/>
    <col min="26" max="26" width="12.140625" customWidth="1"/>
    <col min="27" max="27" width="12.5703125" customWidth="1"/>
    <col min="28" max="29" width="16.5703125" customWidth="1"/>
    <col min="30" max="30" width="16" customWidth="1"/>
    <col min="31" max="31" width="18.140625" customWidth="1"/>
    <col min="32" max="32" width="17.7109375" customWidth="1"/>
    <col min="47" max="47" width="76.140625" customWidth="1"/>
  </cols>
  <sheetData>
    <row r="1" spans="1:49" ht="16.5" customHeight="1" x14ac:dyDescent="0.25"/>
    <row r="2" spans="1:49" ht="16.5" customHeight="1" x14ac:dyDescent="0.25">
      <c r="B2" s="8" t="s">
        <v>74</v>
      </c>
    </row>
    <row r="3" spans="1:49" ht="15.75" customHeight="1" thickBot="1" x14ac:dyDescent="0.3">
      <c r="H3" s="8"/>
      <c r="J3" s="23" t="s">
        <v>348</v>
      </c>
      <c r="K3" s="23" t="s">
        <v>349</v>
      </c>
      <c r="L3" t="s">
        <v>115</v>
      </c>
      <c r="M3" t="s">
        <v>350</v>
      </c>
      <c r="N3" t="s">
        <v>348</v>
      </c>
      <c r="P3" s="23" t="s">
        <v>348</v>
      </c>
      <c r="Q3" s="23" t="s">
        <v>349</v>
      </c>
      <c r="R3" t="s">
        <v>115</v>
      </c>
      <c r="S3" t="s">
        <v>350</v>
      </c>
      <c r="T3" t="s">
        <v>348</v>
      </c>
      <c r="X3" s="402" t="s">
        <v>494</v>
      </c>
      <c r="Y3" s="9" t="s">
        <v>342</v>
      </c>
      <c r="Z3" s="561" t="s">
        <v>674</v>
      </c>
    </row>
    <row r="4" spans="1:49" ht="15.75" thickBot="1" x14ac:dyDescent="0.3">
      <c r="C4" s="625" t="s">
        <v>355</v>
      </c>
      <c r="D4" s="626"/>
      <c r="E4" s="627"/>
      <c r="F4" s="625" t="s">
        <v>356</v>
      </c>
      <c r="G4" s="626"/>
      <c r="H4" s="627"/>
      <c r="I4" s="645" t="s">
        <v>365</v>
      </c>
      <c r="J4" s="646"/>
      <c r="K4" s="646"/>
      <c r="L4" s="646"/>
      <c r="M4" s="646"/>
      <c r="N4" s="646"/>
      <c r="O4" s="645" t="s">
        <v>375</v>
      </c>
      <c r="P4" s="646"/>
      <c r="Q4" s="646"/>
      <c r="R4" s="646"/>
      <c r="S4" s="646"/>
      <c r="T4" s="646"/>
      <c r="U4" s="651" t="s">
        <v>2</v>
      </c>
      <c r="V4" s="652"/>
      <c r="X4" s="96" t="s">
        <v>52</v>
      </c>
      <c r="Y4" s="25">
        <f>'Project Data and Assumptions'!C3</f>
        <v>2021</v>
      </c>
      <c r="Z4" s="493"/>
      <c r="AU4" s="8" t="s">
        <v>98</v>
      </c>
    </row>
    <row r="5" spans="1:49" ht="18" customHeight="1" x14ac:dyDescent="0.25">
      <c r="B5" s="639" t="s">
        <v>0</v>
      </c>
      <c r="C5" s="637" t="s">
        <v>353</v>
      </c>
      <c r="D5" s="643" t="s">
        <v>352</v>
      </c>
      <c r="E5" s="641" t="s">
        <v>351</v>
      </c>
      <c r="F5" s="637" t="s">
        <v>46</v>
      </c>
      <c r="G5" s="643" t="s">
        <v>47</v>
      </c>
      <c r="H5" s="641" t="s">
        <v>48</v>
      </c>
      <c r="I5" s="647" t="s">
        <v>347</v>
      </c>
      <c r="J5" s="633" t="s">
        <v>49</v>
      </c>
      <c r="K5" s="633" t="s">
        <v>50</v>
      </c>
      <c r="L5" s="633" t="s">
        <v>115</v>
      </c>
      <c r="M5" s="633" t="s">
        <v>346</v>
      </c>
      <c r="N5" s="635" t="s">
        <v>51</v>
      </c>
      <c r="O5" s="647" t="s">
        <v>347</v>
      </c>
      <c r="P5" s="633" t="s">
        <v>49</v>
      </c>
      <c r="Q5" s="633" t="s">
        <v>50</v>
      </c>
      <c r="R5" s="633" t="s">
        <v>115</v>
      </c>
      <c r="S5" s="633" t="s">
        <v>346</v>
      </c>
      <c r="T5" s="635" t="s">
        <v>51</v>
      </c>
      <c r="U5" s="637" t="s">
        <v>76</v>
      </c>
      <c r="V5" s="649" t="s">
        <v>1</v>
      </c>
      <c r="X5" s="96" t="s">
        <v>411</v>
      </c>
      <c r="Y5" s="25">
        <f>IFERROR((_xlfn.XLOOKUP($Z$3,'Trail Project Summary'!$B$3:$B$25,'Trail Project Summary'!$L$3:$L$25)),0)</f>
        <v>2030</v>
      </c>
      <c r="Z5" s="494"/>
      <c r="AU5" t="s">
        <v>102</v>
      </c>
      <c r="AV5" s="92">
        <v>0.05</v>
      </c>
      <c r="AW5" t="s">
        <v>117</v>
      </c>
    </row>
    <row r="6" spans="1:49" ht="18.75" customHeight="1" thickBot="1" x14ac:dyDescent="0.3">
      <c r="B6" s="640"/>
      <c r="C6" s="638"/>
      <c r="D6" s="644"/>
      <c r="E6" s="642"/>
      <c r="F6" s="638"/>
      <c r="G6" s="644"/>
      <c r="H6" s="642"/>
      <c r="I6" s="648"/>
      <c r="J6" s="634"/>
      <c r="K6" s="634"/>
      <c r="L6" s="634"/>
      <c r="M6" s="634"/>
      <c r="N6" s="636"/>
      <c r="O6" s="648"/>
      <c r="P6" s="634"/>
      <c r="Q6" s="634"/>
      <c r="R6" s="634"/>
      <c r="S6" s="634"/>
      <c r="T6" s="636"/>
      <c r="U6" s="638"/>
      <c r="V6" s="650"/>
      <c r="X6" s="96" t="s">
        <v>412</v>
      </c>
      <c r="Y6" s="25">
        <f>_xlfn.XLOOKUP($Z$3,'Original Build Years'!$E$1:$E$20,'Original Build Years'!$D$1:$D$20,0)+30</f>
        <v>2029</v>
      </c>
      <c r="AU6" t="s">
        <v>99</v>
      </c>
      <c r="AW6" t="s">
        <v>118</v>
      </c>
    </row>
    <row r="7" spans="1:49" ht="18.75" customHeight="1" x14ac:dyDescent="0.25">
      <c r="A7" s="61">
        <f>(G7+D7)*2.38</f>
        <v>24617.085718868908</v>
      </c>
      <c r="B7" s="213">
        <f>$Y$5</f>
        <v>2030</v>
      </c>
      <c r="C7" s="192">
        <f>IF(OR($B7&lt;$Y$6,$B7&gt;'Project Data and Assumptions'!$C$8),0,$AC$35*(1+$AA$15)^($B7-2020))</f>
        <v>30943.5559959735</v>
      </c>
      <c r="D7" s="191">
        <f>IF(OR($B7&lt;$Y$6,$B7&gt;'Project Data and Assumptions'!$C$8),0,$AB$34*(1+$AA$15)^($B7-2020))</f>
        <v>7621.3887674516745</v>
      </c>
      <c r="E7" s="193">
        <f>IF(OR($B7&lt;$Y$6,$B7&gt;'Project Data and Assumptions'!$C$8),0,$AC$34*(1+$AA$15)^($B7-2020))</f>
        <v>43739.469571906084</v>
      </c>
      <c r="F7" s="192">
        <f>IF($B7&gt;'Project Data and Assumptions'!$C$8,0,$AC$30*(1+$AA$15)^($B7-2020))</f>
        <v>11051.269998561966</v>
      </c>
      <c r="G7" s="191">
        <f>IF($B7&gt;'Project Data and Assumptions'!$C$8,0,$AB$29*(1+$AA$15)^($B7-2020))</f>
        <v>2721.9245598041698</v>
      </c>
      <c r="H7" s="193">
        <f>IF($B7&gt;'Project Data and Assumptions'!$C$8,0,$AC$29*(1+$AA$15)^($B7-2020))</f>
        <v>15621.239132823603</v>
      </c>
      <c r="I7" s="71">
        <f t="shared" ref="I7:I27" si="0">C7*$AA$47*$Z$60</f>
        <v>407836.06802693079</v>
      </c>
      <c r="J7" s="73">
        <f>(D7*$AA$40)*$AA$38*$AA$39</f>
        <v>18218.167709716487</v>
      </c>
      <c r="K7" s="73">
        <f>C7*$AA$43+SUM(D7:E7)*$AA$44</f>
        <v>552530.31370968604</v>
      </c>
      <c r="L7" s="73">
        <f t="shared" ref="L7:L27" si="1">E7*$AA$47*$Z$60</f>
        <v>576486.20895772218</v>
      </c>
      <c r="M7" s="73">
        <f>SUM(D7:E7)*$AA$52</f>
        <v>65813.803876053018</v>
      </c>
      <c r="N7" s="100">
        <f t="shared" ref="N7:N27" si="2">D7*$AC$19*$Z$56*$Z$60</f>
        <v>1036.6430088157349</v>
      </c>
      <c r="O7" s="71">
        <f t="shared" ref="O7:O27" si="3">F7*$AA$47*$Z$60</f>
        <v>145655.73858104672</v>
      </c>
      <c r="P7" s="73">
        <f>(G7*$AA$40)*$AA$38*$AA$39</f>
        <v>6506.4884677558875</v>
      </c>
      <c r="Q7" s="73">
        <f>F7*$AA$43+SUM(G7:H7)*$AA$44</f>
        <v>197332.25489631644</v>
      </c>
      <c r="R7" s="73">
        <f t="shared" ref="R7:R27" si="4">H7*$AA$47*$Z$60</f>
        <v>205887.93177061511</v>
      </c>
      <c r="S7" s="73">
        <f>SUM(G7:H7)*$AA$52</f>
        <v>23504.929955733223</v>
      </c>
      <c r="T7" s="100">
        <f t="shared" ref="T7:T27" si="5">G7*$AC$19*$Z$56*$Z$60</f>
        <v>370.22964600561966</v>
      </c>
      <c r="U7" s="71">
        <f>SUM(I7:T7)</f>
        <v>2201178.7786063976</v>
      </c>
      <c r="V7" s="108">
        <f t="shared" ref="V7:V27" si="6">$U7*(1+0.07)^-($B7-$Y$4)</f>
        <v>1197295.4111441816</v>
      </c>
      <c r="X7" s="96" t="s">
        <v>338</v>
      </c>
      <c r="Y7" s="180">
        <f>'Trail Lengths'!F10</f>
        <v>9.8800000000000008</v>
      </c>
      <c r="AU7" t="s">
        <v>100</v>
      </c>
      <c r="AW7" t="s">
        <v>119</v>
      </c>
    </row>
    <row r="8" spans="1:49" x14ac:dyDescent="0.25">
      <c r="A8" s="61">
        <f t="shared" ref="A8:A27" si="7">(G8+D8)*2.38</f>
        <v>26402.895184936981</v>
      </c>
      <c r="B8" s="2">
        <f>B7+1</f>
        <v>2031</v>
      </c>
      <c r="C8" s="196">
        <f>IF(OR($B8&lt;$Y$6,$B8&gt;'Project Data and Assumptions'!$C$8),0,$AC$35*(1+$AA$15)^($B8-2020))</f>
        <v>33188.309735002033</v>
      </c>
      <c r="D8" s="75">
        <f>IF(OR($B8&lt;$Y$6,$B8&gt;'Project Data and Assumptions'!$C$8),0,$AB$34*(1+$AA$15)^($B8-2020))</f>
        <v>8174.2709550888485</v>
      </c>
      <c r="E8" s="194">
        <f>IF(OR($B8&lt;$Y$6,$B8&gt;'Project Data and Assumptions'!$C$8),0,$AC$34*(1+$AA$15)^($B8-2020))</f>
        <v>46912.483619723891</v>
      </c>
      <c r="F8" s="196">
        <f>IF($B8&gt;'Project Data and Assumptions'!$C$8,0,$AC$30*(1+$AA$15)^($B8-2020))</f>
        <v>11852.967762500728</v>
      </c>
      <c r="G8" s="75">
        <f>IF($B8&gt;'Project Data and Assumptions'!$C$8,0,$AB$29*(1+$AA$15)^($B8-2020))</f>
        <v>2919.3824839603035</v>
      </c>
      <c r="H8" s="194">
        <f>IF($B8&gt;'Project Data and Assumptions'!$C$8,0,$AC$29*(1+$AA$15)^($B8-2020))</f>
        <v>16754.458435615681</v>
      </c>
      <c r="I8" s="15">
        <f t="shared" si="0"/>
        <v>437421.92230732681</v>
      </c>
      <c r="J8" s="74">
        <f t="shared" ref="J8:J26" si="8">(D8*$AA$40)*$AA$38*$AA$39</f>
        <v>19539.777291044385</v>
      </c>
      <c r="K8" s="74">
        <f t="shared" ref="K8:K26" si="9">C8*$AA$43+SUM(D8:E8)*$AA$44</f>
        <v>592612.79446231248</v>
      </c>
      <c r="L8" s="74">
        <f t="shared" si="1"/>
        <v>618306.53410796088</v>
      </c>
      <c r="M8" s="74">
        <f t="shared" ref="M8:M26" si="10">SUM(D8:E8)*$AA$52</f>
        <v>70588.167312165038</v>
      </c>
      <c r="N8" s="76">
        <f t="shared" si="2"/>
        <v>1111.8447170608929</v>
      </c>
      <c r="O8" s="15">
        <f t="shared" si="3"/>
        <v>156222.11510975962</v>
      </c>
      <c r="P8" s="74">
        <f t="shared" ref="P8:P26" si="11">(G8*$AA$40)*$AA$38*$AA$39</f>
        <v>6978.4918896587096</v>
      </c>
      <c r="Q8" s="74">
        <f t="shared" ref="Q8:Q26" si="12">F8*$AA$43+SUM(G8:H8)*$AA$44</f>
        <v>211647.42659368308</v>
      </c>
      <c r="R8" s="74">
        <f t="shared" si="4"/>
        <v>220823.7621814147</v>
      </c>
      <c r="S8" s="74">
        <f t="shared" ref="S8:S26" si="13">SUM(G8:H8)*$AA$52</f>
        <v>25210.059754344664</v>
      </c>
      <c r="T8" s="76">
        <f t="shared" si="5"/>
        <v>397.08739895031897</v>
      </c>
      <c r="U8" s="15">
        <f t="shared" ref="U8:U26" si="14">SUM(I8:T8)</f>
        <v>2360859.9831256815</v>
      </c>
      <c r="V8" s="6">
        <f t="shared" si="6"/>
        <v>1200141.501251122</v>
      </c>
      <c r="X8" s="96" t="s">
        <v>339</v>
      </c>
      <c r="Y8" s="180">
        <f>IFERROR(_xlfn.XLOOKUP($Z$3,'Trail Project Summary'!$B$3:$B$25,'Trail Project Summary'!$C$3:$C$25),0)</f>
        <v>0.5</v>
      </c>
      <c r="AU8" t="s">
        <v>101</v>
      </c>
      <c r="AW8" t="s">
        <v>121</v>
      </c>
    </row>
    <row r="9" spans="1:49" x14ac:dyDescent="0.25">
      <c r="A9" s="61">
        <f t="shared" si="7"/>
        <v>28318.253513348813</v>
      </c>
      <c r="B9" s="2">
        <f t="shared" ref="B9:B27" si="15">B8+1</f>
        <v>2032</v>
      </c>
      <c r="C9" s="196">
        <f>IF(OR($B9&lt;$Y$6,$B9&gt;'Project Data and Assumptions'!$C$8),0,$AC$35*(1+$AA$15)^($B9-2020))</f>
        <v>35595.905758528774</v>
      </c>
      <c r="D9" s="75">
        <f>IF(OR($B9&lt;$Y$6,$B9&gt;'Project Data and Assumptions'!$C$8),0,$AB$34*(1+$AA$15)^($B9-2020))</f>
        <v>8767.2611496435948</v>
      </c>
      <c r="E9" s="194">
        <f>IF(OR($B9&lt;$Y$6,$B9&gt;'Project Data and Assumptions'!$C$8),0,$AC$34*(1+$AA$15)^($B9-2020))</f>
        <v>50315.679200289778</v>
      </c>
      <c r="F9" s="196">
        <f>IF($B9&gt;'Project Data and Assumptions'!$C$8,0,$AC$30*(1+$AA$15)^($B9-2020))</f>
        <v>12712.82348518885</v>
      </c>
      <c r="G9" s="75">
        <f>IF($B9&gt;'Project Data and Assumptions'!$C$8,0,$AB$29*(1+$AA$15)^($B9-2020))</f>
        <v>3131.1646963012845</v>
      </c>
      <c r="H9" s="194">
        <f>IF($B9&gt;'Project Data and Assumptions'!$C$8,0,$AC$29*(1+$AA$15)^($B9-2020))</f>
        <v>17969.885428674923</v>
      </c>
      <c r="I9" s="15">
        <f t="shared" si="0"/>
        <v>469154.03789740923</v>
      </c>
      <c r="J9" s="74">
        <f t="shared" si="8"/>
        <v>20957.26105210805</v>
      </c>
      <c r="K9" s="74">
        <f t="shared" si="9"/>
        <v>635602.99850797944</v>
      </c>
      <c r="L9" s="74">
        <f t="shared" si="1"/>
        <v>663160.65185981931</v>
      </c>
      <c r="M9" s="74">
        <f t="shared" si="10"/>
        <v>75708.879764404614</v>
      </c>
      <c r="N9" s="76">
        <f t="shared" si="2"/>
        <v>1192.5018201477626</v>
      </c>
      <c r="O9" s="15">
        <f t="shared" si="3"/>
        <v>167555.01353478906</v>
      </c>
      <c r="P9" s="74">
        <f t="shared" si="11"/>
        <v>7484.7360900385911</v>
      </c>
      <c r="Q9" s="74">
        <f t="shared" si="12"/>
        <v>227001.070895707</v>
      </c>
      <c r="R9" s="74">
        <f t="shared" si="4"/>
        <v>236843.0899499355</v>
      </c>
      <c r="S9" s="74">
        <f t="shared" si="13"/>
        <v>27038.885630144512</v>
      </c>
      <c r="T9" s="76">
        <f t="shared" si="5"/>
        <v>425.89350719562958</v>
      </c>
      <c r="U9" s="15">
        <f t="shared" si="14"/>
        <v>2532125.0205096789</v>
      </c>
      <c r="V9" s="6">
        <f t="shared" si="6"/>
        <v>1202994.3567969187</v>
      </c>
      <c r="X9" s="96" t="s">
        <v>341</v>
      </c>
      <c r="Y9" s="180">
        <f>IFERROR(_xlfn.XLOOKUP($Z$3,'Trail Project Summary'!$B$3:$B$25,'Trail Project Summary'!$D$3:$D$25),0)</f>
        <v>1.4</v>
      </c>
      <c r="AU9" t="s">
        <v>108</v>
      </c>
      <c r="AW9" t="s">
        <v>120</v>
      </c>
    </row>
    <row r="10" spans="1:49" x14ac:dyDescent="0.25">
      <c r="A10" s="61">
        <f t="shared" si="7"/>
        <v>30372.558631516848</v>
      </c>
      <c r="B10" s="2">
        <f t="shared" si="15"/>
        <v>2033</v>
      </c>
      <c r="C10" s="196">
        <f>IF(OR($B10&lt;$Y$6,$B10&gt;'Project Data and Assumptions'!$C$8),0,$AC$35*(1+$AA$15)^($B10-2020))</f>
        <v>38178.157215212108</v>
      </c>
      <c r="D10" s="75">
        <f>IF(OR($B10&lt;$Y$6,$B10&gt;'Project Data and Assumptions'!$C$8),0,$AB$34*(1+$AA$15)^($B10-2020))</f>
        <v>9403.2689261662072</v>
      </c>
      <c r="E10" s="194">
        <f>IF(OR($B10&lt;$Y$6,$B10&gt;'Project Data and Assumptions'!$C$8),0,$AC$34*(1+$AA$15)^($B10-2020))</f>
        <v>53965.754486766476</v>
      </c>
      <c r="F10" s="196">
        <f>IF($B10&gt;'Project Data and Assumptions'!$C$8,0,$AC$30*(1+$AA$15)^($B10-2020))</f>
        <v>13635.056148290039</v>
      </c>
      <c r="G10" s="75">
        <f>IF($B10&gt;'Project Data and Assumptions'!$C$8,0,$AB$29*(1+$AA$15)^($B10-2020))</f>
        <v>3358.310330773646</v>
      </c>
      <c r="H10" s="194">
        <f>IF($B10&gt;'Project Data and Assumptions'!$C$8,0,$AC$29*(1+$AA$15)^($B10-2020))</f>
        <v>19273.483745273745</v>
      </c>
      <c r="I10" s="15">
        <f t="shared" si="0"/>
        <v>503188.11209649564</v>
      </c>
      <c r="J10" s="74">
        <f t="shared" si="8"/>
        <v>22477.574041107706</v>
      </c>
      <c r="K10" s="74">
        <f t="shared" si="9"/>
        <v>681711.86226055492</v>
      </c>
      <c r="L10" s="74">
        <f t="shared" si="1"/>
        <v>711268.64413558226</v>
      </c>
      <c r="M10" s="74">
        <f t="shared" si="10"/>
        <v>81201.066601331928</v>
      </c>
      <c r="N10" s="76">
        <f t="shared" si="2"/>
        <v>1279.0100714917046</v>
      </c>
      <c r="O10" s="15">
        <f t="shared" si="3"/>
        <v>179710.04003446273</v>
      </c>
      <c r="P10" s="74">
        <f t="shared" si="11"/>
        <v>8027.7050146813244</v>
      </c>
      <c r="Q10" s="74">
        <f t="shared" si="12"/>
        <v>243468.52223591253</v>
      </c>
      <c r="R10" s="74">
        <f t="shared" si="4"/>
        <v>254024.51576270795</v>
      </c>
      <c r="S10" s="74">
        <f t="shared" si="13"/>
        <v>29000.380929047122</v>
      </c>
      <c r="T10" s="76">
        <f t="shared" si="5"/>
        <v>456.78931124703746</v>
      </c>
      <c r="U10" s="15">
        <f t="shared" si="14"/>
        <v>2715814.2224946236</v>
      </c>
      <c r="V10" s="6">
        <f t="shared" si="6"/>
        <v>1205853.993863692</v>
      </c>
      <c r="X10" s="96" t="s">
        <v>340</v>
      </c>
      <c r="Y10" s="180">
        <v>1.3</v>
      </c>
    </row>
    <row r="11" spans="1:49" x14ac:dyDescent="0.25">
      <c r="A11" s="61">
        <f t="shared" si="7"/>
        <v>32575.890225365743</v>
      </c>
      <c r="B11" s="2">
        <f t="shared" si="15"/>
        <v>2034</v>
      </c>
      <c r="C11" s="196">
        <f>IF(OR($B11&lt;$Y$6,$B11&gt;'Project Data and Assumptions'!$C$8),0,$AC$35*(1+$AA$15)^($B11-2020))</f>
        <v>40947.734220816055</v>
      </c>
      <c r="D11" s="75">
        <f>IF(OR($B11&lt;$Y$6,$B11&gt;'Project Data and Assumptions'!$C$8),0,$AB$34*(1+$AA$15)^($B11-2020))</f>
        <v>10085.41493045379</v>
      </c>
      <c r="E11" s="194">
        <f>IF(OR($B11&lt;$Y$6,$B11&gt;'Project Data and Assumptions'!$C$8),0,$AC$34*(1+$AA$15)^($B11-2020))</f>
        <v>57880.618996179292</v>
      </c>
      <c r="F11" s="196">
        <f>IF($B11&gt;'Project Data and Assumptions'!$C$8,0,$AC$30*(1+$AA$15)^($B11-2020))</f>
        <v>14624.190793148593</v>
      </c>
      <c r="G11" s="75">
        <f>IF($B11&gt;'Project Data and Assumptions'!$C$8,0,$AB$29*(1+$AA$15)^($B11-2020))</f>
        <v>3601.9339037334971</v>
      </c>
      <c r="H11" s="194">
        <f>IF($B11&gt;'Project Data and Assumptions'!$C$8,0,$AC$29*(1+$AA$15)^($B11-2020))</f>
        <v>20671.649641492608</v>
      </c>
      <c r="I11" s="15">
        <f t="shared" si="0"/>
        <v>539691.13703035563</v>
      </c>
      <c r="J11" s="74">
        <f t="shared" si="8"/>
        <v>24108.175849756739</v>
      </c>
      <c r="K11" s="74">
        <f t="shared" si="9"/>
        <v>731165.62419886002</v>
      </c>
      <c r="L11" s="74">
        <f t="shared" si="1"/>
        <v>762866.55836964305</v>
      </c>
      <c r="M11" s="74">
        <f t="shared" si="10"/>
        <v>87091.675873587621</v>
      </c>
      <c r="N11" s="76">
        <f t="shared" si="2"/>
        <v>1371.7939338444914</v>
      </c>
      <c r="O11" s="15">
        <f t="shared" si="3"/>
        <v>192746.83465369849</v>
      </c>
      <c r="P11" s="74">
        <f t="shared" si="11"/>
        <v>8610.0628034845522</v>
      </c>
      <c r="Q11" s="74">
        <f t="shared" si="12"/>
        <v>261130.58007102145</v>
      </c>
      <c r="R11" s="74">
        <f t="shared" si="4"/>
        <v>272452.34227487259</v>
      </c>
      <c r="S11" s="74">
        <f t="shared" si="13"/>
        <v>31104.169954852729</v>
      </c>
      <c r="T11" s="76">
        <f t="shared" si="5"/>
        <v>489.92640494446135</v>
      </c>
      <c r="U11" s="15">
        <f t="shared" si="14"/>
        <v>2912828.881418922</v>
      </c>
      <c r="V11" s="6">
        <f t="shared" si="6"/>
        <v>1208720.4285717895</v>
      </c>
      <c r="Y11" s="39"/>
    </row>
    <row r="12" spans="1:49" x14ac:dyDescent="0.25">
      <c r="A12" s="61">
        <f t="shared" si="7"/>
        <v>34939.05919647844</v>
      </c>
      <c r="B12" s="2">
        <f t="shared" si="15"/>
        <v>2035</v>
      </c>
      <c r="C12" s="196">
        <f>IF(OR($B12&lt;$Y$6,$B12&gt;'Project Data and Assumptions'!$C$8),0,$AC$35*(1+$AA$15)^($B12-2020))</f>
        <v>43918.226025600365</v>
      </c>
      <c r="D12" s="75">
        <f>IF(OR($B12&lt;$Y$6,$B12&gt;'Project Data and Assumptions'!$C$8),0,$AB$34*(1+$AA$15)^($B12-2020))</f>
        <v>10817.046190860197</v>
      </c>
      <c r="E12" s="194">
        <f>IF(OR($B12&lt;$Y$6,$B12&gt;'Project Data and Assumptions'!$C$8),0,$AC$34*(1+$AA$15)^($B12-2020))</f>
        <v>62079.4814645351</v>
      </c>
      <c r="F12" s="196">
        <f>IF($B12&gt;'Project Data and Assumptions'!$C$8,0,$AC$30*(1+$AA$15)^($B12-2020))</f>
        <v>15685.080723428702</v>
      </c>
      <c r="G12" s="75">
        <f>IF($B12&gt;'Project Data and Assumptions'!$C$8,0,$AB$29*(1+$AA$15)^($B12-2020))</f>
        <v>3863.2307824500713</v>
      </c>
      <c r="H12" s="194">
        <f>IF($B12&gt;'Project Data and Assumptions'!$C$8,0,$AC$29*(1+$AA$15)^($B12-2020))</f>
        <v>22171.24338019111</v>
      </c>
      <c r="I12" s="15">
        <f t="shared" si="0"/>
        <v>578842.21901741286</v>
      </c>
      <c r="J12" s="74">
        <f t="shared" si="8"/>
        <v>25857.067214632221</v>
      </c>
      <c r="K12" s="74">
        <f t="shared" si="9"/>
        <v>784206.93493196042</v>
      </c>
      <c r="L12" s="74">
        <f t="shared" si="1"/>
        <v>818207.5657025727</v>
      </c>
      <c r="M12" s="74">
        <f t="shared" si="10"/>
        <v>93409.610537623535</v>
      </c>
      <c r="N12" s="76">
        <f t="shared" si="2"/>
        <v>1471.3086619699461</v>
      </c>
      <c r="O12" s="15">
        <f t="shared" si="3"/>
        <v>206729.36393479031</v>
      </c>
      <c r="P12" s="74">
        <f t="shared" si="11"/>
        <v>9234.6668623686528</v>
      </c>
      <c r="Q12" s="74">
        <f t="shared" si="12"/>
        <v>280073.90533284307</v>
      </c>
      <c r="R12" s="74">
        <f t="shared" si="4"/>
        <v>292216.98775091884</v>
      </c>
      <c r="S12" s="74">
        <f t="shared" si="13"/>
        <v>33360.575192008408</v>
      </c>
      <c r="T12" s="76">
        <f t="shared" si="5"/>
        <v>525.46737927498077</v>
      </c>
      <c r="U12" s="15">
        <f t="shared" si="14"/>
        <v>3124135.6725183758</v>
      </c>
      <c r="V12" s="6">
        <f t="shared" si="6"/>
        <v>1211593.6770798813</v>
      </c>
    </row>
    <row r="13" spans="1:49" x14ac:dyDescent="0.25">
      <c r="A13" s="61">
        <f t="shared" si="7"/>
        <v>37473.660707036557</v>
      </c>
      <c r="B13" s="2">
        <f t="shared" si="15"/>
        <v>2036</v>
      </c>
      <c r="C13" s="196">
        <f>IF(OR($B13&lt;$Y$6,$B13&gt;'Project Data and Assumptions'!$C$8),0,$AC$35*(1+$AA$15)^($B13-2020))</f>
        <v>47104.207691550291</v>
      </c>
      <c r="D13" s="75">
        <f>IF(OR($B13&lt;$Y$6,$B13&gt;'Project Data and Assumptions'!$C$8),0,$AB$34*(1+$AA$15)^($B13-2020))</f>
        <v>11601.752540878191</v>
      </c>
      <c r="E13" s="194">
        <f>IF(OR($B13&lt;$Y$6,$B13&gt;'Project Data and Assumptions'!$C$8),0,$AC$34*(1+$AA$15)^($B13-2020))</f>
        <v>66582.944096709645</v>
      </c>
      <c r="F13" s="196">
        <f>IF($B13&gt;'Project Data and Assumptions'!$C$8,0,$AC$30*(1+$AA$15)^($B13-2020))</f>
        <v>16822.931318410818</v>
      </c>
      <c r="G13" s="75">
        <f>IF($B13&gt;'Project Data and Assumptions'!$C$8,0,$AB$29*(1+$AA$15)^($B13-2020))</f>
        <v>4143.4830503136409</v>
      </c>
      <c r="H13" s="194">
        <f>IF($B13&gt;'Project Data and Assumptions'!$C$8,0,$AC$29*(1+$AA$15)^($B13-2020))</f>
        <v>23779.622891682022</v>
      </c>
      <c r="I13" s="15">
        <f t="shared" si="0"/>
        <v>620833.45737463282</v>
      </c>
      <c r="J13" s="74">
        <f t="shared" si="8"/>
        <v>27732.829273715233</v>
      </c>
      <c r="K13" s="74">
        <f t="shared" si="9"/>
        <v>841096.04779247614</v>
      </c>
      <c r="L13" s="74">
        <f t="shared" si="1"/>
        <v>877563.20319463324</v>
      </c>
      <c r="M13" s="74">
        <f t="shared" si="10"/>
        <v>100185.87027140505</v>
      </c>
      <c r="N13" s="76">
        <f t="shared" si="2"/>
        <v>1578.0425364041532</v>
      </c>
      <c r="O13" s="15">
        <f t="shared" si="3"/>
        <v>221726.2347766546</v>
      </c>
      <c r="P13" s="74">
        <f t="shared" si="11"/>
        <v>9904.5818834697293</v>
      </c>
      <c r="Q13" s="74">
        <f t="shared" si="12"/>
        <v>300391.44564017002</v>
      </c>
      <c r="R13" s="74">
        <f t="shared" si="4"/>
        <v>313415.42971236905</v>
      </c>
      <c r="S13" s="74">
        <f t="shared" si="13"/>
        <v>35780.667954073237</v>
      </c>
      <c r="T13" s="76">
        <f t="shared" si="5"/>
        <v>563.58662014434071</v>
      </c>
      <c r="U13" s="15">
        <f t="shared" si="14"/>
        <v>3350771.3970301477</v>
      </c>
      <c r="V13" s="6">
        <f t="shared" si="6"/>
        <v>1214473.7555850458</v>
      </c>
      <c r="AU13" t="s">
        <v>357</v>
      </c>
      <c r="AV13" t="s">
        <v>371</v>
      </c>
    </row>
    <row r="14" spans="1:49" x14ac:dyDescent="0.25">
      <c r="A14" s="61">
        <f t="shared" si="7"/>
        <v>40192.131072826225</v>
      </c>
      <c r="B14" s="2">
        <f t="shared" si="15"/>
        <v>2037</v>
      </c>
      <c r="C14" s="196">
        <f>IF(OR($B14&lt;$Y$6,$B14&gt;'Project Data and Assumptions'!$C$8),0,$AC$35*(1+$AA$15)^($B14-2020))</f>
        <v>50521.311606605923</v>
      </c>
      <c r="D14" s="75">
        <f>IF(OR($B14&lt;$Y$6,$B14&gt;'Project Data and Assumptions'!$C$8),0,$AB$34*(1+$AA$15)^($B14-2020))</f>
        <v>12443.384233073133</v>
      </c>
      <c r="E14" s="194">
        <f>IF(OR($B14&lt;$Y$6,$B14&gt;'Project Data and Assumptions'!$C$8),0,$AC$34*(1+$AA$15)^($B14-2020))</f>
        <v>71413.103653551327</v>
      </c>
      <c r="F14" s="196">
        <f>IF($B14&gt;'Project Data and Assumptions'!$C$8,0,$AC$30*(1+$AA$15)^($B14-2020))</f>
        <v>18043.325573787832</v>
      </c>
      <c r="G14" s="75">
        <f>IF($B14&gt;'Project Data and Assumptions'!$C$8,0,$AB$29*(1+$AA$15)^($B14-2020))</f>
        <v>4444.0657975261201</v>
      </c>
      <c r="H14" s="194">
        <f>IF($B14&gt;'Project Data and Assumptions'!$C$8,0,$AC$29*(1+$AA$15)^($B14-2020))</f>
        <v>25504.679876268336</v>
      </c>
      <c r="I14" s="15">
        <f t="shared" si="0"/>
        <v>665870.88697506604</v>
      </c>
      <c r="J14" s="74">
        <f t="shared" si="8"/>
        <v>29744.665670738021</v>
      </c>
      <c r="K14" s="74">
        <f t="shared" si="9"/>
        <v>902112.09579969174</v>
      </c>
      <c r="L14" s="74">
        <f t="shared" si="1"/>
        <v>941224.70615380653</v>
      </c>
      <c r="M14" s="74">
        <f t="shared" si="10"/>
        <v>107453.70357792056</v>
      </c>
      <c r="N14" s="76">
        <f t="shared" si="2"/>
        <v>1692.5192592604481</v>
      </c>
      <c r="O14" s="15">
        <f t="shared" si="3"/>
        <v>237811.03106252363</v>
      </c>
      <c r="P14" s="74">
        <f t="shared" si="11"/>
        <v>10623.09488240644</v>
      </c>
      <c r="Q14" s="74">
        <f t="shared" si="12"/>
        <v>322182.89135703281</v>
      </c>
      <c r="R14" s="74">
        <f t="shared" si="4"/>
        <v>336151.68076921668</v>
      </c>
      <c r="S14" s="74">
        <f t="shared" si="13"/>
        <v>38376.322706400213</v>
      </c>
      <c r="T14" s="76">
        <f t="shared" si="5"/>
        <v>604.47116402158872</v>
      </c>
      <c r="U14" s="15">
        <f t="shared" si="14"/>
        <v>3593848.0693780859</v>
      </c>
      <c r="V14" s="6">
        <f t="shared" si="6"/>
        <v>1217360.6803228657</v>
      </c>
      <c r="X14" s="8" t="s">
        <v>81</v>
      </c>
      <c r="AU14" t="s">
        <v>358</v>
      </c>
      <c r="AV14" t="s">
        <v>372</v>
      </c>
    </row>
    <row r="15" spans="1:49" ht="17.25" x14ac:dyDescent="0.25">
      <c r="A15" s="61">
        <f t="shared" si="7"/>
        <v>43107.808783461398</v>
      </c>
      <c r="B15" s="2">
        <f t="shared" si="15"/>
        <v>2038</v>
      </c>
      <c r="C15" s="196">
        <f>IF(OR($B15&lt;$Y$6,$B15&gt;'Project Data and Assumptions'!$C$8),0,$AC$35*(1+$AA$15)^($B15-2020))</f>
        <v>54186.304186783564</v>
      </c>
      <c r="D15" s="75">
        <f>IF(OR($B15&lt;$Y$6,$B15&gt;'Project Data and Assumptions'!$C$8),0,$AB$34*(1+$AA$15)^($B15-2020))</f>
        <v>13346.070830793004</v>
      </c>
      <c r="E15" s="194">
        <f>IF(OR($B15&lt;$Y$6,$B15&gt;'Project Data and Assumptions'!$C$8),0,$AC$34*(1+$AA$15)^($B15-2020))</f>
        <v>76593.659872196688</v>
      </c>
      <c r="F15" s="196">
        <f>IF($B15&gt;'Project Data and Assumptions'!$C$8,0,$AC$30*(1+$AA$15)^($B15-2020))</f>
        <v>19352.251495279845</v>
      </c>
      <c r="G15" s="75">
        <f>IF($B15&gt;'Project Data and Assumptions'!$C$8,0,$AB$29*(1+$AA$15)^($B15-2020))</f>
        <v>4766.4538681403592</v>
      </c>
      <c r="H15" s="194">
        <f>IF($B15&gt;'Project Data and Assumptions'!$C$8,0,$AC$29*(1+$AA$15)^($B15-2020))</f>
        <v>27354.878525784537</v>
      </c>
      <c r="I15" s="15">
        <f t="shared" si="0"/>
        <v>714175.4891818075</v>
      </c>
      <c r="J15" s="74">
        <f t="shared" si="8"/>
        <v>31902.447713927602</v>
      </c>
      <c r="K15" s="74">
        <f t="shared" si="9"/>
        <v>967554.46125803539</v>
      </c>
      <c r="L15" s="74">
        <f t="shared" si="1"/>
        <v>1009504.4371155524</v>
      </c>
      <c r="M15" s="74">
        <f t="shared" si="10"/>
        <v>115248.77092281097</v>
      </c>
      <c r="N15" s="76">
        <f t="shared" si="2"/>
        <v>1815.3005238344704</v>
      </c>
      <c r="O15" s="15">
        <f t="shared" si="3"/>
        <v>255062.67470778833</v>
      </c>
      <c r="P15" s="74">
        <f t="shared" si="11"/>
        <v>11393.731326402716</v>
      </c>
      <c r="Q15" s="74">
        <f t="shared" si="12"/>
        <v>345555.16473501269</v>
      </c>
      <c r="R15" s="74">
        <f t="shared" si="4"/>
        <v>360537.29896984022</v>
      </c>
      <c r="S15" s="74">
        <f t="shared" si="13"/>
        <v>41160.275329575357</v>
      </c>
      <c r="T15" s="76">
        <f t="shared" si="5"/>
        <v>648.32161565516799</v>
      </c>
      <c r="U15" s="15">
        <f t="shared" si="14"/>
        <v>3854558.3734002421</v>
      </c>
      <c r="V15" s="6">
        <f t="shared" si="6"/>
        <v>1220254.4675675137</v>
      </c>
      <c r="X15" s="621" t="s">
        <v>518</v>
      </c>
      <c r="Y15" s="621"/>
      <c r="Z15" s="621"/>
      <c r="AA15" s="400">
        <f>('Annual Use'!E7-'Annual Use'!C7)/('Annual Use'!C7*17)</f>
        <v>7.2543496271748137E-2</v>
      </c>
      <c r="AB15" s="400"/>
      <c r="AU15" t="s">
        <v>359</v>
      </c>
    </row>
    <row r="16" spans="1:49" x14ac:dyDescent="0.25">
      <c r="A16" s="61">
        <f t="shared" si="7"/>
        <v>46234.999949227669</v>
      </c>
      <c r="B16" s="2">
        <f t="shared" si="15"/>
        <v>2039</v>
      </c>
      <c r="C16" s="196">
        <f>IF(OR($B16&lt;$Y$6,$B16&gt;'Project Data and Assumptions'!$C$8),0,$AC$35*(1+$AA$15)^($B16-2020))</f>
        <v>58117.16814253731</v>
      </c>
      <c r="D16" s="75">
        <f>IF(OR($B16&lt;$Y$6,$B16&gt;'Project Data and Assumptions'!$C$8),0,$AB$34*(1+$AA$15)^($B16-2020))</f>
        <v>14314.241470349123</v>
      </c>
      <c r="E16" s="194">
        <f>IF(OR($B16&lt;$Y$6,$B16&gt;'Project Data and Assumptions'!$C$8),0,$AC$34*(1+$AA$15)^($B16-2020))</f>
        <v>82150.031751574934</v>
      </c>
      <c r="F16" s="196">
        <f>IF($B16&gt;'Project Data and Assumptions'!$C$8,0,$AC$30*(1+$AA$15)^($B16-2020))</f>
        <v>20756.131479477612</v>
      </c>
      <c r="G16" s="75">
        <f>IF($B16&gt;'Project Data and Assumptions'!$C$8,0,$AB$29*(1+$AA$15)^($B16-2020))</f>
        <v>5112.2290965532593</v>
      </c>
      <c r="H16" s="194">
        <f>IF($B16&gt;'Project Data and Assumptions'!$C$8,0,$AC$29*(1+$AA$15)^($B16-2020))</f>
        <v>29339.297054133909</v>
      </c>
      <c r="I16" s="15">
        <f t="shared" si="0"/>
        <v>765984.27611864172</v>
      </c>
      <c r="J16" s="74">
        <f t="shared" si="8"/>
        <v>34216.762810722554</v>
      </c>
      <c r="K16" s="74">
        <f t="shared" si="9"/>
        <v>1037744.2447110211</v>
      </c>
      <c r="L16" s="74">
        <f t="shared" si="1"/>
        <v>1082737.4184857577</v>
      </c>
      <c r="M16" s="74">
        <f t="shared" si="10"/>
        <v>123609.31970657347</v>
      </c>
      <c r="N16" s="76">
        <f t="shared" si="2"/>
        <v>1946.9887706173588</v>
      </c>
      <c r="O16" s="15">
        <f t="shared" si="3"/>
        <v>273565.81289951492</v>
      </c>
      <c r="P16" s="74">
        <f t="shared" si="11"/>
        <v>12220.272432400912</v>
      </c>
      <c r="Q16" s="74">
        <f t="shared" si="12"/>
        <v>370622.94453965046</v>
      </c>
      <c r="R16" s="74">
        <f t="shared" si="4"/>
        <v>386691.9351734849</v>
      </c>
      <c r="S16" s="74">
        <f t="shared" si="13"/>
        <v>44146.185609490531</v>
      </c>
      <c r="T16" s="76">
        <f t="shared" si="5"/>
        <v>695.35313236334252</v>
      </c>
      <c r="U16" s="15">
        <f t="shared" si="14"/>
        <v>4134181.514390239</v>
      </c>
      <c r="V16" s="6">
        <f t="shared" si="6"/>
        <v>1223155.133631852</v>
      </c>
      <c r="X16" s="621" t="s">
        <v>366</v>
      </c>
      <c r="Y16" s="621"/>
      <c r="Z16" s="621"/>
      <c r="AA16" s="138">
        <v>0.86</v>
      </c>
      <c r="AB16" s="92"/>
      <c r="AU16" t="s">
        <v>370</v>
      </c>
      <c r="AV16" t="s">
        <v>373</v>
      </c>
      <c r="AW16" t="s">
        <v>374</v>
      </c>
    </row>
    <row r="17" spans="1:33" x14ac:dyDescent="0.25">
      <c r="A17" s="61">
        <f t="shared" si="7"/>
        <v>49589.048495668736</v>
      </c>
      <c r="B17" s="2">
        <f t="shared" si="15"/>
        <v>2040</v>
      </c>
      <c r="C17" s="196">
        <f>IF(OR($B17&lt;$Y$6,$B17&gt;'Project Data and Assumptions'!$C$8),0,$AC$35*(1+$AA$15)^($B17-2020))</f>
        <v>62333.190713010015</v>
      </c>
      <c r="D17" s="75">
        <f>IF(OR($B17&lt;$Y$6,$B17&gt;'Project Data and Assumptions'!$C$8),0,$AB$34*(1+$AA$15)^($B17-2020))</f>
        <v>15352.646593086294</v>
      </c>
      <c r="E17" s="194">
        <f>IF(OR($B17&lt;$Y$6,$B17&gt;'Project Data and Assumptions'!$C$8),0,$AC$34*(1+$AA$15)^($B17-2020))</f>
        <v>88109.482273669288</v>
      </c>
      <c r="F17" s="196">
        <f>IF($B17&gt;'Project Data and Assumptions'!$C$8,0,$AC$30*(1+$AA$15)^($B17-2020))</f>
        <v>22261.853826075007</v>
      </c>
      <c r="G17" s="75">
        <f>IF($B17&gt;'Project Data and Assumptions'!$C$8,0,$AB$29*(1+$AA$15)^($B17-2020))</f>
        <v>5483.0880689593923</v>
      </c>
      <c r="H17" s="194">
        <f>IF($B17&gt;'Project Data and Assumptions'!$C$8,0,$AC$29*(1+$AA$15)^($B17-2020))</f>
        <v>31467.672240596181</v>
      </c>
      <c r="I17" s="15">
        <f t="shared" si="0"/>
        <v>821551.45359747205</v>
      </c>
      <c r="J17" s="74">
        <f t="shared" si="8"/>
        <v>36698.966416113486</v>
      </c>
      <c r="K17" s="74">
        <f t="shared" si="9"/>
        <v>1113025.8404582429</v>
      </c>
      <c r="L17" s="74">
        <f t="shared" si="1"/>
        <v>1161282.9763669611</v>
      </c>
      <c r="M17" s="74">
        <f t="shared" si="10"/>
        <v>132576.37192986059</v>
      </c>
      <c r="N17" s="76">
        <f t="shared" si="2"/>
        <v>2088.2301432397744</v>
      </c>
      <c r="O17" s="15">
        <f t="shared" si="3"/>
        <v>293411.23342766857</v>
      </c>
      <c r="P17" s="74">
        <f t="shared" si="11"/>
        <v>13106.773720040534</v>
      </c>
      <c r="Q17" s="74">
        <f t="shared" si="12"/>
        <v>397509.22873508686</v>
      </c>
      <c r="R17" s="74">
        <f t="shared" si="4"/>
        <v>414743.92013105773</v>
      </c>
      <c r="S17" s="74">
        <f t="shared" si="13"/>
        <v>47348.704260664512</v>
      </c>
      <c r="T17" s="76">
        <f t="shared" si="5"/>
        <v>745.79647972849114</v>
      </c>
      <c r="U17" s="15">
        <f t="shared" si="14"/>
        <v>4434089.495666136</v>
      </c>
      <c r="V17" s="6">
        <f t="shared" si="6"/>
        <v>1226062.6948675173</v>
      </c>
      <c r="X17" s="621" t="s">
        <v>367</v>
      </c>
      <c r="Y17" s="621"/>
      <c r="Z17" s="621"/>
      <c r="AA17" s="200">
        <f>MIN(Y7,2.38)</f>
        <v>2.38</v>
      </c>
      <c r="AB17" s="201" t="s">
        <v>368</v>
      </c>
      <c r="AC17" s="25" t="s">
        <v>369</v>
      </c>
    </row>
    <row r="18" spans="1:33" x14ac:dyDescent="0.25">
      <c r="A18" s="61">
        <f t="shared" si="7"/>
        <v>53186.411450333828</v>
      </c>
      <c r="B18" s="2">
        <f t="shared" si="15"/>
        <v>2041</v>
      </c>
      <c r="C18" s="196">
        <f>IF(OR($B18&lt;$Y$6,$B18&gt;'Project Data and Assumptions'!$C$8),0,$AC$35*(1+$AA$15)^($B18-2020))</f>
        <v>66855.058301105426</v>
      </c>
      <c r="D18" s="75">
        <f>IF(OR($B18&lt;$Y$6,$B18&gt;'Project Data and Assumptions'!$C$8),0,$AB$34*(1+$AA$15)^($B18-2020))</f>
        <v>16466.381253973319</v>
      </c>
      <c r="E18" s="194">
        <f>IF(OR($B18&lt;$Y$6,$B18&gt;'Project Data and Assumptions'!$C$8),0,$AC$34*(1+$AA$15)^($B18-2020))</f>
        <v>94501.252172494889</v>
      </c>
      <c r="F18" s="196">
        <f>IF($B18&gt;'Project Data and Assumptions'!$C$8,0,$AC$30*(1+$AA$15)^($B18-2020))</f>
        <v>23876.806536109085</v>
      </c>
      <c r="G18" s="75">
        <f>IF($B18&gt;'Project Data and Assumptions'!$C$8,0,$AB$29*(1+$AA$15)^($B18-2020))</f>
        <v>5880.8504478476152</v>
      </c>
      <c r="H18" s="194">
        <f>IF($B18&gt;'Project Data and Assumptions'!$C$8,0,$AC$29*(1+$AA$15)^($B18-2020))</f>
        <v>33750.447204462464</v>
      </c>
      <c r="I18" s="15">
        <f t="shared" si="0"/>
        <v>881149.66840856953</v>
      </c>
      <c r="J18" s="74">
        <f t="shared" si="8"/>
        <v>39361.237749497828</v>
      </c>
      <c r="K18" s="74">
        <f t="shared" si="9"/>
        <v>1193768.6263658849</v>
      </c>
      <c r="L18" s="74">
        <f t="shared" si="1"/>
        <v>1245526.5036334826</v>
      </c>
      <c r="M18" s="74">
        <f t="shared" si="10"/>
        <v>142193.92547267635</v>
      </c>
      <c r="N18" s="76">
        <f t="shared" si="2"/>
        <v>2239.7176588504412</v>
      </c>
      <c r="O18" s="15">
        <f t="shared" si="3"/>
        <v>314696.31014591776</v>
      </c>
      <c r="P18" s="74">
        <f t="shared" si="11"/>
        <v>14057.584910534939</v>
      </c>
      <c r="Q18" s="74">
        <f t="shared" si="12"/>
        <v>426345.93798781617</v>
      </c>
      <c r="R18" s="74">
        <f t="shared" si="4"/>
        <v>444830.89415481529</v>
      </c>
      <c r="S18" s="74">
        <f t="shared" si="13"/>
        <v>50783.54481167013</v>
      </c>
      <c r="T18" s="76">
        <f t="shared" si="5"/>
        <v>799.8991638751578</v>
      </c>
      <c r="U18" s="15">
        <f t="shared" si="14"/>
        <v>4755753.8504635897</v>
      </c>
      <c r="V18" s="6">
        <f t="shared" si="6"/>
        <v>1228977.1676650173</v>
      </c>
      <c r="X18" s="621" t="s">
        <v>363</v>
      </c>
      <c r="Y18" s="621"/>
      <c r="Z18" s="621"/>
      <c r="AA18" s="621"/>
      <c r="AB18" s="138">
        <f>MIN($AA$16,$Y8)</f>
        <v>0.5</v>
      </c>
      <c r="AC18" s="138">
        <f>MIN($AA$17,$Y8)</f>
        <v>0.5</v>
      </c>
    </row>
    <row r="19" spans="1:33" x14ac:dyDescent="0.25">
      <c r="A19" s="61">
        <f t="shared" si="7"/>
        <v>57044.739691088776</v>
      </c>
      <c r="B19" s="2">
        <f t="shared" si="15"/>
        <v>2042</v>
      </c>
      <c r="C19" s="196">
        <f>IF(OR($B19&lt;$Y$6,$B19&gt;'Project Data and Assumptions'!$C$8),0,$AC$35*(1+$AA$15)^($B19-2020))</f>
        <v>71704.957973719182</v>
      </c>
      <c r="D19" s="75">
        <f>IF(OR($B19&lt;$Y$6,$B19&gt;'Project Data and Assumptions'!$C$8),0,$AB$34*(1+$AA$15)^($B19-2020))</f>
        <v>17660.910121080116</v>
      </c>
      <c r="E19" s="194">
        <f>IF(OR($B19&lt;$Y$6,$B19&gt;'Project Data and Assumptions'!$C$8),0,$AC$34*(1+$AA$15)^($B19-2020))</f>
        <v>101356.70340714582</v>
      </c>
      <c r="F19" s="196">
        <f>IF($B19&gt;'Project Data and Assumptions'!$C$8,0,$AC$30*(1+$AA$15)^($B19-2020))</f>
        <v>25608.91356204257</v>
      </c>
      <c r="G19" s="75">
        <f>IF($B19&gt;'Project Data and Assumptions'!$C$8,0,$AB$29*(1+$AA$15)^($B19-2020))</f>
        <v>6307.4679003857573</v>
      </c>
      <c r="H19" s="194">
        <f>IF($B19&gt;'Project Data and Assumptions'!$C$8,0,$AC$29*(1+$AA$15)^($B19-2020))</f>
        <v>36198.822645409229</v>
      </c>
      <c r="I19" s="15">
        <f t="shared" si="0"/>
        <v>945071.34609361878</v>
      </c>
      <c r="J19" s="74">
        <f t="shared" si="8"/>
        <v>42216.639553429915</v>
      </c>
      <c r="K19" s="74">
        <f t="shared" si="9"/>
        <v>1280368.7762619886</v>
      </c>
      <c r="L19" s="74">
        <f t="shared" si="1"/>
        <v>1335881.3509061818</v>
      </c>
      <c r="M19" s="74">
        <f t="shared" si="10"/>
        <v>152509.16997506871</v>
      </c>
      <c r="N19" s="76">
        <f t="shared" si="2"/>
        <v>2402.1946084850269</v>
      </c>
      <c r="O19" s="15">
        <f t="shared" si="3"/>
        <v>337525.4807477211</v>
      </c>
      <c r="P19" s="74">
        <f t="shared" si="11"/>
        <v>15077.371269082116</v>
      </c>
      <c r="Q19" s="74">
        <f t="shared" si="12"/>
        <v>457274.5629507103</v>
      </c>
      <c r="R19" s="74">
        <f t="shared" si="4"/>
        <v>477100.48246649368</v>
      </c>
      <c r="S19" s="74">
        <f t="shared" si="13"/>
        <v>54467.560705381693</v>
      </c>
      <c r="T19" s="76">
        <f t="shared" si="5"/>
        <v>857.92664588750972</v>
      </c>
      <c r="U19" s="15">
        <f t="shared" si="14"/>
        <v>5100752.8621840486</v>
      </c>
      <c r="V19" s="6">
        <f t="shared" si="6"/>
        <v>1231898.5684538211</v>
      </c>
      <c r="X19" s="621" t="s">
        <v>364</v>
      </c>
      <c r="Y19" s="621"/>
      <c r="Z19" s="621"/>
      <c r="AA19" s="621"/>
      <c r="AB19" s="138">
        <f>MIN($AA$16,SUM($Y9:$Y10))</f>
        <v>0.86</v>
      </c>
      <c r="AC19" s="138">
        <f>MIN($AA$16,SUM($Y9:$Y10))</f>
        <v>0.86</v>
      </c>
    </row>
    <row r="20" spans="1:33" x14ac:dyDescent="0.25">
      <c r="A20" s="61">
        <f t="shared" si="7"/>
        <v>61182.964552192119</v>
      </c>
      <c r="B20" s="2">
        <f t="shared" si="15"/>
        <v>2043</v>
      </c>
      <c r="C20" s="196">
        <f>IF(OR($B20&lt;$Y$6,$B20&gt;'Project Data and Assumptions'!$C$8),0,$AC$35*(1+$AA$15)^($B20-2020))</f>
        <v>76906.686325151531</v>
      </c>
      <c r="D20" s="75">
        <f>IF(OR($B20&lt;$Y$6,$B20&gt;'Project Data and Assumptions'!$C$8),0,$AB$34*(1+$AA$15)^($B20-2020))</f>
        <v>18942.09428860437</v>
      </c>
      <c r="E20" s="194">
        <f>IF(OR($B20&lt;$Y$6,$B20&gt;'Project Data and Assumptions'!$C$8),0,$AC$34*(1+$AA$15)^($B20-2020))</f>
        <v>108709.47304287877</v>
      </c>
      <c r="F20" s="196">
        <f>IF($B20&gt;'Project Data and Assumptions'!$C$8,0,$AC$30*(1+$AA$15)^($B20-2020))</f>
        <v>27466.673687554121</v>
      </c>
      <c r="G20" s="75">
        <f>IF($B20&gt;'Project Data and Assumptions'!$C$8,0,$AB$29*(1+$AA$15)^($B20-2020))</f>
        <v>6765.0336745015629</v>
      </c>
      <c r="H20" s="194">
        <f>IF($B20&gt;'Project Data and Assumptions'!$C$8,0,$AC$29*(1+$AA$15)^($B20-2020))</f>
        <v>38824.81180102814</v>
      </c>
      <c r="I20" s="15">
        <f t="shared" si="0"/>
        <v>1013630.1257654972</v>
      </c>
      <c r="J20" s="74">
        <f t="shared" si="8"/>
        <v>45279.182187479892</v>
      </c>
      <c r="K20" s="74">
        <f t="shared" si="9"/>
        <v>1373251.2038092129</v>
      </c>
      <c r="L20" s="74">
        <f t="shared" si="1"/>
        <v>1432790.8547051421</v>
      </c>
      <c r="M20" s="74">
        <f t="shared" si="10"/>
        <v>163572.71837856248</v>
      </c>
      <c r="N20" s="76">
        <f t="shared" si="2"/>
        <v>2576.4582041096737</v>
      </c>
      <c r="O20" s="15">
        <f t="shared" si="3"/>
        <v>362010.75920196332</v>
      </c>
      <c r="P20" s="74">
        <f t="shared" si="11"/>
        <v>16171.136495528539</v>
      </c>
      <c r="Q20" s="74">
        <f t="shared" si="12"/>
        <v>490446.85850329034</v>
      </c>
      <c r="R20" s="74">
        <f t="shared" si="4"/>
        <v>511711.01953755092</v>
      </c>
      <c r="S20" s="74">
        <f t="shared" si="13"/>
        <v>58418.827992343751</v>
      </c>
      <c r="T20" s="76">
        <f t="shared" si="5"/>
        <v>920.16364432488376</v>
      </c>
      <c r="U20" s="15">
        <f t="shared" si="14"/>
        <v>5470779.3084250055</v>
      </c>
      <c r="V20" s="6">
        <f t="shared" si="6"/>
        <v>1234826.9137024509</v>
      </c>
      <c r="X20" s="399"/>
      <c r="Y20" s="399"/>
      <c r="Z20" s="125"/>
      <c r="AA20" s="77"/>
    </row>
    <row r="21" spans="1:33" x14ac:dyDescent="0.25">
      <c r="A21" s="61">
        <f t="shared" si="7"/>
        <v>65621.390713078566</v>
      </c>
      <c r="B21" s="2">
        <f t="shared" si="15"/>
        <v>2044</v>
      </c>
      <c r="C21" s="196">
        <f>IF(OR($B21&lt;$Y$6,$B21&gt;'Project Data and Assumptions'!$C$8),0,$AC$35*(1+$AA$15)^($B21-2020))</f>
        <v>82485.766237852658</v>
      </c>
      <c r="D21" s="75">
        <f>IF(OR($B21&lt;$Y$6,$B21&gt;'Project Data and Assumptions'!$C$8),0,$AB$34*(1+$AA$15)^($B21-2020))</f>
        <v>20316.220035008842</v>
      </c>
      <c r="E21" s="194">
        <f>IF(OR($B21&lt;$Y$6,$B21&gt;'Project Data and Assumptions'!$C$8),0,$AC$34*(1+$AA$15)^($B21-2020))</f>
        <v>116595.63829526854</v>
      </c>
      <c r="F21" s="196">
        <f>IF($B21&gt;'Project Data and Assumptions'!$C$8,0,$AC$30*(1+$AA$15)^($B21-2020))</f>
        <v>29459.202227804522</v>
      </c>
      <c r="G21" s="75">
        <f>IF($B21&gt;'Project Data and Assumptions'!$C$8,0,$AB$29*(1+$AA$15)^($B21-2020))</f>
        <v>7255.7928696460167</v>
      </c>
      <c r="H21" s="194">
        <f>IF($B21&gt;'Project Data and Assumptions'!$C$8,0,$AC$29*(1+$AA$15)^($B21-2020))</f>
        <v>41641.29939116734</v>
      </c>
      <c r="I21" s="15">
        <f t="shared" si="0"/>
        <v>1087162.3990148981</v>
      </c>
      <c r="J21" s="74">
        <f t="shared" si="8"/>
        <v>48563.892371685142</v>
      </c>
      <c r="K21" s="74">
        <f t="shared" si="9"/>
        <v>1472871.6473929198</v>
      </c>
      <c r="L21" s="74">
        <f t="shared" si="1"/>
        <v>1536730.5127316394</v>
      </c>
      <c r="M21" s="74">
        <f t="shared" si="10"/>
        <v>175438.85526441742</v>
      </c>
      <c r="N21" s="76">
        <f t="shared" si="2"/>
        <v>2763.3634902338181</v>
      </c>
      <c r="O21" s="15">
        <f t="shared" si="3"/>
        <v>388272.28536246368</v>
      </c>
      <c r="P21" s="74">
        <f t="shared" si="11"/>
        <v>17344.24727560184</v>
      </c>
      <c r="Q21" s="74">
        <f t="shared" si="12"/>
        <v>526025.58835461433</v>
      </c>
      <c r="R21" s="74">
        <f t="shared" si="4"/>
        <v>548832.32597558561</v>
      </c>
      <c r="S21" s="74">
        <f t="shared" si="13"/>
        <v>62656.734023006225</v>
      </c>
      <c r="T21" s="76">
        <f t="shared" si="5"/>
        <v>986.91553222636401</v>
      </c>
      <c r="U21" s="15">
        <f t="shared" si="14"/>
        <v>5867648.7667892938</v>
      </c>
      <c r="V21" s="6">
        <f t="shared" si="6"/>
        <v>1237762.2199185789</v>
      </c>
      <c r="Z21" s="84"/>
      <c r="AA21" s="84"/>
      <c r="AB21" s="84"/>
      <c r="AC21" s="84"/>
    </row>
    <row r="22" spans="1:33" x14ac:dyDescent="0.25">
      <c r="A22" s="61">
        <f t="shared" si="7"/>
        <v>70381.795825619702</v>
      </c>
      <c r="B22" s="2">
        <f t="shared" si="15"/>
        <v>2045</v>
      </c>
      <c r="C22" s="196">
        <f>IF(OR($B22&lt;$Y$6,$B22&gt;'Project Data and Assumptions'!$C$8),0,$AC$35*(1+$AA$15)^($B22-2020))</f>
        <v>88469.572113400616</v>
      </c>
      <c r="D22" s="75">
        <f>IF(OR($B22&lt;$Y$6,$B22&gt;'Project Data and Assumptions'!$C$8),0,$AB$34*(1+$AA$15)^($B22-2020))</f>
        <v>21790.029667374522</v>
      </c>
      <c r="E22" s="194">
        <f>IF(OR($B22&lt;$Y$6,$B22&gt;'Project Data and Assumptions'!$C$8),0,$AC$34*(1+$AA$15)^($B22-2020))</f>
        <v>125053.89354724345</v>
      </c>
      <c r="F22" s="196">
        <f>IF($B22&gt;'Project Data and Assumptions'!$C$8,0,$AC$30*(1+$AA$15)^($B22-2020))</f>
        <v>31596.275754785936</v>
      </c>
      <c r="G22" s="75">
        <f>IF($B22&gt;'Project Data and Assumptions'!$C$8,0,$AB$29*(1+$AA$15)^($B22-2020))</f>
        <v>7782.1534526337591</v>
      </c>
      <c r="H22" s="194">
        <f>IF($B22&gt;'Project Data and Assumptions'!$C$8,0,$AC$29*(1+$AA$15)^($B22-2020))</f>
        <v>44662.104838301238</v>
      </c>
      <c r="I22" s="15">
        <f t="shared" si="0"/>
        <v>1166028.9604546202</v>
      </c>
      <c r="J22" s="74">
        <f t="shared" si="8"/>
        <v>52086.886916892065</v>
      </c>
      <c r="K22" s="74">
        <f t="shared" si="9"/>
        <v>1579718.9062543318</v>
      </c>
      <c r="L22" s="74">
        <f t="shared" si="1"/>
        <v>1648210.3169526688</v>
      </c>
      <c r="M22" s="74">
        <f t="shared" si="10"/>
        <v>188165.80320721146</v>
      </c>
      <c r="N22" s="76">
        <f t="shared" si="2"/>
        <v>2963.827539285081</v>
      </c>
      <c r="O22" s="15">
        <f t="shared" si="3"/>
        <v>416438.91444807861</v>
      </c>
      <c r="P22" s="74">
        <f t="shared" si="11"/>
        <v>18602.459613175743</v>
      </c>
      <c r="Q22" s="74">
        <f t="shared" si="12"/>
        <v>564185.32366226136</v>
      </c>
      <c r="R22" s="74">
        <f t="shared" si="4"/>
        <v>588646.54176881036</v>
      </c>
      <c r="S22" s="74">
        <f t="shared" si="13"/>
        <v>67202.072574004094</v>
      </c>
      <c r="T22" s="76">
        <f t="shared" si="5"/>
        <v>1058.5098354589577</v>
      </c>
      <c r="U22" s="15">
        <f t="shared" si="14"/>
        <v>6293308.5232267994</v>
      </c>
      <c r="V22" s="6">
        <f t="shared" si="6"/>
        <v>1240704.5036491149</v>
      </c>
      <c r="X22" s="8" t="s">
        <v>495</v>
      </c>
      <c r="Z22" s="84"/>
      <c r="AA22" s="84"/>
      <c r="AB22" s="84"/>
      <c r="AC22" s="84"/>
    </row>
    <row r="23" spans="1:33" x14ac:dyDescent="0.25">
      <c r="A23" s="61">
        <f t="shared" si="7"/>
        <v>75487.53736869448</v>
      </c>
      <c r="B23" s="2">
        <f t="shared" si="15"/>
        <v>2046</v>
      </c>
      <c r="C23" s="196">
        <f>IF(OR($B23&lt;$Y$6,$B23&gt;'Project Data and Assumptions'!$C$8),0,$AC$35*(1+$AA$15)^($B23-2020))</f>
        <v>94887.464188172249</v>
      </c>
      <c r="D23" s="75">
        <f>IF(OR($B23&lt;$Y$6,$B23&gt;'Project Data and Assumptions'!$C$8),0,$AB$34*(1+$AA$15)^($B23-2020))</f>
        <v>23370.754603310987</v>
      </c>
      <c r="E23" s="194">
        <f>IF(OR($B23&lt;$Y$6,$B23&gt;'Project Data and Assumptions'!$C$8),0,$AC$34*(1+$AA$15)^($B23-2020))</f>
        <v>134125.7402075555</v>
      </c>
      <c r="F23" s="196">
        <f>IF($B23&gt;'Project Data and Assumptions'!$C$8,0,$AC$30*(1+$AA$15)^($B23-2020))</f>
        <v>33888.38006720438</v>
      </c>
      <c r="G23" s="75">
        <f>IF($B23&gt;'Project Data and Assumptions'!$C$8,0,$AB$29*(1+$AA$15)^($B23-2020))</f>
        <v>8346.6980726110687</v>
      </c>
      <c r="H23" s="194">
        <f>IF($B23&gt;'Project Data and Assumptions'!$C$8,0,$AC$29*(1+$AA$15)^($B23-2020))</f>
        <v>47902.050074126972</v>
      </c>
      <c r="I23" s="15">
        <f t="shared" si="0"/>
        <v>1250616.7780001103</v>
      </c>
      <c r="J23" s="74">
        <f t="shared" si="8"/>
        <v>55865.451803754593</v>
      </c>
      <c r="K23" s="74">
        <f t="shared" si="9"/>
        <v>1694317.238840603</v>
      </c>
      <c r="L23" s="74">
        <f t="shared" si="1"/>
        <v>1767777.2559355814</v>
      </c>
      <c r="M23" s="74">
        <f t="shared" si="10"/>
        <v>201816.00845064429</v>
      </c>
      <c r="N23" s="76">
        <f t="shared" si="2"/>
        <v>3178.8339513313126</v>
      </c>
      <c r="O23" s="15">
        <f t="shared" si="3"/>
        <v>446648.84928575379</v>
      </c>
      <c r="P23" s="74">
        <f t="shared" si="11"/>
        <v>19951.947072769504</v>
      </c>
      <c r="Q23" s="74">
        <f t="shared" si="12"/>
        <v>605113.29958592972</v>
      </c>
      <c r="R23" s="74">
        <f t="shared" si="4"/>
        <v>631349.01997699356</v>
      </c>
      <c r="S23" s="74">
        <f t="shared" si="13"/>
        <v>72077.145875230126</v>
      </c>
      <c r="T23" s="76">
        <f t="shared" si="5"/>
        <v>1135.2978397611832</v>
      </c>
      <c r="U23" s="15">
        <f t="shared" si="14"/>
        <v>6749847.1266184635</v>
      </c>
      <c r="V23" s="6">
        <f t="shared" si="6"/>
        <v>1243653.781480304</v>
      </c>
      <c r="Z23" s="78" t="s">
        <v>23</v>
      </c>
      <c r="AA23" s="78" t="s">
        <v>336</v>
      </c>
      <c r="AB23" s="78" t="s">
        <v>53</v>
      </c>
      <c r="AC23" s="78" t="s">
        <v>195</v>
      </c>
      <c r="AD23" s="78" t="s">
        <v>354</v>
      </c>
    </row>
    <row r="24" spans="1:33" x14ac:dyDescent="0.25">
      <c r="A24" s="61">
        <f t="shared" si="7"/>
        <v>80963.667254363841</v>
      </c>
      <c r="B24" s="2">
        <f t="shared" si="15"/>
        <v>2047</v>
      </c>
      <c r="C24" s="196">
        <f>IF(OR($B24&lt;$Y$6,$B24&gt;'Project Data and Assumptions'!$C$8),0,$AC$35*(1+$AA$15)^($B24-2020))</f>
        <v>101770.93259274258</v>
      </c>
      <c r="D24" s="75">
        <f>IF(OR($B24&lt;$Y$6,$B24&gt;'Project Data and Assumptions'!$C$8),0,$AB$34*(1+$AA$15)^($B24-2020))</f>
        <v>25066.150852744224</v>
      </c>
      <c r="E24" s="194">
        <f>IF(OR($B24&lt;$Y$6,$B24&gt;'Project Data and Assumptions'!$C$8),0,$AC$34*(1+$AA$15)^($B24-2020))</f>
        <v>143855.69034224778</v>
      </c>
      <c r="F24" s="196">
        <f>IF($B24&gt;'Project Data and Assumptions'!$C$8,0,$AC$30*(1+$AA$15)^($B24-2020))</f>
        <v>36346.761640265206</v>
      </c>
      <c r="G24" s="75">
        <f>IF($B24&gt;'Project Data and Assumptions'!$C$8,0,$AB$29*(1+$AA$15)^($B24-2020))</f>
        <v>8952.1967331229389</v>
      </c>
      <c r="H24" s="194">
        <f>IF($B24&gt;'Project Data and Assumptions'!$C$8,0,$AC$29*(1+$AA$15)^($B24-2020))</f>
        <v>51377.032265088506</v>
      </c>
      <c r="I24" s="15">
        <f t="shared" si="0"/>
        <v>1341340.8915723474</v>
      </c>
      <c r="J24" s="74">
        <f t="shared" si="8"/>
        <v>59918.126998399806</v>
      </c>
      <c r="K24" s="74">
        <f t="shared" si="9"/>
        <v>1817228.9351395953</v>
      </c>
      <c r="L24" s="74">
        <f t="shared" si="1"/>
        <v>1896017.9987108256</v>
      </c>
      <c r="M24" s="74">
        <f t="shared" si="10"/>
        <v>216456.44730726274</v>
      </c>
      <c r="N24" s="76">
        <f t="shared" si="2"/>
        <v>3409.4376802282227</v>
      </c>
      <c r="O24" s="15">
        <f t="shared" si="3"/>
        <v>479050.31841869542</v>
      </c>
      <c r="P24" s="74">
        <f t="shared" si="11"/>
        <v>21399.331070857075</v>
      </c>
      <c r="Q24" s="74">
        <f t="shared" si="12"/>
        <v>649010.33397842699</v>
      </c>
      <c r="R24" s="74">
        <f t="shared" si="4"/>
        <v>677149.28525386658</v>
      </c>
      <c r="S24" s="74">
        <f t="shared" si="13"/>
        <v>77305.874038308131</v>
      </c>
      <c r="T24" s="76">
        <f t="shared" si="5"/>
        <v>1217.6563143672226</v>
      </c>
      <c r="U24" s="15">
        <f t="shared" si="14"/>
        <v>7239504.6364831803</v>
      </c>
      <c r="V24" s="6">
        <f t="shared" si="6"/>
        <v>1246610.070037819</v>
      </c>
      <c r="X24" s="620" t="s">
        <v>125</v>
      </c>
      <c r="Y24" s="620"/>
      <c r="Z24" s="79">
        <f>District!$B$6*District!$B$3*('Trail Lengths'!F10/'Trail Lengths'!F24)</f>
        <v>179933.50697983598</v>
      </c>
      <c r="AA24" s="79">
        <f>Z24*(SUM(District!$B$27:$B$30)+District!$B$26*5/7)</f>
        <v>153184.74789633154</v>
      </c>
      <c r="AB24" s="79">
        <f>SUM($Z24:$Z25)*District!$C$11</f>
        <v>26700.161432727673</v>
      </c>
      <c r="AC24" s="79">
        <f>Z24-AB24</f>
        <v>153233.3455471083</v>
      </c>
      <c r="AD24" s="235">
        <f>AA24/Z24</f>
        <v>0.85134086734327918</v>
      </c>
    </row>
    <row r="25" spans="1:33" x14ac:dyDescent="0.25">
      <c r="A25" s="61">
        <f t="shared" si="7"/>
        <v>86837.054747977818</v>
      </c>
      <c r="B25" s="2">
        <f t="shared" si="15"/>
        <v>2048</v>
      </c>
      <c r="C25" s="196">
        <f>IF(OR($B25&lt;$Y$6,$B25&gt;'Project Data and Assumptions'!$C$8),0,$AC$35*(1+$AA$15)^($B25-2020))</f>
        <v>109153.75186185651</v>
      </c>
      <c r="D25" s="75">
        <f>IF(OR($B25&lt;$Y$6,$B25&gt;'Project Data and Assumptions'!$C$8),0,$AB$34*(1+$AA$15)^($B25-2020))</f>
        <v>26884.537073677344</v>
      </c>
      <c r="E25" s="194">
        <f>IF(OR($B25&lt;$Y$6,$B25&gt;'Project Data and Assumptions'!$C$8),0,$AC$34*(1+$AA$15)^($B25-2020))</f>
        <v>154291.48507826036</v>
      </c>
      <c r="F25" s="196">
        <f>IF($B25&gt;'Project Data and Assumptions'!$C$8,0,$AC$30*(1+$AA$15)^($B25-2020))</f>
        <v>38983.4828078059</v>
      </c>
      <c r="G25" s="75">
        <f>IF($B25&gt;'Project Data and Assumptions'!$C$8,0,$AB$29*(1+$AA$15)^($B25-2020))</f>
        <v>9601.6203834561966</v>
      </c>
      <c r="H25" s="194">
        <f>IF($B25&gt;'Project Data and Assumptions'!$C$8,0,$AC$29*(1+$AA$15)^($B25-2020))</f>
        <v>55104.101813664427</v>
      </c>
      <c r="I25" s="15">
        <f t="shared" si="0"/>
        <v>1438646.4495392689</v>
      </c>
      <c r="J25" s="74">
        <f t="shared" si="8"/>
        <v>64264.797420918338</v>
      </c>
      <c r="K25" s="74">
        <f t="shared" si="9"/>
        <v>1949057.0756208068</v>
      </c>
      <c r="L25" s="74">
        <f t="shared" si="1"/>
        <v>2033561.7733314715</v>
      </c>
      <c r="M25" s="74">
        <f t="shared" si="10"/>
        <v>232158.95478549297</v>
      </c>
      <c r="N25" s="76">
        <f t="shared" si="2"/>
        <v>3656.7702098726154</v>
      </c>
      <c r="O25" s="15">
        <f t="shared" si="3"/>
        <v>513802.30340688181</v>
      </c>
      <c r="P25" s="74">
        <f t="shared" si="11"/>
        <v>22951.713364613697</v>
      </c>
      <c r="Q25" s="74">
        <f t="shared" si="12"/>
        <v>696091.81272171694</v>
      </c>
      <c r="R25" s="74">
        <f t="shared" si="4"/>
        <v>726272.06190409721</v>
      </c>
      <c r="S25" s="74">
        <f t="shared" si="13"/>
        <v>82913.912423390357</v>
      </c>
      <c r="T25" s="76">
        <f t="shared" si="5"/>
        <v>1305.9893606687915</v>
      </c>
      <c r="U25" s="15">
        <f t="shared" si="14"/>
        <v>7764683.6140891993</v>
      </c>
      <c r="V25" s="6">
        <f t="shared" si="6"/>
        <v>1249573.3859868508</v>
      </c>
      <c r="X25" s="620" t="s">
        <v>124</v>
      </c>
      <c r="Y25" s="620"/>
      <c r="Z25" s="79">
        <f>District!$B$6*SUM(District!C3)*('Trail Lengths'!F10/'Trail Lengths'!F24)</f>
        <v>108405.16939951252</v>
      </c>
      <c r="AA25" s="79">
        <f>Z25*(SUM(District!$B$27:$B$30)+District!$B$26*5/7)</f>
        <v>92289.750941076098</v>
      </c>
      <c r="AB25" s="79">
        <v>0</v>
      </c>
      <c r="AC25" s="79">
        <f>Z25-AB25</f>
        <v>108405.16939951252</v>
      </c>
      <c r="AD25" s="235">
        <f>AA25/Z25</f>
        <v>0.85134086734327918</v>
      </c>
      <c r="AG25" s="91" t="s">
        <v>64</v>
      </c>
    </row>
    <row r="26" spans="1:33" x14ac:dyDescent="0.25">
      <c r="A26" s="61">
        <f t="shared" si="7"/>
        <v>93136.518305337348</v>
      </c>
      <c r="B26" s="2">
        <f t="shared" si="15"/>
        <v>2049</v>
      </c>
      <c r="C26" s="196">
        <f>IF(OR($B26&lt;$Y$6,$B26&gt;'Project Data and Assumptions'!$C$8),0,$AC$35*(1+$AA$15)^($B26-2020))</f>
        <v>117072.14665309443</v>
      </c>
      <c r="D26" s="75">
        <f>IF(OR($B26&lt;$Y$6,$B26&gt;'Project Data and Assumptions'!$C$8),0,$AB$34*(1+$AA$15)^($B26-2020))</f>
        <v>28834.835388649335</v>
      </c>
      <c r="E26" s="194">
        <f>IF(OR($B26&lt;$Y$6,$B26&gt;'Project Data and Assumptions'!$C$8),0,$AC$34*(1+$AA$15)^($B26-2020))</f>
        <v>165484.32885079764</v>
      </c>
      <c r="F26" s="196">
        <f>IF($B26&gt;'Project Data and Assumptions'!$C$8,0,$AC$30*(1+$AA$15)^($B26-2020))</f>
        <v>41811.480947533732</v>
      </c>
      <c r="G26" s="75">
        <f>IF($B26&gt;'Project Data and Assumptions'!$C$8,0,$AB$29*(1+$AA$15)^($B26-2020))</f>
        <v>10298.155495946194</v>
      </c>
      <c r="H26" s="194">
        <f>IF($B26&gt;'Project Data and Assumptions'!$C$8,0,$AC$29*(1+$AA$15)^($B26-2020))</f>
        <v>59101.546018142028</v>
      </c>
      <c r="I26" s="15">
        <f t="shared" si="0"/>
        <v>1543010.8928877846</v>
      </c>
      <c r="J26" s="74">
        <f t="shared" si="8"/>
        <v>68926.790513027372</v>
      </c>
      <c r="K26" s="74">
        <f t="shared" si="9"/>
        <v>2090448.4903195295</v>
      </c>
      <c r="L26" s="74">
        <f t="shared" si="1"/>
        <v>2181083.4542535129</v>
      </c>
      <c r="M26" s="74">
        <f t="shared" si="10"/>
        <v>249000.57705642734</v>
      </c>
      <c r="N26" s="76">
        <f t="shared" si="2"/>
        <v>3922.0451059591496</v>
      </c>
      <c r="O26" s="15">
        <f t="shared" si="3"/>
        <v>551075.31888849463</v>
      </c>
      <c r="P26" s="74">
        <f t="shared" si="11"/>
        <v>24616.710897509784</v>
      </c>
      <c r="Q26" s="74">
        <f t="shared" si="12"/>
        <v>746588.74654268939</v>
      </c>
      <c r="R26" s="74">
        <f t="shared" si="4"/>
        <v>778958.37651911203</v>
      </c>
      <c r="S26" s="74">
        <f t="shared" si="13"/>
        <v>88928.777520152653</v>
      </c>
      <c r="T26" s="76">
        <f t="shared" si="5"/>
        <v>1400.7303949854108</v>
      </c>
      <c r="U26" s="15">
        <f t="shared" si="14"/>
        <v>8327960.9108991856</v>
      </c>
      <c r="V26" s="6">
        <f t="shared" si="6"/>
        <v>1252543.7460322096</v>
      </c>
      <c r="Z26" s="84"/>
      <c r="AA26" s="84"/>
      <c r="AB26" s="84"/>
      <c r="AC26" s="84"/>
      <c r="AG26" s="91" t="s">
        <v>65</v>
      </c>
    </row>
    <row r="27" spans="1:33" ht="15.75" thickBot="1" x14ac:dyDescent="0.3">
      <c r="A27" s="61">
        <f t="shared" si="7"/>
        <v>99892.966973784176</v>
      </c>
      <c r="B27" s="3">
        <f t="shared" si="15"/>
        <v>2050</v>
      </c>
      <c r="C27" s="197">
        <f>IF(OR($B27&lt;$Y$6,$B27&gt;'Project Data and Assumptions'!$C$8),0,$AC$35*(1+$AA$15)^($B27-2020))</f>
        <v>125564.96948734872</v>
      </c>
      <c r="D27" s="80">
        <f>IF(OR($B27&lt;$Y$6,$B27&gt;'Project Data and Assumptions'!$C$8),0,$AB$34*(1+$AA$15)^($B27-2020))</f>
        <v>30926.615162162285</v>
      </c>
      <c r="E27" s="195">
        <f>IF(OR($B27&lt;$Y$6,$B27&gt;'Project Data and Assumptions'!$C$8),0,$AC$34*(1+$AA$15)^($B27-2020))</f>
        <v>177489.14064381819</v>
      </c>
      <c r="F27" s="197">
        <f>IF($B27&gt;'Project Data and Assumptions'!$C$8,0,$AC$30*(1+$AA$15)^($B27-2020))</f>
        <v>44844.631959767401</v>
      </c>
      <c r="G27" s="80">
        <f>IF($B27&gt;'Project Data and Assumptions'!$C$8,0,$AB$29*(1+$AA$15)^($B27-2020))</f>
        <v>11045.219700772246</v>
      </c>
      <c r="H27" s="195">
        <f>IF($B27&gt;'Project Data and Assumptions'!$C$8,0,$AC$29*(1+$AA$15)^($B27-2020))</f>
        <v>63388.978801363657</v>
      </c>
      <c r="I27" s="98">
        <f t="shared" si="0"/>
        <v>1654946.297843256</v>
      </c>
      <c r="J27" s="99">
        <f t="shared" ref="J27" si="16">(D27*$AA$40)*$AA$38*$AA$39</f>
        <v>73926.980883632743</v>
      </c>
      <c r="K27" s="99">
        <f t="shared" ref="K27" si="17">C27*$AA$43+SUM(D27:E27)*$AA$44</f>
        <v>2242096.9325833055</v>
      </c>
      <c r="L27" s="99">
        <f t="shared" si="1"/>
        <v>2339306.8736855239</v>
      </c>
      <c r="M27" s="99">
        <f t="shared" ref="M27" si="18">SUM(D27:E27)*$AA$52</f>
        <v>267063.94948978338</v>
      </c>
      <c r="N27" s="101">
        <f t="shared" si="2"/>
        <v>4206.5639704809246</v>
      </c>
      <c r="O27" s="98">
        <f t="shared" si="3"/>
        <v>591052.24922973441</v>
      </c>
      <c r="P27" s="99">
        <f t="shared" ref="P27" si="19">(G27*$AA$40)*$AA$38*$AA$39</f>
        <v>26402.493172725983</v>
      </c>
      <c r="Q27" s="99">
        <f t="shared" ref="Q27" si="20">F27*$AA$43+SUM(G27:H27)*$AA$44</f>
        <v>800748.90449403785</v>
      </c>
      <c r="R27" s="99">
        <f t="shared" si="4"/>
        <v>835466.74060197303</v>
      </c>
      <c r="S27" s="99">
        <f t="shared" ref="S27" si="21">SUM(G27:H27)*$AA$52</f>
        <v>95379.981960636927</v>
      </c>
      <c r="T27" s="101">
        <f t="shared" si="5"/>
        <v>1502.3442751717589</v>
      </c>
      <c r="U27" s="16">
        <f t="shared" ref="U27" si="22">SUM(I27:T27)</f>
        <v>8932100.3121902626</v>
      </c>
      <c r="V27" s="7">
        <f t="shared" si="6"/>
        <v>1255521.1669184098</v>
      </c>
      <c r="X27" s="8" t="s">
        <v>496</v>
      </c>
      <c r="Z27" s="84"/>
      <c r="AA27" s="84"/>
      <c r="AB27" s="84"/>
      <c r="AC27" s="84"/>
    </row>
    <row r="28" spans="1:33" ht="15.75" thickBot="1" x14ac:dyDescent="0.3">
      <c r="A28" s="61"/>
      <c r="B28" s="4"/>
      <c r="D28" s="4"/>
      <c r="G28" s="4"/>
      <c r="H28" s="81" t="s">
        <v>2</v>
      </c>
      <c r="I28" s="115">
        <f t="shared" ref="I28:V28" si="23">SUM(I7:I27)</f>
        <v>18846152.869203519</v>
      </c>
      <c r="J28" s="116">
        <f t="shared" si="23"/>
        <v>841863.68144230021</v>
      </c>
      <c r="K28" s="116">
        <f t="shared" si="23"/>
        <v>25532491.050679002</v>
      </c>
      <c r="L28" s="116">
        <f t="shared" si="23"/>
        <v>26639495.79929604</v>
      </c>
      <c r="M28" s="116">
        <f t="shared" si="23"/>
        <v>3041263.6497612838</v>
      </c>
      <c r="N28" s="117">
        <f t="shared" si="23"/>
        <v>47903.395865523002</v>
      </c>
      <c r="O28" s="115">
        <f t="shared" si="23"/>
        <v>6730768.8818584019</v>
      </c>
      <c r="P28" s="116">
        <f t="shared" si="23"/>
        <v>300665.60051510727</v>
      </c>
      <c r="Q28" s="116">
        <f t="shared" si="23"/>
        <v>9118746.8038139306</v>
      </c>
      <c r="R28" s="116">
        <f t="shared" si="23"/>
        <v>9514105.6426057331</v>
      </c>
      <c r="S28" s="116">
        <f t="shared" si="23"/>
        <v>1086165.5892004585</v>
      </c>
      <c r="T28" s="117">
        <f t="shared" si="23"/>
        <v>17108.355666258216</v>
      </c>
      <c r="U28" s="118">
        <f t="shared" si="23"/>
        <v>101716731.31990758</v>
      </c>
      <c r="V28" s="119">
        <f t="shared" si="23"/>
        <v>25749977.624526955</v>
      </c>
      <c r="Z28" s="78" t="s">
        <v>23</v>
      </c>
      <c r="AA28" s="78" t="s">
        <v>336</v>
      </c>
      <c r="AB28" s="78" t="s">
        <v>53</v>
      </c>
      <c r="AC28" s="78" t="s">
        <v>195</v>
      </c>
      <c r="AD28" s="78" t="s">
        <v>354</v>
      </c>
    </row>
    <row r="29" spans="1:33" x14ac:dyDescent="0.25">
      <c r="A29" s="61"/>
      <c r="B29" s="4"/>
      <c r="D29" s="4"/>
      <c r="F29" s="81"/>
      <c r="G29" s="4"/>
      <c r="H29" s="4"/>
      <c r="I29" s="82"/>
      <c r="J29" s="82"/>
      <c r="K29" s="82"/>
      <c r="L29" s="82"/>
      <c r="M29" s="82"/>
      <c r="N29" s="82"/>
      <c r="O29" s="82"/>
      <c r="P29" s="82"/>
      <c r="Q29" s="82"/>
      <c r="R29" s="82"/>
      <c r="S29" s="82"/>
      <c r="T29" s="82"/>
      <c r="U29" s="82"/>
      <c r="V29" s="82"/>
      <c r="X29" s="620" t="s">
        <v>125</v>
      </c>
      <c r="Y29" s="620"/>
      <c r="Z29" s="79">
        <f>$Y$8/$Y$7*Z24</f>
        <v>9105.9467095058699</v>
      </c>
      <c r="AA29" s="737">
        <f>Z29*(SUM(District!$B$27:$B$30)+District!$B$26*5/7)</f>
        <v>7752.264569652406</v>
      </c>
      <c r="AB29" s="737">
        <f>SUM($Z29:$Z30)*District!$C$11</f>
        <v>1351.2227445712385</v>
      </c>
      <c r="AC29" s="79">
        <f>Z29-AB29</f>
        <v>7754.7239649346311</v>
      </c>
      <c r="AD29" s="235">
        <f>IFERROR(AA29/Z29,0)</f>
        <v>0.85134086734327918</v>
      </c>
    </row>
    <row r="30" spans="1:33" x14ac:dyDescent="0.25">
      <c r="A30" s="61"/>
      <c r="D30" s="83"/>
      <c r="X30" s="620" t="s">
        <v>124</v>
      </c>
      <c r="Y30" s="620"/>
      <c r="Z30" s="79">
        <f>$Y$8/$Y$7*Z25</f>
        <v>5486.091568801241</v>
      </c>
      <c r="AA30" s="737">
        <f>Z30*(SUM(District!$B$27:$B$30)+District!$B$26*5/7)</f>
        <v>4670.5339545078996</v>
      </c>
      <c r="AB30" s="738">
        <v>0</v>
      </c>
      <c r="AC30" s="79">
        <f>Z30-AB30</f>
        <v>5486.091568801241</v>
      </c>
      <c r="AD30" s="235">
        <f>IFERROR(AA30/Z30,0)</f>
        <v>0.85134086734327918</v>
      </c>
    </row>
    <row r="31" spans="1:33" ht="15" customHeight="1" x14ac:dyDescent="0.25">
      <c r="A31" s="61"/>
      <c r="D31" s="83"/>
      <c r="Z31" s="84"/>
      <c r="AA31" s="739"/>
      <c r="AB31" s="739"/>
      <c r="AC31" s="84"/>
    </row>
    <row r="32" spans="1:33" ht="15" customHeight="1" x14ac:dyDescent="0.25">
      <c r="B32" s="8" t="s">
        <v>3</v>
      </c>
      <c r="H32" s="8"/>
      <c r="X32" s="8" t="s">
        <v>497</v>
      </c>
      <c r="Z32" s="84"/>
      <c r="AA32" s="739"/>
      <c r="AB32" s="739"/>
      <c r="AC32" s="84"/>
    </row>
    <row r="33" spans="1:33" ht="15" customHeight="1" x14ac:dyDescent="0.25">
      <c r="A33" s="9" t="s">
        <v>18</v>
      </c>
      <c r="B33" s="398" t="s">
        <v>522</v>
      </c>
      <c r="C33" s="42"/>
      <c r="D33" s="42"/>
      <c r="E33" s="24"/>
      <c r="F33" s="24"/>
      <c r="G33" s="24"/>
      <c r="H33" s="24"/>
      <c r="I33" s="24"/>
      <c r="J33" s="24"/>
      <c r="K33" s="24"/>
      <c r="L33" s="24"/>
      <c r="M33" s="24"/>
      <c r="N33" s="24"/>
      <c r="O33" s="24"/>
      <c r="P33" s="24"/>
      <c r="Q33" s="24"/>
      <c r="R33" s="24"/>
      <c r="S33" s="24"/>
      <c r="T33" s="49"/>
      <c r="U33" s="49"/>
      <c r="V33" s="24"/>
      <c r="Z33" s="78" t="s">
        <v>23</v>
      </c>
      <c r="AA33" s="740" t="s">
        <v>336</v>
      </c>
      <c r="AB33" s="740" t="s">
        <v>53</v>
      </c>
      <c r="AC33" s="78" t="s">
        <v>195</v>
      </c>
      <c r="AD33" s="78" t="s">
        <v>354</v>
      </c>
    </row>
    <row r="34" spans="1:33" ht="17.25" customHeight="1" x14ac:dyDescent="0.25">
      <c r="B34" s="398"/>
      <c r="C34" s="42"/>
      <c r="D34" s="42"/>
      <c r="E34" s="24"/>
      <c r="F34" s="24"/>
      <c r="G34" s="24"/>
      <c r="H34" s="24"/>
      <c r="I34" s="24"/>
      <c r="J34" s="47"/>
      <c r="K34" s="47"/>
      <c r="L34" s="24"/>
      <c r="M34" s="24"/>
      <c r="N34" s="24"/>
      <c r="O34" s="24"/>
      <c r="P34" s="47"/>
      <c r="Q34" s="47"/>
      <c r="R34" s="24"/>
      <c r="S34" s="24"/>
      <c r="T34" s="49"/>
      <c r="U34" s="49"/>
      <c r="V34" s="24"/>
      <c r="X34" s="620" t="s">
        <v>125</v>
      </c>
      <c r="Y34" s="620"/>
      <c r="Z34" s="79">
        <f>$Y$9/$Y$7*Z24</f>
        <v>25496.650786616428</v>
      </c>
      <c r="AA34" s="737">
        <f>Z34*(SUM(District!$B$27:$B$30)+District!$B$26*5/7)</f>
        <v>21706.340795026732</v>
      </c>
      <c r="AB34" s="737">
        <f>SUM($Z34:$Z35)*District!$C$11</f>
        <v>3783.4236847994671</v>
      </c>
      <c r="AC34" s="79">
        <f>Z34-AB34</f>
        <v>21713.227101816963</v>
      </c>
      <c r="AD34" s="190">
        <f>AA34/Z34</f>
        <v>0.85134086734327918</v>
      </c>
    </row>
    <row r="35" spans="1:33" ht="17.25" customHeight="1" x14ac:dyDescent="0.25">
      <c r="A35" s="9" t="s">
        <v>17</v>
      </c>
      <c r="B35" s="624" t="s">
        <v>695</v>
      </c>
      <c r="C35" s="624"/>
      <c r="D35" s="624"/>
      <c r="E35" s="624"/>
      <c r="F35" s="624"/>
      <c r="G35" s="624"/>
      <c r="H35" s="624"/>
      <c r="I35" s="624"/>
      <c r="J35" s="624"/>
      <c r="K35" s="624"/>
      <c r="L35" s="624"/>
      <c r="M35" s="624"/>
      <c r="N35" s="624"/>
      <c r="O35" s="624"/>
      <c r="P35" s="624"/>
      <c r="Q35" s="624"/>
      <c r="R35" s="624"/>
      <c r="S35" s="624"/>
      <c r="T35" s="49"/>
      <c r="U35" s="49"/>
      <c r="V35" s="24"/>
      <c r="X35" s="620" t="s">
        <v>124</v>
      </c>
      <c r="Y35" s="620"/>
      <c r="Z35" s="79">
        <f>$Y$9/$Y$7*Z25</f>
        <v>15361.056392643473</v>
      </c>
      <c r="AA35" s="737">
        <f>Z35*(SUM(District!$B$27:$B$30)+District!$B$26*5/7)</f>
        <v>13077.495072622118</v>
      </c>
      <c r="AB35" s="738">
        <v>0</v>
      </c>
      <c r="AC35" s="79">
        <f>Z35-AB35</f>
        <v>15361.056392643473</v>
      </c>
      <c r="AD35" s="190">
        <f>AA35/Z35</f>
        <v>0.85134086734327918</v>
      </c>
    </row>
    <row r="36" spans="1:33" ht="17.25" customHeight="1" x14ac:dyDescent="0.25">
      <c r="B36" s="624"/>
      <c r="C36" s="624"/>
      <c r="D36" s="624"/>
      <c r="E36" s="624"/>
      <c r="F36" s="624"/>
      <c r="G36" s="624"/>
      <c r="H36" s="624"/>
      <c r="I36" s="624"/>
      <c r="J36" s="624"/>
      <c r="K36" s="624"/>
      <c r="L36" s="624"/>
      <c r="M36" s="624"/>
      <c r="N36" s="624"/>
      <c r="O36" s="624"/>
      <c r="P36" s="624"/>
      <c r="Q36" s="624"/>
      <c r="R36" s="624"/>
      <c r="S36" s="624"/>
      <c r="T36" s="49"/>
      <c r="U36" s="49"/>
      <c r="V36" s="24"/>
      <c r="Z36" s="84"/>
      <c r="AA36" s="84"/>
      <c r="AB36" s="84"/>
      <c r="AC36" s="84"/>
    </row>
    <row r="37" spans="1:33" ht="15" customHeight="1" x14ac:dyDescent="0.25">
      <c r="B37" s="624"/>
      <c r="C37" s="624"/>
      <c r="D37" s="624"/>
      <c r="E37" s="624"/>
      <c r="F37" s="624"/>
      <c r="G37" s="624"/>
      <c r="H37" s="624"/>
      <c r="I37" s="624"/>
      <c r="J37" s="624"/>
      <c r="K37" s="624"/>
      <c r="L37" s="624"/>
      <c r="M37" s="624"/>
      <c r="N37" s="624"/>
      <c r="O37" s="624"/>
      <c r="P37" s="624"/>
      <c r="Q37" s="624"/>
      <c r="R37" s="624"/>
      <c r="S37" s="624"/>
      <c r="T37" s="405"/>
      <c r="U37" s="405"/>
      <c r="V37" s="189"/>
      <c r="X37" s="8" t="s">
        <v>498</v>
      </c>
      <c r="Z37" s="84"/>
      <c r="AA37" s="84"/>
      <c r="AB37" s="84"/>
      <c r="AC37" s="84"/>
    </row>
    <row r="38" spans="1:33" ht="17.25" customHeight="1" x14ac:dyDescent="0.25">
      <c r="B38" s="733"/>
      <c r="C38" s="733"/>
      <c r="D38" s="733"/>
      <c r="E38" s="733"/>
      <c r="F38" s="733"/>
      <c r="G38" s="733"/>
      <c r="H38" s="733"/>
      <c r="I38" s="733"/>
      <c r="J38" s="733"/>
      <c r="K38" s="733"/>
      <c r="L38" s="733"/>
      <c r="M38" s="733"/>
      <c r="N38" s="733"/>
      <c r="O38" s="733"/>
      <c r="P38" s="733"/>
      <c r="Q38" s="733"/>
      <c r="R38" s="733"/>
      <c r="S38" s="733"/>
      <c r="X38" s="620" t="s">
        <v>510</v>
      </c>
      <c r="Y38" s="620"/>
      <c r="Z38" s="620"/>
      <c r="AA38" s="85">
        <v>21.6</v>
      </c>
    </row>
    <row r="39" spans="1:33" ht="15" customHeight="1" x14ac:dyDescent="0.25">
      <c r="A39" s="9" t="s">
        <v>19</v>
      </c>
      <c r="B39" s="734" t="s">
        <v>693</v>
      </c>
      <c r="C39" s="735"/>
      <c r="D39" s="735"/>
      <c r="E39" s="735"/>
      <c r="F39" s="735"/>
      <c r="G39" s="735"/>
      <c r="H39" s="735"/>
      <c r="I39" s="735"/>
      <c r="J39" s="735"/>
      <c r="K39" s="735"/>
      <c r="L39" s="735"/>
      <c r="M39" s="735"/>
      <c r="N39" s="735"/>
      <c r="O39" s="735"/>
      <c r="P39" s="735"/>
      <c r="Q39" s="735"/>
      <c r="R39" s="735"/>
      <c r="S39" s="735"/>
      <c r="X39" s="621" t="s">
        <v>511</v>
      </c>
      <c r="Y39" s="621"/>
      <c r="Z39" s="621"/>
      <c r="AA39" s="109">
        <f>16.6/60</f>
        <v>0.27666666666666667</v>
      </c>
      <c r="AB39" s="127"/>
    </row>
    <row r="40" spans="1:33" ht="15" customHeight="1" x14ac:dyDescent="0.25">
      <c r="C40" s="24"/>
      <c r="D40" s="24"/>
      <c r="E40" s="24"/>
      <c r="F40" s="24"/>
      <c r="G40" s="24"/>
      <c r="H40" s="24"/>
      <c r="I40" s="24"/>
      <c r="J40" s="24"/>
      <c r="K40" s="24"/>
      <c r="L40" s="24"/>
      <c r="M40" s="24"/>
      <c r="N40" s="24"/>
      <c r="O40" s="24"/>
      <c r="P40" s="24"/>
      <c r="Q40" s="24"/>
      <c r="R40" s="24"/>
      <c r="S40" s="24"/>
      <c r="X40" s="621" t="s">
        <v>512</v>
      </c>
      <c r="Y40" s="621"/>
      <c r="Z40" s="621"/>
      <c r="AA40" s="94">
        <v>0.4</v>
      </c>
    </row>
    <row r="41" spans="1:33" ht="17.25" customHeight="1" x14ac:dyDescent="0.25">
      <c r="A41" s="9" t="s">
        <v>20</v>
      </c>
      <c r="B41" s="624" t="s">
        <v>694</v>
      </c>
      <c r="C41" s="624"/>
      <c r="D41" s="624"/>
      <c r="E41" s="624"/>
      <c r="F41" s="624"/>
      <c r="G41" s="624"/>
      <c r="H41" s="624"/>
      <c r="I41" s="624"/>
      <c r="J41" s="624"/>
      <c r="K41" s="624"/>
      <c r="L41" s="624"/>
      <c r="M41" s="624"/>
      <c r="N41" s="624"/>
      <c r="O41" s="624"/>
      <c r="P41" s="624"/>
      <c r="Q41" s="624"/>
      <c r="R41" s="624"/>
      <c r="S41" s="624"/>
      <c r="T41" s="49"/>
      <c r="U41" s="49"/>
      <c r="V41" s="24"/>
      <c r="AG41" s="95" t="s">
        <v>66</v>
      </c>
    </row>
    <row r="42" spans="1:33" x14ac:dyDescent="0.25">
      <c r="B42" s="624"/>
      <c r="C42" s="624"/>
      <c r="D42" s="624"/>
      <c r="E42" s="624"/>
      <c r="F42" s="624"/>
      <c r="G42" s="624"/>
      <c r="H42" s="624"/>
      <c r="I42" s="624"/>
      <c r="J42" s="624"/>
      <c r="K42" s="624"/>
      <c r="L42" s="624"/>
      <c r="M42" s="624"/>
      <c r="N42" s="624"/>
      <c r="O42" s="624"/>
      <c r="P42" s="624"/>
      <c r="Q42" s="624"/>
      <c r="R42" s="624"/>
      <c r="S42" s="624"/>
      <c r="T42" s="49"/>
      <c r="U42" s="49"/>
      <c r="V42" s="24"/>
      <c r="W42" s="24"/>
      <c r="X42" s="8" t="s">
        <v>513</v>
      </c>
      <c r="AG42" s="95" t="s">
        <v>66</v>
      </c>
    </row>
    <row r="43" spans="1:33" ht="15" customHeight="1" x14ac:dyDescent="0.25">
      <c r="J43"/>
      <c r="K43"/>
      <c r="P43"/>
      <c r="Q43"/>
      <c r="T43" s="49"/>
      <c r="U43" s="49"/>
      <c r="V43" s="24"/>
      <c r="W43" s="24"/>
      <c r="X43" s="198" t="s">
        <v>122</v>
      </c>
      <c r="Y43" s="199"/>
      <c r="Z43" s="199"/>
      <c r="AA43" s="139">
        <v>7.2</v>
      </c>
      <c r="AG43" s="95" t="s">
        <v>55</v>
      </c>
    </row>
    <row r="44" spans="1:33" ht="15" customHeight="1" x14ac:dyDescent="0.25">
      <c r="A44" s="9" t="s">
        <v>57</v>
      </c>
      <c r="B44" s="624" t="s">
        <v>523</v>
      </c>
      <c r="C44" s="624"/>
      <c r="D44" s="624"/>
      <c r="E44" s="624"/>
      <c r="F44" s="624"/>
      <c r="G44" s="624"/>
      <c r="H44" s="624"/>
      <c r="I44" s="624"/>
      <c r="J44" s="624"/>
      <c r="K44" s="624"/>
      <c r="L44" s="624"/>
      <c r="M44" s="624"/>
      <c r="N44" s="624"/>
      <c r="O44" s="624"/>
      <c r="P44" s="624"/>
      <c r="Q44" s="624"/>
      <c r="R44" s="624"/>
      <c r="S44" s="624"/>
      <c r="T44" s="49"/>
      <c r="U44" s="49"/>
      <c r="V44" s="24"/>
      <c r="W44" s="24"/>
      <c r="X44" s="198" t="s">
        <v>123</v>
      </c>
      <c r="Y44" s="199"/>
      <c r="Z44" s="199"/>
      <c r="AA44" s="443">
        <v>6.42</v>
      </c>
      <c r="AC44" s="93"/>
      <c r="AG44" s="95" t="s">
        <v>67</v>
      </c>
    </row>
    <row r="45" spans="1:33" ht="17.25" customHeight="1" x14ac:dyDescent="0.25">
      <c r="B45" s="624"/>
      <c r="C45" s="624"/>
      <c r="D45" s="624"/>
      <c r="E45" s="624"/>
      <c r="F45" s="624"/>
      <c r="G45" s="624"/>
      <c r="H45" s="624"/>
      <c r="I45" s="624"/>
      <c r="J45" s="624"/>
      <c r="K45" s="624"/>
      <c r="L45" s="624"/>
      <c r="M45" s="624"/>
      <c r="N45" s="624"/>
      <c r="O45" s="624"/>
      <c r="P45" s="624"/>
      <c r="Q45" s="624"/>
      <c r="R45" s="624"/>
      <c r="S45" s="624"/>
      <c r="T45" s="49"/>
      <c r="U45" s="49"/>
      <c r="V45" s="24"/>
      <c r="W45" s="24"/>
      <c r="AG45" s="95" t="s">
        <v>68</v>
      </c>
    </row>
    <row r="46" spans="1:33" ht="15" customHeight="1" x14ac:dyDescent="0.25">
      <c r="B46" s="398"/>
      <c r="C46" s="42"/>
      <c r="D46" s="42"/>
      <c r="E46" s="24"/>
      <c r="F46" s="24"/>
      <c r="G46" s="24"/>
      <c r="H46" s="24"/>
      <c r="I46" s="24"/>
      <c r="J46" s="24"/>
      <c r="K46" s="24"/>
      <c r="L46" s="24"/>
      <c r="M46" s="24"/>
      <c r="N46" s="24"/>
      <c r="O46" s="24"/>
      <c r="P46" s="24"/>
      <c r="Q46" s="24"/>
      <c r="R46" s="24"/>
      <c r="S46" s="24"/>
      <c r="T46" s="49"/>
      <c r="U46" s="49"/>
      <c r="V46" s="24"/>
      <c r="W46" s="24"/>
      <c r="X46" s="8" t="s">
        <v>514</v>
      </c>
      <c r="AG46" s="125"/>
    </row>
    <row r="47" spans="1:33" ht="15" customHeight="1" x14ac:dyDescent="0.25">
      <c r="A47" s="9" t="s">
        <v>521</v>
      </c>
      <c r="B47" s="624" t="s">
        <v>519</v>
      </c>
      <c r="C47" s="624"/>
      <c r="D47" s="624"/>
      <c r="E47" s="624"/>
      <c r="F47" s="624"/>
      <c r="G47" s="624"/>
      <c r="H47" s="624"/>
      <c r="I47" s="624"/>
      <c r="J47" s="624"/>
      <c r="K47" s="624"/>
      <c r="L47" s="624"/>
      <c r="M47" s="624"/>
      <c r="N47" s="624"/>
      <c r="O47" s="624"/>
      <c r="P47" s="624"/>
      <c r="Q47" s="624"/>
      <c r="R47" s="624"/>
      <c r="S47" s="624"/>
      <c r="W47" s="24"/>
      <c r="X47" s="621" t="s">
        <v>360</v>
      </c>
      <c r="Y47" s="621"/>
      <c r="Z47" s="621"/>
      <c r="AA47" s="86">
        <v>10</v>
      </c>
      <c r="AG47" s="125"/>
    </row>
    <row r="48" spans="1:33" ht="16.5" customHeight="1" x14ac:dyDescent="0.25">
      <c r="B48" s="624"/>
      <c r="C48" s="624"/>
      <c r="D48" s="624"/>
      <c r="E48" s="624"/>
      <c r="F48" s="624"/>
      <c r="G48" s="624"/>
      <c r="H48" s="624"/>
      <c r="I48" s="624"/>
      <c r="J48" s="624"/>
      <c r="K48" s="624"/>
      <c r="L48" s="624"/>
      <c r="M48" s="624"/>
      <c r="N48" s="624"/>
      <c r="O48" s="624"/>
      <c r="P48" s="624"/>
      <c r="Q48" s="624"/>
      <c r="R48" s="624"/>
      <c r="S48" s="624"/>
      <c r="W48" s="24"/>
      <c r="X48" s="621" t="s">
        <v>58</v>
      </c>
      <c r="Y48" s="621"/>
      <c r="Z48" s="621"/>
      <c r="AA48" s="87">
        <f>365-90</f>
        <v>275</v>
      </c>
      <c r="AG48" s="95" t="s">
        <v>69</v>
      </c>
    </row>
    <row r="49" spans="1:39" ht="34.5" customHeight="1" x14ac:dyDescent="0.25">
      <c r="B49" s="624"/>
      <c r="C49" s="624"/>
      <c r="D49" s="624"/>
      <c r="E49" s="624"/>
      <c r="F49" s="624"/>
      <c r="G49" s="624"/>
      <c r="H49" s="624"/>
      <c r="I49" s="624"/>
      <c r="J49" s="624"/>
      <c r="K49" s="624"/>
      <c r="L49" s="624"/>
      <c r="M49" s="624"/>
      <c r="N49" s="624"/>
      <c r="O49" s="624"/>
      <c r="P49" s="624"/>
      <c r="Q49" s="624"/>
      <c r="R49" s="624"/>
      <c r="S49" s="624"/>
      <c r="W49" s="24"/>
      <c r="X49" s="125"/>
      <c r="Y49" s="125"/>
      <c r="Z49" s="125"/>
      <c r="AA49" s="61"/>
    </row>
    <row r="50" spans="1:39" x14ac:dyDescent="0.25">
      <c r="B50" s="624"/>
      <c r="C50" s="624"/>
      <c r="D50" s="624"/>
      <c r="E50" s="624"/>
      <c r="F50" s="624"/>
      <c r="G50" s="624"/>
      <c r="H50" s="624"/>
      <c r="I50" s="624"/>
      <c r="J50" s="624"/>
      <c r="K50" s="624"/>
      <c r="L50" s="624"/>
      <c r="M50" s="624"/>
      <c r="N50" s="624"/>
      <c r="O50" s="624"/>
      <c r="P50" s="624"/>
      <c r="Q50" s="624"/>
      <c r="R50" s="624"/>
      <c r="S50" s="624"/>
      <c r="T50" s="49"/>
      <c r="U50" s="49"/>
      <c r="V50" s="24"/>
      <c r="W50" s="24"/>
      <c r="X50" s="8" t="s">
        <v>515</v>
      </c>
    </row>
    <row r="51" spans="1:39" ht="18" customHeight="1" x14ac:dyDescent="0.25">
      <c r="B51" s="398"/>
      <c r="C51" s="42"/>
      <c r="D51" s="42"/>
      <c r="E51" s="24"/>
      <c r="F51" s="24"/>
      <c r="G51" s="24"/>
      <c r="H51" s="24"/>
      <c r="I51" s="24"/>
      <c r="J51" s="24"/>
      <c r="K51" s="24"/>
      <c r="L51" s="24"/>
      <c r="M51" s="24"/>
      <c r="N51" s="24"/>
      <c r="O51" s="24"/>
      <c r="P51" s="24"/>
      <c r="Q51" s="24"/>
      <c r="R51" s="24"/>
      <c r="S51" s="24"/>
      <c r="T51" s="49"/>
      <c r="U51" s="49"/>
      <c r="V51" s="24"/>
      <c r="W51" s="24"/>
      <c r="X51" s="621" t="s">
        <v>116</v>
      </c>
      <c r="Y51" s="621"/>
      <c r="Z51" s="621"/>
      <c r="AA51" s="137">
        <v>1.49</v>
      </c>
      <c r="AG51" s="95" t="s">
        <v>70</v>
      </c>
    </row>
    <row r="52" spans="1:39" ht="15" customHeight="1" x14ac:dyDescent="0.25">
      <c r="A52" s="9" t="s">
        <v>524</v>
      </c>
      <c r="B52" s="624" t="s">
        <v>520</v>
      </c>
      <c r="C52" s="624"/>
      <c r="D52" s="624"/>
      <c r="E52" s="624"/>
      <c r="F52" s="624"/>
      <c r="G52" s="624"/>
      <c r="H52" s="624"/>
      <c r="I52" s="624"/>
      <c r="J52" s="624"/>
      <c r="K52" s="624"/>
      <c r="L52" s="624"/>
      <c r="M52" s="624"/>
      <c r="N52" s="624"/>
      <c r="O52" s="624"/>
      <c r="P52" s="624"/>
      <c r="Q52" s="624"/>
      <c r="R52" s="624"/>
      <c r="S52" s="624"/>
      <c r="W52" s="24"/>
      <c r="X52" s="212" t="s">
        <v>362</v>
      </c>
      <c r="Y52" s="212"/>
      <c r="Z52" s="212"/>
      <c r="AA52" s="137">
        <f>$AA$51*$AC$19</f>
        <v>1.2813999999999999</v>
      </c>
      <c r="AG52" s="91" t="s">
        <v>71</v>
      </c>
    </row>
    <row r="53" spans="1:39" x14ac:dyDescent="0.25">
      <c r="B53" s="624"/>
      <c r="C53" s="624"/>
      <c r="D53" s="624"/>
      <c r="E53" s="624"/>
      <c r="F53" s="624"/>
      <c r="G53" s="624"/>
      <c r="H53" s="624"/>
      <c r="I53" s="624"/>
      <c r="J53" s="624"/>
      <c r="K53" s="624"/>
      <c r="L53" s="624"/>
      <c r="M53" s="624"/>
      <c r="N53" s="624"/>
      <c r="O53" s="624"/>
      <c r="P53" s="624"/>
      <c r="Q53" s="624"/>
      <c r="R53" s="624"/>
      <c r="S53" s="624"/>
      <c r="W53" s="24"/>
      <c r="X53" s="212" t="s">
        <v>361</v>
      </c>
      <c r="Y53" s="212"/>
      <c r="Z53" s="212"/>
      <c r="AA53" s="137">
        <f>$AA$51*$AC$18</f>
        <v>0.745</v>
      </c>
    </row>
    <row r="54" spans="1:39" x14ac:dyDescent="0.25">
      <c r="B54" s="624"/>
      <c r="C54" s="624"/>
      <c r="D54" s="624"/>
      <c r="E54" s="624"/>
      <c r="F54" s="624"/>
      <c r="G54" s="624"/>
      <c r="H54" s="624"/>
      <c r="I54" s="624"/>
      <c r="J54" s="624"/>
      <c r="K54" s="624"/>
      <c r="L54" s="624"/>
      <c r="M54" s="624"/>
      <c r="N54" s="624"/>
      <c r="O54" s="624"/>
      <c r="P54" s="624"/>
      <c r="Q54" s="624"/>
      <c r="R54" s="624"/>
      <c r="S54" s="624"/>
      <c r="W54" s="24"/>
      <c r="AH54" s="97"/>
      <c r="AI54" s="97"/>
      <c r="AJ54" s="97"/>
      <c r="AK54" s="97"/>
    </row>
    <row r="55" spans="1:39" x14ac:dyDescent="0.25">
      <c r="B55" s="736"/>
      <c r="C55" s="736"/>
      <c r="D55" s="736"/>
      <c r="E55" s="736"/>
      <c r="F55" s="736"/>
      <c r="G55" s="736"/>
      <c r="H55" s="736"/>
      <c r="I55" s="736"/>
      <c r="J55" s="736"/>
      <c r="K55" s="736"/>
      <c r="L55" s="736"/>
      <c r="M55" s="736"/>
      <c r="N55" s="736"/>
      <c r="O55" s="736"/>
      <c r="P55" s="736"/>
      <c r="Q55" s="736"/>
      <c r="R55" s="736"/>
      <c r="S55" s="736"/>
      <c r="W55" s="24"/>
      <c r="X55" s="8" t="s">
        <v>516</v>
      </c>
      <c r="AG55" s="628" t="s">
        <v>72</v>
      </c>
      <c r="AH55" s="628"/>
      <c r="AI55" s="628"/>
      <c r="AJ55" s="628"/>
      <c r="AK55" s="628"/>
      <c r="AL55" s="628"/>
      <c r="AM55" s="628"/>
    </row>
    <row r="56" spans="1:39" x14ac:dyDescent="0.25">
      <c r="W56" s="24"/>
      <c r="X56" s="620" t="s">
        <v>59</v>
      </c>
      <c r="Y56" s="620"/>
      <c r="Z56" s="88">
        <v>0.12</v>
      </c>
      <c r="AG56" s="628"/>
      <c r="AH56" s="628"/>
      <c r="AI56" s="628"/>
      <c r="AJ56" s="628"/>
      <c r="AK56" s="628"/>
      <c r="AL56" s="628"/>
      <c r="AM56" s="628"/>
    </row>
    <row r="57" spans="1:39" ht="15" customHeight="1" x14ac:dyDescent="0.25">
      <c r="W57" s="24"/>
      <c r="X57" s="629"/>
      <c r="Y57" s="629"/>
    </row>
    <row r="58" spans="1:39" x14ac:dyDescent="0.25">
      <c r="W58" s="24"/>
      <c r="X58" s="89" t="s">
        <v>517</v>
      </c>
    </row>
    <row r="59" spans="1:39" x14ac:dyDescent="0.25">
      <c r="W59" s="24"/>
      <c r="X59" s="622" t="s">
        <v>75</v>
      </c>
      <c r="Y59" s="623"/>
      <c r="Z59" s="401">
        <v>1.5229999999999999</v>
      </c>
    </row>
    <row r="60" spans="1:39" x14ac:dyDescent="0.25">
      <c r="W60" s="24"/>
      <c r="X60" s="622" t="s">
        <v>533</v>
      </c>
      <c r="Y60" s="623"/>
      <c r="Z60" s="401">
        <v>1.3180000000000001</v>
      </c>
    </row>
    <row r="61" spans="1:39" x14ac:dyDescent="0.25">
      <c r="W61" s="24"/>
      <c r="Z61" s="39"/>
    </row>
    <row r="62" spans="1:39" x14ac:dyDescent="0.25">
      <c r="W62" s="24"/>
      <c r="X62" s="89" t="s">
        <v>499</v>
      </c>
    </row>
    <row r="63" spans="1:39" x14ac:dyDescent="0.25">
      <c r="X63" s="621" t="s">
        <v>60</v>
      </c>
      <c r="Y63" s="621"/>
      <c r="Z63" s="96">
        <v>0</v>
      </c>
    </row>
    <row r="64" spans="1:39" x14ac:dyDescent="0.25">
      <c r="X64" s="621" t="s">
        <v>61</v>
      </c>
      <c r="Y64" s="621"/>
      <c r="Z64" s="96">
        <v>0.75</v>
      </c>
      <c r="AG64" s="91" t="s">
        <v>62</v>
      </c>
    </row>
  </sheetData>
  <mergeCells count="55">
    <mergeCell ref="B35:S37"/>
    <mergeCell ref="B41:S42"/>
    <mergeCell ref="AG55:AM56"/>
    <mergeCell ref="X51:Z51"/>
    <mergeCell ref="X56:Y56"/>
    <mergeCell ref="X40:Z40"/>
    <mergeCell ref="X47:Z47"/>
    <mergeCell ref="X48:Z48"/>
    <mergeCell ref="B52:S54"/>
    <mergeCell ref="B44:S45"/>
    <mergeCell ref="B47:S50"/>
    <mergeCell ref="X57:Y57"/>
    <mergeCell ref="X59:Y59"/>
    <mergeCell ref="X60:Y60"/>
    <mergeCell ref="X63:Y63"/>
    <mergeCell ref="X64:Y64"/>
    <mergeCell ref="X19:AA19"/>
    <mergeCell ref="X39:Z39"/>
    <mergeCell ref="X24:Y24"/>
    <mergeCell ref="X25:Y25"/>
    <mergeCell ref="X29:Y29"/>
    <mergeCell ref="X30:Y30"/>
    <mergeCell ref="X34:Y34"/>
    <mergeCell ref="X35:Y35"/>
    <mergeCell ref="X38:Z38"/>
    <mergeCell ref="V5:V6"/>
    <mergeCell ref="X15:Z15"/>
    <mergeCell ref="X16:Z16"/>
    <mergeCell ref="X17:Z17"/>
    <mergeCell ref="X18:AA18"/>
    <mergeCell ref="P5:P6"/>
    <mergeCell ref="Q5:Q6"/>
    <mergeCell ref="S5:S6"/>
    <mergeCell ref="T5:T6"/>
    <mergeCell ref="U5:U6"/>
    <mergeCell ref="C4:E4"/>
    <mergeCell ref="F4:H4"/>
    <mergeCell ref="I4:N4"/>
    <mergeCell ref="O4:T4"/>
    <mergeCell ref="U4:V4"/>
    <mergeCell ref="B5:B6"/>
    <mergeCell ref="C5:C6"/>
    <mergeCell ref="D5:D6"/>
    <mergeCell ref="E5:E6"/>
    <mergeCell ref="F5:F6"/>
    <mergeCell ref="R5:R6"/>
    <mergeCell ref="G5:G6"/>
    <mergeCell ref="H5:H6"/>
    <mergeCell ref="I5:I6"/>
    <mergeCell ref="J5:J6"/>
    <mergeCell ref="K5:K6"/>
    <mergeCell ref="L5:L6"/>
    <mergeCell ref="M5:M6"/>
    <mergeCell ref="N5:N6"/>
    <mergeCell ref="O5:O6"/>
  </mergeCells>
  <pageMargins left="0.7" right="0.7" top="0.75" bottom="0.75" header="0.3" footer="0.3"/>
  <pageSetup scale="27" orientation="portrait" horizontalDpi="300" verticalDpi="1200" r:id="rId1"/>
  <colBreaks count="2" manualBreakCount="2">
    <brk id="22" max="65" man="1"/>
    <brk id="32" max="65" man="1"/>
  </col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0D41C-107B-4183-9003-988500761B5D}">
  <sheetPr>
    <tabColor rgb="FF00B050"/>
  </sheetPr>
  <dimension ref="A1:AW64"/>
  <sheetViews>
    <sheetView view="pageBreakPreview" topLeftCell="P1" zoomScale="85" zoomScaleNormal="100" zoomScaleSheetLayoutView="85" workbookViewId="0">
      <selection activeCell="X20" sqref="X20"/>
    </sheetView>
  </sheetViews>
  <sheetFormatPr defaultRowHeight="15" x14ac:dyDescent="0.25"/>
  <cols>
    <col min="1" max="1" width="9.140625" style="9"/>
    <col min="2" max="2" width="10.140625" customWidth="1"/>
    <col min="3" max="5" width="11.42578125" customWidth="1"/>
    <col min="6" max="6" width="12.5703125" customWidth="1"/>
    <col min="7" max="8" width="11.42578125" customWidth="1"/>
    <col min="9" max="9" width="12.5703125" customWidth="1"/>
    <col min="10" max="10" width="13.7109375" style="23" bestFit="1" customWidth="1"/>
    <col min="11" max="11" width="11.42578125" style="23" customWidth="1"/>
    <col min="12" max="13" width="12.5703125" customWidth="1"/>
    <col min="14" max="14" width="15.28515625" customWidth="1"/>
    <col min="15" max="15" width="12.5703125" customWidth="1"/>
    <col min="16" max="16" width="13.7109375" style="23" bestFit="1" customWidth="1"/>
    <col min="17" max="17" width="11.42578125" style="23" customWidth="1"/>
    <col min="18" max="19" width="12.5703125" customWidth="1"/>
    <col min="20" max="20" width="15.28515625" customWidth="1"/>
    <col min="21" max="21" width="14" customWidth="1"/>
    <col min="22" max="22" width="13.140625" bestFit="1" customWidth="1"/>
    <col min="24" max="24" width="36.7109375" customWidth="1"/>
    <col min="25" max="25" width="12" customWidth="1"/>
    <col min="26" max="26" width="12.140625" customWidth="1"/>
    <col min="27" max="27" width="12.5703125" customWidth="1"/>
    <col min="28" max="29" width="16.5703125" customWidth="1"/>
    <col min="30" max="30" width="16" customWidth="1"/>
    <col min="31" max="31" width="18.140625" customWidth="1"/>
    <col min="32" max="32" width="17.7109375" customWidth="1"/>
    <col min="47" max="47" width="76.140625" customWidth="1"/>
  </cols>
  <sheetData>
    <row r="1" spans="1:49" ht="16.5" customHeight="1" x14ac:dyDescent="0.25"/>
    <row r="2" spans="1:49" ht="16.5" customHeight="1" x14ac:dyDescent="0.25">
      <c r="B2" s="8" t="s">
        <v>74</v>
      </c>
    </row>
    <row r="3" spans="1:49" ht="15.75" customHeight="1" thickBot="1" x14ac:dyDescent="0.3">
      <c r="H3" s="8"/>
      <c r="J3" s="23" t="s">
        <v>348</v>
      </c>
      <c r="K3" s="23" t="s">
        <v>349</v>
      </c>
      <c r="L3" t="s">
        <v>115</v>
      </c>
      <c r="M3" t="s">
        <v>350</v>
      </c>
      <c r="N3" t="s">
        <v>348</v>
      </c>
      <c r="P3" s="23" t="s">
        <v>348</v>
      </c>
      <c r="Q3" s="23" t="s">
        <v>349</v>
      </c>
      <c r="R3" t="s">
        <v>115</v>
      </c>
      <c r="S3" t="s">
        <v>350</v>
      </c>
      <c r="T3" t="s">
        <v>348</v>
      </c>
      <c r="X3" s="402" t="s">
        <v>494</v>
      </c>
      <c r="Y3" s="9" t="s">
        <v>342</v>
      </c>
      <c r="Z3" s="561" t="s">
        <v>675</v>
      </c>
    </row>
    <row r="4" spans="1:49" ht="15.75" thickBot="1" x14ac:dyDescent="0.3">
      <c r="C4" s="625" t="s">
        <v>355</v>
      </c>
      <c r="D4" s="626"/>
      <c r="E4" s="627"/>
      <c r="F4" s="625" t="s">
        <v>356</v>
      </c>
      <c r="G4" s="626"/>
      <c r="H4" s="627"/>
      <c r="I4" s="645" t="s">
        <v>365</v>
      </c>
      <c r="J4" s="646"/>
      <c r="K4" s="646"/>
      <c r="L4" s="646"/>
      <c r="M4" s="646"/>
      <c r="N4" s="646"/>
      <c r="O4" s="645" t="s">
        <v>375</v>
      </c>
      <c r="P4" s="646"/>
      <c r="Q4" s="646"/>
      <c r="R4" s="646"/>
      <c r="S4" s="646"/>
      <c r="T4" s="646"/>
      <c r="U4" s="651" t="s">
        <v>2</v>
      </c>
      <c r="V4" s="652"/>
      <c r="X4" s="96" t="s">
        <v>52</v>
      </c>
      <c r="Y4" s="25">
        <f>'Project Data and Assumptions'!C3</f>
        <v>2021</v>
      </c>
      <c r="Z4" s="562"/>
      <c r="AU4" s="8" t="s">
        <v>98</v>
      </c>
    </row>
    <row r="5" spans="1:49" ht="18" customHeight="1" x14ac:dyDescent="0.25">
      <c r="B5" s="639" t="s">
        <v>0</v>
      </c>
      <c r="C5" s="637" t="s">
        <v>353</v>
      </c>
      <c r="D5" s="643" t="s">
        <v>352</v>
      </c>
      <c r="E5" s="641" t="s">
        <v>351</v>
      </c>
      <c r="F5" s="637" t="s">
        <v>46</v>
      </c>
      <c r="G5" s="643" t="s">
        <v>47</v>
      </c>
      <c r="H5" s="641" t="s">
        <v>48</v>
      </c>
      <c r="I5" s="647" t="s">
        <v>347</v>
      </c>
      <c r="J5" s="633" t="s">
        <v>49</v>
      </c>
      <c r="K5" s="633" t="s">
        <v>50</v>
      </c>
      <c r="L5" s="633" t="s">
        <v>115</v>
      </c>
      <c r="M5" s="633" t="s">
        <v>346</v>
      </c>
      <c r="N5" s="635" t="s">
        <v>51</v>
      </c>
      <c r="O5" s="647" t="s">
        <v>347</v>
      </c>
      <c r="P5" s="633" t="s">
        <v>49</v>
      </c>
      <c r="Q5" s="633" t="s">
        <v>50</v>
      </c>
      <c r="R5" s="633" t="s">
        <v>115</v>
      </c>
      <c r="S5" s="633" t="s">
        <v>346</v>
      </c>
      <c r="T5" s="635" t="s">
        <v>51</v>
      </c>
      <c r="U5" s="637" t="s">
        <v>76</v>
      </c>
      <c r="V5" s="649" t="s">
        <v>1</v>
      </c>
      <c r="X5" s="96" t="s">
        <v>411</v>
      </c>
      <c r="Y5" s="25">
        <f>IFERROR((_xlfn.XLOOKUP($Z$3,'Trail Project Summary'!$B$3:$B$25,'Trail Project Summary'!$L$3:$L$25)),0)</f>
        <v>2030</v>
      </c>
      <c r="Z5" s="562"/>
      <c r="AU5" t="s">
        <v>102</v>
      </c>
      <c r="AV5" s="92">
        <v>0.05</v>
      </c>
      <c r="AW5" t="s">
        <v>117</v>
      </c>
    </row>
    <row r="6" spans="1:49" ht="18.75" customHeight="1" thickBot="1" x14ac:dyDescent="0.3">
      <c r="B6" s="640"/>
      <c r="C6" s="638"/>
      <c r="D6" s="644"/>
      <c r="E6" s="642"/>
      <c r="F6" s="638"/>
      <c r="G6" s="644"/>
      <c r="H6" s="642"/>
      <c r="I6" s="648"/>
      <c r="J6" s="634"/>
      <c r="K6" s="634"/>
      <c r="L6" s="634"/>
      <c r="M6" s="634"/>
      <c r="N6" s="636"/>
      <c r="O6" s="648"/>
      <c r="P6" s="634"/>
      <c r="Q6" s="634"/>
      <c r="R6" s="634"/>
      <c r="S6" s="634"/>
      <c r="T6" s="636"/>
      <c r="U6" s="638"/>
      <c r="V6" s="650"/>
      <c r="X6" s="96" t="s">
        <v>412</v>
      </c>
      <c r="Y6" s="25">
        <f>_xlfn.XLOOKUP($Z$3,'Original Build Years'!$E$1:$E$20,'Original Build Years'!$D$1:$D$20,0)+30</f>
        <v>2021</v>
      </c>
      <c r="Z6" s="563"/>
      <c r="AU6" t="s">
        <v>99</v>
      </c>
      <c r="AW6" t="s">
        <v>118</v>
      </c>
    </row>
    <row r="7" spans="1:49" ht="18.75" customHeight="1" x14ac:dyDescent="0.25">
      <c r="A7" s="61">
        <f>(G7+D7)*2.38</f>
        <v>3567.8088467103539</v>
      </c>
      <c r="B7" s="213">
        <f>$Y$5</f>
        <v>2030</v>
      </c>
      <c r="C7" s="192">
        <f>IF(OR($B7&lt;$Y$6,$B7&gt;'Project Data and Assumptions'!$C$8),0,$AC$35*(1+$AA$15)^($B7-2020))</f>
        <v>32965.865277533041</v>
      </c>
      <c r="D7" s="191">
        <f>IF(OR($B7&lt;$Y$6,$B7&gt;'Project Data and Assumptions'!$C$8),0,$AB$34*(1+$AA$15)^($B7-2020))</f>
        <v>1499.0793473572917</v>
      </c>
      <c r="E7" s="193">
        <f>IF(OR($B7&lt;$Y$6,$B7&gt;'Project Data and Assumptions'!$C$8),0,$AC$34*(1+$AA$15)^($B7-2020))</f>
        <v>48817.241339403678</v>
      </c>
      <c r="F7" s="192">
        <f>IF($B7&gt;'Project Data and Assumptions'!$C$8,0,$AC$30*(1+$AA$15)^($B7-2020))</f>
        <v>0</v>
      </c>
      <c r="G7" s="191">
        <f>IF($B7&gt;'Project Data and Assumptions'!$C$8,0,$AB$29*(1+$AA$15)^($B7-2020))</f>
        <v>0</v>
      </c>
      <c r="H7" s="193">
        <f>IF($B7&gt;'Project Data and Assumptions'!$C$8,0,$AC$29*(1+$AA$15)^($B7-2020))</f>
        <v>0</v>
      </c>
      <c r="I7" s="71">
        <f t="shared" ref="I7:I30" si="0">C7*$AA$47*$Z$60</f>
        <v>434490.10435788549</v>
      </c>
      <c r="J7" s="73">
        <f>(D7*$AA$40)*$AA$38*$AA$39</f>
        <v>3583.3992719228709</v>
      </c>
      <c r="K7" s="73">
        <f>C7*$AA$43+SUM(D7:E7)*$AA$44</f>
        <v>560385.00880724331</v>
      </c>
      <c r="L7" s="73">
        <f t="shared" ref="L7:L30" si="1">E7*$AA$47*$Z$60</f>
        <v>643411.24085334048</v>
      </c>
      <c r="M7" s="73">
        <f>SUM(D7:E7)*$AA$52</f>
        <v>64475.333328015498</v>
      </c>
      <c r="N7" s="100">
        <f t="shared" ref="N7:N30" si="2">D7*$AC$19*$Z$56*$Z$60</f>
        <v>203.90117503710516</v>
      </c>
      <c r="O7" s="71">
        <f t="shared" ref="O7:O30" si="3">F7*$AA$47*$Z$60</f>
        <v>0</v>
      </c>
      <c r="P7" s="73">
        <f>(G7*$AA$40)*$AA$38*$AA$39</f>
        <v>0</v>
      </c>
      <c r="Q7" s="73">
        <f>F7*$AA$43+SUM(G7:H7)*$AA$44</f>
        <v>0</v>
      </c>
      <c r="R7" s="73">
        <f t="shared" ref="R7:R30" si="4">H7*$AA$47*$Z$60</f>
        <v>0</v>
      </c>
      <c r="S7" s="73">
        <f>SUM(G7:H7)*$AA$52</f>
        <v>0</v>
      </c>
      <c r="T7" s="100">
        <f t="shared" ref="T7:T30" si="5">G7*$AC$19*$Z$56*$Z$60</f>
        <v>0</v>
      </c>
      <c r="U7" s="71">
        <f>SUM(I7:T7)</f>
        <v>1706548.9877934444</v>
      </c>
      <c r="V7" s="108">
        <f t="shared" ref="V7:V30" si="6">$U7*(1+0.07)^-($B7-$Y$4)</f>
        <v>928249.57783367787</v>
      </c>
      <c r="X7" s="96" t="s">
        <v>338</v>
      </c>
      <c r="Y7" s="180">
        <f>'Trail Lengths'!F14</f>
        <v>20.700000000000003</v>
      </c>
      <c r="AU7" t="s">
        <v>100</v>
      </c>
      <c r="AW7" t="s">
        <v>119</v>
      </c>
    </row>
    <row r="8" spans="1:49" x14ac:dyDescent="0.25">
      <c r="A8" s="61">
        <f t="shared" ref="A8:A30" si="7">(G8+D8)*2.38</f>
        <v>3625.3685665680996</v>
      </c>
      <c r="B8" s="2">
        <f>B7+1</f>
        <v>2031</v>
      </c>
      <c r="C8" s="196">
        <f>IF(OR($B8&lt;$Y$6,$B8&gt;'Project Data and Assumptions'!$C$8),0,$AC$35*(1+$AA$15)^($B8-2020))</f>
        <v>33497.705981945372</v>
      </c>
      <c r="D8" s="75">
        <f>IF(OR($B8&lt;$Y$6,$B8&gt;'Project Data and Assumptions'!$C$8),0,$AB$34*(1+$AA$15)^($B8-2020))</f>
        <v>1523.2641036000418</v>
      </c>
      <c r="E8" s="194">
        <f>IF(OR($B8&lt;$Y$6,$B8&gt;'Project Data and Assumptions'!$C$8),0,$AC$34*(1+$AA$15)^($B8-2020))</f>
        <v>49604.813447790271</v>
      </c>
      <c r="F8" s="196">
        <f>IF($B8&gt;'Project Data and Assumptions'!$C$8,0,$AC$30*(1+$AA$15)^($B8-2020))</f>
        <v>0</v>
      </c>
      <c r="G8" s="75">
        <f>IF($B8&gt;'Project Data and Assumptions'!$C$8,0,$AB$29*(1+$AA$15)^($B8-2020))</f>
        <v>0</v>
      </c>
      <c r="H8" s="194">
        <f>IF($B8&gt;'Project Data and Assumptions'!$C$8,0,$AC$29*(1+$AA$15)^($B8-2020))</f>
        <v>0</v>
      </c>
      <c r="I8" s="15">
        <f t="shared" si="0"/>
        <v>441499.76484204008</v>
      </c>
      <c r="J8" s="74">
        <f t="shared" ref="J8:J26" si="8">(D8*$AA$40)*$AA$38*$AA$39</f>
        <v>3641.2105132455404</v>
      </c>
      <c r="K8" s="74">
        <f t="shared" ref="K8:K26" si="9">C8*$AA$43+SUM(D8:E8)*$AA$44</f>
        <v>569425.74094993249</v>
      </c>
      <c r="L8" s="74">
        <f t="shared" si="1"/>
        <v>653791.44124187587</v>
      </c>
      <c r="M8" s="74">
        <f t="shared" ref="M8:M26" si="10">SUM(D8:E8)*$AA$52</f>
        <v>65515.518574351539</v>
      </c>
      <c r="N8" s="76">
        <f t="shared" si="2"/>
        <v>207.19072753782902</v>
      </c>
      <c r="O8" s="15">
        <f t="shared" si="3"/>
        <v>0</v>
      </c>
      <c r="P8" s="74">
        <f t="shared" ref="P8:P26" si="11">(G8*$AA$40)*$AA$38*$AA$39</f>
        <v>0</v>
      </c>
      <c r="Q8" s="74">
        <f t="shared" ref="Q8:Q26" si="12">F8*$AA$43+SUM(G8:H8)*$AA$44</f>
        <v>0</v>
      </c>
      <c r="R8" s="74">
        <f t="shared" si="4"/>
        <v>0</v>
      </c>
      <c r="S8" s="74">
        <f t="shared" ref="S8:S26" si="13">SUM(G8:H8)*$AA$52</f>
        <v>0</v>
      </c>
      <c r="T8" s="76">
        <f t="shared" si="5"/>
        <v>0</v>
      </c>
      <c r="U8" s="15">
        <f t="shared" ref="U8:U26" si="14">SUM(I8:T8)</f>
        <v>1734080.8668489831</v>
      </c>
      <c r="V8" s="6">
        <f t="shared" si="6"/>
        <v>881518.78116703837</v>
      </c>
      <c r="X8" s="96" t="s">
        <v>339</v>
      </c>
      <c r="Y8" s="180">
        <f>IFERROR(_xlfn.XLOOKUP($Z$3,'Trail Project Summary'!$B$3:$B$25,'Trail Project Summary'!$C$3:$C$25),0)</f>
        <v>0</v>
      </c>
      <c r="AU8" t="s">
        <v>101</v>
      </c>
      <c r="AW8" t="s">
        <v>121</v>
      </c>
    </row>
    <row r="9" spans="1:49" x14ac:dyDescent="0.25">
      <c r="A9" s="61">
        <f t="shared" si="7"/>
        <v>3683.8569015766125</v>
      </c>
      <c r="B9" s="2">
        <f t="shared" ref="B9:B30" si="15">B8+1</f>
        <v>2032</v>
      </c>
      <c r="C9" s="196">
        <f>IF(OR($B9&lt;$Y$6,$B9&gt;'Project Data and Assumptions'!$C$8),0,$AC$35*(1+$AA$15)^($B9-2020))</f>
        <v>34038.126911159568</v>
      </c>
      <c r="D9" s="75">
        <f>IF(OR($B9&lt;$Y$6,$B9&gt;'Project Data and Assumptions'!$C$8),0,$AB$34*(1+$AA$15)^($B9-2020))</f>
        <v>1547.8390342758876</v>
      </c>
      <c r="E9" s="194">
        <f>IF(OR($B9&lt;$Y$6,$B9&gt;'Project Data and Assumptions'!$C$8),0,$AC$34*(1+$AA$15)^($B9-2020))</f>
        <v>50405.091514336098</v>
      </c>
      <c r="F9" s="196">
        <f>IF($B9&gt;'Project Data and Assumptions'!$C$8,0,$AC$30*(1+$AA$15)^($B9-2020))</f>
        <v>0</v>
      </c>
      <c r="G9" s="75">
        <f>IF($B9&gt;'Project Data and Assumptions'!$C$8,0,$AB$29*(1+$AA$15)^($B9-2020))</f>
        <v>0</v>
      </c>
      <c r="H9" s="194">
        <f>IF($B9&gt;'Project Data and Assumptions'!$C$8,0,$AC$29*(1+$AA$15)^($B9-2020))</f>
        <v>0</v>
      </c>
      <c r="I9" s="15">
        <f t="shared" si="0"/>
        <v>448622.51268908317</v>
      </c>
      <c r="J9" s="74">
        <f t="shared" si="8"/>
        <v>3699.9544275330823</v>
      </c>
      <c r="K9" s="74">
        <f t="shared" si="9"/>
        <v>578612.32788243785</v>
      </c>
      <c r="L9" s="74">
        <f t="shared" si="1"/>
        <v>664339.10615894978</v>
      </c>
      <c r="M9" s="74">
        <f t="shared" si="10"/>
        <v>66572.48520499139</v>
      </c>
      <c r="N9" s="76">
        <f t="shared" si="2"/>
        <v>210.533350628524</v>
      </c>
      <c r="O9" s="15">
        <f t="shared" si="3"/>
        <v>0</v>
      </c>
      <c r="P9" s="74">
        <f t="shared" si="11"/>
        <v>0</v>
      </c>
      <c r="Q9" s="74">
        <f t="shared" si="12"/>
        <v>0</v>
      </c>
      <c r="R9" s="74">
        <f t="shared" si="4"/>
        <v>0</v>
      </c>
      <c r="S9" s="74">
        <f t="shared" si="13"/>
        <v>0</v>
      </c>
      <c r="T9" s="76">
        <f t="shared" si="5"/>
        <v>0</v>
      </c>
      <c r="U9" s="15">
        <f t="shared" si="14"/>
        <v>1762056.9197136241</v>
      </c>
      <c r="V9" s="6">
        <f t="shared" si="6"/>
        <v>837140.54938084295</v>
      </c>
      <c r="X9" s="96" t="s">
        <v>341</v>
      </c>
      <c r="Y9" s="180">
        <f>IFERROR(_xlfn.XLOOKUP($Z$3,'Trail Project Summary'!$B$3:$B$25,'Trail Project Summary'!$D$3:$D$25),0)</f>
        <v>2.2999999999999998</v>
      </c>
      <c r="AU9" t="s">
        <v>108</v>
      </c>
      <c r="AW9" t="s">
        <v>120</v>
      </c>
    </row>
    <row r="10" spans="1:49" x14ac:dyDescent="0.25">
      <c r="A10" s="61">
        <f t="shared" si="7"/>
        <v>3743.2888331517247</v>
      </c>
      <c r="B10" s="2">
        <f t="shared" si="15"/>
        <v>2033</v>
      </c>
      <c r="C10" s="196">
        <f>IF(OR($B10&lt;$Y$6,$B10&gt;'Project Data and Assumptions'!$C$8),0,$AC$35*(1+$AA$15)^($B10-2020))</f>
        <v>34587.266490567024</v>
      </c>
      <c r="D10" s="75">
        <f>IF(OR($B10&lt;$Y$6,$B10&gt;'Project Data and Assumptions'!$C$8),0,$AB$34*(1+$AA$15)^($B10-2020))</f>
        <v>1572.8104340973634</v>
      </c>
      <c r="E10" s="194">
        <f>IF(OR($B10&lt;$Y$6,$B10&gt;'Project Data and Assumptions'!$C$8),0,$AC$34*(1+$AA$15)^($B10-2020))</f>
        <v>51218.280525189155</v>
      </c>
      <c r="F10" s="196">
        <f>IF($B10&gt;'Project Data and Assumptions'!$C$8,0,$AC$30*(1+$AA$15)^($B10-2020))</f>
        <v>0</v>
      </c>
      <c r="G10" s="75">
        <f>IF($B10&gt;'Project Data and Assumptions'!$C$8,0,$AB$29*(1+$AA$15)^($B10-2020))</f>
        <v>0</v>
      </c>
      <c r="H10" s="194">
        <f>IF($B10&gt;'Project Data and Assumptions'!$C$8,0,$AC$29*(1+$AA$15)^($B10-2020))</f>
        <v>0</v>
      </c>
      <c r="I10" s="15">
        <f t="shared" si="0"/>
        <v>455860.17234567337</v>
      </c>
      <c r="J10" s="74">
        <f t="shared" si="8"/>
        <v>3759.646061666338</v>
      </c>
      <c r="K10" s="74">
        <f t="shared" si="9"/>
        <v>587947.12269070209</v>
      </c>
      <c r="L10" s="74">
        <f t="shared" si="1"/>
        <v>675056.93732199306</v>
      </c>
      <c r="M10" s="74">
        <f t="shared" si="10"/>
        <v>67646.503955229738</v>
      </c>
      <c r="N10" s="76">
        <f t="shared" si="2"/>
        <v>213.92990050088153</v>
      </c>
      <c r="O10" s="15">
        <f t="shared" si="3"/>
        <v>0</v>
      </c>
      <c r="P10" s="74">
        <f t="shared" si="11"/>
        <v>0</v>
      </c>
      <c r="Q10" s="74">
        <f t="shared" si="12"/>
        <v>0</v>
      </c>
      <c r="R10" s="74">
        <f t="shared" si="4"/>
        <v>0</v>
      </c>
      <c r="S10" s="74">
        <f t="shared" si="13"/>
        <v>0</v>
      </c>
      <c r="T10" s="76">
        <f t="shared" si="5"/>
        <v>0</v>
      </c>
      <c r="U10" s="15">
        <f t="shared" si="14"/>
        <v>1790484.3122757655</v>
      </c>
      <c r="V10" s="6">
        <f t="shared" si="6"/>
        <v>794996.4474833631</v>
      </c>
      <c r="X10" s="96" t="s">
        <v>340</v>
      </c>
      <c r="Y10" s="180">
        <f>IFERROR(_xlfn.XLOOKUP($Z$3,'Trail Project Summary'!$B$3:$B$25,'Trail Project Summary'!$E$3:$E$25),0)</f>
        <v>0</v>
      </c>
    </row>
    <row r="11" spans="1:49" x14ac:dyDescent="0.25">
      <c r="A11" s="61">
        <f t="shared" si="7"/>
        <v>3803.6795844055373</v>
      </c>
      <c r="B11" s="2">
        <f t="shared" si="15"/>
        <v>2034</v>
      </c>
      <c r="C11" s="196">
        <f>IF(OR($B11&lt;$Y$6,$B11&gt;'Project Data and Assumptions'!$C$8),0,$AC$35*(1+$AA$15)^($B11-2020))</f>
        <v>35145.265378785996</v>
      </c>
      <c r="D11" s="75">
        <f>IF(OR($B11&lt;$Y$6,$B11&gt;'Project Data and Assumptions'!$C$8),0,$AB$34*(1+$AA$15)^($B11-2020))</f>
        <v>1598.1846993300578</v>
      </c>
      <c r="E11" s="194">
        <f>IF(OR($B11&lt;$Y$6,$B11&gt;'Project Data and Assumptions'!$C$8),0,$AC$34*(1+$AA$15)^($B11-2020))</f>
        <v>52044.588773553842</v>
      </c>
      <c r="F11" s="196">
        <f>IF($B11&gt;'Project Data and Assumptions'!$C$8,0,$AC$30*(1+$AA$15)^($B11-2020))</f>
        <v>0</v>
      </c>
      <c r="G11" s="75">
        <f>IF($B11&gt;'Project Data and Assumptions'!$C$8,0,$AB$29*(1+$AA$15)^($B11-2020))</f>
        <v>0</v>
      </c>
      <c r="H11" s="194">
        <f>IF($B11&gt;'Project Data and Assumptions'!$C$8,0,$AC$29*(1+$AA$15)^($B11-2020))</f>
        <v>0</v>
      </c>
      <c r="I11" s="15">
        <f t="shared" si="0"/>
        <v>463214.59769239946</v>
      </c>
      <c r="J11" s="74">
        <f t="shared" si="8"/>
        <v>3820.3007052785706</v>
      </c>
      <c r="K11" s="74">
        <f t="shared" si="9"/>
        <v>597432.51642317383</v>
      </c>
      <c r="L11" s="74">
        <f t="shared" si="1"/>
        <v>685947.68003543967</v>
      </c>
      <c r="M11" s="74">
        <f t="shared" si="10"/>
        <v>68737.849928153417</v>
      </c>
      <c r="N11" s="76">
        <f t="shared" si="2"/>
        <v>217.38124715959606</v>
      </c>
      <c r="O11" s="15">
        <f t="shared" si="3"/>
        <v>0</v>
      </c>
      <c r="P11" s="74">
        <f t="shared" si="11"/>
        <v>0</v>
      </c>
      <c r="Q11" s="74">
        <f t="shared" si="12"/>
        <v>0</v>
      </c>
      <c r="R11" s="74">
        <f t="shared" si="4"/>
        <v>0</v>
      </c>
      <c r="S11" s="74">
        <f t="shared" si="13"/>
        <v>0</v>
      </c>
      <c r="T11" s="76">
        <f t="shared" si="5"/>
        <v>0</v>
      </c>
      <c r="U11" s="15">
        <f t="shared" si="14"/>
        <v>1819370.3260316045</v>
      </c>
      <c r="V11" s="6">
        <f t="shared" si="6"/>
        <v>754974.00284649339</v>
      </c>
      <c r="Y11" s="39"/>
    </row>
    <row r="12" spans="1:49" x14ac:dyDescent="0.25">
      <c r="A12" s="61">
        <f t="shared" si="7"/>
        <v>3865.0446240457295</v>
      </c>
      <c r="B12" s="2">
        <f t="shared" si="15"/>
        <v>2035</v>
      </c>
      <c r="C12" s="196">
        <f>IF(OR($B12&lt;$Y$6,$B12&gt;'Project Data and Assumptions'!$C$8),0,$AC$35*(1+$AA$15)^($B12-2020))</f>
        <v>35712.266503690509</v>
      </c>
      <c r="D12" s="75">
        <f>IF(OR($B12&lt;$Y$6,$B12&gt;'Project Data and Assumptions'!$C$8),0,$AB$34*(1+$AA$15)^($B12-2020))</f>
        <v>1623.9683294309789</v>
      </c>
      <c r="E12" s="194">
        <f>IF(OR($B12&lt;$Y$6,$B12&gt;'Project Data and Assumptions'!$C$8),0,$AC$34*(1+$AA$15)^($B12-2020))</f>
        <v>52884.227913044022</v>
      </c>
      <c r="F12" s="196">
        <f>IF($B12&gt;'Project Data and Assumptions'!$C$8,0,$AC$30*(1+$AA$15)^($B12-2020))</f>
        <v>0</v>
      </c>
      <c r="G12" s="75">
        <f>IF($B12&gt;'Project Data and Assumptions'!$C$8,0,$AB$29*(1+$AA$15)^($B12-2020))</f>
        <v>0</v>
      </c>
      <c r="H12" s="194">
        <f>IF($B12&gt;'Project Data and Assumptions'!$C$8,0,$AC$29*(1+$AA$15)^($B12-2020))</f>
        <v>0</v>
      </c>
      <c r="I12" s="15">
        <f t="shared" si="0"/>
        <v>470687.67251864093</v>
      </c>
      <c r="J12" s="74">
        <f t="shared" si="8"/>
        <v>3881.9338946718126</v>
      </c>
      <c r="K12" s="74">
        <f t="shared" si="9"/>
        <v>607070.9387032612</v>
      </c>
      <c r="L12" s="74">
        <f t="shared" si="1"/>
        <v>697014.12389392022</v>
      </c>
      <c r="M12" s="74">
        <f t="shared" si="10"/>
        <v>69846.802665107462</v>
      </c>
      <c r="N12" s="76">
        <f t="shared" si="2"/>
        <v>220.88827464521111</v>
      </c>
      <c r="O12" s="15">
        <f t="shared" si="3"/>
        <v>0</v>
      </c>
      <c r="P12" s="74">
        <f t="shared" si="11"/>
        <v>0</v>
      </c>
      <c r="Q12" s="74">
        <f t="shared" si="12"/>
        <v>0</v>
      </c>
      <c r="R12" s="74">
        <f t="shared" si="4"/>
        <v>0</v>
      </c>
      <c r="S12" s="74">
        <f t="shared" si="13"/>
        <v>0</v>
      </c>
      <c r="T12" s="76">
        <f t="shared" si="5"/>
        <v>0</v>
      </c>
      <c r="U12" s="15">
        <f t="shared" si="14"/>
        <v>1848722.359950247</v>
      </c>
      <c r="V12" s="6">
        <f t="shared" si="6"/>
        <v>716966.40504294261</v>
      </c>
    </row>
    <row r="13" spans="1:49" x14ac:dyDescent="0.25">
      <c r="A13" s="61">
        <f t="shared" si="7"/>
        <v>3927.3996703377629</v>
      </c>
      <c r="B13" s="2">
        <f t="shared" si="15"/>
        <v>2036</v>
      </c>
      <c r="C13" s="196">
        <f>IF(OR($B13&lt;$Y$6,$B13&gt;'Project Data and Assumptions'!$C$8),0,$AC$35*(1+$AA$15)^($B13-2020))</f>
        <v>36288.415099020342</v>
      </c>
      <c r="D13" s="75">
        <f>IF(OR($B13&lt;$Y$6,$B13&gt;'Project Data and Assumptions'!$C$8),0,$AB$34*(1+$AA$15)^($B13-2020))</f>
        <v>1650.1679287133459</v>
      </c>
      <c r="E13" s="194">
        <f>IF(OR($B13&lt;$Y$6,$B13&gt;'Project Data and Assumptions'!$C$8),0,$AC$34*(1+$AA$15)^($B13-2020))</f>
        <v>53737.413011896657</v>
      </c>
      <c r="F13" s="196">
        <f>IF($B13&gt;'Project Data and Assumptions'!$C$8,0,$AC$30*(1+$AA$15)^($B13-2020))</f>
        <v>0</v>
      </c>
      <c r="G13" s="75">
        <f>IF($B13&gt;'Project Data and Assumptions'!$C$8,0,$AB$29*(1+$AA$15)^($B13-2020))</f>
        <v>0</v>
      </c>
      <c r="H13" s="194">
        <f>IF($B13&gt;'Project Data and Assumptions'!$C$8,0,$AC$29*(1+$AA$15)^($B13-2020))</f>
        <v>0</v>
      </c>
      <c r="I13" s="15">
        <f t="shared" si="0"/>
        <v>478281.31100508815</v>
      </c>
      <c r="J13" s="74">
        <f t="shared" si="8"/>
        <v>3944.5614167963822</v>
      </c>
      <c r="K13" s="74">
        <f t="shared" si="9"/>
        <v>616864.85835166264</v>
      </c>
      <c r="L13" s="74">
        <f t="shared" si="1"/>
        <v>708259.10349679796</v>
      </c>
      <c r="M13" s="74">
        <f t="shared" si="10"/>
        <v>70973.646217297646</v>
      </c>
      <c r="N13" s="76">
        <f t="shared" si="2"/>
        <v>224.45188126056038</v>
      </c>
      <c r="O13" s="15">
        <f t="shared" si="3"/>
        <v>0</v>
      </c>
      <c r="P13" s="74">
        <f t="shared" si="11"/>
        <v>0</v>
      </c>
      <c r="Q13" s="74">
        <f t="shared" si="12"/>
        <v>0</v>
      </c>
      <c r="R13" s="74">
        <f t="shared" si="4"/>
        <v>0</v>
      </c>
      <c r="S13" s="74">
        <f t="shared" si="13"/>
        <v>0</v>
      </c>
      <c r="T13" s="76">
        <f t="shared" si="5"/>
        <v>0</v>
      </c>
      <c r="U13" s="15">
        <f t="shared" si="14"/>
        <v>1878547.9323689034</v>
      </c>
      <c r="V13" s="6">
        <f t="shared" si="6"/>
        <v>680872.22079449368</v>
      </c>
      <c r="AU13" t="s">
        <v>357</v>
      </c>
      <c r="AV13" t="s">
        <v>371</v>
      </c>
    </row>
    <row r="14" spans="1:49" x14ac:dyDescent="0.25">
      <c r="A14" s="61">
        <f t="shared" si="7"/>
        <v>3990.7606951310268</v>
      </c>
      <c r="B14" s="2">
        <f t="shared" si="15"/>
        <v>2037</v>
      </c>
      <c r="C14" s="196">
        <f>IF(OR($B14&lt;$Y$6,$B14&gt;'Project Data and Assumptions'!$C$8),0,$AC$35*(1+$AA$15)^($B14-2020))</f>
        <v>36873.858741581818</v>
      </c>
      <c r="D14" s="75">
        <f>IF(OR($B14&lt;$Y$6,$B14&gt;'Project Data and Assumptions'!$C$8),0,$AB$34*(1+$AA$15)^($B14-2020))</f>
        <v>1676.7902080382466</v>
      </c>
      <c r="E14" s="194">
        <f>IF(OR($B14&lt;$Y$6,$B14&gt;'Project Data and Assumptions'!$C$8),0,$AC$34*(1+$AA$15)^($B14-2020))</f>
        <v>54604.362608060328</v>
      </c>
      <c r="F14" s="196">
        <f>IF($B14&gt;'Project Data and Assumptions'!$C$8,0,$AC$30*(1+$AA$15)^($B14-2020))</f>
        <v>0</v>
      </c>
      <c r="G14" s="75">
        <f>IF($B14&gt;'Project Data and Assumptions'!$C$8,0,$AB$29*(1+$AA$15)^($B14-2020))</f>
        <v>0</v>
      </c>
      <c r="H14" s="194">
        <f>IF($B14&gt;'Project Data and Assumptions'!$C$8,0,$AC$29*(1+$AA$15)^($B14-2020))</f>
        <v>0</v>
      </c>
      <c r="I14" s="15">
        <f t="shared" si="0"/>
        <v>485997.45821404841</v>
      </c>
      <c r="J14" s="74">
        <f t="shared" si="8"/>
        <v>4008.1993132946254</v>
      </c>
      <c r="K14" s="74">
        <f t="shared" si="9"/>
        <v>626816.78401874192</v>
      </c>
      <c r="L14" s="74">
        <f t="shared" si="1"/>
        <v>719685.49917423527</v>
      </c>
      <c r="M14" s="74">
        <f t="shared" si="10"/>
        <v>72118.669218548705</v>
      </c>
      <c r="N14" s="76">
        <f t="shared" si="2"/>
        <v>228.07297980086301</v>
      </c>
      <c r="O14" s="15">
        <f t="shared" si="3"/>
        <v>0</v>
      </c>
      <c r="P14" s="74">
        <f t="shared" si="11"/>
        <v>0</v>
      </c>
      <c r="Q14" s="74">
        <f t="shared" si="12"/>
        <v>0</v>
      </c>
      <c r="R14" s="74">
        <f t="shared" si="4"/>
        <v>0</v>
      </c>
      <c r="S14" s="74">
        <f t="shared" si="13"/>
        <v>0</v>
      </c>
      <c r="T14" s="76">
        <f t="shared" si="5"/>
        <v>0</v>
      </c>
      <c r="U14" s="15">
        <f t="shared" si="14"/>
        <v>1908854.6829186699</v>
      </c>
      <c r="V14" s="6">
        <f t="shared" si="6"/>
        <v>646595.12327060802</v>
      </c>
      <c r="X14" s="8" t="s">
        <v>81</v>
      </c>
      <c r="AU14" t="s">
        <v>358</v>
      </c>
      <c r="AV14" t="s">
        <v>372</v>
      </c>
    </row>
    <row r="15" spans="1:49" ht="17.25" x14ac:dyDescent="0.25">
      <c r="A15" s="61">
        <f t="shared" si="7"/>
        <v>4055.143927949915</v>
      </c>
      <c r="B15" s="2">
        <f t="shared" si="15"/>
        <v>2038</v>
      </c>
      <c r="C15" s="196">
        <f>IF(OR($B15&lt;$Y$6,$B15&gt;'Project Data and Assumptions'!$C$8),0,$AC$35*(1+$AA$15)^($B15-2020))</f>
        <v>37468.747389048593</v>
      </c>
      <c r="D15" s="75">
        <f>IF(OR($B15&lt;$Y$6,$B15&gt;'Project Data and Assumptions'!$C$8),0,$AB$34*(1+$AA$15)^($B15-2020))</f>
        <v>1703.8419865335777</v>
      </c>
      <c r="E15" s="194">
        <f>IF(OR($B15&lt;$Y$6,$B15&gt;'Project Data and Assumptions'!$C$8),0,$AC$34*(1+$AA$15)^($B15-2020))</f>
        <v>55485.298765172178</v>
      </c>
      <c r="F15" s="196">
        <f>IF($B15&gt;'Project Data and Assumptions'!$C$8,0,$AC$30*(1+$AA$15)^($B15-2020))</f>
        <v>0</v>
      </c>
      <c r="G15" s="75">
        <f>IF($B15&gt;'Project Data and Assumptions'!$C$8,0,$AB$29*(1+$AA$15)^($B15-2020))</f>
        <v>0</v>
      </c>
      <c r="H15" s="194">
        <f>IF($B15&gt;'Project Data and Assumptions'!$C$8,0,$AC$29*(1+$AA$15)^($B15-2020))</f>
        <v>0</v>
      </c>
      <c r="I15" s="15">
        <f t="shared" si="0"/>
        <v>493838.0905876605</v>
      </c>
      <c r="J15" s="74">
        <f t="shared" si="8"/>
        <v>4072.8638846098643</v>
      </c>
      <c r="K15" s="74">
        <f t="shared" si="9"/>
        <v>636929.26482710079</v>
      </c>
      <c r="L15" s="74">
        <f t="shared" si="1"/>
        <v>731296.2377249694</v>
      </c>
      <c r="M15" s="74">
        <f t="shared" si="10"/>
        <v>73282.164959235743</v>
      </c>
      <c r="N15" s="76">
        <f t="shared" si="2"/>
        <v>231.75249778752953</v>
      </c>
      <c r="O15" s="15">
        <f t="shared" si="3"/>
        <v>0</v>
      </c>
      <c r="P15" s="74">
        <f t="shared" si="11"/>
        <v>0</v>
      </c>
      <c r="Q15" s="74">
        <f t="shared" si="12"/>
        <v>0</v>
      </c>
      <c r="R15" s="74">
        <f t="shared" si="4"/>
        <v>0</v>
      </c>
      <c r="S15" s="74">
        <f t="shared" si="13"/>
        <v>0</v>
      </c>
      <c r="T15" s="76">
        <f t="shared" si="5"/>
        <v>0</v>
      </c>
      <c r="U15" s="15">
        <f t="shared" si="14"/>
        <v>1939650.3744813639</v>
      </c>
      <c r="V15" s="6">
        <f t="shared" si="6"/>
        <v>614043.63501492084</v>
      </c>
      <c r="X15" s="621" t="s">
        <v>518</v>
      </c>
      <c r="Y15" s="621"/>
      <c r="Z15" s="621"/>
      <c r="AA15" s="400">
        <f>('Annual Use'!$E$8-'Annual Use'!$B$8)/('Annual Use'!$B$8*21)</f>
        <v>1.6133072799238438E-2</v>
      </c>
      <c r="AB15" s="400"/>
      <c r="AU15" t="s">
        <v>359</v>
      </c>
    </row>
    <row r="16" spans="1:49" x14ac:dyDescent="0.25">
      <c r="A16" s="61">
        <f t="shared" si="7"/>
        <v>4120.5658601509203</v>
      </c>
      <c r="B16" s="2">
        <f t="shared" si="15"/>
        <v>2039</v>
      </c>
      <c r="C16" s="196">
        <f>IF(OR($B16&lt;$Y$6,$B16&gt;'Project Data and Assumptions'!$C$8),0,$AC$35*(1+$AA$15)^($B16-2020))</f>
        <v>38073.233418372387</v>
      </c>
      <c r="D16" s="75">
        <f>IF(OR($B16&lt;$Y$6,$B16&gt;'Project Data and Assumptions'!$C$8),0,$AB$34*(1+$AA$15)^($B16-2020))</f>
        <v>1731.3301933407231</v>
      </c>
      <c r="E16" s="194">
        <f>IF(OR($B16&lt;$Y$6,$B16&gt;'Project Data and Assumptions'!$C$8),0,$AC$34*(1+$AA$15)^($B16-2020))</f>
        <v>56380.447129438195</v>
      </c>
      <c r="F16" s="196">
        <f>IF($B16&gt;'Project Data and Assumptions'!$C$8,0,$AC$30*(1+$AA$15)^($B16-2020))</f>
        <v>0</v>
      </c>
      <c r="G16" s="75">
        <f>IF($B16&gt;'Project Data and Assumptions'!$C$8,0,$AB$29*(1+$AA$15)^($B16-2020))</f>
        <v>0</v>
      </c>
      <c r="H16" s="194">
        <f>IF($B16&gt;'Project Data and Assumptions'!$C$8,0,$AC$29*(1+$AA$15)^($B16-2020))</f>
        <v>0</v>
      </c>
      <c r="I16" s="15">
        <f t="shared" si="0"/>
        <v>501805.21645414812</v>
      </c>
      <c r="J16" s="74">
        <f t="shared" si="8"/>
        <v>4138.5716941616647</v>
      </c>
      <c r="K16" s="74">
        <f t="shared" si="9"/>
        <v>647204.89102452178</v>
      </c>
      <c r="L16" s="74">
        <f t="shared" si="1"/>
        <v>743094.29316599539</v>
      </c>
      <c r="M16" s="74">
        <f t="shared" si="10"/>
        <v>74464.431461408894</v>
      </c>
      <c r="N16" s="76">
        <f t="shared" si="2"/>
        <v>235.49137770574114</v>
      </c>
      <c r="O16" s="15">
        <f t="shared" si="3"/>
        <v>0</v>
      </c>
      <c r="P16" s="74">
        <f t="shared" si="11"/>
        <v>0</v>
      </c>
      <c r="Q16" s="74">
        <f t="shared" si="12"/>
        <v>0</v>
      </c>
      <c r="R16" s="74">
        <f t="shared" si="4"/>
        <v>0</v>
      </c>
      <c r="S16" s="74">
        <f t="shared" si="13"/>
        <v>0</v>
      </c>
      <c r="T16" s="76">
        <f t="shared" si="5"/>
        <v>0</v>
      </c>
      <c r="U16" s="15">
        <f t="shared" si="14"/>
        <v>1970942.8951779415</v>
      </c>
      <c r="V16" s="6">
        <f t="shared" si="6"/>
        <v>583130.88381357514</v>
      </c>
      <c r="X16" s="621" t="s">
        <v>366</v>
      </c>
      <c r="Y16" s="621"/>
      <c r="Z16" s="621"/>
      <c r="AA16" s="138">
        <v>0.86</v>
      </c>
      <c r="AB16" s="92"/>
      <c r="AU16" t="s">
        <v>370</v>
      </c>
      <c r="AV16" t="s">
        <v>373</v>
      </c>
      <c r="AW16" t="s">
        <v>374</v>
      </c>
    </row>
    <row r="17" spans="1:33" x14ac:dyDescent="0.25">
      <c r="A17" s="61">
        <f t="shared" si="7"/>
        <v>4187.0432491467918</v>
      </c>
      <c r="B17" s="2">
        <f t="shared" si="15"/>
        <v>2040</v>
      </c>
      <c r="C17" s="196">
        <f>IF(OR($B17&lt;$Y$6,$B17&gt;'Project Data and Assumptions'!$C$8),0,$AC$35*(1+$AA$15)^($B17-2020))</f>
        <v>38687.471664813376</v>
      </c>
      <c r="D17" s="75">
        <f>IF(OR($B17&lt;$Y$6,$B17&gt;'Project Data and Assumptions'!$C$8),0,$AB$34*(1+$AA$15)^($B17-2020))</f>
        <v>1759.2618693894083</v>
      </c>
      <c r="E17" s="194">
        <f>IF(OR($B17&lt;$Y$6,$B17&gt;'Project Data and Assumptions'!$C$8),0,$AC$34*(1+$AA$15)^($B17-2020))</f>
        <v>57290.03698743102</v>
      </c>
      <c r="F17" s="196">
        <f>IF($B17&gt;'Project Data and Assumptions'!$C$8,0,$AC$30*(1+$AA$15)^($B17-2020))</f>
        <v>0</v>
      </c>
      <c r="G17" s="75">
        <f>IF($B17&gt;'Project Data and Assumptions'!$C$8,0,$AB$29*(1+$AA$15)^($B17-2020))</f>
        <v>0</v>
      </c>
      <c r="H17" s="194">
        <f>IF($B17&gt;'Project Data and Assumptions'!$C$8,0,$AC$29*(1+$AA$15)^($B17-2020))</f>
        <v>0</v>
      </c>
      <c r="I17" s="15">
        <f t="shared" si="0"/>
        <v>509900.87654224032</v>
      </c>
      <c r="J17" s="74">
        <f t="shared" si="8"/>
        <v>4205.339572588442</v>
      </c>
      <c r="K17" s="74">
        <f t="shared" si="9"/>
        <v>657646.29464744357</v>
      </c>
      <c r="L17" s="74">
        <f t="shared" si="1"/>
        <v>755082.68749434093</v>
      </c>
      <c r="M17" s="74">
        <f t="shared" si="10"/>
        <v>75665.771555129686</v>
      </c>
      <c r="N17" s="76">
        <f t="shared" si="2"/>
        <v>239.29057724586079</v>
      </c>
      <c r="O17" s="15">
        <f t="shared" si="3"/>
        <v>0</v>
      </c>
      <c r="P17" s="74">
        <f t="shared" si="11"/>
        <v>0</v>
      </c>
      <c r="Q17" s="74">
        <f t="shared" si="12"/>
        <v>0</v>
      </c>
      <c r="R17" s="74">
        <f t="shared" si="4"/>
        <v>0</v>
      </c>
      <c r="S17" s="74">
        <f t="shared" si="13"/>
        <v>0</v>
      </c>
      <c r="T17" s="76">
        <f t="shared" si="5"/>
        <v>0</v>
      </c>
      <c r="U17" s="15">
        <f t="shared" si="14"/>
        <v>2002740.2603889888</v>
      </c>
      <c r="V17" s="6">
        <f t="shared" si="6"/>
        <v>553774.37085385388</v>
      </c>
      <c r="X17" s="621" t="s">
        <v>367</v>
      </c>
      <c r="Y17" s="621"/>
      <c r="Z17" s="621"/>
      <c r="AA17" s="200">
        <f>MIN(Y7,2.38)</f>
        <v>2.38</v>
      </c>
      <c r="AB17" s="201" t="s">
        <v>368</v>
      </c>
      <c r="AC17" s="25" t="s">
        <v>369</v>
      </c>
    </row>
    <row r="18" spans="1:33" x14ac:dyDescent="0.25">
      <c r="A18" s="61">
        <f t="shared" si="7"/>
        <v>4254.5931226988359</v>
      </c>
      <c r="B18" s="2">
        <f t="shared" si="15"/>
        <v>2041</v>
      </c>
      <c r="C18" s="196">
        <f>IF(OR($B18&lt;$Y$6,$B18&gt;'Project Data and Assumptions'!$C$8),0,$AC$35*(1+$AA$15)^($B18-2020))</f>
        <v>39311.61946160029</v>
      </c>
      <c r="D18" s="75">
        <f>IF(OR($B18&lt;$Y$6,$B18&gt;'Project Data and Assumptions'!$C$8),0,$AB$34*(1+$AA$15)^($B18-2020))</f>
        <v>1787.6441692011917</v>
      </c>
      <c r="E18" s="194">
        <f>IF(OR($B18&lt;$Y$6,$B18&gt;'Project Data and Assumptions'!$C$8),0,$AC$34*(1+$AA$15)^($B18-2020))</f>
        <v>58214.301324820313</v>
      </c>
      <c r="F18" s="196">
        <f>IF($B18&gt;'Project Data and Assumptions'!$C$8,0,$AC$30*(1+$AA$15)^($B18-2020))</f>
        <v>0</v>
      </c>
      <c r="G18" s="75">
        <f>IF($B18&gt;'Project Data and Assumptions'!$C$8,0,$AB$29*(1+$AA$15)^($B18-2020))</f>
        <v>0</v>
      </c>
      <c r="H18" s="194">
        <f>IF($B18&gt;'Project Data and Assumptions'!$C$8,0,$AC$29*(1+$AA$15)^($B18-2020))</f>
        <v>0</v>
      </c>
      <c r="I18" s="15">
        <f t="shared" si="0"/>
        <v>518127.14450389188</v>
      </c>
      <c r="J18" s="74">
        <f t="shared" si="8"/>
        <v>4273.1846220585285</v>
      </c>
      <c r="K18" s="74">
        <f t="shared" si="9"/>
        <v>668256.15019514016</v>
      </c>
      <c r="L18" s="74">
        <f t="shared" si="1"/>
        <v>767264.49146113172</v>
      </c>
      <c r="M18" s="74">
        <f t="shared" si="10"/>
        <v>76886.492956039147</v>
      </c>
      <c r="N18" s="76">
        <f t="shared" si="2"/>
        <v>243.15106954874</v>
      </c>
      <c r="O18" s="15">
        <f t="shared" si="3"/>
        <v>0</v>
      </c>
      <c r="P18" s="74">
        <f t="shared" si="11"/>
        <v>0</v>
      </c>
      <c r="Q18" s="74">
        <f t="shared" si="12"/>
        <v>0</v>
      </c>
      <c r="R18" s="74">
        <f t="shared" si="4"/>
        <v>0</v>
      </c>
      <c r="S18" s="74">
        <f t="shared" si="13"/>
        <v>0</v>
      </c>
      <c r="T18" s="76">
        <f t="shared" si="5"/>
        <v>0</v>
      </c>
      <c r="U18" s="15">
        <f t="shared" si="14"/>
        <v>2035050.6148078099</v>
      </c>
      <c r="V18" s="6">
        <f t="shared" si="6"/>
        <v>525895.75055438466</v>
      </c>
      <c r="X18" s="621" t="s">
        <v>363</v>
      </c>
      <c r="Y18" s="621"/>
      <c r="Z18" s="621"/>
      <c r="AA18" s="621"/>
      <c r="AB18" s="138">
        <f>MIN($AA$16,$Y8)</f>
        <v>0</v>
      </c>
      <c r="AC18" s="138">
        <f>MIN($AA$17,$Y8)</f>
        <v>0</v>
      </c>
    </row>
    <row r="19" spans="1:33" x14ac:dyDescent="0.25">
      <c r="A19" s="61">
        <f t="shared" si="7"/>
        <v>4323.2327832784749</v>
      </c>
      <c r="B19" s="2">
        <f t="shared" si="15"/>
        <v>2042</v>
      </c>
      <c r="C19" s="196">
        <f>IF(OR($B19&lt;$Y$6,$B19&gt;'Project Data and Assumptions'!$C$8),0,$AC$35*(1+$AA$15)^($B19-2020))</f>
        <v>39945.836680230233</v>
      </c>
      <c r="D19" s="75">
        <f>IF(OR($B19&lt;$Y$6,$B19&gt;'Project Data and Assumptions'!$C$8),0,$AB$34*(1+$AA$15)^($B19-2020))</f>
        <v>1816.4843627220482</v>
      </c>
      <c r="E19" s="194">
        <f>IF(OR($B19&lt;$Y$6,$B19&gt;'Project Data and Assumptions'!$C$8),0,$AC$34*(1+$AA$15)^($B19-2020))</f>
        <v>59153.476886050426</v>
      </c>
      <c r="F19" s="196">
        <f>IF($B19&gt;'Project Data and Assumptions'!$C$8,0,$AC$30*(1+$AA$15)^($B19-2020))</f>
        <v>0</v>
      </c>
      <c r="G19" s="75">
        <f>IF($B19&gt;'Project Data and Assumptions'!$C$8,0,$AB$29*(1+$AA$15)^($B19-2020))</f>
        <v>0</v>
      </c>
      <c r="H19" s="194">
        <f>IF($B19&gt;'Project Data and Assumptions'!$C$8,0,$AC$29*(1+$AA$15)^($B19-2020))</f>
        <v>0</v>
      </c>
      <c r="I19" s="15">
        <f t="shared" si="0"/>
        <v>526486.12744543445</v>
      </c>
      <c r="J19" s="74">
        <f t="shared" si="8"/>
        <v>4342.124220650785</v>
      </c>
      <c r="K19" s="74">
        <f t="shared" si="9"/>
        <v>679037.17531477707</v>
      </c>
      <c r="L19" s="74">
        <f t="shared" si="1"/>
        <v>779642.82535814471</v>
      </c>
      <c r="M19" s="74">
        <f t="shared" si="10"/>
        <v>78126.908344177034</v>
      </c>
      <c r="N19" s="76">
        <f t="shared" si="2"/>
        <v>247.07384345498247</v>
      </c>
      <c r="O19" s="15">
        <f t="shared" si="3"/>
        <v>0</v>
      </c>
      <c r="P19" s="74">
        <f t="shared" si="11"/>
        <v>0</v>
      </c>
      <c r="Q19" s="74">
        <f t="shared" si="12"/>
        <v>0</v>
      </c>
      <c r="R19" s="74">
        <f t="shared" si="4"/>
        <v>0</v>
      </c>
      <c r="S19" s="74">
        <f t="shared" si="13"/>
        <v>0</v>
      </c>
      <c r="T19" s="76">
        <f t="shared" si="5"/>
        <v>0</v>
      </c>
      <c r="U19" s="15">
        <f t="shared" si="14"/>
        <v>2067882.2345266391</v>
      </c>
      <c r="V19" s="6">
        <f t="shared" si="6"/>
        <v>499420.62147933518</v>
      </c>
      <c r="X19" s="621" t="s">
        <v>364</v>
      </c>
      <c r="Y19" s="621"/>
      <c r="Z19" s="621"/>
      <c r="AA19" s="621"/>
      <c r="AB19" s="138">
        <f>MIN($AA$16,SUM($Y9:$Y10))</f>
        <v>0.86</v>
      </c>
      <c r="AC19" s="138">
        <f>MIN($AA$16,SUM($Y9:$Y10))</f>
        <v>0.86</v>
      </c>
    </row>
    <row r="20" spans="1:33" x14ac:dyDescent="0.25">
      <c r="A20" s="61">
        <f t="shared" si="7"/>
        <v>4392.9798124991612</v>
      </c>
      <c r="B20" s="2">
        <f t="shared" si="15"/>
        <v>2043</v>
      </c>
      <c r="C20" s="196">
        <f>IF(OR($B20&lt;$Y$6,$B20&gt;'Project Data and Assumptions'!$C$8),0,$AC$35*(1+$AA$15)^($B20-2020))</f>
        <v>40590.285771418879</v>
      </c>
      <c r="D20" s="75">
        <f>IF(OR($B20&lt;$Y$6,$B20&gt;'Project Data and Assumptions'!$C$8),0,$AB$34*(1+$AA$15)^($B20-2020))</f>
        <v>1845.7898371845215</v>
      </c>
      <c r="E20" s="194">
        <f>IF(OR($B20&lt;$Y$6,$B20&gt;'Project Data and Assumptions'!$C$8),0,$AC$34*(1+$AA$15)^($B20-2020))</f>
        <v>60107.804234981144</v>
      </c>
      <c r="F20" s="196">
        <f>IF($B20&gt;'Project Data and Assumptions'!$C$8,0,$AC$30*(1+$AA$15)^($B20-2020))</f>
        <v>0</v>
      </c>
      <c r="G20" s="75">
        <f>IF($B20&gt;'Project Data and Assumptions'!$C$8,0,$AB$29*(1+$AA$15)^($B20-2020))</f>
        <v>0</v>
      </c>
      <c r="H20" s="194">
        <f>IF($B20&gt;'Project Data and Assumptions'!$C$8,0,$AC$29*(1+$AA$15)^($B20-2020))</f>
        <v>0</v>
      </c>
      <c r="I20" s="15">
        <f t="shared" si="0"/>
        <v>534979.9664673009</v>
      </c>
      <c r="J20" s="74">
        <f t="shared" si="8"/>
        <v>4412.1760268058806</v>
      </c>
      <c r="K20" s="74">
        <f t="shared" si="9"/>
        <v>689992.13149751956</v>
      </c>
      <c r="L20" s="74">
        <f t="shared" si="1"/>
        <v>792220.85981705145</v>
      </c>
      <c r="M20" s="74">
        <f t="shared" si="10"/>
        <v>79387.335444073076</v>
      </c>
      <c r="N20" s="76">
        <f t="shared" si="2"/>
        <v>251.05990375822935</v>
      </c>
      <c r="O20" s="15">
        <f t="shared" si="3"/>
        <v>0</v>
      </c>
      <c r="P20" s="74">
        <f t="shared" si="11"/>
        <v>0</v>
      </c>
      <c r="Q20" s="74">
        <f t="shared" si="12"/>
        <v>0</v>
      </c>
      <c r="R20" s="74">
        <f t="shared" si="4"/>
        <v>0</v>
      </c>
      <c r="S20" s="74">
        <f t="shared" si="13"/>
        <v>0</v>
      </c>
      <c r="T20" s="76">
        <f t="shared" si="5"/>
        <v>0</v>
      </c>
      <c r="U20" s="15">
        <f t="shared" si="14"/>
        <v>2101243.5291565089</v>
      </c>
      <c r="V20" s="6">
        <f t="shared" si="6"/>
        <v>474278.3277786001</v>
      </c>
      <c r="X20" s="399"/>
      <c r="Y20" s="399"/>
      <c r="Z20" s="125"/>
      <c r="AA20" s="77"/>
    </row>
    <row r="21" spans="1:33" x14ac:dyDescent="0.25">
      <c r="A21" s="61">
        <f t="shared" si="7"/>
        <v>4463.8520756197931</v>
      </c>
      <c r="B21" s="2">
        <f t="shared" si="15"/>
        <v>2044</v>
      </c>
      <c r="C21" s="196">
        <f>IF(OR($B21&lt;$Y$6,$B21&gt;'Project Data and Assumptions'!$C$8),0,$AC$35*(1+$AA$15)^($B21-2020))</f>
        <v>41245.131806711062</v>
      </c>
      <c r="D21" s="75">
        <f>IF(OR($B21&lt;$Y$6,$B21&gt;'Project Data and Assumptions'!$C$8),0,$AB$34*(1+$AA$15)^($B21-2020))</f>
        <v>1875.5680989999132</v>
      </c>
      <c r="E21" s="194">
        <f>IF(OR($B21&lt;$Y$6,$B21&gt;'Project Data and Assumptions'!$C$8),0,$AC$34*(1+$AA$15)^($B21-2020))</f>
        <v>61077.527816506452</v>
      </c>
      <c r="F21" s="196">
        <f>IF($B21&gt;'Project Data and Assumptions'!$C$8,0,$AC$30*(1+$AA$15)^($B21-2020))</f>
        <v>0</v>
      </c>
      <c r="G21" s="75">
        <f>IF($B21&gt;'Project Data and Assumptions'!$C$8,0,$AB$29*(1+$AA$15)^($B21-2020))</f>
        <v>0</v>
      </c>
      <c r="H21" s="194">
        <f>IF($B21&gt;'Project Data and Assumptions'!$C$8,0,$AC$29*(1+$AA$15)^($B21-2020))</f>
        <v>0</v>
      </c>
      <c r="I21" s="15">
        <f t="shared" si="0"/>
        <v>543610.83721245185</v>
      </c>
      <c r="J21" s="74">
        <f t="shared" si="8"/>
        <v>4483.3579838493933</v>
      </c>
      <c r="K21" s="74">
        <f t="shared" si="9"/>
        <v>701123.8247858705</v>
      </c>
      <c r="L21" s="74">
        <f t="shared" si="1"/>
        <v>805001.81662155502</v>
      </c>
      <c r="M21" s="74">
        <f t="shared" si="10"/>
        <v>80668.097106129848</v>
      </c>
      <c r="N21" s="76">
        <f t="shared" si="2"/>
        <v>255.11027146253062</v>
      </c>
      <c r="O21" s="15">
        <f t="shared" si="3"/>
        <v>0</v>
      </c>
      <c r="P21" s="74">
        <f t="shared" si="11"/>
        <v>0</v>
      </c>
      <c r="Q21" s="74">
        <f t="shared" si="12"/>
        <v>0</v>
      </c>
      <c r="R21" s="74">
        <f t="shared" si="4"/>
        <v>0</v>
      </c>
      <c r="S21" s="74">
        <f t="shared" si="13"/>
        <v>0</v>
      </c>
      <c r="T21" s="76">
        <f t="shared" si="5"/>
        <v>0</v>
      </c>
      <c r="U21" s="15">
        <f t="shared" si="14"/>
        <v>2135143.0439813193</v>
      </c>
      <c r="V21" s="6">
        <f t="shared" si="6"/>
        <v>450401.77062406845</v>
      </c>
      <c r="Z21" s="84"/>
      <c r="AA21" s="84"/>
      <c r="AB21" s="84"/>
      <c r="AC21" s="84"/>
    </row>
    <row r="22" spans="1:33" x14ac:dyDescent="0.25">
      <c r="A22" s="61">
        <f t="shared" si="7"/>
        <v>4535.8677261207995</v>
      </c>
      <c r="B22" s="2">
        <f t="shared" si="15"/>
        <v>2045</v>
      </c>
      <c r="C22" s="196">
        <f>IF(OR($B22&lt;$Y$6,$B22&gt;'Project Data and Assumptions'!$C$8),0,$AC$35*(1+$AA$15)^($B22-2020))</f>
        <v>41910.542520762916</v>
      </c>
      <c r="D22" s="75">
        <f>IF(OR($B22&lt;$Y$6,$B22&gt;'Project Data and Assumptions'!$C$8),0,$AB$34*(1+$AA$15)^($B22-2020))</f>
        <v>1905.8267756810083</v>
      </c>
      <c r="E22" s="194">
        <f>IF(OR($B22&lt;$Y$6,$B22&gt;'Project Data and Assumptions'!$C$8),0,$AC$34*(1+$AA$15)^($B22-2020))</f>
        <v>62062.896019167667</v>
      </c>
      <c r="F22" s="196">
        <f>IF($B22&gt;'Project Data and Assumptions'!$C$8,0,$AC$30*(1+$AA$15)^($B22-2020))</f>
        <v>0</v>
      </c>
      <c r="G22" s="75">
        <f>IF($B22&gt;'Project Data and Assumptions'!$C$8,0,$AB$29*(1+$AA$15)^($B22-2020))</f>
        <v>0</v>
      </c>
      <c r="H22" s="194">
        <f>IF($B22&gt;'Project Data and Assumptions'!$C$8,0,$AC$29*(1+$AA$15)^($B22-2020))</f>
        <v>0</v>
      </c>
      <c r="I22" s="15">
        <f t="shared" si="0"/>
        <v>552380.95042365522</v>
      </c>
      <c r="J22" s="74">
        <f t="shared" si="8"/>
        <v>4555.6883245878835</v>
      </c>
      <c r="K22" s="74">
        <f t="shared" si="9"/>
        <v>712435.10649242159</v>
      </c>
      <c r="L22" s="74">
        <f t="shared" si="1"/>
        <v>817988.96953262982</v>
      </c>
      <c r="M22" s="74">
        <f t="shared" si="10"/>
        <v>81969.521389319081</v>
      </c>
      <c r="N22" s="76">
        <f t="shared" si="2"/>
        <v>259.22598404386912</v>
      </c>
      <c r="O22" s="15">
        <f t="shared" si="3"/>
        <v>0</v>
      </c>
      <c r="P22" s="74">
        <f t="shared" si="11"/>
        <v>0</v>
      </c>
      <c r="Q22" s="74">
        <f t="shared" si="12"/>
        <v>0</v>
      </c>
      <c r="R22" s="74">
        <f t="shared" si="4"/>
        <v>0</v>
      </c>
      <c r="S22" s="74">
        <f t="shared" si="13"/>
        <v>0</v>
      </c>
      <c r="T22" s="76">
        <f t="shared" si="5"/>
        <v>0</v>
      </c>
      <c r="U22" s="15">
        <f t="shared" si="14"/>
        <v>2169589.4621466575</v>
      </c>
      <c r="V22" s="6">
        <f t="shared" si="6"/>
        <v>427727.22913874063</v>
      </c>
      <c r="X22" s="8" t="s">
        <v>495</v>
      </c>
      <c r="Z22" s="84"/>
      <c r="AA22" s="84"/>
      <c r="AB22" s="84"/>
      <c r="AC22" s="84"/>
    </row>
    <row r="23" spans="1:33" x14ac:dyDescent="0.25">
      <c r="A23" s="61">
        <f t="shared" si="7"/>
        <v>4609.045210354021</v>
      </c>
      <c r="B23" s="2">
        <f t="shared" si="15"/>
        <v>2046</v>
      </c>
      <c r="C23" s="196">
        <f>IF(OR($B23&lt;$Y$6,$B23&gt;'Project Data and Assumptions'!$C$8),0,$AC$35*(1+$AA$15)^($B23-2020))</f>
        <v>42586.688354305952</v>
      </c>
      <c r="D23" s="75">
        <f>IF(OR($B23&lt;$Y$6,$B23&gt;'Project Data and Assumptions'!$C$8),0,$AB$34*(1+$AA$15)^($B23-2020))</f>
        <v>1936.5736177958074</v>
      </c>
      <c r="E23" s="194">
        <f>IF(OR($B23&lt;$Y$6,$B23&gt;'Project Data and Assumptions'!$C$8),0,$AC$34*(1+$AA$15)^($B23-2020))</f>
        <v>63064.161238776454</v>
      </c>
      <c r="F23" s="196">
        <f>IF($B23&gt;'Project Data and Assumptions'!$C$8,0,$AC$30*(1+$AA$15)^($B23-2020))</f>
        <v>0</v>
      </c>
      <c r="G23" s="75">
        <f>IF($B23&gt;'Project Data and Assumptions'!$C$8,0,$AB$29*(1+$AA$15)^($B23-2020))</f>
        <v>0</v>
      </c>
      <c r="H23" s="194">
        <f>IF($B23&gt;'Project Data and Assumptions'!$C$8,0,$AC$29*(1+$AA$15)^($B23-2020))</f>
        <v>0</v>
      </c>
      <c r="I23" s="15">
        <f t="shared" si="0"/>
        <v>561292.55250975245</v>
      </c>
      <c r="J23" s="74">
        <f t="shared" si="8"/>
        <v>4629.1855759790988</v>
      </c>
      <c r="K23" s="74">
        <f t="shared" si="9"/>
        <v>723928.87393019674</v>
      </c>
      <c r="L23" s="74">
        <f t="shared" si="1"/>
        <v>831185.64512707363</v>
      </c>
      <c r="M23" s="74">
        <f t="shared" si="10"/>
        <v>83291.941645211686</v>
      </c>
      <c r="N23" s="76">
        <f t="shared" si="2"/>
        <v>263.40809571590302</v>
      </c>
      <c r="O23" s="15">
        <f t="shared" si="3"/>
        <v>0</v>
      </c>
      <c r="P23" s="74">
        <f t="shared" si="11"/>
        <v>0</v>
      </c>
      <c r="Q23" s="74">
        <f t="shared" si="12"/>
        <v>0</v>
      </c>
      <c r="R23" s="74">
        <f t="shared" si="4"/>
        <v>0</v>
      </c>
      <c r="S23" s="74">
        <f t="shared" si="13"/>
        <v>0</v>
      </c>
      <c r="T23" s="76">
        <f t="shared" si="5"/>
        <v>0</v>
      </c>
      <c r="U23" s="15">
        <f t="shared" si="14"/>
        <v>2204591.6068839296</v>
      </c>
      <c r="V23" s="6">
        <f t="shared" si="6"/>
        <v>406194.19034079654</v>
      </c>
      <c r="Z23" s="78" t="s">
        <v>23</v>
      </c>
      <c r="AA23" s="78" t="s">
        <v>336</v>
      </c>
      <c r="AB23" s="78" t="s">
        <v>53</v>
      </c>
      <c r="AC23" s="78" t="s">
        <v>195</v>
      </c>
      <c r="AD23" s="78" t="s">
        <v>354</v>
      </c>
    </row>
    <row r="24" spans="1:33" x14ac:dyDescent="0.25">
      <c r="A24" s="61">
        <f t="shared" si="7"/>
        <v>4683.4032722676448</v>
      </c>
      <c r="B24" s="2">
        <f t="shared" si="15"/>
        <v>2047</v>
      </c>
      <c r="C24" s="196">
        <f>IF(OR($B24&lt;$Y$6,$B24&gt;'Project Data and Assumptions'!$C$8),0,$AC$35*(1+$AA$15)^($B24-2020))</f>
        <v>43273.742497804458</v>
      </c>
      <c r="D24" s="75">
        <f>IF(OR($B24&lt;$Y$6,$B24&gt;'Project Data and Assumptions'!$C$8),0,$AB$34*(1+$AA$15)^($B24-2020))</f>
        <v>1967.816500952792</v>
      </c>
      <c r="E24" s="194">
        <f>IF(OR($B24&lt;$Y$6,$B24&gt;'Project Data and Assumptions'!$C$8),0,$AC$34*(1+$AA$15)^($B24-2020))</f>
        <v>64081.579943064549</v>
      </c>
      <c r="F24" s="196">
        <f>IF($B24&gt;'Project Data and Assumptions'!$C$8,0,$AC$30*(1+$AA$15)^($B24-2020))</f>
        <v>0</v>
      </c>
      <c r="G24" s="75">
        <f>IF($B24&gt;'Project Data and Assumptions'!$C$8,0,$AB$29*(1+$AA$15)^($B24-2020))</f>
        <v>0</v>
      </c>
      <c r="H24" s="194">
        <f>IF($B24&gt;'Project Data and Assumptions'!$C$8,0,$AC$29*(1+$AA$15)^($B24-2020))</f>
        <v>0</v>
      </c>
      <c r="I24" s="15">
        <f t="shared" si="0"/>
        <v>570347.92612106283</v>
      </c>
      <c r="J24" s="74">
        <f t="shared" si="8"/>
        <v>4703.8685638775551</v>
      </c>
      <c r="K24" s="74">
        <f t="shared" si="9"/>
        <v>735608.07115478348</v>
      </c>
      <c r="L24" s="74">
        <f t="shared" si="1"/>
        <v>844595.22364959086</v>
      </c>
      <c r="M24" s="74">
        <f t="shared" si="10"/>
        <v>84635.696603363816</v>
      </c>
      <c r="N24" s="76">
        <f t="shared" si="2"/>
        <v>267.6576776999965</v>
      </c>
      <c r="O24" s="15">
        <f t="shared" si="3"/>
        <v>0</v>
      </c>
      <c r="P24" s="74">
        <f t="shared" si="11"/>
        <v>0</v>
      </c>
      <c r="Q24" s="74">
        <f t="shared" si="12"/>
        <v>0</v>
      </c>
      <c r="R24" s="74">
        <f t="shared" si="4"/>
        <v>0</v>
      </c>
      <c r="S24" s="74">
        <f t="shared" si="13"/>
        <v>0</v>
      </c>
      <c r="T24" s="76">
        <f t="shared" si="5"/>
        <v>0</v>
      </c>
      <c r="U24" s="15">
        <f t="shared" si="14"/>
        <v>2240158.4437703784</v>
      </c>
      <c r="V24" s="6">
        <f t="shared" si="6"/>
        <v>385745.18764877797</v>
      </c>
      <c r="X24" s="620" t="s">
        <v>125</v>
      </c>
      <c r="Y24" s="620"/>
      <c r="Z24" s="79">
        <f>'Annual Use'!$B$8*'Annual Use'!$F$8</f>
        <v>385874</v>
      </c>
      <c r="AA24" s="79">
        <f>Z24*(SUM('Med Lake'!$B$27:$B$30)+'Med Lake'!$B$26*5/7)</f>
        <v>340464.34768000006</v>
      </c>
      <c r="AB24" s="79">
        <f>SUM($Z24:$Z25)*'Med Lake'!$C$11</f>
        <v>11496.384</v>
      </c>
      <c r="AC24" s="79">
        <f>Z24-AB24</f>
        <v>374377.61599999998</v>
      </c>
      <c r="AD24" s="235">
        <f>AA24/Z24</f>
        <v>0.88232000000000022</v>
      </c>
    </row>
    <row r="25" spans="1:33" x14ac:dyDescent="0.25">
      <c r="A25" s="61">
        <f t="shared" si="7"/>
        <v>4758.960958207329</v>
      </c>
      <c r="B25" s="2">
        <f t="shared" si="15"/>
        <v>2048</v>
      </c>
      <c r="C25" s="196">
        <f>IF(OR($B25&lt;$Y$6,$B25&gt;'Project Data and Assumptions'!$C$8),0,$AC$35*(1+$AA$15)^($B25-2020))</f>
        <v>43971.880935817026</v>
      </c>
      <c r="D25" s="75">
        <f>IF(OR($B25&lt;$Y$6,$B25&gt;'Project Data and Assumptions'!$C$8),0,$AB$34*(1+$AA$15)^($B25-2020))</f>
        <v>1999.5634278182054</v>
      </c>
      <c r="E25" s="194">
        <f>IF(OR($B25&lt;$Y$6,$B25&gt;'Project Data and Assumptions'!$C$8),0,$AC$34*(1+$AA$15)^($B25-2020))</f>
        <v>65115.412737376209</v>
      </c>
      <c r="F25" s="196">
        <f>IF($B25&gt;'Project Data and Assumptions'!$C$8,0,$AC$30*(1+$AA$15)^($B25-2020))</f>
        <v>0</v>
      </c>
      <c r="G25" s="75">
        <f>IF($B25&gt;'Project Data and Assumptions'!$C$8,0,$AB$29*(1+$AA$15)^($B25-2020))</f>
        <v>0</v>
      </c>
      <c r="H25" s="194">
        <f>IF($B25&gt;'Project Data and Assumptions'!$C$8,0,$AC$29*(1+$AA$15)^($B25-2020))</f>
        <v>0</v>
      </c>
      <c r="I25" s="15">
        <f t="shared" si="0"/>
        <v>579549.39073406847</v>
      </c>
      <c r="J25" s="74">
        <f t="shared" si="8"/>
        <v>4779.756417856639</v>
      </c>
      <c r="K25" s="74">
        <f t="shared" si="9"/>
        <v>747475.68971843063</v>
      </c>
      <c r="L25" s="74">
        <f t="shared" si="1"/>
        <v>858221.13987861841</v>
      </c>
      <c r="M25" s="74">
        <f t="shared" si="10"/>
        <v>86001.130458080108</v>
      </c>
      <c r="N25" s="76">
        <f t="shared" si="2"/>
        <v>271.97581849960551</v>
      </c>
      <c r="O25" s="15">
        <f t="shared" si="3"/>
        <v>0</v>
      </c>
      <c r="P25" s="74">
        <f t="shared" si="11"/>
        <v>0</v>
      </c>
      <c r="Q25" s="74">
        <f t="shared" si="12"/>
        <v>0</v>
      </c>
      <c r="R25" s="74">
        <f t="shared" si="4"/>
        <v>0</v>
      </c>
      <c r="S25" s="74">
        <f t="shared" si="13"/>
        <v>0</v>
      </c>
      <c r="T25" s="76">
        <f t="shared" si="5"/>
        <v>0</v>
      </c>
      <c r="U25" s="15">
        <f t="shared" si="14"/>
        <v>2276299.0830255537</v>
      </c>
      <c r="V25" s="6">
        <f t="shared" si="6"/>
        <v>366325.64751688915</v>
      </c>
      <c r="X25" s="620" t="s">
        <v>124</v>
      </c>
      <c r="Y25" s="620"/>
      <c r="Z25" s="79">
        <f>'Annual Use'!$B$8*'Annual Use'!$G$8</f>
        <v>252814</v>
      </c>
      <c r="AA25" s="79">
        <f>Z25*(SUM('Med Lake'!$B$27:$B$30)+'Med Lake'!$B$26*5/7)</f>
        <v>223062.84848000002</v>
      </c>
      <c r="AB25" s="79">
        <v>0</v>
      </c>
      <c r="AC25" s="79">
        <f>Z25-AB25</f>
        <v>252814</v>
      </c>
      <c r="AD25" s="235">
        <f>AA25/Z25</f>
        <v>0.8823200000000001</v>
      </c>
      <c r="AG25" s="91" t="s">
        <v>64</v>
      </c>
    </row>
    <row r="26" spans="1:33" x14ac:dyDescent="0.25">
      <c r="A26" s="61">
        <f t="shared" si="7"/>
        <v>4835.7376217948213</v>
      </c>
      <c r="B26" s="264">
        <f t="shared" si="15"/>
        <v>2049</v>
      </c>
      <c r="C26" s="265">
        <f>IF(OR($B26&lt;$Y$6,$B26&gt;'Project Data and Assumptions'!$C$8),0,$AC$35*(1+$AA$15)^($B26-2020))</f>
        <v>44681.282492074002</v>
      </c>
      <c r="D26" s="266">
        <f>IF(OR($B26&lt;$Y$6,$B26&gt;'Project Data and Assumptions'!$C$8),0,$AB$34*(1+$AA$15)^($B26-2020))</f>
        <v>2031.8225301658913</v>
      </c>
      <c r="E26" s="267">
        <f>IF(OR($B26&lt;$Y$6,$B26&gt;'Project Data and Assumptions'!$C$8),0,$AC$34*(1+$AA$15)^($B26-2020))</f>
        <v>66165.924431420761</v>
      </c>
      <c r="F26" s="265">
        <f>IF($B26&gt;'Project Data and Assumptions'!$C$8,0,$AC$30*(1+$AA$15)^($B26-2020))</f>
        <v>0</v>
      </c>
      <c r="G26" s="266">
        <f>IF($B26&gt;'Project Data and Assumptions'!$C$8,0,$AB$29*(1+$AA$15)^($B26-2020))</f>
        <v>0</v>
      </c>
      <c r="H26" s="267">
        <f>IF($B26&gt;'Project Data and Assumptions'!$C$8,0,$AC$29*(1+$AA$15)^($B26-2020))</f>
        <v>0</v>
      </c>
      <c r="I26" s="98">
        <f t="shared" si="0"/>
        <v>588899.30324553535</v>
      </c>
      <c r="J26" s="99">
        <f t="shared" si="8"/>
        <v>4856.8685761085462</v>
      </c>
      <c r="K26" s="99">
        <f t="shared" si="9"/>
        <v>759534.76943631913</v>
      </c>
      <c r="L26" s="99">
        <f t="shared" si="1"/>
        <v>872066.88400612562</v>
      </c>
      <c r="M26" s="99">
        <f t="shared" si="10"/>
        <v>87388.592956577137</v>
      </c>
      <c r="N26" s="101">
        <f t="shared" si="2"/>
        <v>276.36362417909214</v>
      </c>
      <c r="O26" s="98">
        <f t="shared" si="3"/>
        <v>0</v>
      </c>
      <c r="P26" s="99">
        <f t="shared" si="11"/>
        <v>0</v>
      </c>
      <c r="Q26" s="99">
        <f t="shared" si="12"/>
        <v>0</v>
      </c>
      <c r="R26" s="99">
        <f t="shared" si="4"/>
        <v>0</v>
      </c>
      <c r="S26" s="99">
        <f t="shared" si="13"/>
        <v>0</v>
      </c>
      <c r="T26" s="101">
        <f t="shared" si="5"/>
        <v>0</v>
      </c>
      <c r="U26" s="98">
        <f t="shared" si="14"/>
        <v>2313022.781844845</v>
      </c>
      <c r="V26" s="272">
        <f t="shared" si="6"/>
        <v>347883.74379112839</v>
      </c>
      <c r="Z26" s="84"/>
      <c r="AA26" s="84"/>
      <c r="AB26" s="84"/>
      <c r="AC26" s="84"/>
      <c r="AG26" s="91" t="s">
        <v>65</v>
      </c>
    </row>
    <row r="27" spans="1:33" x14ac:dyDescent="0.25">
      <c r="A27" s="61">
        <f t="shared" si="7"/>
        <v>4913.7529288852529</v>
      </c>
      <c r="B27" s="2">
        <f t="shared" si="15"/>
        <v>2050</v>
      </c>
      <c r="C27" s="196">
        <f>IF(OR($B27&lt;$Y$6,$B27&gt;'Project Data and Assumptions'!$C$8),0,$AC$35*(1+$AA$15)^($B27-2020))</f>
        <v>45402.128875281967</v>
      </c>
      <c r="D27" s="75">
        <f>IF(OR($B27&lt;$Y$6,$B27&gt;'Project Data and Assumptions'!$C$8),0,$AB$34*(1+$AA$15)^($B27-2020))</f>
        <v>2064.6020709601903</v>
      </c>
      <c r="E27" s="194">
        <f>IF(OR($B27&lt;$Y$6,$B27&gt;'Project Data and Assumptions'!$C$8),0,$AC$34*(1+$AA$15)^($B27-2020))</f>
        <v>67233.384107101767</v>
      </c>
      <c r="F27" s="196">
        <f>IF($B27&gt;'Project Data and Assumptions'!$C$8,0,$AC$30*(1+$AA$15)^($B27-2020))</f>
        <v>0</v>
      </c>
      <c r="G27" s="75">
        <f>IF($B27&gt;'Project Data and Assumptions'!$C$8,0,$AB$29*(1+$AA$15)^($B27-2020))</f>
        <v>0</v>
      </c>
      <c r="H27" s="194">
        <f>IF($B27&gt;'Project Data and Assumptions'!$C$8,0,$AC$29*(1+$AA$15)^($B27-2020))</f>
        <v>0</v>
      </c>
      <c r="I27" s="15">
        <f t="shared" si="0"/>
        <v>598400.05857621634</v>
      </c>
      <c r="J27" s="74">
        <f t="shared" ref="J27:J29" si="16">(D27*$AA$40)*$AA$38*$AA$39</f>
        <v>4935.2247904232399</v>
      </c>
      <c r="K27" s="74">
        <f t="shared" ref="K27:K29" si="17">C27*$AA$43+SUM(D27:E27)*$AA$44</f>
        <v>771788.39916518796</v>
      </c>
      <c r="L27" s="74">
        <f t="shared" si="1"/>
        <v>886136.00253160135</v>
      </c>
      <c r="M27" s="74">
        <f t="shared" ref="M27:M29" si="18">SUM(D27:E27)*$AA$52</f>
        <v>88798.439488568576</v>
      </c>
      <c r="N27" s="76">
        <f t="shared" si="2"/>
        <v>280.82221864703479</v>
      </c>
      <c r="O27" s="15">
        <f t="shared" si="3"/>
        <v>0</v>
      </c>
      <c r="P27" s="74">
        <f t="shared" ref="P27:P29" si="19">(G27*$AA$40)*$AA$38*$AA$39</f>
        <v>0</v>
      </c>
      <c r="Q27" s="74">
        <f t="shared" ref="Q27:Q29" si="20">F27*$AA$43+SUM(G27:H27)*$AA$44</f>
        <v>0</v>
      </c>
      <c r="R27" s="74">
        <f t="shared" si="4"/>
        <v>0</v>
      </c>
      <c r="S27" s="74">
        <f t="shared" ref="S27:S29" si="21">SUM(G27:H27)*$AA$52</f>
        <v>0</v>
      </c>
      <c r="T27" s="76">
        <f t="shared" si="5"/>
        <v>0</v>
      </c>
      <c r="U27" s="15">
        <f t="shared" ref="U27:U29" si="22">SUM(I27:T27)</f>
        <v>2350338.9467706447</v>
      </c>
      <c r="V27" s="6">
        <f t="shared" si="6"/>
        <v>330370.25939755351</v>
      </c>
      <c r="X27" s="8" t="s">
        <v>496</v>
      </c>
      <c r="Z27" s="84"/>
      <c r="AA27" s="84"/>
      <c r="AB27" s="84"/>
      <c r="AC27" s="84"/>
    </row>
    <row r="28" spans="1:33" x14ac:dyDescent="0.25">
      <c r="A28" s="61">
        <f t="shared" si="7"/>
        <v>0</v>
      </c>
      <c r="B28" s="2">
        <f t="shared" si="15"/>
        <v>2051</v>
      </c>
      <c r="C28" s="196">
        <f>IF(OR($B28&lt;$Y$6,$B28&gt;'Project Data and Assumptions'!$C$8),0,$AC$35*(1+$AA$15)^($B28-2020))</f>
        <v>0</v>
      </c>
      <c r="D28" s="75">
        <f>IF(OR($B28&lt;$Y$6,$B28&gt;'Project Data and Assumptions'!$C$8),0,$AB$34*(1+$AA$15)^($B28-2020))</f>
        <v>0</v>
      </c>
      <c r="E28" s="194">
        <f>IF(OR($B28&lt;$Y$6,$B28&gt;'Project Data and Assumptions'!$C$8),0,$AC$34*(1+$AA$15)^($B28-2020))</f>
        <v>0</v>
      </c>
      <c r="F28" s="196">
        <f>IF($B28&gt;'Project Data and Assumptions'!$C$8,0,$AC$30*(1+$AA$15)^($B28-2020))</f>
        <v>0</v>
      </c>
      <c r="G28" s="75">
        <f>IF($B28&gt;'Project Data and Assumptions'!$C$8,0,$AB$29*(1+$AA$15)^($B28-2020))</f>
        <v>0</v>
      </c>
      <c r="H28" s="194">
        <f>IF($B28&gt;'Project Data and Assumptions'!$C$8,0,$AC$29*(1+$AA$15)^($B28-2020))</f>
        <v>0</v>
      </c>
      <c r="I28" s="15">
        <f t="shared" si="0"/>
        <v>0</v>
      </c>
      <c r="J28" s="74">
        <f t="shared" si="16"/>
        <v>0</v>
      </c>
      <c r="K28" s="74">
        <f t="shared" si="17"/>
        <v>0</v>
      </c>
      <c r="L28" s="74">
        <f t="shared" si="1"/>
        <v>0</v>
      </c>
      <c r="M28" s="74">
        <f t="shared" si="18"/>
        <v>0</v>
      </c>
      <c r="N28" s="76">
        <f t="shared" si="2"/>
        <v>0</v>
      </c>
      <c r="O28" s="15">
        <f t="shared" si="3"/>
        <v>0</v>
      </c>
      <c r="P28" s="74">
        <f t="shared" si="19"/>
        <v>0</v>
      </c>
      <c r="Q28" s="74">
        <f t="shared" si="20"/>
        <v>0</v>
      </c>
      <c r="R28" s="74">
        <f t="shared" si="4"/>
        <v>0</v>
      </c>
      <c r="S28" s="74">
        <f t="shared" si="21"/>
        <v>0</v>
      </c>
      <c r="T28" s="76">
        <f t="shared" si="5"/>
        <v>0</v>
      </c>
      <c r="U28" s="15">
        <f t="shared" si="22"/>
        <v>0</v>
      </c>
      <c r="V28" s="6">
        <f t="shared" si="6"/>
        <v>0</v>
      </c>
      <c r="Z28" s="78" t="s">
        <v>23</v>
      </c>
      <c r="AA28" s="78" t="s">
        <v>336</v>
      </c>
      <c r="AB28" s="78" t="s">
        <v>53</v>
      </c>
      <c r="AC28" s="78" t="s">
        <v>195</v>
      </c>
      <c r="AD28" s="78" t="s">
        <v>354</v>
      </c>
    </row>
    <row r="29" spans="1:33" x14ac:dyDescent="0.25">
      <c r="A29" s="61">
        <f t="shared" si="7"/>
        <v>0</v>
      </c>
      <c r="B29" s="2">
        <f t="shared" si="15"/>
        <v>2052</v>
      </c>
      <c r="C29" s="196">
        <f>IF(OR($B29&lt;$Y$6,$B29&gt;'Project Data and Assumptions'!$C$8),0,$AC$35*(1+$AA$15)^($B29-2020))</f>
        <v>0</v>
      </c>
      <c r="D29" s="75">
        <f>IF(OR($B29&lt;$Y$6,$B29&gt;'Project Data and Assumptions'!$C$8),0,$AB$34*(1+$AA$15)^($B29-2020))</f>
        <v>0</v>
      </c>
      <c r="E29" s="194">
        <f>IF(OR($B29&lt;$Y$6,$B29&gt;'Project Data and Assumptions'!$C$8),0,$AC$34*(1+$AA$15)^($B29-2020))</f>
        <v>0</v>
      </c>
      <c r="F29" s="196">
        <f>IF($B29&gt;'Project Data and Assumptions'!$C$8,0,$AC$30*(1+$AA$15)^($B29-2020))</f>
        <v>0</v>
      </c>
      <c r="G29" s="75">
        <f>IF($B29&gt;'Project Data and Assumptions'!$C$8,0,$AB$29*(1+$AA$15)^($B29-2020))</f>
        <v>0</v>
      </c>
      <c r="H29" s="194">
        <f>IF($B29&gt;'Project Data and Assumptions'!$C$8,0,$AC$29*(1+$AA$15)^($B29-2020))</f>
        <v>0</v>
      </c>
      <c r="I29" s="15">
        <f t="shared" si="0"/>
        <v>0</v>
      </c>
      <c r="J29" s="74">
        <f t="shared" si="16"/>
        <v>0</v>
      </c>
      <c r="K29" s="74">
        <f t="shared" si="17"/>
        <v>0</v>
      </c>
      <c r="L29" s="74">
        <f t="shared" si="1"/>
        <v>0</v>
      </c>
      <c r="M29" s="74">
        <f t="shared" si="18"/>
        <v>0</v>
      </c>
      <c r="N29" s="76">
        <f t="shared" si="2"/>
        <v>0</v>
      </c>
      <c r="O29" s="15">
        <f t="shared" si="3"/>
        <v>0</v>
      </c>
      <c r="P29" s="74">
        <f t="shared" si="19"/>
        <v>0</v>
      </c>
      <c r="Q29" s="74">
        <f t="shared" si="20"/>
        <v>0</v>
      </c>
      <c r="R29" s="74">
        <f t="shared" si="4"/>
        <v>0</v>
      </c>
      <c r="S29" s="74">
        <f t="shared" si="21"/>
        <v>0</v>
      </c>
      <c r="T29" s="76">
        <f t="shared" si="5"/>
        <v>0</v>
      </c>
      <c r="U29" s="15">
        <f t="shared" si="22"/>
        <v>0</v>
      </c>
      <c r="V29" s="6">
        <f t="shared" si="6"/>
        <v>0</v>
      </c>
      <c r="X29" s="620" t="s">
        <v>125</v>
      </c>
      <c r="Y29" s="620"/>
      <c r="Z29" s="79">
        <f>$Y$8/$Y$7*Z24</f>
        <v>0</v>
      </c>
      <c r="AA29" s="737">
        <f>Z29*(SUM('Med Lake'!$B$27:$B$30)+'Med Lake'!$B$26*5/7)</f>
        <v>0</v>
      </c>
      <c r="AB29" s="737">
        <f>SUM($Z29:$Z30)*'Med Lake'!$C$11</f>
        <v>0</v>
      </c>
      <c r="AC29" s="79">
        <f>Z29-AB29</f>
        <v>0</v>
      </c>
      <c r="AD29" s="235">
        <f>IFERROR(AA29/Z29,0)</f>
        <v>0</v>
      </c>
    </row>
    <row r="30" spans="1:33" ht="15.75" thickBot="1" x14ac:dyDescent="0.3">
      <c r="A30" s="61">
        <f t="shared" si="7"/>
        <v>0</v>
      </c>
      <c r="B30" s="268">
        <f t="shared" si="15"/>
        <v>2053</v>
      </c>
      <c r="C30" s="269">
        <f>IF(OR($B30&lt;$Y$6,$B30&gt;'Project Data and Assumptions'!$C$8),0,$AC$35*(1+$AA$15)^($B30-2020))</f>
        <v>0</v>
      </c>
      <c r="D30" s="270">
        <f>IF(OR($B30&lt;$Y$6,$B30&gt;'Project Data and Assumptions'!$C$8),0,$AB$34*(1+$AA$15)^($B30-2020))</f>
        <v>0</v>
      </c>
      <c r="E30" s="271">
        <f>IF(OR($B30&lt;$Y$6,$B30&gt;'Project Data and Assumptions'!$C$8),0,$AC$34*(1+$AA$15)^($B30-2020))</f>
        <v>0</v>
      </c>
      <c r="F30" s="269">
        <f>IF($B30&gt;'Project Data and Assumptions'!$C$8,0,$AC$30*(1+$AA$15)^($B30-2020))</f>
        <v>0</v>
      </c>
      <c r="G30" s="270">
        <f>IF($B30&gt;'Project Data and Assumptions'!$C$8,0,$AB$29*(1+$AA$15)^($B30-2020))</f>
        <v>0</v>
      </c>
      <c r="H30" s="271">
        <f>IF($B30&gt;'Project Data and Assumptions'!$C$8,0,$AC$29*(1+$AA$15)^($B30-2020))</f>
        <v>0</v>
      </c>
      <c r="I30" s="261">
        <f t="shared" si="0"/>
        <v>0</v>
      </c>
      <c r="J30" s="262">
        <f t="shared" ref="J30" si="23">(D30*$AA$40)*$AA$38*$AA$39</f>
        <v>0</v>
      </c>
      <c r="K30" s="262">
        <f t="shared" ref="K30" si="24">C30*$AA$43+SUM(D30:E30)*$AA$44</f>
        <v>0</v>
      </c>
      <c r="L30" s="262">
        <f t="shared" si="1"/>
        <v>0</v>
      </c>
      <c r="M30" s="262">
        <f t="shared" ref="M30" si="25">SUM(D30:E30)*$AA$52</f>
        <v>0</v>
      </c>
      <c r="N30" s="263">
        <f t="shared" si="2"/>
        <v>0</v>
      </c>
      <c r="O30" s="261">
        <f t="shared" si="3"/>
        <v>0</v>
      </c>
      <c r="P30" s="262">
        <f t="shared" ref="P30" si="26">(G30*$AA$40)*$AA$38*$AA$39</f>
        <v>0</v>
      </c>
      <c r="Q30" s="262">
        <f t="shared" ref="Q30" si="27">F30*$AA$43+SUM(G30:H30)*$AA$44</f>
        <v>0</v>
      </c>
      <c r="R30" s="262">
        <f t="shared" si="4"/>
        <v>0</v>
      </c>
      <c r="S30" s="262">
        <f t="shared" ref="S30" si="28">SUM(G30:H30)*$AA$52</f>
        <v>0</v>
      </c>
      <c r="T30" s="263">
        <f t="shared" si="5"/>
        <v>0</v>
      </c>
      <c r="U30" s="118">
        <f t="shared" ref="U30" si="29">SUM(I30:T30)</f>
        <v>0</v>
      </c>
      <c r="V30" s="119">
        <f t="shared" si="6"/>
        <v>0</v>
      </c>
      <c r="X30" s="620" t="s">
        <v>124</v>
      </c>
      <c r="Y30" s="620"/>
      <c r="Z30" s="79">
        <f>$Y$8/$Y$7*Z25</f>
        <v>0</v>
      </c>
      <c r="AA30" s="737">
        <f>Z30*(SUM('Med Lake'!$B$27:$B$30)+'Med Lake'!$B$26*5/7)</f>
        <v>0</v>
      </c>
      <c r="AB30" s="738">
        <v>0</v>
      </c>
      <c r="AC30" s="79">
        <f>Z30-AB30</f>
        <v>0</v>
      </c>
      <c r="AD30" s="235">
        <f>IFERROR(AA30/Z30,0)</f>
        <v>0</v>
      </c>
    </row>
    <row r="31" spans="1:33" ht="15" customHeight="1" thickBot="1" x14ac:dyDescent="0.3">
      <c r="A31" s="61"/>
      <c r="B31" s="4"/>
      <c r="D31" s="4"/>
      <c r="G31" s="4"/>
      <c r="H31" s="81" t="s">
        <v>2</v>
      </c>
      <c r="I31" s="115">
        <f t="shared" ref="I31:V31" si="30">SUM(I7:I30)</f>
        <v>10758272.034488279</v>
      </c>
      <c r="J31" s="116">
        <f t="shared" si="30"/>
        <v>88727.415857966727</v>
      </c>
      <c r="K31" s="116">
        <f t="shared" si="30"/>
        <v>13875515.940016869</v>
      </c>
      <c r="L31" s="116">
        <f t="shared" si="30"/>
        <v>15931302.208545381</v>
      </c>
      <c r="M31" s="116">
        <f t="shared" si="30"/>
        <v>1596453.3334590094</v>
      </c>
      <c r="N31" s="117">
        <f t="shared" si="30"/>
        <v>5048.7324963196852</v>
      </c>
      <c r="O31" s="115">
        <f t="shared" si="30"/>
        <v>0</v>
      </c>
      <c r="P31" s="116">
        <f t="shared" si="30"/>
        <v>0</v>
      </c>
      <c r="Q31" s="116">
        <f t="shared" si="30"/>
        <v>0</v>
      </c>
      <c r="R31" s="116">
        <f t="shared" si="30"/>
        <v>0</v>
      </c>
      <c r="S31" s="116">
        <f t="shared" si="30"/>
        <v>0</v>
      </c>
      <c r="T31" s="117">
        <f t="shared" si="30"/>
        <v>0</v>
      </c>
      <c r="U31" s="118">
        <f t="shared" si="30"/>
        <v>42255319.664863817</v>
      </c>
      <c r="V31" s="119">
        <f t="shared" si="30"/>
        <v>12206504.725772083</v>
      </c>
      <c r="Z31" s="84"/>
      <c r="AA31" s="739"/>
      <c r="AB31" s="739"/>
      <c r="AC31" s="84"/>
    </row>
    <row r="32" spans="1:33" ht="15" customHeight="1" x14ac:dyDescent="0.25">
      <c r="B32" s="4"/>
      <c r="D32" s="4"/>
      <c r="F32" s="81"/>
      <c r="G32" s="4"/>
      <c r="H32" s="4"/>
      <c r="I32" s="82"/>
      <c r="J32" s="82"/>
      <c r="K32" s="82"/>
      <c r="L32" s="82"/>
      <c r="M32" s="82"/>
      <c r="N32" s="82"/>
      <c r="O32" s="82"/>
      <c r="P32" s="82"/>
      <c r="Q32" s="82"/>
      <c r="R32" s="82"/>
      <c r="S32" s="82"/>
      <c r="T32" s="82"/>
      <c r="U32" s="82"/>
      <c r="V32" s="82"/>
      <c r="X32" s="8" t="s">
        <v>497</v>
      </c>
      <c r="Z32" s="84"/>
      <c r="AA32" s="739"/>
      <c r="AB32" s="739"/>
      <c r="AC32" s="84"/>
    </row>
    <row r="33" spans="1:33" ht="15" customHeight="1" x14ac:dyDescent="0.25">
      <c r="D33" s="83"/>
      <c r="Z33" s="78" t="s">
        <v>23</v>
      </c>
      <c r="AA33" s="740" t="s">
        <v>336</v>
      </c>
      <c r="AB33" s="740" t="s">
        <v>53</v>
      </c>
      <c r="AC33" s="78" t="s">
        <v>195</v>
      </c>
      <c r="AD33" s="78" t="s">
        <v>354</v>
      </c>
    </row>
    <row r="34" spans="1:33" ht="17.25" customHeight="1" x14ac:dyDescent="0.25">
      <c r="D34" s="83"/>
      <c r="X34" s="620" t="s">
        <v>125</v>
      </c>
      <c r="Y34" s="620"/>
      <c r="Z34" s="79">
        <f>$Y$9/$Y$7*Z24</f>
        <v>42874.888888888883</v>
      </c>
      <c r="AA34" s="737">
        <f>Z34*(SUM('Med Lake'!$B$27:$B$30)+'Med Lake'!$B$26*5/7)</f>
        <v>37829.371964444443</v>
      </c>
      <c r="AB34" s="737">
        <f>SUM($Z34:$Z35)*'Med Lake'!$C$11</f>
        <v>1277.3759999999995</v>
      </c>
      <c r="AC34" s="79">
        <f>Z34-AB34</f>
        <v>41597.512888888887</v>
      </c>
      <c r="AD34" s="190">
        <f>AA34/Z34</f>
        <v>0.8823200000000001</v>
      </c>
    </row>
    <row r="35" spans="1:33" ht="17.25" customHeight="1" x14ac:dyDescent="0.25">
      <c r="B35" s="8" t="s">
        <v>3</v>
      </c>
      <c r="H35" s="8"/>
      <c r="X35" s="620" t="s">
        <v>124</v>
      </c>
      <c r="Y35" s="620"/>
      <c r="Z35" s="79">
        <f>$Y$9/$Y$7*Z25</f>
        <v>28090.444444444438</v>
      </c>
      <c r="AA35" s="737">
        <f>Z35*(SUM('Med Lake'!$B$27:$B$30)+'Med Lake'!$B$26*5/7)</f>
        <v>24784.760942222219</v>
      </c>
      <c r="AB35" s="738">
        <v>0</v>
      </c>
      <c r="AC35" s="79">
        <f>Z35-AB35</f>
        <v>28090.444444444438</v>
      </c>
      <c r="AD35" s="190">
        <f>AA35/Z35</f>
        <v>0.8823200000000001</v>
      </c>
    </row>
    <row r="36" spans="1:33" ht="17.25" customHeight="1" x14ac:dyDescent="0.25">
      <c r="A36" s="9" t="s">
        <v>18</v>
      </c>
      <c r="B36" s="398" t="s">
        <v>522</v>
      </c>
      <c r="C36" s="42"/>
      <c r="D36" s="42"/>
      <c r="E36" s="24"/>
      <c r="F36" s="24"/>
      <c r="G36" s="24"/>
      <c r="H36" s="24"/>
      <c r="I36" s="24"/>
      <c r="J36" s="24"/>
      <c r="K36" s="24"/>
      <c r="L36" s="24"/>
      <c r="M36" s="24"/>
      <c r="N36" s="24"/>
      <c r="O36" s="24"/>
      <c r="P36" s="24"/>
      <c r="Q36" s="24"/>
      <c r="R36" s="24"/>
      <c r="S36" s="24"/>
      <c r="T36" s="49"/>
      <c r="U36" s="24"/>
      <c r="V36" s="24"/>
      <c r="Z36" s="84"/>
      <c r="AA36" s="84"/>
      <c r="AB36" s="84"/>
      <c r="AC36" s="84"/>
    </row>
    <row r="37" spans="1:33" ht="15" customHeight="1" x14ac:dyDescent="0.25">
      <c r="B37" s="398"/>
      <c r="C37" s="42"/>
      <c r="D37" s="42"/>
      <c r="E37" s="24"/>
      <c r="F37" s="24"/>
      <c r="G37" s="24"/>
      <c r="H37" s="24"/>
      <c r="I37" s="24"/>
      <c r="J37" s="47"/>
      <c r="K37" s="47"/>
      <c r="L37" s="24"/>
      <c r="M37" s="24"/>
      <c r="N37" s="24"/>
      <c r="O37" s="24"/>
      <c r="P37" s="47"/>
      <c r="Q37" s="47"/>
      <c r="R37" s="24"/>
      <c r="S37" s="24"/>
      <c r="T37" s="49"/>
      <c r="U37" s="24"/>
      <c r="V37" s="24"/>
      <c r="X37" s="8" t="s">
        <v>498</v>
      </c>
      <c r="Z37" s="84"/>
      <c r="AA37" s="84"/>
      <c r="AB37" s="84"/>
      <c r="AC37" s="84"/>
    </row>
    <row r="38" spans="1:33" ht="17.25" customHeight="1" x14ac:dyDescent="0.25">
      <c r="A38" s="9" t="s">
        <v>17</v>
      </c>
      <c r="B38" s="624" t="s">
        <v>695</v>
      </c>
      <c r="C38" s="624"/>
      <c r="D38" s="624"/>
      <c r="E38" s="624"/>
      <c r="F38" s="624"/>
      <c r="G38" s="624"/>
      <c r="H38" s="624"/>
      <c r="I38" s="624"/>
      <c r="J38" s="624"/>
      <c r="K38" s="624"/>
      <c r="L38" s="624"/>
      <c r="M38" s="624"/>
      <c r="N38" s="624"/>
      <c r="O38" s="624"/>
      <c r="P38" s="624"/>
      <c r="Q38" s="624"/>
      <c r="R38" s="624"/>
      <c r="S38" s="624"/>
      <c r="T38" s="49"/>
      <c r="U38" s="24"/>
      <c r="V38" s="24"/>
      <c r="X38" s="620" t="s">
        <v>510</v>
      </c>
      <c r="Y38" s="620"/>
      <c r="Z38" s="620"/>
      <c r="AA38" s="85">
        <v>21.6</v>
      </c>
    </row>
    <row r="39" spans="1:33" ht="15" customHeight="1" x14ac:dyDescent="0.25">
      <c r="B39" s="624"/>
      <c r="C39" s="624"/>
      <c r="D39" s="624"/>
      <c r="E39" s="624"/>
      <c r="F39" s="624"/>
      <c r="G39" s="624"/>
      <c r="H39" s="624"/>
      <c r="I39" s="624"/>
      <c r="J39" s="624"/>
      <c r="K39" s="624"/>
      <c r="L39" s="624"/>
      <c r="M39" s="624"/>
      <c r="N39" s="624"/>
      <c r="O39" s="624"/>
      <c r="P39" s="624"/>
      <c r="Q39" s="624"/>
      <c r="R39" s="624"/>
      <c r="S39" s="624"/>
      <c r="T39" s="49"/>
      <c r="U39" s="24"/>
      <c r="V39" s="24"/>
      <c r="X39" s="621" t="s">
        <v>511</v>
      </c>
      <c r="Y39" s="621"/>
      <c r="Z39" s="621"/>
      <c r="AA39" s="109">
        <f>16.6/60</f>
        <v>0.27666666666666667</v>
      </c>
      <c r="AB39" s="127"/>
    </row>
    <row r="40" spans="1:33" ht="15" customHeight="1" x14ac:dyDescent="0.25">
      <c r="B40" s="624"/>
      <c r="C40" s="624"/>
      <c r="D40" s="624"/>
      <c r="E40" s="624"/>
      <c r="F40" s="624"/>
      <c r="G40" s="624"/>
      <c r="H40" s="624"/>
      <c r="I40" s="624"/>
      <c r="J40" s="624"/>
      <c r="K40" s="624"/>
      <c r="L40" s="624"/>
      <c r="M40" s="624"/>
      <c r="N40" s="624"/>
      <c r="O40" s="624"/>
      <c r="P40" s="624"/>
      <c r="Q40" s="624"/>
      <c r="R40" s="624"/>
      <c r="S40" s="624"/>
      <c r="T40" s="405"/>
      <c r="U40" s="189"/>
      <c r="V40" s="189"/>
      <c r="X40" s="621" t="s">
        <v>512</v>
      </c>
      <c r="Y40" s="621"/>
      <c r="Z40" s="621"/>
      <c r="AA40" s="94">
        <v>0.4</v>
      </c>
    </row>
    <row r="41" spans="1:33" ht="17.25" customHeight="1" x14ac:dyDescent="0.25">
      <c r="B41" s="733"/>
      <c r="C41" s="733"/>
      <c r="D41" s="733"/>
      <c r="E41" s="733"/>
      <c r="F41" s="733"/>
      <c r="G41" s="733"/>
      <c r="H41" s="733"/>
      <c r="I41" s="733"/>
      <c r="J41" s="733"/>
      <c r="K41" s="733"/>
      <c r="L41" s="733"/>
      <c r="M41" s="733"/>
      <c r="N41" s="733"/>
      <c r="O41" s="733"/>
      <c r="P41" s="733"/>
      <c r="Q41" s="733"/>
      <c r="R41" s="733"/>
      <c r="S41" s="733"/>
      <c r="AG41" s="95" t="s">
        <v>66</v>
      </c>
    </row>
    <row r="42" spans="1:33" ht="17.25" customHeight="1" x14ac:dyDescent="0.25">
      <c r="A42" s="9" t="s">
        <v>19</v>
      </c>
      <c r="B42" s="734" t="s">
        <v>693</v>
      </c>
      <c r="C42" s="735"/>
      <c r="D42" s="735"/>
      <c r="E42" s="735"/>
      <c r="F42" s="735"/>
      <c r="G42" s="735"/>
      <c r="H42" s="735"/>
      <c r="I42" s="735"/>
      <c r="J42" s="735"/>
      <c r="K42" s="735"/>
      <c r="L42" s="735"/>
      <c r="M42" s="735"/>
      <c r="N42" s="735"/>
      <c r="O42" s="735"/>
      <c r="P42" s="735"/>
      <c r="Q42" s="735"/>
      <c r="R42" s="735"/>
      <c r="S42" s="735"/>
      <c r="U42" s="189"/>
      <c r="V42" s="189"/>
      <c r="W42" s="24"/>
      <c r="X42" s="8" t="s">
        <v>513</v>
      </c>
      <c r="AG42" s="95" t="s">
        <v>66</v>
      </c>
    </row>
    <row r="43" spans="1:33" ht="15" customHeight="1" x14ac:dyDescent="0.25">
      <c r="C43" s="24"/>
      <c r="D43" s="24"/>
      <c r="E43" s="24"/>
      <c r="F43" s="24"/>
      <c r="G43" s="24"/>
      <c r="H43" s="24"/>
      <c r="I43" s="24"/>
      <c r="J43" s="24"/>
      <c r="K43" s="24"/>
      <c r="L43" s="24"/>
      <c r="M43" s="24"/>
      <c r="N43" s="24"/>
      <c r="O43" s="24"/>
      <c r="P43" s="24"/>
      <c r="Q43" s="24"/>
      <c r="R43" s="24"/>
      <c r="S43" s="24"/>
      <c r="U43" s="189"/>
      <c r="V43" s="189"/>
      <c r="W43" s="24"/>
      <c r="X43" s="198" t="s">
        <v>122</v>
      </c>
      <c r="Y43" s="199"/>
      <c r="Z43" s="199"/>
      <c r="AA43" s="139">
        <v>7.2</v>
      </c>
      <c r="AG43" s="95" t="s">
        <v>55</v>
      </c>
    </row>
    <row r="44" spans="1:33" ht="15" customHeight="1" x14ac:dyDescent="0.25">
      <c r="A44" s="9" t="s">
        <v>20</v>
      </c>
      <c r="B44" s="624" t="s">
        <v>694</v>
      </c>
      <c r="C44" s="624"/>
      <c r="D44" s="624"/>
      <c r="E44" s="624"/>
      <c r="F44" s="624"/>
      <c r="G44" s="624"/>
      <c r="H44" s="624"/>
      <c r="I44" s="624"/>
      <c r="J44" s="624"/>
      <c r="K44" s="624"/>
      <c r="L44" s="624"/>
      <c r="M44" s="624"/>
      <c r="N44" s="624"/>
      <c r="O44" s="624"/>
      <c r="P44" s="624"/>
      <c r="Q44" s="624"/>
      <c r="R44" s="624"/>
      <c r="S44" s="624"/>
      <c r="T44" s="49"/>
      <c r="W44" s="24"/>
      <c r="X44" s="198" t="s">
        <v>123</v>
      </c>
      <c r="Y44" s="199"/>
      <c r="Z44" s="199"/>
      <c r="AA44" s="443">
        <v>6.42</v>
      </c>
      <c r="AC44" s="93"/>
      <c r="AG44" s="95" t="s">
        <v>67</v>
      </c>
    </row>
    <row r="45" spans="1:33" ht="17.25" customHeight="1" x14ac:dyDescent="0.25">
      <c r="B45" s="624"/>
      <c r="C45" s="624"/>
      <c r="D45" s="624"/>
      <c r="E45" s="624"/>
      <c r="F45" s="624"/>
      <c r="G45" s="624"/>
      <c r="H45" s="624"/>
      <c r="I45" s="624"/>
      <c r="J45" s="624"/>
      <c r="K45" s="624"/>
      <c r="L45" s="624"/>
      <c r="M45" s="624"/>
      <c r="N45" s="624"/>
      <c r="O45" s="624"/>
      <c r="P45" s="624"/>
      <c r="Q45" s="624"/>
      <c r="R45" s="624"/>
      <c r="S45" s="624"/>
      <c r="T45" s="49"/>
      <c r="U45" s="24"/>
      <c r="V45" s="24"/>
      <c r="W45" s="24"/>
      <c r="AG45" s="95" t="s">
        <v>68</v>
      </c>
    </row>
    <row r="46" spans="1:33" ht="15" customHeight="1" x14ac:dyDescent="0.25">
      <c r="J46"/>
      <c r="K46"/>
      <c r="P46"/>
      <c r="Q46"/>
      <c r="T46" s="49"/>
      <c r="U46" s="24"/>
      <c r="V46" s="24"/>
      <c r="W46" s="24"/>
      <c r="X46" s="8" t="s">
        <v>514</v>
      </c>
      <c r="AG46" s="125"/>
    </row>
    <row r="47" spans="1:33" ht="15" customHeight="1" x14ac:dyDescent="0.25">
      <c r="A47" s="9" t="s">
        <v>57</v>
      </c>
      <c r="B47" s="624" t="s">
        <v>523</v>
      </c>
      <c r="C47" s="624"/>
      <c r="D47" s="624"/>
      <c r="E47" s="624"/>
      <c r="F47" s="624"/>
      <c r="G47" s="624"/>
      <c r="H47" s="624"/>
      <c r="I47" s="624"/>
      <c r="J47" s="624"/>
      <c r="K47" s="624"/>
      <c r="L47" s="624"/>
      <c r="M47" s="624"/>
      <c r="N47" s="624"/>
      <c r="O47" s="624"/>
      <c r="P47" s="624"/>
      <c r="Q47" s="624"/>
      <c r="R47" s="624"/>
      <c r="S47" s="624"/>
      <c r="T47" s="49"/>
      <c r="U47" s="24"/>
      <c r="V47" s="24"/>
      <c r="W47" s="24"/>
      <c r="X47" s="621" t="s">
        <v>360</v>
      </c>
      <c r="Y47" s="621"/>
      <c r="Z47" s="621"/>
      <c r="AA47" s="86">
        <v>10</v>
      </c>
      <c r="AG47" s="125"/>
    </row>
    <row r="48" spans="1:33" ht="16.5" customHeight="1" x14ac:dyDescent="0.25">
      <c r="B48" s="624"/>
      <c r="C48" s="624"/>
      <c r="D48" s="624"/>
      <c r="E48" s="624"/>
      <c r="F48" s="624"/>
      <c r="G48" s="624"/>
      <c r="H48" s="624"/>
      <c r="I48" s="624"/>
      <c r="J48" s="624"/>
      <c r="K48" s="624"/>
      <c r="L48" s="624"/>
      <c r="M48" s="624"/>
      <c r="N48" s="624"/>
      <c r="O48" s="624"/>
      <c r="P48" s="624"/>
      <c r="Q48" s="624"/>
      <c r="R48" s="624"/>
      <c r="S48" s="624"/>
      <c r="T48" s="49"/>
      <c r="U48" s="24"/>
      <c r="V48" s="24"/>
      <c r="W48" s="24"/>
      <c r="X48" s="621" t="s">
        <v>58</v>
      </c>
      <c r="Y48" s="621"/>
      <c r="Z48" s="621"/>
      <c r="AA48" s="87">
        <f>365-90</f>
        <v>275</v>
      </c>
      <c r="AG48" s="95" t="s">
        <v>69</v>
      </c>
    </row>
    <row r="49" spans="1:39" x14ac:dyDescent="0.25">
      <c r="B49" s="398"/>
      <c r="C49" s="42"/>
      <c r="D49" s="42"/>
      <c r="E49" s="24"/>
      <c r="F49" s="24"/>
      <c r="G49" s="24"/>
      <c r="H49" s="24"/>
      <c r="I49" s="24"/>
      <c r="J49" s="24"/>
      <c r="K49" s="24"/>
      <c r="L49" s="24"/>
      <c r="M49" s="24"/>
      <c r="N49" s="24"/>
      <c r="O49" s="24"/>
      <c r="P49" s="24"/>
      <c r="Q49" s="24"/>
      <c r="R49" s="24"/>
      <c r="S49" s="24"/>
      <c r="T49" s="49"/>
      <c r="U49" s="24"/>
      <c r="V49" s="24"/>
      <c r="W49" s="24"/>
      <c r="X49" s="125"/>
      <c r="Y49" s="125"/>
      <c r="Z49" s="125"/>
      <c r="AA49" s="61"/>
    </row>
    <row r="50" spans="1:39" ht="15" customHeight="1" x14ac:dyDescent="0.25">
      <c r="A50" s="9" t="s">
        <v>521</v>
      </c>
      <c r="B50" s="624" t="s">
        <v>519</v>
      </c>
      <c r="C50" s="624"/>
      <c r="D50" s="624"/>
      <c r="E50" s="624"/>
      <c r="F50" s="624"/>
      <c r="G50" s="624"/>
      <c r="H50" s="624"/>
      <c r="I50" s="624"/>
      <c r="J50" s="624"/>
      <c r="K50" s="624"/>
      <c r="L50" s="624"/>
      <c r="M50" s="624"/>
      <c r="N50" s="624"/>
      <c r="O50" s="624"/>
      <c r="P50" s="624"/>
      <c r="Q50" s="624"/>
      <c r="R50" s="624"/>
      <c r="S50" s="624"/>
      <c r="W50" s="24"/>
      <c r="X50" s="8" t="s">
        <v>515</v>
      </c>
    </row>
    <row r="51" spans="1:39" ht="18" customHeight="1" x14ac:dyDescent="0.25">
      <c r="B51" s="624"/>
      <c r="C51" s="624"/>
      <c r="D51" s="624"/>
      <c r="E51" s="624"/>
      <c r="F51" s="624"/>
      <c r="G51" s="624"/>
      <c r="H51" s="624"/>
      <c r="I51" s="624"/>
      <c r="J51" s="624"/>
      <c r="K51" s="624"/>
      <c r="L51" s="624"/>
      <c r="M51" s="624"/>
      <c r="N51" s="624"/>
      <c r="O51" s="624"/>
      <c r="P51" s="624"/>
      <c r="Q51" s="624"/>
      <c r="R51" s="624"/>
      <c r="S51" s="624"/>
      <c r="W51" s="24"/>
      <c r="X51" s="621" t="s">
        <v>116</v>
      </c>
      <c r="Y51" s="621"/>
      <c r="Z51" s="621"/>
      <c r="AA51" s="137">
        <v>1.49</v>
      </c>
      <c r="AG51" s="95" t="s">
        <v>70</v>
      </c>
    </row>
    <row r="52" spans="1:39" ht="15" customHeight="1" x14ac:dyDescent="0.25">
      <c r="B52" s="624"/>
      <c r="C52" s="624"/>
      <c r="D52" s="624"/>
      <c r="E52" s="624"/>
      <c r="F52" s="624"/>
      <c r="G52" s="624"/>
      <c r="H52" s="624"/>
      <c r="I52" s="624"/>
      <c r="J52" s="624"/>
      <c r="K52" s="624"/>
      <c r="L52" s="624"/>
      <c r="M52" s="624"/>
      <c r="N52" s="624"/>
      <c r="O52" s="624"/>
      <c r="P52" s="624"/>
      <c r="Q52" s="624"/>
      <c r="R52" s="624"/>
      <c r="S52" s="624"/>
      <c r="W52" s="24"/>
      <c r="X52" s="212" t="s">
        <v>362</v>
      </c>
      <c r="Y52" s="212"/>
      <c r="Z52" s="212"/>
      <c r="AA52" s="137">
        <f>$AA$51*$AC$19</f>
        <v>1.2813999999999999</v>
      </c>
      <c r="AG52" s="91" t="s">
        <v>71</v>
      </c>
    </row>
    <row r="53" spans="1:39" x14ac:dyDescent="0.25">
      <c r="B53" s="624"/>
      <c r="C53" s="624"/>
      <c r="D53" s="624"/>
      <c r="E53" s="624"/>
      <c r="F53" s="624"/>
      <c r="G53" s="624"/>
      <c r="H53" s="624"/>
      <c r="I53" s="624"/>
      <c r="J53" s="624"/>
      <c r="K53" s="624"/>
      <c r="L53" s="624"/>
      <c r="M53" s="624"/>
      <c r="N53" s="624"/>
      <c r="O53" s="624"/>
      <c r="P53" s="624"/>
      <c r="Q53" s="624"/>
      <c r="R53" s="624"/>
      <c r="S53" s="624"/>
      <c r="T53" s="24"/>
      <c r="U53" s="24"/>
      <c r="V53" s="24"/>
      <c r="W53" s="24"/>
      <c r="X53" s="212" t="s">
        <v>361</v>
      </c>
      <c r="Y53" s="212"/>
      <c r="Z53" s="212"/>
      <c r="AA53" s="137">
        <f>$AA$51*$AC$18</f>
        <v>0</v>
      </c>
    </row>
    <row r="54" spans="1:39" x14ac:dyDescent="0.25">
      <c r="B54" s="398"/>
      <c r="C54" s="42"/>
      <c r="D54" s="42"/>
      <c r="E54" s="24"/>
      <c r="F54" s="24"/>
      <c r="G54" s="24"/>
      <c r="H54" s="24"/>
      <c r="I54" s="24"/>
      <c r="J54" s="24"/>
      <c r="K54" s="24"/>
      <c r="L54" s="24"/>
      <c r="M54" s="24"/>
      <c r="N54" s="24"/>
      <c r="O54" s="24"/>
      <c r="P54" s="24"/>
      <c r="Q54" s="24"/>
      <c r="R54" s="24"/>
      <c r="S54" s="24"/>
      <c r="T54" s="24"/>
      <c r="U54" s="24"/>
      <c r="V54" s="24"/>
      <c r="W54" s="24"/>
      <c r="AH54" s="97"/>
      <c r="AI54" s="97"/>
      <c r="AJ54" s="97"/>
      <c r="AK54" s="97"/>
    </row>
    <row r="55" spans="1:39" ht="15" customHeight="1" x14ac:dyDescent="0.25">
      <c r="A55" s="9" t="s">
        <v>524</v>
      </c>
      <c r="B55" s="624" t="s">
        <v>520</v>
      </c>
      <c r="C55" s="624"/>
      <c r="D55" s="624"/>
      <c r="E55" s="624"/>
      <c r="F55" s="624"/>
      <c r="G55" s="624"/>
      <c r="H55" s="624"/>
      <c r="I55" s="624"/>
      <c r="J55" s="624"/>
      <c r="K55" s="624"/>
      <c r="L55" s="624"/>
      <c r="M55" s="624"/>
      <c r="N55" s="624"/>
      <c r="O55" s="624"/>
      <c r="P55" s="624"/>
      <c r="Q55" s="624"/>
      <c r="R55" s="624"/>
      <c r="S55" s="624"/>
      <c r="W55" s="24"/>
      <c r="X55" s="8" t="s">
        <v>516</v>
      </c>
      <c r="AG55" s="628" t="s">
        <v>72</v>
      </c>
      <c r="AH55" s="628"/>
      <c r="AI55" s="628"/>
      <c r="AJ55" s="628"/>
      <c r="AK55" s="628"/>
      <c r="AL55" s="628"/>
      <c r="AM55" s="628"/>
    </row>
    <row r="56" spans="1:39" x14ac:dyDescent="0.25">
      <c r="B56" s="624"/>
      <c r="C56" s="624"/>
      <c r="D56" s="624"/>
      <c r="E56" s="624"/>
      <c r="F56" s="624"/>
      <c r="G56" s="624"/>
      <c r="H56" s="624"/>
      <c r="I56" s="624"/>
      <c r="J56" s="624"/>
      <c r="K56" s="624"/>
      <c r="L56" s="624"/>
      <c r="M56" s="624"/>
      <c r="N56" s="624"/>
      <c r="O56" s="624"/>
      <c r="P56" s="624"/>
      <c r="Q56" s="624"/>
      <c r="R56" s="624"/>
      <c r="S56" s="624"/>
      <c r="W56" s="24"/>
      <c r="X56" s="620" t="s">
        <v>59</v>
      </c>
      <c r="Y56" s="620"/>
      <c r="Z56" s="88">
        <v>0.12</v>
      </c>
      <c r="AG56" s="628"/>
      <c r="AH56" s="628"/>
      <c r="AI56" s="628"/>
      <c r="AJ56" s="628"/>
      <c r="AK56" s="628"/>
      <c r="AL56" s="628"/>
      <c r="AM56" s="628"/>
    </row>
    <row r="57" spans="1:39" ht="15" customHeight="1" x14ac:dyDescent="0.25">
      <c r="B57" s="624"/>
      <c r="C57" s="624"/>
      <c r="D57" s="624"/>
      <c r="E57" s="624"/>
      <c r="F57" s="624"/>
      <c r="G57" s="624"/>
      <c r="H57" s="624"/>
      <c r="I57" s="624"/>
      <c r="J57" s="624"/>
      <c r="K57" s="624"/>
      <c r="L57" s="624"/>
      <c r="M57" s="624"/>
      <c r="N57" s="624"/>
      <c r="O57" s="624"/>
      <c r="P57" s="624"/>
      <c r="Q57" s="624"/>
      <c r="R57" s="624"/>
      <c r="S57" s="624"/>
      <c r="W57" s="24"/>
      <c r="X57" s="629"/>
      <c r="Y57" s="629"/>
    </row>
    <row r="58" spans="1:39" x14ac:dyDescent="0.25">
      <c r="W58" s="24"/>
      <c r="X58" s="89" t="s">
        <v>517</v>
      </c>
    </row>
    <row r="59" spans="1:39" x14ac:dyDescent="0.25">
      <c r="W59" s="24"/>
      <c r="X59" s="622" t="s">
        <v>75</v>
      </c>
      <c r="Y59" s="623"/>
      <c r="Z59" s="401">
        <v>1.5229999999999999</v>
      </c>
    </row>
    <row r="60" spans="1:39" x14ac:dyDescent="0.25">
      <c r="W60" s="24"/>
      <c r="X60" s="622" t="s">
        <v>533</v>
      </c>
      <c r="Y60" s="623"/>
      <c r="Z60" s="401">
        <v>1.3180000000000001</v>
      </c>
    </row>
    <row r="61" spans="1:39" x14ac:dyDescent="0.25">
      <c r="W61" s="24"/>
      <c r="Z61" s="39"/>
    </row>
    <row r="62" spans="1:39" x14ac:dyDescent="0.25">
      <c r="W62" s="24"/>
      <c r="X62" s="89" t="s">
        <v>499</v>
      </c>
    </row>
    <row r="63" spans="1:39" x14ac:dyDescent="0.25">
      <c r="X63" s="621" t="s">
        <v>60</v>
      </c>
      <c r="Y63" s="621"/>
      <c r="Z63" s="96">
        <v>0</v>
      </c>
    </row>
    <row r="64" spans="1:39" x14ac:dyDescent="0.25">
      <c r="X64" s="621" t="s">
        <v>61</v>
      </c>
      <c r="Y64" s="621"/>
      <c r="Z64" s="96">
        <v>0.75</v>
      </c>
      <c r="AG64" s="91" t="s">
        <v>62</v>
      </c>
    </row>
  </sheetData>
  <mergeCells count="55">
    <mergeCell ref="B38:S40"/>
    <mergeCell ref="B44:S45"/>
    <mergeCell ref="B55:S57"/>
    <mergeCell ref="B47:S48"/>
    <mergeCell ref="B50:S53"/>
    <mergeCell ref="AG55:AM56"/>
    <mergeCell ref="X51:Z51"/>
    <mergeCell ref="X56:Y56"/>
    <mergeCell ref="X57:Y57"/>
    <mergeCell ref="X63:Y63"/>
    <mergeCell ref="X64:Y64"/>
    <mergeCell ref="X17:Z17"/>
    <mergeCell ref="X18:AA18"/>
    <mergeCell ref="X19:AA19"/>
    <mergeCell ref="X39:Z39"/>
    <mergeCell ref="X24:Y24"/>
    <mergeCell ref="X25:Y25"/>
    <mergeCell ref="X29:Y29"/>
    <mergeCell ref="X30:Y30"/>
    <mergeCell ref="X34:Y34"/>
    <mergeCell ref="X35:Y35"/>
    <mergeCell ref="X38:Z38"/>
    <mergeCell ref="X40:Z40"/>
    <mergeCell ref="X47:Z47"/>
    <mergeCell ref="X48:Z48"/>
    <mergeCell ref="V5:V6"/>
    <mergeCell ref="X15:Z15"/>
    <mergeCell ref="X16:Z16"/>
    <mergeCell ref="X59:Y59"/>
    <mergeCell ref="X60:Y60"/>
    <mergeCell ref="P5:P6"/>
    <mergeCell ref="Q5:Q6"/>
    <mergeCell ref="S5:S6"/>
    <mergeCell ref="T5:T6"/>
    <mergeCell ref="U5:U6"/>
    <mergeCell ref="C4:E4"/>
    <mergeCell ref="F4:H4"/>
    <mergeCell ref="I4:N4"/>
    <mergeCell ref="O4:T4"/>
    <mergeCell ref="U4:V4"/>
    <mergeCell ref="B5:B6"/>
    <mergeCell ref="C5:C6"/>
    <mergeCell ref="D5:D6"/>
    <mergeCell ref="E5:E6"/>
    <mergeCell ref="F5:F6"/>
    <mergeCell ref="R5:R6"/>
    <mergeCell ref="G5:G6"/>
    <mergeCell ref="H5:H6"/>
    <mergeCell ref="I5:I6"/>
    <mergeCell ref="J5:J6"/>
    <mergeCell ref="K5:K6"/>
    <mergeCell ref="L5:L6"/>
    <mergeCell ref="M5:M6"/>
    <mergeCell ref="N5:N6"/>
    <mergeCell ref="O5:O6"/>
  </mergeCells>
  <pageMargins left="0.7" right="0.7" top="0.75" bottom="0.75" header="0.3" footer="0.3"/>
  <pageSetup scale="27" orientation="portrait" horizontalDpi="300" verticalDpi="1200" r:id="rId1"/>
  <colBreaks count="2" manualBreakCount="2">
    <brk id="22" max="65" man="1"/>
    <brk id="32" max="6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D6704-7359-478A-8015-0E7B1AC19A73}">
  <sheetPr>
    <tabColor rgb="FF00B050"/>
  </sheetPr>
  <dimension ref="A1:AW64"/>
  <sheetViews>
    <sheetView view="pageBreakPreview" topLeftCell="M1" zoomScale="85" zoomScaleNormal="100" zoomScaleSheetLayoutView="85" workbookViewId="0">
      <selection activeCell="W20" sqref="W20"/>
    </sheetView>
  </sheetViews>
  <sheetFormatPr defaultRowHeight="15" x14ac:dyDescent="0.25"/>
  <cols>
    <col min="1" max="1" width="9.140625" style="9"/>
    <col min="2" max="2" width="10.140625" customWidth="1"/>
    <col min="3" max="5" width="11.42578125" customWidth="1"/>
    <col min="6" max="6" width="12.5703125" customWidth="1"/>
    <col min="7" max="8" width="11.42578125" customWidth="1"/>
    <col min="9" max="9" width="12.5703125" customWidth="1"/>
    <col min="10" max="10" width="13.7109375" style="23" bestFit="1" customWidth="1"/>
    <col min="11" max="11" width="11.42578125" style="23" customWidth="1"/>
    <col min="12" max="13" width="12.5703125" customWidth="1"/>
    <col min="14" max="14" width="15.28515625" customWidth="1"/>
    <col min="15" max="15" width="12.5703125" customWidth="1"/>
    <col min="16" max="16" width="13.7109375" style="23" bestFit="1" customWidth="1"/>
    <col min="17" max="17" width="11.42578125" style="23" customWidth="1"/>
    <col min="18" max="19" width="12.5703125" customWidth="1"/>
    <col min="20" max="20" width="15.28515625" customWidth="1"/>
    <col min="21" max="21" width="14" customWidth="1"/>
    <col min="22" max="22" width="13.140625" bestFit="1" customWidth="1"/>
    <col min="24" max="24" width="36.7109375" customWidth="1"/>
    <col min="25" max="25" width="12" customWidth="1"/>
    <col min="26" max="26" width="12.140625" customWidth="1"/>
    <col min="27" max="27" width="12.5703125" customWidth="1"/>
    <col min="28" max="29" width="16.5703125" customWidth="1"/>
    <col min="30" max="30" width="16" customWidth="1"/>
    <col min="31" max="31" width="18.140625" customWidth="1"/>
    <col min="32" max="32" width="17.7109375" customWidth="1"/>
    <col min="47" max="47" width="76.140625" customWidth="1"/>
  </cols>
  <sheetData>
    <row r="1" spans="1:49" ht="16.5" customHeight="1" x14ac:dyDescent="0.25"/>
    <row r="2" spans="1:49" ht="16.5" customHeight="1" x14ac:dyDescent="0.25">
      <c r="B2" s="8" t="s">
        <v>74</v>
      </c>
    </row>
    <row r="3" spans="1:49" ht="15.75" thickBot="1" x14ac:dyDescent="0.3">
      <c r="H3" s="8"/>
      <c r="J3" s="23" t="s">
        <v>348</v>
      </c>
      <c r="K3" s="23" t="s">
        <v>349</v>
      </c>
      <c r="L3" t="s">
        <v>115</v>
      </c>
      <c r="M3" t="s">
        <v>350</v>
      </c>
      <c r="N3" t="s">
        <v>348</v>
      </c>
      <c r="P3" s="23" t="s">
        <v>348</v>
      </c>
      <c r="Q3" s="23" t="s">
        <v>349</v>
      </c>
      <c r="R3" t="s">
        <v>115</v>
      </c>
      <c r="S3" t="s">
        <v>350</v>
      </c>
      <c r="T3" t="s">
        <v>348</v>
      </c>
      <c r="X3" s="402" t="s">
        <v>494</v>
      </c>
      <c r="Y3" s="9" t="s">
        <v>342</v>
      </c>
      <c r="Z3" t="s">
        <v>97</v>
      </c>
    </row>
    <row r="4" spans="1:49" ht="15.75" thickBot="1" x14ac:dyDescent="0.3">
      <c r="C4" s="625" t="s">
        <v>355</v>
      </c>
      <c r="D4" s="626"/>
      <c r="E4" s="627"/>
      <c r="F4" s="625" t="s">
        <v>356</v>
      </c>
      <c r="G4" s="626"/>
      <c r="H4" s="627"/>
      <c r="I4" s="645" t="s">
        <v>365</v>
      </c>
      <c r="J4" s="646"/>
      <c r="K4" s="646"/>
      <c r="L4" s="646"/>
      <c r="M4" s="646"/>
      <c r="N4" s="646"/>
      <c r="O4" s="645" t="s">
        <v>375</v>
      </c>
      <c r="P4" s="646"/>
      <c r="Q4" s="646"/>
      <c r="R4" s="646"/>
      <c r="S4" s="646"/>
      <c r="T4" s="646"/>
      <c r="U4" s="651" t="s">
        <v>2</v>
      </c>
      <c r="V4" s="652"/>
      <c r="X4" s="96" t="s">
        <v>52</v>
      </c>
      <c r="Y4" s="25">
        <f>'Project Data and Assumptions'!C3</f>
        <v>2021</v>
      </c>
      <c r="AU4" s="8" t="s">
        <v>98</v>
      </c>
    </row>
    <row r="5" spans="1:49" ht="18" customHeight="1" x14ac:dyDescent="0.25">
      <c r="B5" s="639" t="s">
        <v>0</v>
      </c>
      <c r="C5" s="637" t="s">
        <v>353</v>
      </c>
      <c r="D5" s="643" t="s">
        <v>352</v>
      </c>
      <c r="E5" s="641" t="s">
        <v>351</v>
      </c>
      <c r="F5" s="637" t="s">
        <v>46</v>
      </c>
      <c r="G5" s="643" t="s">
        <v>47</v>
      </c>
      <c r="H5" s="641" t="s">
        <v>48</v>
      </c>
      <c r="I5" s="647" t="s">
        <v>347</v>
      </c>
      <c r="J5" s="633" t="s">
        <v>49</v>
      </c>
      <c r="K5" s="633" t="s">
        <v>50</v>
      </c>
      <c r="L5" s="633" t="s">
        <v>115</v>
      </c>
      <c r="M5" s="633" t="s">
        <v>346</v>
      </c>
      <c r="N5" s="635" t="s">
        <v>51</v>
      </c>
      <c r="O5" s="647" t="s">
        <v>347</v>
      </c>
      <c r="P5" s="633" t="s">
        <v>49</v>
      </c>
      <c r="Q5" s="633" t="s">
        <v>50</v>
      </c>
      <c r="R5" s="633" t="s">
        <v>115</v>
      </c>
      <c r="S5" s="633" t="s">
        <v>346</v>
      </c>
      <c r="T5" s="635" t="s">
        <v>51</v>
      </c>
      <c r="U5" s="637" t="s">
        <v>76</v>
      </c>
      <c r="V5" s="649" t="s">
        <v>1</v>
      </c>
      <c r="X5" s="96" t="s">
        <v>411</v>
      </c>
      <c r="Y5" s="25">
        <f>IFERROR((_xlfn.XLOOKUP($Z$3,'Trail Project Summary'!$B$3:$B$25,'Trail Project Summary'!$L$3:$L$25)),0)</f>
        <v>2030</v>
      </c>
      <c r="AU5" t="s">
        <v>102</v>
      </c>
      <c r="AV5" s="92">
        <v>0.05</v>
      </c>
      <c r="AW5" t="s">
        <v>117</v>
      </c>
    </row>
    <row r="6" spans="1:49" ht="18.75" customHeight="1" thickBot="1" x14ac:dyDescent="0.3">
      <c r="B6" s="640"/>
      <c r="C6" s="638"/>
      <c r="D6" s="644"/>
      <c r="E6" s="642"/>
      <c r="F6" s="638"/>
      <c r="G6" s="644"/>
      <c r="H6" s="642"/>
      <c r="I6" s="648"/>
      <c r="J6" s="634"/>
      <c r="K6" s="634"/>
      <c r="L6" s="634"/>
      <c r="M6" s="634"/>
      <c r="N6" s="636"/>
      <c r="O6" s="648"/>
      <c r="P6" s="634"/>
      <c r="Q6" s="634"/>
      <c r="R6" s="634"/>
      <c r="S6" s="634"/>
      <c r="T6" s="636"/>
      <c r="U6" s="638"/>
      <c r="V6" s="650"/>
      <c r="X6" s="96" t="s">
        <v>412</v>
      </c>
      <c r="Y6" s="25">
        <f>'Original Build Years'!D5+30</f>
        <v>2027</v>
      </c>
      <c r="AU6" t="s">
        <v>99</v>
      </c>
      <c r="AW6" t="s">
        <v>118</v>
      </c>
    </row>
    <row r="7" spans="1:49" ht="18.75" customHeight="1" x14ac:dyDescent="0.25">
      <c r="A7" s="61">
        <f>(G7+D7)*2.38</f>
        <v>3320.5759419209712</v>
      </c>
      <c r="B7" s="213">
        <f>$Y$5</f>
        <v>2030</v>
      </c>
      <c r="C7" s="192">
        <f>IF(OR($B7&lt;$Y$6,$B7&gt;'Project Data and Assumptions'!$C$8),0,$AC$35*(1+$AA$15)^($B7-2020))</f>
        <v>17716.825086946628</v>
      </c>
      <c r="D7" s="191">
        <f>IF(OR($B7&lt;$Y$6,$B7&gt;'Project Data and Assumptions'!$C$8),0,$AB$34*(1+$AA$15)^($B7-2020))</f>
        <v>1395.1999755970469</v>
      </c>
      <c r="E7" s="193">
        <f>IF(OR($B7&lt;$Y$6,$B7&gt;'Project Data and Assumptions'!$C$8),0,$AC$34*(1+$AA$15)^($B7-2020))</f>
        <v>11892.418839612923</v>
      </c>
      <c r="F7" s="192">
        <f>IF($B7&gt;'Project Data and Assumptions'!$C$8,0,$AC$30*(1+$AA$15)^($B7-2020))</f>
        <v>0</v>
      </c>
      <c r="G7" s="191">
        <f>IF($B7&gt;'Project Data and Assumptions'!$C$8,0,$AB$29*(1+$AA$15)^($B7-2020))</f>
        <v>0</v>
      </c>
      <c r="H7" s="193">
        <f>IF($B7&gt;'Project Data and Assumptions'!$C$8,0,$AC$29*(1+$AA$15)^($B7-2020))</f>
        <v>0</v>
      </c>
      <c r="I7" s="71">
        <f t="shared" ref="I7:I29" si="0">C7*$AA$47*$Z$60</f>
        <v>233507.75464595656</v>
      </c>
      <c r="J7" s="73">
        <f>(D7*$AA$40)*$AA$38*$AA$39</f>
        <v>3335.0860216671813</v>
      </c>
      <c r="K7" s="73">
        <f>C7*$AA$43+SUM(D7:E7)*$AA$44</f>
        <v>212867.65341966372</v>
      </c>
      <c r="L7" s="73">
        <f t="shared" ref="L7:L29" si="1">E7*$AA$47*$Z$60</f>
        <v>156742.08030609833</v>
      </c>
      <c r="M7" s="73">
        <f>SUM(D7:E7)*$AA$52</f>
        <v>16630.783709116797</v>
      </c>
      <c r="N7" s="100">
        <f t="shared" ref="N7:N29" si="2">D7*$AC$19*$Z$56*$Z$60</f>
        <v>185.35845563796028</v>
      </c>
      <c r="O7" s="71">
        <f t="shared" ref="O7:O29" si="3">F7*$AA$47*$Z$60</f>
        <v>0</v>
      </c>
      <c r="P7" s="73">
        <f>(G7*$AA$40)*$AA$38*$AA$39</f>
        <v>0</v>
      </c>
      <c r="Q7" s="73">
        <f>F7*$AA$43+SUM(G7:H7)*$AA$44</f>
        <v>0</v>
      </c>
      <c r="R7" s="73">
        <f t="shared" ref="R7:R29" si="4">H7*$AA$47*$Z$60</f>
        <v>0</v>
      </c>
      <c r="S7" s="73">
        <f>SUM(G7:H7)*$AA$52</f>
        <v>0</v>
      </c>
      <c r="T7" s="100">
        <f t="shared" ref="T7:T29" si="5">G7*$AC$19*$Z$56*$Z$60</f>
        <v>0</v>
      </c>
      <c r="U7" s="71">
        <f>SUM(I7:T7)</f>
        <v>623268.71655814047</v>
      </c>
      <c r="V7" s="108">
        <f t="shared" ref="V7:V29" si="6">$U7*(1+0.07)^-($B7-$Y$4)</f>
        <v>339016.88563308789</v>
      </c>
      <c r="X7" s="96" t="s">
        <v>338</v>
      </c>
      <c r="Y7" s="180">
        <f>IFERROR((_xlfn.XLOOKUP($Z$3,'Trail Project Summary'!$B$3:$B$25,'Trail Project Summary'!$I$3:$I$25)),0)</f>
        <v>8.4</v>
      </c>
      <c r="AU7" t="s">
        <v>100</v>
      </c>
      <c r="AW7" t="s">
        <v>119</v>
      </c>
    </row>
    <row r="8" spans="1:49" x14ac:dyDescent="0.25">
      <c r="A8" s="61">
        <f t="shared" ref="A8:A29" si="7">(G8+D8)*2.38</f>
        <v>3350.3634912502034</v>
      </c>
      <c r="B8" s="2">
        <f>B7+1</f>
        <v>2031</v>
      </c>
      <c r="C8" s="196">
        <f>IF(OR($B8&lt;$Y$6,$B8&gt;'Project Data and Assumptions'!$C$8),0,$AC$35*(1+$AA$15)^($B8-2020))</f>
        <v>17875.755588903314</v>
      </c>
      <c r="D8" s="75">
        <f>IF(OR($B8&lt;$Y$6,$B8&gt;'Project Data and Assumptions'!$C$8),0,$AB$34*(1+$AA$15)^($B8-2020))</f>
        <v>1407.715752626136</v>
      </c>
      <c r="E8" s="194">
        <f>IF(OR($B8&lt;$Y$6,$B8&gt;'Project Data and Assumptions'!$C$8),0,$AC$34*(1+$AA$15)^($B8-2020))</f>
        <v>11999.10093905135</v>
      </c>
      <c r="F8" s="196">
        <f>IF($B8&gt;'Project Data and Assumptions'!$C$8,0,$AC$30*(1+$AA$15)^($B8-2020))</f>
        <v>0</v>
      </c>
      <c r="G8" s="75">
        <f>IF($B8&gt;'Project Data and Assumptions'!$C$8,0,$AB$29*(1+$AA$15)^($B8-2020))</f>
        <v>0</v>
      </c>
      <c r="H8" s="194">
        <f>IF($B8&gt;'Project Data and Assumptions'!$C$8,0,$AC$29*(1+$AA$15)^($B8-2020))</f>
        <v>0</v>
      </c>
      <c r="I8" s="15">
        <f t="shared" si="0"/>
        <v>235602.45866174568</v>
      </c>
      <c r="J8" s="74">
        <f t="shared" ref="J8:J26" si="8">(D8*$AA$40)*$AA$38*$AA$39</f>
        <v>3365.003735077516</v>
      </c>
      <c r="K8" s="74">
        <f t="shared" ref="K8:K26" si="9">C8*$AA$43+SUM(D8:E8)*$AA$44</f>
        <v>214777.20340067334</v>
      </c>
      <c r="L8" s="74">
        <f t="shared" si="1"/>
        <v>158148.15037669681</v>
      </c>
      <c r="M8" s="74">
        <f t="shared" ref="M8:M26" si="10">SUM(D8:E8)*$AA$52</f>
        <v>16779.971771303542</v>
      </c>
      <c r="N8" s="76">
        <f t="shared" si="2"/>
        <v>187.02123168569375</v>
      </c>
      <c r="O8" s="15">
        <f t="shared" si="3"/>
        <v>0</v>
      </c>
      <c r="P8" s="74">
        <f t="shared" ref="P8:P26" si="11">(G8*$AA$40)*$AA$38*$AA$39</f>
        <v>0</v>
      </c>
      <c r="Q8" s="74">
        <f t="shared" ref="Q8:Q26" si="12">F8*$AA$43+SUM(G8:H8)*$AA$44</f>
        <v>0</v>
      </c>
      <c r="R8" s="74">
        <f t="shared" si="4"/>
        <v>0</v>
      </c>
      <c r="S8" s="74">
        <f t="shared" ref="S8:S26" si="13">SUM(G8:H8)*$AA$52</f>
        <v>0</v>
      </c>
      <c r="T8" s="76">
        <f t="shared" si="5"/>
        <v>0</v>
      </c>
      <c r="U8" s="15">
        <f t="shared" ref="U8:U26" si="14">SUM(I8:T8)</f>
        <v>628859.80917718261</v>
      </c>
      <c r="V8" s="6">
        <f t="shared" si="6"/>
        <v>319680.43884719448</v>
      </c>
      <c r="X8" s="96" t="s">
        <v>339</v>
      </c>
      <c r="Y8" s="180">
        <f>IFERROR(_xlfn.XLOOKUP($Z$3,'Trail Project Summary'!$B$3:$B$25,'Trail Project Summary'!$C$3:$C$25),0)</f>
        <v>0</v>
      </c>
      <c r="AU8" t="s">
        <v>101</v>
      </c>
      <c r="AW8" t="s">
        <v>121</v>
      </c>
    </row>
    <row r="9" spans="1:49" x14ac:dyDescent="0.25">
      <c r="A9" s="61">
        <f t="shared" si="7"/>
        <v>3380.4182526867803</v>
      </c>
      <c r="B9" s="2">
        <f t="shared" ref="B9:B29" si="15">B8+1</f>
        <v>2032</v>
      </c>
      <c r="C9" s="196">
        <f>IF(OR($B9&lt;$Y$6,$B9&gt;'Project Data and Assumptions'!$C$8),0,$AC$35*(1+$AA$15)^($B9-2020))</f>
        <v>18036.111792379783</v>
      </c>
      <c r="D9" s="75">
        <f>IF(OR($B9&lt;$Y$6,$B9&gt;'Project Data and Assumptions'!$C$8),0,$AB$34*(1+$AA$15)^($B9-2020))</f>
        <v>1420.3438036499078</v>
      </c>
      <c r="E9" s="194">
        <f>IF(OR($B9&lt;$Y$6,$B9&gt;'Project Data and Assumptions'!$C$8),0,$AC$34*(1+$AA$15)^($B9-2020))</f>
        <v>12106.74004063493</v>
      </c>
      <c r="F9" s="196">
        <f>IF($B9&gt;'Project Data and Assumptions'!$C$8,0,$AC$30*(1+$AA$15)^($B9-2020))</f>
        <v>0</v>
      </c>
      <c r="G9" s="75">
        <f>IF($B9&gt;'Project Data and Assumptions'!$C$8,0,$AB$29*(1+$AA$15)^($B9-2020))</f>
        <v>0</v>
      </c>
      <c r="H9" s="194">
        <f>IF($B9&gt;'Project Data and Assumptions'!$C$8,0,$AC$29*(1+$AA$15)^($B9-2020))</f>
        <v>0</v>
      </c>
      <c r="I9" s="15">
        <f t="shared" si="0"/>
        <v>237715.95342356554</v>
      </c>
      <c r="J9" s="74">
        <f t="shared" si="8"/>
        <v>3395.1898282447405</v>
      </c>
      <c r="K9" s="74">
        <f t="shared" si="9"/>
        <v>216703.88318544312</v>
      </c>
      <c r="L9" s="74">
        <f t="shared" si="1"/>
        <v>159566.83373556839</v>
      </c>
      <c r="M9" s="74">
        <f t="shared" si="10"/>
        <v>16930.498139506904</v>
      </c>
      <c r="N9" s="76">
        <f t="shared" si="2"/>
        <v>188.69892382762634</v>
      </c>
      <c r="O9" s="15">
        <f t="shared" si="3"/>
        <v>0</v>
      </c>
      <c r="P9" s="74">
        <f t="shared" si="11"/>
        <v>0</v>
      </c>
      <c r="Q9" s="74">
        <f t="shared" si="12"/>
        <v>0</v>
      </c>
      <c r="R9" s="74">
        <f t="shared" si="4"/>
        <v>0</v>
      </c>
      <c r="S9" s="74">
        <f t="shared" si="13"/>
        <v>0</v>
      </c>
      <c r="T9" s="76">
        <f t="shared" si="5"/>
        <v>0</v>
      </c>
      <c r="U9" s="15">
        <f t="shared" si="14"/>
        <v>634501.05723615631</v>
      </c>
      <c r="V9" s="6">
        <f t="shared" si="6"/>
        <v>301446.88159320568</v>
      </c>
      <c r="X9" s="96" t="s">
        <v>341</v>
      </c>
      <c r="Y9" s="180">
        <f>IFERROR(_xlfn.XLOOKUP($Z$3,'Trail Project Summary'!$B$3:$B$25,'Trail Project Summary'!$D$3:$D$25),0)</f>
        <v>0.84</v>
      </c>
      <c r="AU9" t="s">
        <v>108</v>
      </c>
      <c r="AW9" t="s">
        <v>120</v>
      </c>
    </row>
    <row r="10" spans="1:49" x14ac:dyDescent="0.25">
      <c r="A10" s="61">
        <f t="shared" si="7"/>
        <v>3410.7426232828925</v>
      </c>
      <c r="B10" s="2">
        <f t="shared" si="15"/>
        <v>2033</v>
      </c>
      <c r="C10" s="196">
        <f>IF(OR($B10&lt;$Y$6,$B10&gt;'Project Data and Assumptions'!$C$8),0,$AC$35*(1+$AA$15)^($B10-2020))</f>
        <v>18197.906486770135</v>
      </c>
      <c r="D10" s="75">
        <f>IF(OR($B10&lt;$Y$6,$B10&gt;'Project Data and Assumptions'!$C$8),0,$AB$34*(1+$AA$15)^($B10-2020))</f>
        <v>1433.0851358331481</v>
      </c>
      <c r="E10" s="194">
        <f>IF(OR($B10&lt;$Y$6,$B10&gt;'Project Data and Assumptions'!$C$8),0,$AC$34*(1+$AA$15)^($B10-2020))</f>
        <v>12215.344729244453</v>
      </c>
      <c r="F10" s="196">
        <f>IF($B10&gt;'Project Data and Assumptions'!$C$8,0,$AC$30*(1+$AA$15)^($B10-2020))</f>
        <v>0</v>
      </c>
      <c r="G10" s="75">
        <f>IF($B10&gt;'Project Data and Assumptions'!$C$8,0,$AB$29*(1+$AA$15)^($B10-2020))</f>
        <v>0</v>
      </c>
      <c r="H10" s="194">
        <f>IF($B10&gt;'Project Data and Assumptions'!$C$8,0,$AC$29*(1+$AA$15)^($B10-2020))</f>
        <v>0</v>
      </c>
      <c r="I10" s="15">
        <f t="shared" si="0"/>
        <v>239848.40749563038</v>
      </c>
      <c r="J10" s="74">
        <f t="shared" si="8"/>
        <v>3425.6467086955572</v>
      </c>
      <c r="K10" s="74">
        <f t="shared" si="9"/>
        <v>218647.84643854317</v>
      </c>
      <c r="L10" s="74">
        <f t="shared" si="1"/>
        <v>160998.2435314419</v>
      </c>
      <c r="M10" s="74">
        <f t="shared" si="10"/>
        <v>17082.374819131124</v>
      </c>
      <c r="N10" s="76">
        <f t="shared" si="2"/>
        <v>190.39166587003137</v>
      </c>
      <c r="O10" s="15">
        <f t="shared" si="3"/>
        <v>0</v>
      </c>
      <c r="P10" s="74">
        <f t="shared" si="11"/>
        <v>0</v>
      </c>
      <c r="Q10" s="74">
        <f t="shared" si="12"/>
        <v>0</v>
      </c>
      <c r="R10" s="74">
        <f t="shared" si="4"/>
        <v>0</v>
      </c>
      <c r="S10" s="74">
        <f t="shared" si="13"/>
        <v>0</v>
      </c>
      <c r="T10" s="76">
        <f t="shared" si="5"/>
        <v>0</v>
      </c>
      <c r="U10" s="15">
        <f t="shared" si="14"/>
        <v>640192.91065931215</v>
      </c>
      <c r="V10" s="6">
        <f t="shared" si="6"/>
        <v>284253.30855387019</v>
      </c>
      <c r="X10" s="96" t="s">
        <v>340</v>
      </c>
      <c r="Y10" s="180">
        <f>IFERROR(_xlfn.XLOOKUP($Z$3,'Trail Project Summary'!$B$3:$B$25,'Trail Project Summary'!$E$3:$E$25),0)</f>
        <v>0</v>
      </c>
    </row>
    <row r="11" spans="1:49" x14ac:dyDescent="0.25">
      <c r="A11" s="61">
        <f t="shared" si="7"/>
        <v>3441.339021593717</v>
      </c>
      <c r="B11" s="2">
        <f t="shared" si="15"/>
        <v>2034</v>
      </c>
      <c r="C11" s="196">
        <f>IF(OR($B11&lt;$Y$6,$B11&gt;'Project Data and Assumptions'!$C$8),0,$AC$35*(1+$AA$15)^($B11-2020))</f>
        <v>18361.152576196968</v>
      </c>
      <c r="D11" s="75">
        <f>IF(OR($B11&lt;$Y$6,$B11&gt;'Project Data and Assumptions'!$C$8),0,$AB$34*(1+$AA$15)^($B11-2020))</f>
        <v>1445.9407653755113</v>
      </c>
      <c r="E11" s="194">
        <f>IF(OR($B11&lt;$Y$6,$B11&gt;'Project Data and Assumptions'!$C$8),0,$AC$34*(1+$AA$15)^($B11-2020))</f>
        <v>12324.923666772216</v>
      </c>
      <c r="F11" s="196">
        <f>IF($B11&gt;'Project Data and Assumptions'!$C$8,0,$AC$30*(1+$AA$15)^($B11-2020))</f>
        <v>0</v>
      </c>
      <c r="G11" s="75">
        <f>IF($B11&gt;'Project Data and Assumptions'!$C$8,0,$AB$29*(1+$AA$15)^($B11-2020))</f>
        <v>0</v>
      </c>
      <c r="H11" s="194">
        <f>IF($B11&gt;'Project Data and Assumptions'!$C$8,0,$AC$29*(1+$AA$15)^($B11-2020))</f>
        <v>0</v>
      </c>
      <c r="I11" s="15">
        <f t="shared" si="0"/>
        <v>241999.99095427606</v>
      </c>
      <c r="J11" s="74">
        <f t="shared" si="8"/>
        <v>3456.3768055536229</v>
      </c>
      <c r="K11" s="74">
        <f t="shared" si="9"/>
        <v>220609.2482030066</v>
      </c>
      <c r="L11" s="74">
        <f t="shared" si="1"/>
        <v>162442.49392805781</v>
      </c>
      <c r="M11" s="74">
        <f t="shared" si="10"/>
        <v>17235.613923276098</v>
      </c>
      <c r="N11" s="76">
        <f t="shared" si="2"/>
        <v>192.09959281950429</v>
      </c>
      <c r="O11" s="15">
        <f t="shared" si="3"/>
        <v>0</v>
      </c>
      <c r="P11" s="74">
        <f t="shared" si="11"/>
        <v>0</v>
      </c>
      <c r="Q11" s="74">
        <f t="shared" si="12"/>
        <v>0</v>
      </c>
      <c r="R11" s="74">
        <f t="shared" si="4"/>
        <v>0</v>
      </c>
      <c r="S11" s="74">
        <f t="shared" si="13"/>
        <v>0</v>
      </c>
      <c r="T11" s="76">
        <f t="shared" si="5"/>
        <v>0</v>
      </c>
      <c r="U11" s="15">
        <f t="shared" si="14"/>
        <v>645935.82340698969</v>
      </c>
      <c r="V11" s="6">
        <f t="shared" si="6"/>
        <v>268040.40233150939</v>
      </c>
      <c r="Y11" s="39"/>
    </row>
    <row r="12" spans="1:49" x14ac:dyDescent="0.25">
      <c r="A12" s="61">
        <f t="shared" si="7"/>
        <v>3472.2098878703155</v>
      </c>
      <c r="B12" s="2">
        <f t="shared" si="15"/>
        <v>2035</v>
      </c>
      <c r="C12" s="196">
        <f>IF(OR($B12&lt;$Y$6,$B12&gt;'Project Data and Assumptions'!$C$8),0,$AC$35*(1+$AA$15)^($B12-2020))</f>
        <v>18525.863080540566</v>
      </c>
      <c r="D12" s="75">
        <f>IF(OR($B12&lt;$Y$6,$B12&gt;'Project Data and Assumptions'!$C$8),0,$AB$34*(1+$AA$15)^($B12-2020))</f>
        <v>1458.9117175925696</v>
      </c>
      <c r="E12" s="194">
        <f>IF(OR($B12&lt;$Y$6,$B12&gt;'Project Data and Assumptions'!$C$8),0,$AC$34*(1+$AA$15)^($B12-2020))</f>
        <v>12435.485592812856</v>
      </c>
      <c r="F12" s="196">
        <f>IF($B12&gt;'Project Data and Assumptions'!$C$8,0,$AC$30*(1+$AA$15)^($B12-2020))</f>
        <v>0</v>
      </c>
      <c r="G12" s="75">
        <f>IF($B12&gt;'Project Data and Assumptions'!$C$8,0,$AB$29*(1+$AA$15)^($B12-2020))</f>
        <v>0</v>
      </c>
      <c r="H12" s="194">
        <f>IF($B12&gt;'Project Data and Assumptions'!$C$8,0,$AC$29*(1+$AA$15)^($B12-2020))</f>
        <v>0</v>
      </c>
      <c r="I12" s="15">
        <f t="shared" si="0"/>
        <v>244170.87540152468</v>
      </c>
      <c r="J12" s="74">
        <f t="shared" si="8"/>
        <v>3487.3825697332786</v>
      </c>
      <c r="K12" s="74">
        <f t="shared" si="9"/>
        <v>222588.24491269491</v>
      </c>
      <c r="L12" s="74">
        <f t="shared" si="1"/>
        <v>163899.70011327346</v>
      </c>
      <c r="M12" s="74">
        <f t="shared" si="10"/>
        <v>17390.22767370343</v>
      </c>
      <c r="N12" s="76">
        <f t="shared" si="2"/>
        <v>193.82284089373027</v>
      </c>
      <c r="O12" s="15">
        <f t="shared" si="3"/>
        <v>0</v>
      </c>
      <c r="P12" s="74">
        <f t="shared" si="11"/>
        <v>0</v>
      </c>
      <c r="Q12" s="74">
        <f t="shared" si="12"/>
        <v>0</v>
      </c>
      <c r="R12" s="74">
        <f t="shared" si="4"/>
        <v>0</v>
      </c>
      <c r="S12" s="74">
        <f t="shared" si="13"/>
        <v>0</v>
      </c>
      <c r="T12" s="76">
        <f t="shared" si="5"/>
        <v>0</v>
      </c>
      <c r="U12" s="15">
        <f t="shared" si="14"/>
        <v>651730.25351182348</v>
      </c>
      <c r="V12" s="6">
        <f t="shared" si="6"/>
        <v>252752.22880447711</v>
      </c>
    </row>
    <row r="13" spans="1:49" x14ac:dyDescent="0.25">
      <c r="A13" s="61">
        <f t="shared" si="7"/>
        <v>3503.357684254262</v>
      </c>
      <c r="B13" s="2">
        <f t="shared" si="15"/>
        <v>2036</v>
      </c>
      <c r="C13" s="196">
        <f>IF(OR($B13&lt;$Y$6,$B13&gt;'Project Data and Assumptions'!$C$8),0,$AC$35*(1+$AA$15)^($B13-2020))</f>
        <v>18692.051136477323</v>
      </c>
      <c r="D13" s="75">
        <f>IF(OR($B13&lt;$Y$6,$B13&gt;'Project Data and Assumptions'!$C$8),0,$AB$34*(1+$AA$15)^($B13-2020))</f>
        <v>1471.9990269975892</v>
      </c>
      <c r="E13" s="194">
        <f>IF(OR($B13&lt;$Y$6,$B13&gt;'Project Data and Assumptions'!$C$8),0,$AC$34*(1+$AA$15)^($B13-2020))</f>
        <v>12547.039325360402</v>
      </c>
      <c r="F13" s="196">
        <f>IF($B13&gt;'Project Data and Assumptions'!$C$8,0,$AC$30*(1+$AA$15)^($B13-2020))</f>
        <v>0</v>
      </c>
      <c r="G13" s="75">
        <f>IF($B13&gt;'Project Data and Assumptions'!$C$8,0,$AB$29*(1+$AA$15)^($B13-2020))</f>
        <v>0</v>
      </c>
      <c r="H13" s="194">
        <f>IF($B13&gt;'Project Data and Assumptions'!$C$8,0,$AC$29*(1+$AA$15)^($B13-2020))</f>
        <v>0</v>
      </c>
      <c r="I13" s="15">
        <f t="shared" si="0"/>
        <v>246361.23397877114</v>
      </c>
      <c r="J13" s="74">
        <f t="shared" si="8"/>
        <v>3518.6664741350378</v>
      </c>
      <c r="K13" s="74">
        <f t="shared" si="9"/>
        <v>224584.99440477503</v>
      </c>
      <c r="L13" s="74">
        <f t="shared" si="1"/>
        <v>165369.97830825008</v>
      </c>
      <c r="M13" s="74">
        <f t="shared" si="10"/>
        <v>17546.228401811262</v>
      </c>
      <c r="N13" s="76">
        <f t="shared" si="2"/>
        <v>195.5615475323485</v>
      </c>
      <c r="O13" s="15">
        <f t="shared" si="3"/>
        <v>0</v>
      </c>
      <c r="P13" s="74">
        <f t="shared" si="11"/>
        <v>0</v>
      </c>
      <c r="Q13" s="74">
        <f t="shared" si="12"/>
        <v>0</v>
      </c>
      <c r="R13" s="74">
        <f t="shared" si="4"/>
        <v>0</v>
      </c>
      <c r="S13" s="74">
        <f t="shared" si="13"/>
        <v>0</v>
      </c>
      <c r="T13" s="76">
        <f t="shared" si="5"/>
        <v>0</v>
      </c>
      <c r="U13" s="15">
        <f t="shared" si="14"/>
        <v>657576.66311527486</v>
      </c>
      <c r="V13" s="6">
        <f t="shared" si="6"/>
        <v>238336.04415583625</v>
      </c>
      <c r="AU13" t="s">
        <v>357</v>
      </c>
      <c r="AV13" t="s">
        <v>371</v>
      </c>
    </row>
    <row r="14" spans="1:49" x14ac:dyDescent="0.25">
      <c r="A14" s="61">
        <f t="shared" si="7"/>
        <v>3534.7848949740073</v>
      </c>
      <c r="B14" s="2">
        <f t="shared" si="15"/>
        <v>2037</v>
      </c>
      <c r="C14" s="196">
        <f>IF(OR($B14&lt;$Y$6,$B14&gt;'Project Data and Assumptions'!$C$8),0,$AC$35*(1+$AA$15)^($B14-2020))</f>
        <v>18859.729998527451</v>
      </c>
      <c r="D14" s="75">
        <f>IF(OR($B14&lt;$Y$6,$B14&gt;'Project Data and Assumptions'!$C$8),0,$AB$34*(1+$AA$15)^($B14-2020))</f>
        <v>1485.2037373840367</v>
      </c>
      <c r="E14" s="194">
        <f>IF(OR($B14&lt;$Y$6,$B14&gt;'Project Data and Assumptions'!$C$8),0,$AC$34*(1+$AA$15)^($B14-2020))</f>
        <v>12659.593761511551</v>
      </c>
      <c r="F14" s="196">
        <f>IF($B14&gt;'Project Data and Assumptions'!$C$8,0,$AC$30*(1+$AA$15)^($B14-2020))</f>
        <v>0</v>
      </c>
      <c r="G14" s="75">
        <f>IF($B14&gt;'Project Data and Assumptions'!$C$8,0,$AB$29*(1+$AA$15)^($B14-2020))</f>
        <v>0</v>
      </c>
      <c r="H14" s="194">
        <f>IF($B14&gt;'Project Data and Assumptions'!$C$8,0,$AC$29*(1+$AA$15)^($B14-2020))</f>
        <v>0</v>
      </c>
      <c r="I14" s="15">
        <f t="shared" si="0"/>
        <v>248571.24138059179</v>
      </c>
      <c r="J14" s="74">
        <f t="shared" si="8"/>
        <v>3550.2310138428015</v>
      </c>
      <c r="K14" s="74">
        <f t="shared" si="9"/>
        <v>226599.65593230733</v>
      </c>
      <c r="L14" s="74">
        <f t="shared" si="1"/>
        <v>166853.44577672225</v>
      </c>
      <c r="M14" s="74">
        <f t="shared" si="10"/>
        <v>17703.628549617715</v>
      </c>
      <c r="N14" s="76">
        <f t="shared" si="2"/>
        <v>197.31585140791375</v>
      </c>
      <c r="O14" s="15">
        <f t="shared" si="3"/>
        <v>0</v>
      </c>
      <c r="P14" s="74">
        <f t="shared" si="11"/>
        <v>0</v>
      </c>
      <c r="Q14" s="74">
        <f t="shared" si="12"/>
        <v>0</v>
      </c>
      <c r="R14" s="74">
        <f t="shared" si="4"/>
        <v>0</v>
      </c>
      <c r="S14" s="74">
        <f t="shared" si="13"/>
        <v>0</v>
      </c>
      <c r="T14" s="76">
        <f t="shared" si="5"/>
        <v>0</v>
      </c>
      <c r="U14" s="15">
        <f t="shared" si="14"/>
        <v>663475.5185044898</v>
      </c>
      <c r="V14" s="6">
        <f t="shared" si="6"/>
        <v>224742.11290850758</v>
      </c>
      <c r="X14" s="8" t="s">
        <v>81</v>
      </c>
      <c r="AU14" t="s">
        <v>358</v>
      </c>
      <c r="AV14" t="s">
        <v>372</v>
      </c>
    </row>
    <row r="15" spans="1:49" ht="17.25" x14ac:dyDescent="0.25">
      <c r="A15" s="61">
        <f t="shared" si="7"/>
        <v>3566.4940265430187</v>
      </c>
      <c r="B15" s="2">
        <f t="shared" si="15"/>
        <v>2038</v>
      </c>
      <c r="C15" s="196">
        <f>IF(OR($B15&lt;$Y$6,$B15&gt;'Project Data and Assumptions'!$C$8),0,$AC$35*(1+$AA$15)^($B15-2020))</f>
        <v>19028.913040112144</v>
      </c>
      <c r="D15" s="75">
        <f>IF(OR($B15&lt;$Y$6,$B15&gt;'Project Data and Assumptions'!$C$8),0,$AB$34*(1+$AA$15)^($B15-2020))</f>
        <v>1498.5269019088314</v>
      </c>
      <c r="E15" s="194">
        <f>IF(OR($B15&lt;$Y$6,$B15&gt;'Project Data and Assumptions'!$C$8),0,$AC$34*(1+$AA$15)^($B15-2020))</f>
        <v>12773.157878175276</v>
      </c>
      <c r="F15" s="196">
        <f>IF($B15&gt;'Project Data and Assumptions'!$C$8,0,$AC$30*(1+$AA$15)^($B15-2020))</f>
        <v>0</v>
      </c>
      <c r="G15" s="75">
        <f>IF($B15&gt;'Project Data and Assumptions'!$C$8,0,$AB$29*(1+$AA$15)^($B15-2020))</f>
        <v>0</v>
      </c>
      <c r="H15" s="194">
        <f>IF($B15&gt;'Project Data and Assumptions'!$C$8,0,$AC$29*(1+$AA$15)^($B15-2020))</f>
        <v>0</v>
      </c>
      <c r="I15" s="15">
        <f t="shared" si="0"/>
        <v>250801.0738686781</v>
      </c>
      <c r="J15" s="74">
        <f t="shared" si="8"/>
        <v>3582.0787063228713</v>
      </c>
      <c r="K15" s="74">
        <f t="shared" si="9"/>
        <v>228632.3901769474</v>
      </c>
      <c r="L15" s="74">
        <f t="shared" si="1"/>
        <v>168350.22083435016</v>
      </c>
      <c r="M15" s="74">
        <f t="shared" si="10"/>
        <v>17862.440670753269</v>
      </c>
      <c r="N15" s="76">
        <f t="shared" si="2"/>
        <v>199.08589243695664</v>
      </c>
      <c r="O15" s="15">
        <f t="shared" si="3"/>
        <v>0</v>
      </c>
      <c r="P15" s="74">
        <f t="shared" si="11"/>
        <v>0</v>
      </c>
      <c r="Q15" s="74">
        <f t="shared" si="12"/>
        <v>0</v>
      </c>
      <c r="R15" s="74">
        <f t="shared" si="4"/>
        <v>0</v>
      </c>
      <c r="S15" s="74">
        <f t="shared" si="13"/>
        <v>0</v>
      </c>
      <c r="T15" s="76">
        <f t="shared" si="5"/>
        <v>0</v>
      </c>
      <c r="U15" s="15">
        <f t="shared" si="14"/>
        <v>669427.29014948872</v>
      </c>
      <c r="V15" s="6">
        <f t="shared" si="6"/>
        <v>211923.53633911541</v>
      </c>
      <c r="X15" s="621" t="s">
        <v>518</v>
      </c>
      <c r="Y15" s="621"/>
      <c r="Z15" s="621"/>
      <c r="AA15" s="400">
        <f>('Annual Use'!$E$11-'Annual Use'!$B$11)/('Annual Use'!$B$11*21)</f>
        <v>8.97059722476924E-3</v>
      </c>
      <c r="AB15" s="400"/>
      <c r="AU15" t="s">
        <v>359</v>
      </c>
    </row>
    <row r="16" spans="1:49" x14ac:dyDescent="0.25">
      <c r="A16" s="61">
        <f t="shared" si="7"/>
        <v>3598.4876079596811</v>
      </c>
      <c r="B16" s="2">
        <f t="shared" si="15"/>
        <v>2039</v>
      </c>
      <c r="C16" s="196">
        <f>IF(OR($B16&lt;$Y$6,$B16&gt;'Project Data and Assumptions'!$C$8),0,$AC$35*(1+$AA$15)^($B16-2020))</f>
        <v>19199.61375462015</v>
      </c>
      <c r="D16" s="75">
        <f>IF(OR($B16&lt;$Y$6,$B16&gt;'Project Data and Assumptions'!$C$8),0,$AB$34*(1+$AA$15)^($B16-2020))</f>
        <v>1511.9695831763368</v>
      </c>
      <c r="E16" s="194">
        <f>IF(OR($B16&lt;$Y$6,$B16&gt;'Project Data and Assumptions'!$C$8),0,$AC$34*(1+$AA$15)^($B16-2020))</f>
        <v>12887.740732788774</v>
      </c>
      <c r="F16" s="196">
        <f>IF($B16&gt;'Project Data and Assumptions'!$C$8,0,$AC$30*(1+$AA$15)^($B16-2020))</f>
        <v>0</v>
      </c>
      <c r="G16" s="75">
        <f>IF($B16&gt;'Project Data and Assumptions'!$C$8,0,$AB$29*(1+$AA$15)^($B16-2020))</f>
        <v>0</v>
      </c>
      <c r="H16" s="194">
        <f>IF($B16&gt;'Project Data and Assumptions'!$C$8,0,$AC$29*(1+$AA$15)^($B16-2020))</f>
        <v>0</v>
      </c>
      <c r="I16" s="15">
        <f t="shared" si="0"/>
        <v>253050.90928589358</v>
      </c>
      <c r="J16" s="74">
        <f t="shared" si="8"/>
        <v>3614.2120916247163</v>
      </c>
      <c r="K16" s="74">
        <f t="shared" si="9"/>
        <v>230683.35926176107</v>
      </c>
      <c r="L16" s="74">
        <f t="shared" si="1"/>
        <v>169860.42285815606</v>
      </c>
      <c r="M16" s="74">
        <f t="shared" si="10"/>
        <v>18022.677431461932</v>
      </c>
      <c r="N16" s="76">
        <f t="shared" si="2"/>
        <v>200.87181179114231</v>
      </c>
      <c r="O16" s="15">
        <f t="shared" si="3"/>
        <v>0</v>
      </c>
      <c r="P16" s="74">
        <f t="shared" si="11"/>
        <v>0</v>
      </c>
      <c r="Q16" s="74">
        <f t="shared" si="12"/>
        <v>0</v>
      </c>
      <c r="R16" s="74">
        <f t="shared" si="4"/>
        <v>0</v>
      </c>
      <c r="S16" s="74">
        <f t="shared" si="13"/>
        <v>0</v>
      </c>
      <c r="T16" s="76">
        <f t="shared" si="5"/>
        <v>0</v>
      </c>
      <c r="U16" s="15">
        <f t="shared" si="14"/>
        <v>675432.45274068846</v>
      </c>
      <c r="V16" s="6">
        <f t="shared" si="6"/>
        <v>199836.0906785629</v>
      </c>
      <c r="X16" s="621" t="s">
        <v>366</v>
      </c>
      <c r="Y16" s="621"/>
      <c r="Z16" s="621"/>
      <c r="AA16" s="138">
        <v>0.86</v>
      </c>
      <c r="AB16" s="92"/>
      <c r="AU16" t="s">
        <v>370</v>
      </c>
      <c r="AV16" t="s">
        <v>373</v>
      </c>
      <c r="AW16" t="s">
        <v>374</v>
      </c>
    </row>
    <row r="17" spans="1:33" x14ac:dyDescent="0.25">
      <c r="A17" s="61">
        <f t="shared" si="7"/>
        <v>3630.7681909090115</v>
      </c>
      <c r="B17" s="2">
        <f t="shared" si="15"/>
        <v>2040</v>
      </c>
      <c r="C17" s="196">
        <f>IF(OR($B17&lt;$Y$6,$B17&gt;'Project Data and Assumptions'!$C$8),0,$AC$35*(1+$AA$15)^($B17-2020))</f>
        <v>19371.845756483988</v>
      </c>
      <c r="D17" s="75">
        <f>IF(OR($B17&lt;$Y$6,$B17&gt;'Project Data and Assumptions'!$C$8),0,$AB$34*(1+$AA$15)^($B17-2020))</f>
        <v>1525.5328533231141</v>
      </c>
      <c r="E17" s="194">
        <f>IF(OR($B17&lt;$Y$6,$B17&gt;'Project Data and Assumptions'!$C$8),0,$AC$34*(1+$AA$15)^($B17-2020))</f>
        <v>13003.351464039877</v>
      </c>
      <c r="F17" s="196">
        <f>IF($B17&gt;'Project Data and Assumptions'!$C$8,0,$AC$30*(1+$AA$15)^($B17-2020))</f>
        <v>0</v>
      </c>
      <c r="G17" s="75">
        <f>IF($B17&gt;'Project Data and Assumptions'!$C$8,0,$AB$29*(1+$AA$15)^($B17-2020))</f>
        <v>0</v>
      </c>
      <c r="H17" s="194">
        <f>IF($B17&gt;'Project Data and Assumptions'!$C$8,0,$AC$29*(1+$AA$15)^($B17-2020))</f>
        <v>0</v>
      </c>
      <c r="I17" s="15">
        <f t="shared" si="0"/>
        <v>255320.92707045897</v>
      </c>
      <c r="J17" s="74">
        <f t="shared" si="8"/>
        <v>3646.6337325835725</v>
      </c>
      <c r="K17" s="74">
        <f t="shared" si="9"/>
        <v>232752.72676415509</v>
      </c>
      <c r="L17" s="74">
        <f t="shared" si="1"/>
        <v>171384.17229604558</v>
      </c>
      <c r="M17" s="74">
        <f t="shared" si="10"/>
        <v>18184.351611611521</v>
      </c>
      <c r="N17" s="76">
        <f t="shared" si="2"/>
        <v>202.67375190853031</v>
      </c>
      <c r="O17" s="15">
        <f t="shared" si="3"/>
        <v>0</v>
      </c>
      <c r="P17" s="74">
        <f t="shared" si="11"/>
        <v>0</v>
      </c>
      <c r="Q17" s="74">
        <f t="shared" si="12"/>
        <v>0</v>
      </c>
      <c r="R17" s="74">
        <f t="shared" si="4"/>
        <v>0</v>
      </c>
      <c r="S17" s="74">
        <f t="shared" si="13"/>
        <v>0</v>
      </c>
      <c r="T17" s="76">
        <f t="shared" si="5"/>
        <v>0</v>
      </c>
      <c r="U17" s="15">
        <f t="shared" si="14"/>
        <v>681491.4852267633</v>
      </c>
      <c r="V17" s="6">
        <f t="shared" si="6"/>
        <v>188438.07454113348</v>
      </c>
      <c r="X17" s="621" t="s">
        <v>367</v>
      </c>
      <c r="Y17" s="621"/>
      <c r="Z17" s="621"/>
      <c r="AA17" s="200">
        <f>MIN(Y7,2.38)</f>
        <v>2.38</v>
      </c>
      <c r="AB17" s="201" t="s">
        <v>368</v>
      </c>
      <c r="AC17" s="25" t="s">
        <v>369</v>
      </c>
    </row>
    <row r="18" spans="1:33" x14ac:dyDescent="0.25">
      <c r="A18" s="61">
        <f t="shared" si="7"/>
        <v>3663.3383499661604</v>
      </c>
      <c r="B18" s="2">
        <f t="shared" si="15"/>
        <v>2041</v>
      </c>
      <c r="C18" s="196">
        <f>IF(OR($B18&lt;$Y$6,$B18&gt;'Project Data and Assumptions'!$C$8),0,$AC$35*(1+$AA$15)^($B18-2020))</f>
        <v>19545.62278226576</v>
      </c>
      <c r="D18" s="75">
        <f>IF(OR($B18&lt;$Y$6,$B18&gt;'Project Data and Assumptions'!$C$8),0,$AB$34*(1+$AA$15)^($B18-2020))</f>
        <v>1539.2177941034288</v>
      </c>
      <c r="E18" s="194">
        <f>IF(OR($B18&lt;$Y$6,$B18&gt;'Project Data and Assumptions'!$C$8),0,$AC$34*(1+$AA$15)^($B18-2020))</f>
        <v>13119.999292595892</v>
      </c>
      <c r="F18" s="196">
        <f>IF($B18&gt;'Project Data and Assumptions'!$C$8,0,$AC$30*(1+$AA$15)^($B18-2020))</f>
        <v>0</v>
      </c>
      <c r="G18" s="75">
        <f>IF($B18&gt;'Project Data and Assumptions'!$C$8,0,$AB$29*(1+$AA$15)^($B18-2020))</f>
        <v>0</v>
      </c>
      <c r="H18" s="194">
        <f>IF($B18&gt;'Project Data and Assumptions'!$C$8,0,$AC$29*(1+$AA$15)^($B18-2020))</f>
        <v>0</v>
      </c>
      <c r="I18" s="15">
        <f t="shared" si="0"/>
        <v>257611.30827026276</v>
      </c>
      <c r="J18" s="74">
        <f t="shared" si="8"/>
        <v>3679.3462150248365</v>
      </c>
      <c r="K18" s="74">
        <f t="shared" si="9"/>
        <v>234840.65772892314</v>
      </c>
      <c r="L18" s="74">
        <f t="shared" si="1"/>
        <v>172921.59067641385</v>
      </c>
      <c r="M18" s="74">
        <f t="shared" si="10"/>
        <v>18347.476105712871</v>
      </c>
      <c r="N18" s="76">
        <f t="shared" si="2"/>
        <v>204.49185650493459</v>
      </c>
      <c r="O18" s="15">
        <f t="shared" si="3"/>
        <v>0</v>
      </c>
      <c r="P18" s="74">
        <f t="shared" si="11"/>
        <v>0</v>
      </c>
      <c r="Q18" s="74">
        <f t="shared" si="12"/>
        <v>0</v>
      </c>
      <c r="R18" s="74">
        <f t="shared" si="4"/>
        <v>0</v>
      </c>
      <c r="S18" s="74">
        <f t="shared" si="13"/>
        <v>0</v>
      </c>
      <c r="T18" s="76">
        <f t="shared" si="5"/>
        <v>0</v>
      </c>
      <c r="U18" s="15">
        <f t="shared" si="14"/>
        <v>687604.87085284234</v>
      </c>
      <c r="V18" s="6">
        <f t="shared" si="6"/>
        <v>177690.16505575049</v>
      </c>
      <c r="X18" s="621" t="s">
        <v>363</v>
      </c>
      <c r="Y18" s="621"/>
      <c r="Z18" s="621"/>
      <c r="AA18" s="621"/>
      <c r="AB18" s="138">
        <f>MIN($AA$16,$Y8)</f>
        <v>0</v>
      </c>
      <c r="AC18" s="138">
        <f>MIN($AA$17,$Y8)</f>
        <v>0</v>
      </c>
    </row>
    <row r="19" spans="1:33" x14ac:dyDescent="0.25">
      <c r="A19" s="61">
        <f t="shared" si="7"/>
        <v>3696.2006828017579</v>
      </c>
      <c r="B19" s="2">
        <f t="shared" si="15"/>
        <v>2042</v>
      </c>
      <c r="C19" s="196">
        <f>IF(OR($B19&lt;$Y$6,$B19&gt;'Project Data and Assumptions'!$C$8),0,$AC$35*(1+$AA$15)^($B19-2020))</f>
        <v>19720.958691752745</v>
      </c>
      <c r="D19" s="75">
        <f>IF(OR($B19&lt;$Y$6,$B19&gt;'Project Data and Assumptions'!$C$8),0,$AB$34*(1+$AA$15)^($B19-2020))</f>
        <v>1553.0254969755285</v>
      </c>
      <c r="E19" s="194">
        <f>IF(OR($B19&lt;$Y$6,$B19&gt;'Project Data and Assumptions'!$C$8),0,$AC$34*(1+$AA$15)^($B19-2020))</f>
        <v>13237.693521839028</v>
      </c>
      <c r="F19" s="196">
        <f>IF($B19&gt;'Project Data and Assumptions'!$C$8,0,$AC$30*(1+$AA$15)^($B19-2020))</f>
        <v>0</v>
      </c>
      <c r="G19" s="75">
        <f>IF($B19&gt;'Project Data and Assumptions'!$C$8,0,$AB$29*(1+$AA$15)^($B19-2020))</f>
        <v>0</v>
      </c>
      <c r="H19" s="194">
        <f>IF($B19&gt;'Project Data and Assumptions'!$C$8,0,$AC$29*(1+$AA$15)^($B19-2020))</f>
        <v>0</v>
      </c>
      <c r="I19" s="15">
        <f t="shared" si="0"/>
        <v>259922.2355573012</v>
      </c>
      <c r="J19" s="74">
        <f t="shared" si="8"/>
        <v>3712.3521479703045</v>
      </c>
      <c r="K19" s="74">
        <f t="shared" si="9"/>
        <v>236947.3186814092</v>
      </c>
      <c r="L19" s="74">
        <f t="shared" si="1"/>
        <v>174472.80061783839</v>
      </c>
      <c r="M19" s="74">
        <f t="shared" si="10"/>
        <v>18512.063923948299</v>
      </c>
      <c r="N19" s="76">
        <f t="shared" si="2"/>
        <v>206.32627058538566</v>
      </c>
      <c r="O19" s="15">
        <f t="shared" si="3"/>
        <v>0</v>
      </c>
      <c r="P19" s="74">
        <f t="shared" si="11"/>
        <v>0</v>
      </c>
      <c r="Q19" s="74">
        <f t="shared" si="12"/>
        <v>0</v>
      </c>
      <c r="R19" s="74">
        <f t="shared" si="4"/>
        <v>0</v>
      </c>
      <c r="S19" s="74">
        <f t="shared" si="13"/>
        <v>0</v>
      </c>
      <c r="T19" s="76">
        <f t="shared" si="5"/>
        <v>0</v>
      </c>
      <c r="U19" s="15">
        <f t="shared" si="14"/>
        <v>693773.09719905281</v>
      </c>
      <c r="V19" s="6">
        <f t="shared" si="6"/>
        <v>167555.28220305461</v>
      </c>
      <c r="X19" s="621" t="s">
        <v>364</v>
      </c>
      <c r="Y19" s="621"/>
      <c r="Z19" s="621"/>
      <c r="AA19" s="621"/>
      <c r="AB19" s="138">
        <f>MIN($AA$16,SUM($Y9:$Y10))</f>
        <v>0.84</v>
      </c>
      <c r="AC19" s="138">
        <f>MIN($AA$16,SUM($Y9:$Y10))</f>
        <v>0.84</v>
      </c>
    </row>
    <row r="20" spans="1:33" x14ac:dyDescent="0.25">
      <c r="A20" s="61">
        <f t="shared" si="7"/>
        <v>3729.3578103890895</v>
      </c>
      <c r="B20" s="2">
        <f t="shared" si="15"/>
        <v>2043</v>
      </c>
      <c r="C20" s="196">
        <f>IF(OR($B20&lt;$Y$6,$B20&gt;'Project Data and Assumptions'!$C$8),0,$AC$35*(1+$AA$15)^($B20-2020))</f>
        <v>19897.86746906277</v>
      </c>
      <c r="D20" s="75">
        <f>IF(OR($B20&lt;$Y$6,$B20&gt;'Project Data and Assumptions'!$C$8),0,$AB$34*(1+$AA$15)^($B20-2020))</f>
        <v>1566.9570631886932</v>
      </c>
      <c r="E20" s="194">
        <f>IF(OR($B20&lt;$Y$6,$B20&gt;'Project Data and Assumptions'!$C$8),0,$AC$34*(1+$AA$15)^($B20-2020))</f>
        <v>13356.443538608384</v>
      </c>
      <c r="F20" s="196">
        <f>IF($B20&gt;'Project Data and Assumptions'!$C$8,0,$AC$30*(1+$AA$15)^($B20-2020))</f>
        <v>0</v>
      </c>
      <c r="G20" s="75">
        <f>IF($B20&gt;'Project Data and Assumptions'!$C$8,0,$AB$29*(1+$AA$15)^($B20-2020))</f>
        <v>0</v>
      </c>
      <c r="H20" s="194">
        <f>IF($B20&gt;'Project Data and Assumptions'!$C$8,0,$AC$29*(1+$AA$15)^($B20-2020))</f>
        <v>0</v>
      </c>
      <c r="I20" s="15">
        <f t="shared" si="0"/>
        <v>262253.89324224734</v>
      </c>
      <c r="J20" s="74">
        <f t="shared" si="8"/>
        <v>3745.6541638462527</v>
      </c>
      <c r="K20" s="74">
        <f t="shared" si="9"/>
        <v>239072.8776407892</v>
      </c>
      <c r="L20" s="74">
        <f t="shared" si="1"/>
        <v>176037.92583885853</v>
      </c>
      <c r="M20" s="74">
        <f t="shared" si="10"/>
        <v>18678.128193209221</v>
      </c>
      <c r="N20" s="76">
        <f t="shared" si="2"/>
        <v>208.17714045569588</v>
      </c>
      <c r="O20" s="15">
        <f t="shared" si="3"/>
        <v>0</v>
      </c>
      <c r="P20" s="74">
        <f t="shared" si="11"/>
        <v>0</v>
      </c>
      <c r="Q20" s="74">
        <f t="shared" si="12"/>
        <v>0</v>
      </c>
      <c r="R20" s="74">
        <f t="shared" si="4"/>
        <v>0</v>
      </c>
      <c r="S20" s="74">
        <f t="shared" si="13"/>
        <v>0</v>
      </c>
      <c r="T20" s="76">
        <f t="shared" si="5"/>
        <v>0</v>
      </c>
      <c r="U20" s="15">
        <f t="shared" si="14"/>
        <v>699996.65621940629</v>
      </c>
      <c r="V20" s="6">
        <f t="shared" si="6"/>
        <v>157998.46089026242</v>
      </c>
      <c r="X20" s="399"/>
      <c r="Y20" s="399"/>
      <c r="Z20" s="125"/>
      <c r="AA20" s="77"/>
    </row>
    <row r="21" spans="1:33" x14ac:dyDescent="0.25">
      <c r="A21" s="61">
        <f t="shared" si="7"/>
        <v>3762.8123772131389</v>
      </c>
      <c r="B21" s="2">
        <f t="shared" si="15"/>
        <v>2044</v>
      </c>
      <c r="C21" s="196">
        <f>IF(OR($B21&lt;$Y$6,$B21&gt;'Project Data and Assumptions'!$C$8),0,$AC$35*(1+$AA$15)^($B21-2020))</f>
        <v>20076.363223759578</v>
      </c>
      <c r="D21" s="75">
        <f>IF(OR($B21&lt;$Y$6,$B21&gt;'Project Data and Assumptions'!$C$8),0,$AB$34*(1+$AA$15)^($B21-2020))</f>
        <v>1581.0136038710668</v>
      </c>
      <c r="E21" s="194">
        <f>IF(OR($B21&lt;$Y$6,$B21&gt;'Project Data and Assumptions'!$C$8),0,$AC$34*(1+$AA$15)^($B21-2020))</f>
        <v>13476.258813948616</v>
      </c>
      <c r="F21" s="196">
        <f>IF($B21&gt;'Project Data and Assumptions'!$C$8,0,$AC$30*(1+$AA$15)^($B21-2020))</f>
        <v>0</v>
      </c>
      <c r="G21" s="75">
        <f>IF($B21&gt;'Project Data and Assumptions'!$C$8,0,$AB$29*(1+$AA$15)^($B21-2020))</f>
        <v>0</v>
      </c>
      <c r="H21" s="194">
        <f>IF($B21&gt;'Project Data and Assumptions'!$C$8,0,$AC$29*(1+$AA$15)^($B21-2020))</f>
        <v>0</v>
      </c>
      <c r="I21" s="15">
        <f t="shared" si="0"/>
        <v>264606.46728915122</v>
      </c>
      <c r="J21" s="74">
        <f t="shared" si="8"/>
        <v>3779.2549186933988</v>
      </c>
      <c r="K21" s="74">
        <f t="shared" si="9"/>
        <v>241217.50413347132</v>
      </c>
      <c r="L21" s="74">
        <f t="shared" si="1"/>
        <v>177617.09116784277</v>
      </c>
      <c r="M21" s="74">
        <f t="shared" si="10"/>
        <v>18845.682158143114</v>
      </c>
      <c r="N21" s="76">
        <f t="shared" si="2"/>
        <v>210.04461373412826</v>
      </c>
      <c r="O21" s="15">
        <f t="shared" si="3"/>
        <v>0</v>
      </c>
      <c r="P21" s="74">
        <f t="shared" si="11"/>
        <v>0</v>
      </c>
      <c r="Q21" s="74">
        <f t="shared" si="12"/>
        <v>0</v>
      </c>
      <c r="R21" s="74">
        <f t="shared" si="4"/>
        <v>0</v>
      </c>
      <c r="S21" s="74">
        <f t="shared" si="13"/>
        <v>0</v>
      </c>
      <c r="T21" s="76">
        <f t="shared" si="5"/>
        <v>0</v>
      </c>
      <c r="U21" s="15">
        <f t="shared" si="14"/>
        <v>706276.04428103589</v>
      </c>
      <c r="V21" s="6">
        <f t="shared" si="6"/>
        <v>148986.73032246955</v>
      </c>
      <c r="Z21" s="84"/>
      <c r="AA21" s="84"/>
      <c r="AB21" s="84"/>
      <c r="AC21" s="84"/>
    </row>
    <row r="22" spans="1:33" x14ac:dyDescent="0.25">
      <c r="A22" s="61">
        <f t="shared" si="7"/>
        <v>3796.5670514814947</v>
      </c>
      <c r="B22" s="2">
        <f t="shared" si="15"/>
        <v>2045</v>
      </c>
      <c r="C22" s="196">
        <f>IF(OR($B22&lt;$Y$6,$B22&gt;'Project Data and Assumptions'!$C$8),0,$AC$35*(1+$AA$15)^($B22-2020))</f>
        <v>20256.460191978098</v>
      </c>
      <c r="D22" s="75">
        <f>IF(OR($B22&lt;$Y$6,$B22&gt;'Project Data and Assumptions'!$C$8),0,$AB$34*(1+$AA$15)^($B22-2020))</f>
        <v>1595.1962401182752</v>
      </c>
      <c r="E22" s="194">
        <f>IF(OR($B22&lt;$Y$6,$B22&gt;'Project Data and Assumptions'!$C$8),0,$AC$34*(1+$AA$15)^($B22-2020))</f>
        <v>13597.148903865298</v>
      </c>
      <c r="F22" s="196">
        <f>IF($B22&gt;'Project Data and Assumptions'!$C$8,0,$AC$30*(1+$AA$15)^($B22-2020))</f>
        <v>0</v>
      </c>
      <c r="G22" s="75">
        <f>IF($B22&gt;'Project Data and Assumptions'!$C$8,0,$AB$29*(1+$AA$15)^($B22-2020))</f>
        <v>0</v>
      </c>
      <c r="H22" s="194">
        <f>IF($B22&gt;'Project Data and Assumptions'!$C$8,0,$AC$29*(1+$AA$15)^($B22-2020))</f>
        <v>0</v>
      </c>
      <c r="I22" s="15">
        <f t="shared" si="0"/>
        <v>266980.14533027133</v>
      </c>
      <c r="J22" s="74">
        <f t="shared" si="8"/>
        <v>3813.1570923787258</v>
      </c>
      <c r="K22" s="74">
        <f t="shared" si="9"/>
        <v>243381.36920661686</v>
      </c>
      <c r="L22" s="74">
        <f t="shared" si="1"/>
        <v>179210.42255294463</v>
      </c>
      <c r="M22" s="74">
        <f t="shared" si="10"/>
        <v>19014.73918220984</v>
      </c>
      <c r="N22" s="76">
        <f t="shared" si="2"/>
        <v>211.9288393631694</v>
      </c>
      <c r="O22" s="15">
        <f t="shared" si="3"/>
        <v>0</v>
      </c>
      <c r="P22" s="74">
        <f t="shared" si="11"/>
        <v>0</v>
      </c>
      <c r="Q22" s="74">
        <f t="shared" si="12"/>
        <v>0</v>
      </c>
      <c r="R22" s="74">
        <f t="shared" si="4"/>
        <v>0</v>
      </c>
      <c r="S22" s="74">
        <f t="shared" si="13"/>
        <v>0</v>
      </c>
      <c r="T22" s="76">
        <f t="shared" si="5"/>
        <v>0</v>
      </c>
      <c r="U22" s="15">
        <f t="shared" si="14"/>
        <v>712611.76220378454</v>
      </c>
      <c r="V22" s="6">
        <f t="shared" si="6"/>
        <v>140489.00025423156</v>
      </c>
      <c r="X22" s="8" t="s">
        <v>495</v>
      </c>
      <c r="Z22" s="84"/>
      <c r="AA22" s="84"/>
      <c r="AB22" s="84"/>
      <c r="AC22" s="84"/>
    </row>
    <row r="23" spans="1:33" x14ac:dyDescent="0.25">
      <c r="A23" s="61">
        <f t="shared" si="7"/>
        <v>3830.6245253371649</v>
      </c>
      <c r="B23" s="2">
        <f t="shared" si="15"/>
        <v>2046</v>
      </c>
      <c r="C23" s="196">
        <f>IF(OR($B23&lt;$Y$6,$B23&gt;'Project Data and Assumptions'!$C$8),0,$AC$35*(1+$AA$15)^($B23-2020))</f>
        <v>20438.172737559904</v>
      </c>
      <c r="D23" s="75">
        <f>IF(OR($B23&lt;$Y$6,$B23&gt;'Project Data and Assumptions'!$C$8),0,$AB$34*(1+$AA$15)^($B23-2020))</f>
        <v>1609.5061030828424</v>
      </c>
      <c r="E23" s="194">
        <f>IF(OR($B23&lt;$Y$6,$B23&gt;'Project Data and Assumptions'!$C$8),0,$AC$34*(1+$AA$15)^($B23-2020))</f>
        <v>13719.123450087085</v>
      </c>
      <c r="F23" s="196">
        <f>IF($B23&gt;'Project Data and Assumptions'!$C$8,0,$AC$30*(1+$AA$15)^($B23-2020))</f>
        <v>0</v>
      </c>
      <c r="G23" s="75">
        <f>IF($B23&gt;'Project Data and Assumptions'!$C$8,0,$AB$29*(1+$AA$15)^($B23-2020))</f>
        <v>0</v>
      </c>
      <c r="H23" s="194">
        <f>IF($B23&gt;'Project Data and Assumptions'!$C$8,0,$AC$29*(1+$AA$15)^($B23-2020))</f>
        <v>0</v>
      </c>
      <c r="I23" s="15">
        <f t="shared" si="0"/>
        <v>269375.11668103951</v>
      </c>
      <c r="J23" s="74">
        <f t="shared" si="8"/>
        <v>3847.3633888092268</v>
      </c>
      <c r="K23" s="74">
        <f t="shared" si="9"/>
        <v>245564.64544178225</v>
      </c>
      <c r="L23" s="74">
        <f t="shared" si="1"/>
        <v>180818.04707214781</v>
      </c>
      <c r="M23" s="74">
        <f t="shared" si="10"/>
        <v>19185.312748747481</v>
      </c>
      <c r="N23" s="76">
        <f t="shared" si="2"/>
        <v>213.82996762140914</v>
      </c>
      <c r="O23" s="15">
        <f t="shared" si="3"/>
        <v>0</v>
      </c>
      <c r="P23" s="74">
        <f t="shared" si="11"/>
        <v>0</v>
      </c>
      <c r="Q23" s="74">
        <f t="shared" si="12"/>
        <v>0</v>
      </c>
      <c r="R23" s="74">
        <f t="shared" si="4"/>
        <v>0</v>
      </c>
      <c r="S23" s="74">
        <f t="shared" si="13"/>
        <v>0</v>
      </c>
      <c r="T23" s="76">
        <f t="shared" si="5"/>
        <v>0</v>
      </c>
      <c r="U23" s="15">
        <f t="shared" si="14"/>
        <v>719004.31530014763</v>
      </c>
      <c r="V23" s="6">
        <f t="shared" si="6"/>
        <v>132475.95372899322</v>
      </c>
      <c r="Z23" s="78" t="s">
        <v>23</v>
      </c>
      <c r="AA23" s="78" t="s">
        <v>336</v>
      </c>
      <c r="AB23" s="78" t="s">
        <v>53</v>
      </c>
      <c r="AC23" s="78" t="s">
        <v>195</v>
      </c>
      <c r="AD23" s="78" t="s">
        <v>354</v>
      </c>
    </row>
    <row r="24" spans="1:33" x14ac:dyDescent="0.25">
      <c r="A24" s="61">
        <f t="shared" si="7"/>
        <v>3864.9875150732878</v>
      </c>
      <c r="B24" s="2">
        <f t="shared" si="15"/>
        <v>2047</v>
      </c>
      <c r="C24" s="196">
        <f>IF(OR($B24&lt;$Y$6,$B24&gt;'Project Data and Assumptions'!$C$8),0,$AC$35*(1+$AA$15)^($B24-2020))</f>
        <v>20621.515353198818</v>
      </c>
      <c r="D24" s="75">
        <f>IF(OR($B24&lt;$Y$6,$B24&gt;'Project Data and Assumptions'!$C$8),0,$AB$34*(1+$AA$15)^($B24-2020))</f>
        <v>1623.9443340644068</v>
      </c>
      <c r="E24" s="194">
        <f>IF(OR($B24&lt;$Y$6,$B24&gt;'Project Data and Assumptions'!$C$8),0,$AC$34*(1+$AA$15)^($B24-2020))</f>
        <v>13842.192180834705</v>
      </c>
      <c r="F24" s="196">
        <f>IF($B24&gt;'Project Data and Assumptions'!$C$8,0,$AC$30*(1+$AA$15)^($B24-2020))</f>
        <v>0</v>
      </c>
      <c r="G24" s="75">
        <f>IF($B24&gt;'Project Data and Assumptions'!$C$8,0,$AB$29*(1+$AA$15)^($B24-2020))</f>
        <v>0</v>
      </c>
      <c r="H24" s="194">
        <f>IF($B24&gt;'Project Data and Assumptions'!$C$8,0,$AC$29*(1+$AA$15)^($B24-2020))</f>
        <v>0</v>
      </c>
      <c r="I24" s="15">
        <f t="shared" si="0"/>
        <v>271791.57235516043</v>
      </c>
      <c r="J24" s="74">
        <f t="shared" si="8"/>
        <v>3881.8765361475585</v>
      </c>
      <c r="K24" s="74">
        <f t="shared" si="9"/>
        <v>247767.5069686838</v>
      </c>
      <c r="L24" s="74">
        <f t="shared" si="1"/>
        <v>182440.09294340143</v>
      </c>
      <c r="M24" s="74">
        <f t="shared" si="10"/>
        <v>19357.416462047728</v>
      </c>
      <c r="N24" s="76">
        <f t="shared" si="2"/>
        <v>215.74815013552632</v>
      </c>
      <c r="O24" s="15">
        <f t="shared" si="3"/>
        <v>0</v>
      </c>
      <c r="P24" s="74">
        <f t="shared" si="11"/>
        <v>0</v>
      </c>
      <c r="Q24" s="74">
        <f t="shared" si="12"/>
        <v>0</v>
      </c>
      <c r="R24" s="74">
        <f t="shared" si="4"/>
        <v>0</v>
      </c>
      <c r="S24" s="74">
        <f t="shared" si="13"/>
        <v>0</v>
      </c>
      <c r="T24" s="76">
        <f t="shared" si="5"/>
        <v>0</v>
      </c>
      <c r="U24" s="15">
        <f t="shared" si="14"/>
        <v>725454.21341557649</v>
      </c>
      <c r="V24" s="6">
        <f t="shared" si="6"/>
        <v>124919.9459363208</v>
      </c>
      <c r="X24" s="620" t="s">
        <v>125</v>
      </c>
      <c r="Y24" s="620"/>
      <c r="Z24" s="79">
        <f>'Annual Use'!$B$11*'Annual Use'!$F$11</f>
        <v>121524</v>
      </c>
      <c r="AA24" s="79">
        <f>Z24*(SUM('Shingle Creek'!$B$27:$B$30)+'Shingle Creek'!$B$26*5/7)</f>
        <v>93635.283634285719</v>
      </c>
      <c r="AB24" s="79">
        <f>SUM($Z24:$Z25)*'Shingle Creek'!$C$11</f>
        <v>12760.02</v>
      </c>
      <c r="AC24" s="79">
        <f>Z24-AB24</f>
        <v>108763.98</v>
      </c>
      <c r="AD24" s="235">
        <f>AA24/Z24</f>
        <v>0.77050857142857143</v>
      </c>
    </row>
    <row r="25" spans="1:33" x14ac:dyDescent="0.25">
      <c r="A25" s="61">
        <f t="shared" si="7"/>
        <v>3899.6587613497722</v>
      </c>
      <c r="B25" s="2">
        <f t="shared" si="15"/>
        <v>2048</v>
      </c>
      <c r="C25" s="196">
        <f>IF(OR($B25&lt;$Y$6,$B25&gt;'Project Data and Assumptions'!$C$8),0,$AC$35*(1+$AA$15)^($B25-2020))</f>
        <v>20806.502661596758</v>
      </c>
      <c r="D25" s="75">
        <f>IF(OR($B25&lt;$Y$6,$B25&gt;'Project Data and Assumptions'!$C$8),0,$AB$34*(1+$AA$15)^($B25-2020))</f>
        <v>1638.5120846007446</v>
      </c>
      <c r="E25" s="194">
        <f>IF(OR($B25&lt;$Y$6,$B25&gt;'Project Data and Assumptions'!$C$8),0,$AC$34*(1+$AA$15)^($B25-2020))</f>
        <v>13966.364911596824</v>
      </c>
      <c r="F25" s="196">
        <f>IF($B25&gt;'Project Data and Assumptions'!$C$8,0,$AC$30*(1+$AA$15)^($B25-2020))</f>
        <v>0</v>
      </c>
      <c r="G25" s="75">
        <f>IF($B25&gt;'Project Data and Assumptions'!$C$8,0,$AB$29*(1+$AA$15)^($B25-2020))</f>
        <v>0</v>
      </c>
      <c r="H25" s="194">
        <f>IF($B25&gt;'Project Data and Assumptions'!$C$8,0,$AC$29*(1+$AA$15)^($B25-2020))</f>
        <v>0</v>
      </c>
      <c r="I25" s="15">
        <f t="shared" si="0"/>
        <v>274229.70507984527</v>
      </c>
      <c r="J25" s="74">
        <f t="shared" si="8"/>
        <v>3916.6992870296208</v>
      </c>
      <c r="K25" s="74">
        <f t="shared" si="9"/>
        <v>249990.12947908504</v>
      </c>
      <c r="L25" s="74">
        <f t="shared" si="1"/>
        <v>184076.68953484614</v>
      </c>
      <c r="M25" s="74">
        <f t="shared" si="10"/>
        <v>19531.064048440876</v>
      </c>
      <c r="N25" s="76">
        <f t="shared" si="2"/>
        <v>217.68353989238113</v>
      </c>
      <c r="O25" s="15">
        <f t="shared" si="3"/>
        <v>0</v>
      </c>
      <c r="P25" s="74">
        <f t="shared" si="11"/>
        <v>0</v>
      </c>
      <c r="Q25" s="74">
        <f t="shared" si="12"/>
        <v>0</v>
      </c>
      <c r="R25" s="74">
        <f t="shared" si="4"/>
        <v>0</v>
      </c>
      <c r="S25" s="74">
        <f t="shared" si="13"/>
        <v>0</v>
      </c>
      <c r="T25" s="76">
        <f t="shared" si="5"/>
        <v>0</v>
      </c>
      <c r="U25" s="15">
        <f t="shared" si="14"/>
        <v>731961.97096913937</v>
      </c>
      <c r="V25" s="6">
        <f t="shared" si="6"/>
        <v>117794.90883799574</v>
      </c>
      <c r="X25" s="620" t="s">
        <v>124</v>
      </c>
      <c r="Y25" s="620"/>
      <c r="Z25" s="79">
        <f>'Annual Use'!$B$11*'Annual Use'!$G$11</f>
        <v>162032</v>
      </c>
      <c r="AA25" s="79">
        <f>Z25*(SUM('Shingle Creek'!$B$27:$B$30)+'Shingle Creek'!$B$26*5/7)</f>
        <v>124847.04484571429</v>
      </c>
      <c r="AB25" s="79">
        <v>0</v>
      </c>
      <c r="AC25" s="79">
        <f>Z25-AB25</f>
        <v>162032</v>
      </c>
      <c r="AD25" s="235">
        <f>AA25/Z25</f>
        <v>0.77050857142857143</v>
      </c>
      <c r="AG25" s="91" t="s">
        <v>64</v>
      </c>
    </row>
    <row r="26" spans="1:33" x14ac:dyDescent="0.25">
      <c r="A26" s="61">
        <f t="shared" si="7"/>
        <v>3934.6410294118837</v>
      </c>
      <c r="B26" s="264">
        <f t="shared" si="15"/>
        <v>2049</v>
      </c>
      <c r="C26" s="265">
        <f>IF(OR($B26&lt;$Y$6,$B26&gt;'Project Data and Assumptions'!$C$8),0,$AC$35*(1+$AA$15)^($B26-2020))</f>
        <v>20993.149416630033</v>
      </c>
      <c r="D26" s="266">
        <f>IF(OR($B26&lt;$Y$6,$B26&gt;'Project Data and Assumptions'!$C$8),0,$AB$34*(1+$AA$15)^($B26-2020))</f>
        <v>1653.2105165596151</v>
      </c>
      <c r="E26" s="267">
        <f>IF(OR($B26&lt;$Y$6,$B26&gt;'Project Data and Assumptions'!$C$8),0,$AC$34*(1+$AA$15)^($B26-2020))</f>
        <v>14091.65154591291</v>
      </c>
      <c r="F26" s="265">
        <f>IF($B26&gt;'Project Data and Assumptions'!$C$8,0,$AC$30*(1+$AA$15)^($B26-2020))</f>
        <v>0</v>
      </c>
      <c r="G26" s="266">
        <f>IF($B26&gt;'Project Data and Assumptions'!$C$8,0,$AB$29*(1+$AA$15)^($B26-2020))</f>
        <v>0</v>
      </c>
      <c r="H26" s="267">
        <f>IF($B26&gt;'Project Data and Assumptions'!$C$8,0,$AC$29*(1+$AA$15)^($B26-2020))</f>
        <v>0</v>
      </c>
      <c r="I26" s="98">
        <f t="shared" si="0"/>
        <v>276689.70931118389</v>
      </c>
      <c r="J26" s="99">
        <f t="shared" si="8"/>
        <v>3951.8344187841049</v>
      </c>
      <c r="K26" s="99">
        <f t="shared" si="9"/>
        <v>252232.69024080984</v>
      </c>
      <c r="L26" s="99">
        <f t="shared" si="1"/>
        <v>185727.96737513214</v>
      </c>
      <c r="M26" s="99">
        <f t="shared" si="10"/>
        <v>19706.269357390611</v>
      </c>
      <c r="N26" s="101">
        <f t="shared" si="2"/>
        <v>219.63629125121773</v>
      </c>
      <c r="O26" s="98">
        <f t="shared" si="3"/>
        <v>0</v>
      </c>
      <c r="P26" s="99">
        <f t="shared" si="11"/>
        <v>0</v>
      </c>
      <c r="Q26" s="99">
        <f t="shared" si="12"/>
        <v>0</v>
      </c>
      <c r="R26" s="99">
        <f t="shared" si="4"/>
        <v>0</v>
      </c>
      <c r="S26" s="99">
        <f t="shared" si="13"/>
        <v>0</v>
      </c>
      <c r="T26" s="101">
        <f t="shared" si="5"/>
        <v>0</v>
      </c>
      <c r="U26" s="98">
        <f t="shared" si="14"/>
        <v>738528.10699455172</v>
      </c>
      <c r="V26" s="272">
        <f t="shared" si="6"/>
        <v>111076.26123393441</v>
      </c>
      <c r="Z26" s="84"/>
      <c r="AA26" s="84"/>
      <c r="AB26" s="84"/>
      <c r="AC26" s="84"/>
      <c r="AG26" s="91" t="s">
        <v>65</v>
      </c>
    </row>
    <row r="27" spans="1:33" x14ac:dyDescent="0.25">
      <c r="A27" s="61">
        <f t="shared" si="7"/>
        <v>3969.9371093107898</v>
      </c>
      <c r="B27" s="2">
        <f t="shared" si="15"/>
        <v>2050</v>
      </c>
      <c r="C27" s="196">
        <f>IF(OR($B27&lt;$Y$6,$B27&gt;'Project Data and Assumptions'!$C$8),0,$AC$35*(1+$AA$15)^($B27-2020))</f>
        <v>21181.470504526023</v>
      </c>
      <c r="D27" s="75">
        <f>IF(OR($B27&lt;$Y$6,$B27&gt;'Project Data and Assumptions'!$C$8),0,$AB$34*(1+$AA$15)^($B27-2020))</f>
        <v>1668.0408022314243</v>
      </c>
      <c r="E27" s="194">
        <f>IF(OR($B27&lt;$Y$6,$B27&gt;'Project Data and Assumptions'!$C$8),0,$AC$34*(1+$AA$15)^($B27-2020))</f>
        <v>14218.062076163093</v>
      </c>
      <c r="F27" s="196">
        <f>IF($B27&gt;'Project Data and Assumptions'!$C$8,0,$AC$30*(1+$AA$15)^($B27-2020))</f>
        <v>0</v>
      </c>
      <c r="G27" s="75">
        <f>IF($B27&gt;'Project Data and Assumptions'!$C$8,0,$AB$29*(1+$AA$15)^($B27-2020))</f>
        <v>0</v>
      </c>
      <c r="H27" s="194">
        <f>IF($B27&gt;'Project Data and Assumptions'!$C$8,0,$AC$29*(1+$AA$15)^($B27-2020))</f>
        <v>0</v>
      </c>
      <c r="I27" s="98">
        <f t="shared" si="0"/>
        <v>279171.78124965297</v>
      </c>
      <c r="J27" s="99">
        <f t="shared" ref="J27:J29" si="16">(D27*$AA$40)*$AA$38*$AA$39</f>
        <v>3987.2847336539976</v>
      </c>
      <c r="K27" s="99">
        <f t="shared" ref="K27:K29" si="17">C27*$AA$43+SUM(D27:E27)*$AA$44</f>
        <v>254495.36811188018</v>
      </c>
      <c r="L27" s="99">
        <f t="shared" si="1"/>
        <v>187394.05816382958</v>
      </c>
      <c r="M27" s="99">
        <f t="shared" ref="M27:M29" si="18">SUM(D27:E27)*$AA$52</f>
        <v>19883.046362598579</v>
      </c>
      <c r="N27" s="101">
        <f t="shared" si="2"/>
        <v>221.60655995597452</v>
      </c>
      <c r="O27" s="98">
        <f t="shared" si="3"/>
        <v>0</v>
      </c>
      <c r="P27" s="99">
        <f t="shared" ref="P27:P29" si="19">(G27*$AA$40)*$AA$38*$AA$39</f>
        <v>0</v>
      </c>
      <c r="Q27" s="99">
        <f t="shared" ref="Q27:Q29" si="20">F27*$AA$43+SUM(G27:H27)*$AA$44</f>
        <v>0</v>
      </c>
      <c r="R27" s="99">
        <f t="shared" si="4"/>
        <v>0</v>
      </c>
      <c r="S27" s="99">
        <f t="shared" ref="S27:S29" si="21">SUM(G27:H27)*$AA$52</f>
        <v>0</v>
      </c>
      <c r="T27" s="101">
        <f t="shared" si="5"/>
        <v>0</v>
      </c>
      <c r="U27" s="15">
        <f t="shared" ref="U27:U29" si="22">SUM(I27:T27)</f>
        <v>745153.14518157125</v>
      </c>
      <c r="V27" s="6">
        <f t="shared" si="6"/>
        <v>104740.82395766104</v>
      </c>
      <c r="X27" s="8" t="s">
        <v>496</v>
      </c>
      <c r="Z27" s="84"/>
      <c r="AA27" s="84"/>
      <c r="AB27" s="84"/>
      <c r="AC27" s="84"/>
    </row>
    <row r="28" spans="1:33" x14ac:dyDescent="0.25">
      <c r="A28" s="61">
        <f t="shared" si="7"/>
        <v>0</v>
      </c>
      <c r="B28" s="2">
        <f t="shared" si="15"/>
        <v>2051</v>
      </c>
      <c r="C28" s="196">
        <f>IF(OR($B28&lt;$Y$6,$B28&gt;'Project Data and Assumptions'!$C$8),0,$AC$35*(1+$AA$15)^($B28-2020))</f>
        <v>0</v>
      </c>
      <c r="D28" s="75">
        <f>IF(OR($B28&lt;$Y$6,$B28&gt;'Project Data and Assumptions'!$C$8),0,$AB$34*(1+$AA$15)^($B28-2020))</f>
        <v>0</v>
      </c>
      <c r="E28" s="194">
        <f>IF(OR($B28&lt;$Y$6,$B28&gt;'Project Data and Assumptions'!$C$8),0,$AC$34*(1+$AA$15)^($B28-2020))</f>
        <v>0</v>
      </c>
      <c r="F28" s="196">
        <f>IF($B28&gt;'Project Data and Assumptions'!$C$8,0,$AC$30*(1+$AA$15)^($B28-2020))</f>
        <v>0</v>
      </c>
      <c r="G28" s="75">
        <f>IF($B28&gt;'Project Data and Assumptions'!$C$8,0,$AB$29*(1+$AA$15)^($B28-2020))</f>
        <v>0</v>
      </c>
      <c r="H28" s="194">
        <f>IF($B28&gt;'Project Data and Assumptions'!$C$8,0,$AC$29*(1+$AA$15)^($B28-2020))</f>
        <v>0</v>
      </c>
      <c r="I28" s="98">
        <f t="shared" si="0"/>
        <v>0</v>
      </c>
      <c r="J28" s="99">
        <f t="shared" si="16"/>
        <v>0</v>
      </c>
      <c r="K28" s="99">
        <f t="shared" si="17"/>
        <v>0</v>
      </c>
      <c r="L28" s="99">
        <f t="shared" si="1"/>
        <v>0</v>
      </c>
      <c r="M28" s="99">
        <f t="shared" si="18"/>
        <v>0</v>
      </c>
      <c r="N28" s="101">
        <f t="shared" si="2"/>
        <v>0</v>
      </c>
      <c r="O28" s="98">
        <f t="shared" si="3"/>
        <v>0</v>
      </c>
      <c r="P28" s="99">
        <f t="shared" si="19"/>
        <v>0</v>
      </c>
      <c r="Q28" s="99">
        <f t="shared" si="20"/>
        <v>0</v>
      </c>
      <c r="R28" s="99">
        <f t="shared" si="4"/>
        <v>0</v>
      </c>
      <c r="S28" s="99">
        <f t="shared" si="21"/>
        <v>0</v>
      </c>
      <c r="T28" s="101">
        <f t="shared" si="5"/>
        <v>0</v>
      </c>
      <c r="U28" s="15">
        <f t="shared" si="22"/>
        <v>0</v>
      </c>
      <c r="V28" s="6">
        <f t="shared" si="6"/>
        <v>0</v>
      </c>
      <c r="Z28" s="78" t="s">
        <v>23</v>
      </c>
      <c r="AA28" s="78" t="s">
        <v>336</v>
      </c>
      <c r="AB28" s="78" t="s">
        <v>53</v>
      </c>
      <c r="AC28" s="78" t="s">
        <v>195</v>
      </c>
      <c r="AD28" s="78" t="s">
        <v>354</v>
      </c>
    </row>
    <row r="29" spans="1:33" ht="15.75" thickBot="1" x14ac:dyDescent="0.3">
      <c r="A29" s="61">
        <f t="shared" si="7"/>
        <v>0</v>
      </c>
      <c r="B29" s="268">
        <f t="shared" si="15"/>
        <v>2052</v>
      </c>
      <c r="C29" s="269">
        <f>IF(OR($B29&lt;$Y$6,$B29&gt;'Project Data and Assumptions'!$C$8),0,$AC$35*(1+$AA$15)^($B29-2020))</f>
        <v>0</v>
      </c>
      <c r="D29" s="270">
        <f>IF(OR($B29&lt;$Y$6,$B29&gt;'Project Data and Assumptions'!$C$8),0,$AB$34*(1+$AA$15)^($B29-2020))</f>
        <v>0</v>
      </c>
      <c r="E29" s="271">
        <f>IF(OR($B29&lt;$Y$6,$B29&gt;'Project Data and Assumptions'!$C$8),0,$AC$34*(1+$AA$15)^($B29-2020))</f>
        <v>0</v>
      </c>
      <c r="F29" s="269">
        <f>IF($B29&gt;'Project Data and Assumptions'!$C$8,0,$AC$30*(1+$AA$15)^($B29-2020))</f>
        <v>0</v>
      </c>
      <c r="G29" s="270">
        <f>IF($B29&gt;'Project Data and Assumptions'!$C$8,0,$AB$29*(1+$AA$15)^($B29-2020))</f>
        <v>0</v>
      </c>
      <c r="H29" s="271">
        <f>IF($B29&gt;'Project Data and Assumptions'!$C$8,0,$AC$29*(1+$AA$15)^($B29-2020))</f>
        <v>0</v>
      </c>
      <c r="I29" s="98">
        <f t="shared" si="0"/>
        <v>0</v>
      </c>
      <c r="J29" s="99">
        <f t="shared" si="16"/>
        <v>0</v>
      </c>
      <c r="K29" s="99">
        <f t="shared" si="17"/>
        <v>0</v>
      </c>
      <c r="L29" s="99">
        <f t="shared" si="1"/>
        <v>0</v>
      </c>
      <c r="M29" s="99">
        <f t="shared" si="18"/>
        <v>0</v>
      </c>
      <c r="N29" s="101">
        <f t="shared" si="2"/>
        <v>0</v>
      </c>
      <c r="O29" s="98">
        <f t="shared" si="3"/>
        <v>0</v>
      </c>
      <c r="P29" s="99">
        <f t="shared" si="19"/>
        <v>0</v>
      </c>
      <c r="Q29" s="99">
        <f t="shared" si="20"/>
        <v>0</v>
      </c>
      <c r="R29" s="99">
        <f t="shared" si="4"/>
        <v>0</v>
      </c>
      <c r="S29" s="99">
        <f t="shared" si="21"/>
        <v>0</v>
      </c>
      <c r="T29" s="101">
        <f t="shared" si="5"/>
        <v>0</v>
      </c>
      <c r="U29" s="118">
        <f t="shared" si="22"/>
        <v>0</v>
      </c>
      <c r="V29" s="119">
        <f t="shared" si="6"/>
        <v>0</v>
      </c>
      <c r="X29" s="620" t="s">
        <v>125</v>
      </c>
      <c r="Y29" s="620"/>
      <c r="Z29" s="79">
        <f>$Y$8/$Y$7*Z24</f>
        <v>0</v>
      </c>
      <c r="AA29" s="737">
        <f>Z29*(SUM('Shingle Creek'!$B$27:$B$30)+'Shingle Creek'!$B$26*5/7)</f>
        <v>0</v>
      </c>
      <c r="AB29" s="737">
        <f>SUM($Z29:$Z30)*'Shingle Creek'!$C$11</f>
        <v>0</v>
      </c>
      <c r="AC29" s="79">
        <f>Z29-AB29</f>
        <v>0</v>
      </c>
      <c r="AD29" s="235">
        <f>IFERROR(AA29/Z29,0)</f>
        <v>0</v>
      </c>
    </row>
    <row r="30" spans="1:33" ht="15.75" thickBot="1" x14ac:dyDescent="0.3">
      <c r="A30" s="61"/>
      <c r="B30" s="4"/>
      <c r="D30" s="4"/>
      <c r="G30" s="4"/>
      <c r="H30" s="81" t="s">
        <v>2</v>
      </c>
      <c r="I30" s="115">
        <f>SUM(I7:I29)</f>
        <v>5369582.7605332071</v>
      </c>
      <c r="J30" s="116">
        <f t="shared" ref="J30:N30" si="23">SUM(J7:J29)</f>
        <v>76691.330589818914</v>
      </c>
      <c r="K30" s="116">
        <f t="shared" si="23"/>
        <v>4894957.2737334212</v>
      </c>
      <c r="L30" s="116">
        <f t="shared" si="23"/>
        <v>3604332.4280079165</v>
      </c>
      <c r="M30" s="116">
        <f t="shared" si="23"/>
        <v>382429.99524374225</v>
      </c>
      <c r="N30" s="117">
        <f t="shared" si="23"/>
        <v>4262.3747953112606</v>
      </c>
      <c r="O30" s="115">
        <f t="shared" ref="O30" si="24">SUM(O7:O29)</f>
        <v>0</v>
      </c>
      <c r="P30" s="116">
        <f t="shared" ref="P30" si="25">SUM(P7:P29)</f>
        <v>0</v>
      </c>
      <c r="Q30" s="116">
        <f t="shared" ref="Q30" si="26">SUM(Q7:Q29)</f>
        <v>0</v>
      </c>
      <c r="R30" s="116">
        <f t="shared" ref="R30" si="27">SUM(R7:R29)</f>
        <v>0</v>
      </c>
      <c r="S30" s="116">
        <f t="shared" ref="S30" si="28">SUM(S7:S29)</f>
        <v>0</v>
      </c>
      <c r="T30" s="117">
        <f t="shared" ref="T30" si="29">SUM(T7:T29)</f>
        <v>0</v>
      </c>
      <c r="U30" s="118">
        <f t="shared" ref="U30" si="30">SUM(U7:U29)</f>
        <v>14332256.162903419</v>
      </c>
      <c r="V30" s="119">
        <f t="shared" ref="V30" si="31">SUM(V7:V29)</f>
        <v>4212193.5368071739</v>
      </c>
      <c r="X30" s="620" t="s">
        <v>124</v>
      </c>
      <c r="Y30" s="620"/>
      <c r="Z30" s="79">
        <f>$Y$8/$Y$7*Z25</f>
        <v>0</v>
      </c>
      <c r="AA30" s="737">
        <f>Z30*(SUM('Shingle Creek'!$B$27:$B$30)+'Shingle Creek'!$B$26*5/7)</f>
        <v>0</v>
      </c>
      <c r="AB30" s="738">
        <v>0</v>
      </c>
      <c r="AC30" s="79">
        <f>Z30-AB30</f>
        <v>0</v>
      </c>
      <c r="AD30" s="235">
        <f>IFERROR(AA30/Z30,0)</f>
        <v>0</v>
      </c>
    </row>
    <row r="31" spans="1:33" ht="15" customHeight="1" x14ac:dyDescent="0.25">
      <c r="A31" s="61"/>
      <c r="B31" s="4"/>
      <c r="D31" s="4"/>
      <c r="F31" s="81"/>
      <c r="G31" s="4"/>
      <c r="H31" s="4"/>
      <c r="I31" s="82"/>
      <c r="J31" s="82"/>
      <c r="K31" s="82"/>
      <c r="L31" s="82"/>
      <c r="M31" s="82"/>
      <c r="N31" s="82"/>
      <c r="O31" s="82"/>
      <c r="P31" s="82"/>
      <c r="Q31" s="82"/>
      <c r="R31" s="82"/>
      <c r="S31" s="82"/>
      <c r="T31" s="82"/>
      <c r="U31" s="82"/>
      <c r="V31" s="82"/>
      <c r="Z31" s="84"/>
      <c r="AA31" s="739"/>
      <c r="AB31" s="739"/>
      <c r="AC31" s="84"/>
    </row>
    <row r="32" spans="1:33" ht="15" customHeight="1" x14ac:dyDescent="0.25">
      <c r="D32" s="83"/>
      <c r="X32" s="8" t="s">
        <v>497</v>
      </c>
      <c r="Z32" s="84"/>
      <c r="AA32" s="739"/>
      <c r="AB32" s="739"/>
      <c r="AC32" s="84"/>
    </row>
    <row r="33" spans="1:33" ht="15" customHeight="1" x14ac:dyDescent="0.25">
      <c r="D33" s="83"/>
      <c r="Z33" s="78" t="s">
        <v>23</v>
      </c>
      <c r="AA33" s="740" t="s">
        <v>336</v>
      </c>
      <c r="AB33" s="740" t="s">
        <v>53</v>
      </c>
      <c r="AC33" s="78" t="s">
        <v>195</v>
      </c>
      <c r="AD33" s="78" t="s">
        <v>354</v>
      </c>
    </row>
    <row r="34" spans="1:33" ht="17.25" customHeight="1" x14ac:dyDescent="0.25">
      <c r="B34" s="8" t="s">
        <v>3</v>
      </c>
      <c r="H34" s="8"/>
      <c r="X34" s="620" t="s">
        <v>125</v>
      </c>
      <c r="Y34" s="620"/>
      <c r="Z34" s="79">
        <f>$Y$9/$Y$7*Z24</f>
        <v>12152.4</v>
      </c>
      <c r="AA34" s="737">
        <f>Z34*(SUM('Shingle Creek'!$B$27:$B$30)+'Shingle Creek'!$B$26*5/7)</f>
        <v>9363.5283634285715</v>
      </c>
      <c r="AB34" s="737">
        <f>SUM($Z34:$Z35)*'Shingle Creek'!$C$11</f>
        <v>1276.002</v>
      </c>
      <c r="AC34" s="79">
        <f>Z34-AB34</f>
        <v>10876.397999999999</v>
      </c>
      <c r="AD34" s="190">
        <f>AA34/Z34</f>
        <v>0.77050857142857143</v>
      </c>
    </row>
    <row r="35" spans="1:33" ht="17.25" customHeight="1" x14ac:dyDescent="0.25">
      <c r="A35" s="9" t="s">
        <v>18</v>
      </c>
      <c r="B35" s="398" t="s">
        <v>522</v>
      </c>
      <c r="C35" s="42"/>
      <c r="D35" s="42"/>
      <c r="E35" s="24"/>
      <c r="F35" s="24"/>
      <c r="G35" s="24"/>
      <c r="H35" s="24"/>
      <c r="I35" s="24"/>
      <c r="J35" s="24"/>
      <c r="K35" s="24"/>
      <c r="L35" s="24"/>
      <c r="M35" s="24"/>
      <c r="N35" s="24"/>
      <c r="O35" s="24"/>
      <c r="P35" s="24"/>
      <c r="Q35" s="24"/>
      <c r="R35" s="24"/>
      <c r="S35" s="24"/>
      <c r="T35" s="49"/>
      <c r="U35" s="49"/>
      <c r="V35" s="24"/>
      <c r="X35" s="620" t="s">
        <v>124</v>
      </c>
      <c r="Y35" s="620"/>
      <c r="Z35" s="79">
        <f>$Y$9/$Y$7*Z25</f>
        <v>16203.199999999999</v>
      </c>
      <c r="AA35" s="737">
        <f>Z35*(SUM('Shingle Creek'!$B$27:$B$30)+'Shingle Creek'!$B$26*5/7)</f>
        <v>12484.704484571428</v>
      </c>
      <c r="AB35" s="738">
        <v>0</v>
      </c>
      <c r="AC35" s="79">
        <f>Z35-AB35</f>
        <v>16203.199999999999</v>
      </c>
      <c r="AD35" s="190">
        <f>AA35/Z35</f>
        <v>0.77050857142857143</v>
      </c>
    </row>
    <row r="36" spans="1:33" ht="17.25" customHeight="1" x14ac:dyDescent="0.25">
      <c r="B36" s="398"/>
      <c r="C36" s="42"/>
      <c r="D36" s="42"/>
      <c r="E36" s="24"/>
      <c r="F36" s="24"/>
      <c r="G36" s="24"/>
      <c r="H36" s="24"/>
      <c r="I36" s="24"/>
      <c r="J36" s="47"/>
      <c r="K36" s="47"/>
      <c r="L36" s="24"/>
      <c r="M36" s="24"/>
      <c r="N36" s="24"/>
      <c r="O36" s="24"/>
      <c r="P36" s="47"/>
      <c r="Q36" s="47"/>
      <c r="R36" s="24"/>
      <c r="S36" s="24"/>
      <c r="T36" s="49"/>
      <c r="U36" s="49"/>
      <c r="V36" s="24"/>
      <c r="Z36" s="84"/>
      <c r="AA36" s="84"/>
      <c r="AB36" s="84"/>
      <c r="AC36" s="84"/>
    </row>
    <row r="37" spans="1:33" ht="15" customHeight="1" x14ac:dyDescent="0.25">
      <c r="A37" s="9" t="s">
        <v>17</v>
      </c>
      <c r="B37" s="624" t="s">
        <v>695</v>
      </c>
      <c r="C37" s="624"/>
      <c r="D37" s="624"/>
      <c r="E37" s="624"/>
      <c r="F37" s="624"/>
      <c r="G37" s="624"/>
      <c r="H37" s="624"/>
      <c r="I37" s="624"/>
      <c r="J37" s="624"/>
      <c r="K37" s="624"/>
      <c r="L37" s="624"/>
      <c r="M37" s="624"/>
      <c r="N37" s="624"/>
      <c r="O37" s="624"/>
      <c r="P37" s="624"/>
      <c r="Q37" s="624"/>
      <c r="R37" s="624"/>
      <c r="S37" s="624"/>
      <c r="T37" s="49"/>
      <c r="U37" s="49"/>
      <c r="V37" s="24"/>
      <c r="X37" s="8" t="s">
        <v>498</v>
      </c>
      <c r="Z37" s="84"/>
      <c r="AA37" s="84"/>
      <c r="AB37" s="84"/>
      <c r="AC37" s="84"/>
    </row>
    <row r="38" spans="1:33" ht="17.25" customHeight="1" x14ac:dyDescent="0.25">
      <c r="B38" s="624"/>
      <c r="C38" s="624"/>
      <c r="D38" s="624"/>
      <c r="E38" s="624"/>
      <c r="F38" s="624"/>
      <c r="G38" s="624"/>
      <c r="H38" s="624"/>
      <c r="I38" s="624"/>
      <c r="J38" s="624"/>
      <c r="K38" s="624"/>
      <c r="L38" s="624"/>
      <c r="M38" s="624"/>
      <c r="N38" s="624"/>
      <c r="O38" s="624"/>
      <c r="P38" s="624"/>
      <c r="Q38" s="624"/>
      <c r="R38" s="624"/>
      <c r="S38" s="624"/>
      <c r="T38" s="49"/>
      <c r="U38" s="49"/>
      <c r="V38" s="24"/>
      <c r="X38" s="620" t="s">
        <v>54</v>
      </c>
      <c r="Y38" s="620"/>
      <c r="Z38" s="620"/>
      <c r="AA38" s="85">
        <v>21.6</v>
      </c>
    </row>
    <row r="39" spans="1:33" ht="15" customHeight="1" x14ac:dyDescent="0.25">
      <c r="B39" s="624"/>
      <c r="C39" s="624"/>
      <c r="D39" s="624"/>
      <c r="E39" s="624"/>
      <c r="F39" s="624"/>
      <c r="G39" s="624"/>
      <c r="H39" s="624"/>
      <c r="I39" s="624"/>
      <c r="J39" s="624"/>
      <c r="K39" s="624"/>
      <c r="L39" s="624"/>
      <c r="M39" s="624"/>
      <c r="N39" s="624"/>
      <c r="O39" s="624"/>
      <c r="P39" s="624"/>
      <c r="Q39" s="624"/>
      <c r="R39" s="624"/>
      <c r="S39" s="624"/>
      <c r="T39" s="405"/>
      <c r="U39" s="405"/>
      <c r="V39" s="189"/>
      <c r="X39" s="621" t="s">
        <v>77</v>
      </c>
      <c r="Y39" s="621"/>
      <c r="Z39" s="621"/>
      <c r="AA39" s="109">
        <f>16.6/60</f>
        <v>0.27666666666666667</v>
      </c>
      <c r="AB39" s="127"/>
    </row>
    <row r="40" spans="1:33" ht="15" customHeight="1" x14ac:dyDescent="0.25">
      <c r="B40" s="733"/>
      <c r="C40" s="733"/>
      <c r="D40" s="733"/>
      <c r="E40" s="733"/>
      <c r="F40" s="733"/>
      <c r="G40" s="733"/>
      <c r="H40" s="733"/>
      <c r="I40" s="733"/>
      <c r="J40" s="733"/>
      <c r="K40" s="733"/>
      <c r="L40" s="733"/>
      <c r="M40" s="733"/>
      <c r="N40" s="733"/>
      <c r="O40" s="733"/>
      <c r="P40" s="733"/>
      <c r="Q40" s="733"/>
      <c r="R40" s="733"/>
      <c r="S40" s="733"/>
      <c r="X40" s="621" t="s">
        <v>56</v>
      </c>
      <c r="Y40" s="621"/>
      <c r="Z40" s="621"/>
      <c r="AA40" s="94">
        <v>0.4</v>
      </c>
    </row>
    <row r="41" spans="1:33" ht="17.25" customHeight="1" x14ac:dyDescent="0.25">
      <c r="A41" s="9" t="s">
        <v>19</v>
      </c>
      <c r="B41" s="734" t="s">
        <v>693</v>
      </c>
      <c r="C41" s="735"/>
      <c r="D41" s="735"/>
      <c r="E41" s="735"/>
      <c r="F41" s="735"/>
      <c r="G41" s="735"/>
      <c r="H41" s="735"/>
      <c r="I41" s="735"/>
      <c r="J41" s="735"/>
      <c r="K41" s="735"/>
      <c r="L41" s="735"/>
      <c r="M41" s="735"/>
      <c r="N41" s="735"/>
      <c r="O41" s="735"/>
      <c r="P41" s="735"/>
      <c r="Q41" s="735"/>
      <c r="R41" s="735"/>
      <c r="S41" s="735"/>
      <c r="V41" s="189"/>
      <c r="AG41" s="95" t="s">
        <v>66</v>
      </c>
    </row>
    <row r="42" spans="1:33" ht="17.25" customHeight="1" x14ac:dyDescent="0.25">
      <c r="C42" s="24"/>
      <c r="D42" s="24"/>
      <c r="E42" s="24"/>
      <c r="F42" s="24"/>
      <c r="G42" s="24"/>
      <c r="H42" s="24"/>
      <c r="I42" s="24"/>
      <c r="J42" s="24"/>
      <c r="K42" s="24"/>
      <c r="L42" s="24"/>
      <c r="M42" s="24"/>
      <c r="N42" s="24"/>
      <c r="O42" s="24"/>
      <c r="P42" s="24"/>
      <c r="Q42" s="24"/>
      <c r="R42" s="24"/>
      <c r="S42" s="24"/>
      <c r="W42" s="24"/>
      <c r="X42" s="8" t="s">
        <v>513</v>
      </c>
      <c r="AG42" s="95" t="s">
        <v>66</v>
      </c>
    </row>
    <row r="43" spans="1:33" ht="15" customHeight="1" x14ac:dyDescent="0.25">
      <c r="A43" s="9" t="s">
        <v>20</v>
      </c>
      <c r="B43" s="624" t="s">
        <v>694</v>
      </c>
      <c r="C43" s="624"/>
      <c r="D43" s="624"/>
      <c r="E43" s="624"/>
      <c r="F43" s="624"/>
      <c r="G43" s="624"/>
      <c r="H43" s="624"/>
      <c r="I43" s="624"/>
      <c r="J43" s="624"/>
      <c r="K43" s="624"/>
      <c r="L43" s="624"/>
      <c r="M43" s="624"/>
      <c r="N43" s="624"/>
      <c r="O43" s="624"/>
      <c r="P43" s="624"/>
      <c r="Q43" s="624"/>
      <c r="R43" s="624"/>
      <c r="S43" s="624"/>
      <c r="T43" s="49"/>
      <c r="U43" s="49"/>
      <c r="W43" s="24"/>
      <c r="X43" s="198" t="s">
        <v>122</v>
      </c>
      <c r="Y43" s="199"/>
      <c r="Z43" s="199"/>
      <c r="AA43" s="139">
        <v>7.2</v>
      </c>
      <c r="AG43" s="95" t="s">
        <v>55</v>
      </c>
    </row>
    <row r="44" spans="1:33" ht="15" customHeight="1" x14ac:dyDescent="0.25">
      <c r="B44" s="624"/>
      <c r="C44" s="624"/>
      <c r="D44" s="624"/>
      <c r="E44" s="624"/>
      <c r="F44" s="624"/>
      <c r="G44" s="624"/>
      <c r="H44" s="624"/>
      <c r="I44" s="624"/>
      <c r="J44" s="624"/>
      <c r="K44" s="624"/>
      <c r="L44" s="624"/>
      <c r="M44" s="624"/>
      <c r="N44" s="624"/>
      <c r="O44" s="624"/>
      <c r="P44" s="624"/>
      <c r="Q44" s="624"/>
      <c r="R44" s="624"/>
      <c r="S44" s="624"/>
      <c r="T44" s="49"/>
      <c r="U44" s="49"/>
      <c r="V44" s="24"/>
      <c r="W44" s="24"/>
      <c r="X44" s="198" t="s">
        <v>123</v>
      </c>
      <c r="Y44" s="199"/>
      <c r="Z44" s="199"/>
      <c r="AA44" s="443">
        <v>6.42</v>
      </c>
      <c r="AC44" s="93"/>
      <c r="AG44" s="95" t="s">
        <v>67</v>
      </c>
    </row>
    <row r="45" spans="1:33" ht="17.25" customHeight="1" x14ac:dyDescent="0.25">
      <c r="J45"/>
      <c r="K45"/>
      <c r="P45"/>
      <c r="Q45"/>
      <c r="T45" s="49"/>
      <c r="U45" s="49"/>
      <c r="V45" s="24"/>
      <c r="W45" s="24"/>
      <c r="AG45" s="95" t="s">
        <v>68</v>
      </c>
    </row>
    <row r="46" spans="1:33" ht="15" customHeight="1" x14ac:dyDescent="0.25">
      <c r="A46" s="9" t="s">
        <v>57</v>
      </c>
      <c r="B46" s="624" t="s">
        <v>523</v>
      </c>
      <c r="C46" s="624"/>
      <c r="D46" s="624"/>
      <c r="E46" s="624"/>
      <c r="F46" s="624"/>
      <c r="G46" s="624"/>
      <c r="H46" s="624"/>
      <c r="I46" s="624"/>
      <c r="J46" s="624"/>
      <c r="K46" s="624"/>
      <c r="L46" s="624"/>
      <c r="M46" s="624"/>
      <c r="N46" s="624"/>
      <c r="O46" s="624"/>
      <c r="P46" s="624"/>
      <c r="Q46" s="624"/>
      <c r="R46" s="624"/>
      <c r="S46" s="624"/>
      <c r="T46" s="49"/>
      <c r="U46" s="49"/>
      <c r="V46" s="24"/>
      <c r="W46" s="24"/>
      <c r="X46" s="8" t="s">
        <v>514</v>
      </c>
      <c r="AG46" s="125"/>
    </row>
    <row r="47" spans="1:33" ht="15" customHeight="1" x14ac:dyDescent="0.25">
      <c r="B47" s="624"/>
      <c r="C47" s="624"/>
      <c r="D47" s="624"/>
      <c r="E47" s="624"/>
      <c r="F47" s="624"/>
      <c r="G47" s="624"/>
      <c r="H47" s="624"/>
      <c r="I47" s="624"/>
      <c r="J47" s="624"/>
      <c r="K47" s="624"/>
      <c r="L47" s="624"/>
      <c r="M47" s="624"/>
      <c r="N47" s="624"/>
      <c r="O47" s="624"/>
      <c r="P47" s="624"/>
      <c r="Q47" s="624"/>
      <c r="R47" s="624"/>
      <c r="S47" s="624"/>
      <c r="T47" s="49"/>
      <c r="U47" s="49"/>
      <c r="V47" s="24"/>
      <c r="W47" s="24"/>
      <c r="X47" s="621" t="s">
        <v>360</v>
      </c>
      <c r="Y47" s="621"/>
      <c r="Z47" s="621"/>
      <c r="AA47" s="86">
        <v>10</v>
      </c>
      <c r="AG47" s="125"/>
    </row>
    <row r="48" spans="1:33" x14ac:dyDescent="0.25">
      <c r="B48" s="398"/>
      <c r="C48" s="42"/>
      <c r="D48" s="42"/>
      <c r="E48" s="24"/>
      <c r="F48" s="24"/>
      <c r="G48" s="24"/>
      <c r="H48" s="24"/>
      <c r="I48" s="24"/>
      <c r="J48" s="24"/>
      <c r="K48" s="24"/>
      <c r="L48" s="24"/>
      <c r="M48" s="24"/>
      <c r="N48" s="24"/>
      <c r="O48" s="24"/>
      <c r="P48" s="24"/>
      <c r="Q48" s="24"/>
      <c r="R48" s="24"/>
      <c r="S48" s="24"/>
      <c r="T48" s="49"/>
      <c r="U48" s="49"/>
      <c r="V48" s="24"/>
      <c r="W48" s="24"/>
      <c r="X48" s="621" t="s">
        <v>58</v>
      </c>
      <c r="Y48" s="621"/>
      <c r="Z48" s="621"/>
      <c r="AA48" s="87">
        <f>365-90</f>
        <v>275</v>
      </c>
      <c r="AG48" s="95" t="s">
        <v>69</v>
      </c>
    </row>
    <row r="49" spans="1:39" ht="15" customHeight="1" x14ac:dyDescent="0.25">
      <c r="A49" s="9" t="s">
        <v>521</v>
      </c>
      <c r="B49" s="624" t="s">
        <v>519</v>
      </c>
      <c r="C49" s="624"/>
      <c r="D49" s="624"/>
      <c r="E49" s="624"/>
      <c r="F49" s="624"/>
      <c r="G49" s="624"/>
      <c r="H49" s="624"/>
      <c r="I49" s="624"/>
      <c r="J49" s="624"/>
      <c r="K49" s="624"/>
      <c r="L49" s="624"/>
      <c r="M49" s="624"/>
      <c r="N49" s="624"/>
      <c r="O49" s="624"/>
      <c r="P49" s="624"/>
      <c r="Q49" s="624"/>
      <c r="R49" s="624"/>
      <c r="S49" s="624"/>
      <c r="T49" s="49"/>
      <c r="U49" s="49"/>
      <c r="W49" s="24"/>
      <c r="X49" s="125"/>
      <c r="Y49" s="125"/>
      <c r="Z49" s="125"/>
      <c r="AA49" s="61"/>
    </row>
    <row r="50" spans="1:39" ht="15" customHeight="1" x14ac:dyDescent="0.25">
      <c r="B50" s="624"/>
      <c r="C50" s="624"/>
      <c r="D50" s="624"/>
      <c r="E50" s="624"/>
      <c r="F50" s="624"/>
      <c r="G50" s="624"/>
      <c r="H50" s="624"/>
      <c r="I50" s="624"/>
      <c r="J50" s="624"/>
      <c r="K50" s="624"/>
      <c r="L50" s="624"/>
      <c r="M50" s="624"/>
      <c r="N50" s="624"/>
      <c r="O50" s="624"/>
      <c r="P50" s="624"/>
      <c r="Q50" s="624"/>
      <c r="R50" s="624"/>
      <c r="S50" s="624"/>
      <c r="W50" s="24"/>
      <c r="X50" s="8" t="s">
        <v>515</v>
      </c>
    </row>
    <row r="51" spans="1:39" ht="18" customHeight="1" x14ac:dyDescent="0.25">
      <c r="B51" s="624"/>
      <c r="C51" s="624"/>
      <c r="D51" s="624"/>
      <c r="E51" s="624"/>
      <c r="F51" s="624"/>
      <c r="G51" s="624"/>
      <c r="H51" s="624"/>
      <c r="I51" s="624"/>
      <c r="J51" s="624"/>
      <c r="K51" s="624"/>
      <c r="L51" s="624"/>
      <c r="M51" s="624"/>
      <c r="N51" s="624"/>
      <c r="O51" s="624"/>
      <c r="P51" s="624"/>
      <c r="Q51" s="624"/>
      <c r="R51" s="624"/>
      <c r="S51" s="624"/>
      <c r="W51" s="24"/>
      <c r="X51" s="621" t="s">
        <v>116</v>
      </c>
      <c r="Y51" s="621"/>
      <c r="Z51" s="621"/>
      <c r="AA51" s="137">
        <v>1.49</v>
      </c>
      <c r="AG51" s="95" t="s">
        <v>70</v>
      </c>
    </row>
    <row r="52" spans="1:39" ht="15" customHeight="1" x14ac:dyDescent="0.25">
      <c r="B52" s="624"/>
      <c r="C52" s="624"/>
      <c r="D52" s="624"/>
      <c r="E52" s="624"/>
      <c r="F52" s="624"/>
      <c r="G52" s="624"/>
      <c r="H52" s="624"/>
      <c r="I52" s="624"/>
      <c r="J52" s="624"/>
      <c r="K52" s="624"/>
      <c r="L52" s="624"/>
      <c r="M52" s="624"/>
      <c r="N52" s="624"/>
      <c r="O52" s="624"/>
      <c r="P52" s="624"/>
      <c r="Q52" s="624"/>
      <c r="R52" s="624"/>
      <c r="S52" s="624"/>
      <c r="V52" s="24"/>
      <c r="W52" s="24"/>
      <c r="X52" s="212" t="s">
        <v>362</v>
      </c>
      <c r="Y52" s="212"/>
      <c r="Z52" s="212"/>
      <c r="AA52" s="137">
        <f>$AA$51*$AC$19</f>
        <v>1.2516</v>
      </c>
      <c r="AG52" s="91" t="s">
        <v>71</v>
      </c>
    </row>
    <row r="53" spans="1:39" x14ac:dyDescent="0.25">
      <c r="B53" s="398"/>
      <c r="C53" s="42"/>
      <c r="D53" s="42"/>
      <c r="E53" s="24"/>
      <c r="F53" s="24"/>
      <c r="G53" s="24"/>
      <c r="H53" s="24"/>
      <c r="I53" s="24"/>
      <c r="J53" s="24"/>
      <c r="K53" s="24"/>
      <c r="L53" s="24"/>
      <c r="M53" s="24"/>
      <c r="N53" s="24"/>
      <c r="O53" s="24"/>
      <c r="P53" s="24"/>
      <c r="Q53" s="24"/>
      <c r="R53" s="24"/>
      <c r="S53" s="24"/>
      <c r="T53" s="49"/>
      <c r="U53" s="24"/>
      <c r="V53" s="24"/>
      <c r="W53" s="24"/>
      <c r="X53" s="212" t="s">
        <v>361</v>
      </c>
      <c r="Y53" s="212"/>
      <c r="Z53" s="212"/>
      <c r="AA53" s="137">
        <f>$AA$51*$AC$18</f>
        <v>0</v>
      </c>
    </row>
    <row r="54" spans="1:39" ht="15" customHeight="1" x14ac:dyDescent="0.25">
      <c r="A54" s="9" t="s">
        <v>524</v>
      </c>
      <c r="B54" s="624" t="s">
        <v>520</v>
      </c>
      <c r="C54" s="624"/>
      <c r="D54" s="624"/>
      <c r="E54" s="624"/>
      <c r="F54" s="624"/>
      <c r="G54" s="624"/>
      <c r="H54" s="624"/>
      <c r="I54" s="624"/>
      <c r="J54" s="624"/>
      <c r="K54" s="624"/>
      <c r="L54" s="624"/>
      <c r="M54" s="624"/>
      <c r="N54" s="624"/>
      <c r="O54" s="624"/>
      <c r="P54" s="624"/>
      <c r="Q54" s="624"/>
      <c r="R54" s="624"/>
      <c r="S54" s="624"/>
      <c r="T54" s="49"/>
      <c r="U54" s="24"/>
      <c r="W54" s="24"/>
      <c r="AH54" s="97"/>
      <c r="AI54" s="97"/>
      <c r="AJ54" s="97"/>
      <c r="AK54" s="97"/>
    </row>
    <row r="55" spans="1:39" x14ac:dyDescent="0.25">
      <c r="B55" s="624"/>
      <c r="C55" s="624"/>
      <c r="D55" s="624"/>
      <c r="E55" s="624"/>
      <c r="F55" s="624"/>
      <c r="G55" s="624"/>
      <c r="H55" s="624"/>
      <c r="I55" s="624"/>
      <c r="J55" s="624"/>
      <c r="K55" s="624"/>
      <c r="L55" s="624"/>
      <c r="M55" s="624"/>
      <c r="N55" s="624"/>
      <c r="O55" s="624"/>
      <c r="P55" s="624"/>
      <c r="Q55" s="624"/>
      <c r="R55" s="624"/>
      <c r="S55" s="624"/>
      <c r="W55" s="24"/>
      <c r="X55" s="8" t="s">
        <v>516</v>
      </c>
      <c r="AG55" s="628" t="s">
        <v>72</v>
      </c>
      <c r="AH55" s="628"/>
      <c r="AI55" s="628"/>
      <c r="AJ55" s="628"/>
      <c r="AK55" s="628"/>
      <c r="AL55" s="628"/>
      <c r="AM55" s="628"/>
    </row>
    <row r="56" spans="1:39" x14ac:dyDescent="0.25">
      <c r="B56" s="624"/>
      <c r="C56" s="624"/>
      <c r="D56" s="624"/>
      <c r="E56" s="624"/>
      <c r="F56" s="624"/>
      <c r="G56" s="624"/>
      <c r="H56" s="624"/>
      <c r="I56" s="624"/>
      <c r="J56" s="624"/>
      <c r="K56" s="624"/>
      <c r="L56" s="624"/>
      <c r="M56" s="624"/>
      <c r="N56" s="624"/>
      <c r="O56" s="624"/>
      <c r="P56" s="624"/>
      <c r="Q56" s="624"/>
      <c r="R56" s="624"/>
      <c r="S56" s="624"/>
      <c r="W56" s="24"/>
      <c r="X56" s="620" t="s">
        <v>59</v>
      </c>
      <c r="Y56" s="620"/>
      <c r="Z56" s="88">
        <v>0.12</v>
      </c>
      <c r="AG56" s="628"/>
      <c r="AH56" s="628"/>
      <c r="AI56" s="628"/>
      <c r="AJ56" s="628"/>
      <c r="AK56" s="628"/>
      <c r="AL56" s="628"/>
      <c r="AM56" s="628"/>
    </row>
    <row r="57" spans="1:39" ht="15" customHeight="1" x14ac:dyDescent="0.25">
      <c r="W57" s="24"/>
      <c r="X57" s="629"/>
      <c r="Y57" s="629"/>
    </row>
    <row r="58" spans="1:39" x14ac:dyDescent="0.25">
      <c r="W58" s="24"/>
      <c r="X58" s="89" t="s">
        <v>517</v>
      </c>
    </row>
    <row r="59" spans="1:39" x14ac:dyDescent="0.25">
      <c r="W59" s="24"/>
      <c r="X59" s="622" t="s">
        <v>75</v>
      </c>
      <c r="Y59" s="623"/>
      <c r="Z59" s="401">
        <v>1.5229999999999999</v>
      </c>
    </row>
    <row r="60" spans="1:39" x14ac:dyDescent="0.25">
      <c r="W60" s="24"/>
      <c r="X60" s="622" t="s">
        <v>533</v>
      </c>
      <c r="Y60" s="623"/>
      <c r="Z60" s="401">
        <v>1.3180000000000001</v>
      </c>
    </row>
    <row r="61" spans="1:39" x14ac:dyDescent="0.25">
      <c r="W61" s="24"/>
      <c r="Z61" s="39"/>
    </row>
    <row r="62" spans="1:39" x14ac:dyDescent="0.25">
      <c r="W62" s="24"/>
      <c r="X62" s="89" t="s">
        <v>499</v>
      </c>
    </row>
    <row r="63" spans="1:39" x14ac:dyDescent="0.25">
      <c r="X63" s="621" t="s">
        <v>60</v>
      </c>
      <c r="Y63" s="621"/>
      <c r="Z63" s="96">
        <v>0</v>
      </c>
    </row>
    <row r="64" spans="1:39" x14ac:dyDescent="0.25">
      <c r="X64" s="621" t="s">
        <v>61</v>
      </c>
      <c r="Y64" s="621"/>
      <c r="Z64" s="96">
        <v>0.75</v>
      </c>
      <c r="AG64" s="91" t="s">
        <v>62</v>
      </c>
    </row>
  </sheetData>
  <mergeCells count="55">
    <mergeCell ref="B49:S52"/>
    <mergeCell ref="B54:S56"/>
    <mergeCell ref="AG55:AM56"/>
    <mergeCell ref="X35:Y35"/>
    <mergeCell ref="X38:Z38"/>
    <mergeCell ref="X40:Z40"/>
    <mergeCell ref="X47:Z47"/>
    <mergeCell ref="X48:Z48"/>
    <mergeCell ref="X51:Z51"/>
    <mergeCell ref="X56:Y56"/>
    <mergeCell ref="B46:S47"/>
    <mergeCell ref="B37:S39"/>
    <mergeCell ref="B43:S44"/>
    <mergeCell ref="X57:Y57"/>
    <mergeCell ref="X59:Y59"/>
    <mergeCell ref="X60:Y60"/>
    <mergeCell ref="X63:Y63"/>
    <mergeCell ref="X64:Y64"/>
    <mergeCell ref="X17:Z17"/>
    <mergeCell ref="X18:AA18"/>
    <mergeCell ref="X19:AA19"/>
    <mergeCell ref="X39:Z39"/>
    <mergeCell ref="X24:Y24"/>
    <mergeCell ref="X25:Y25"/>
    <mergeCell ref="X29:Y29"/>
    <mergeCell ref="X30:Y30"/>
    <mergeCell ref="X34:Y34"/>
    <mergeCell ref="T5:T6"/>
    <mergeCell ref="U5:U6"/>
    <mergeCell ref="V5:V6"/>
    <mergeCell ref="X15:Z15"/>
    <mergeCell ref="X16:Z16"/>
    <mergeCell ref="N5:N6"/>
    <mergeCell ref="O5:O6"/>
    <mergeCell ref="P5:P6"/>
    <mergeCell ref="Q5:Q6"/>
    <mergeCell ref="S5:S6"/>
    <mergeCell ref="R5:R6"/>
    <mergeCell ref="C4:E4"/>
    <mergeCell ref="F4:H4"/>
    <mergeCell ref="I4:N4"/>
    <mergeCell ref="O4:T4"/>
    <mergeCell ref="U4:V4"/>
    <mergeCell ref="B5:B6"/>
    <mergeCell ref="C5:C6"/>
    <mergeCell ref="D5:D6"/>
    <mergeCell ref="E5:E6"/>
    <mergeCell ref="F5:F6"/>
    <mergeCell ref="L5:L6"/>
    <mergeCell ref="M5:M6"/>
    <mergeCell ref="G5:G6"/>
    <mergeCell ref="H5:H6"/>
    <mergeCell ref="I5:I6"/>
    <mergeCell ref="J5:J6"/>
    <mergeCell ref="K5:K6"/>
  </mergeCells>
  <pageMargins left="0.7" right="0.7" top="0.75" bottom="0.75" header="0.3" footer="0.3"/>
  <pageSetup scale="27" orientation="portrait" horizontalDpi="300" verticalDpi="1200" r:id="rId1"/>
  <colBreaks count="2" manualBreakCount="2">
    <brk id="22" max="65" man="1"/>
    <brk id="32" max="6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14</vt:i4>
      </vt:variant>
    </vt:vector>
  </HeadingPairs>
  <TitlesOfParts>
    <vt:vector size="39" baseType="lpstr">
      <vt:lpstr>Project Data and Assumptions</vt:lpstr>
      <vt:lpstr>Trail Project Summary</vt:lpstr>
      <vt:lpstr>BCA Summary</vt:lpstr>
      <vt:lpstr>QoL Benefits - BCRT</vt:lpstr>
      <vt:lpstr>QoL Benefits - CP South RT</vt:lpstr>
      <vt:lpstr>QoL Benefits - CP North RT</vt:lpstr>
      <vt:lpstr>QoL Benefits - Eagle RT</vt:lpstr>
      <vt:lpstr>QoL Benefits - Med Lake RT</vt:lpstr>
      <vt:lpstr>QoL Benefits - Shingle Crk NAR</vt:lpstr>
      <vt:lpstr>QoL Benefits - Twin Lakes RT</vt:lpstr>
      <vt:lpstr>Air Quality</vt:lpstr>
      <vt:lpstr>Operating Cost Savings</vt:lpstr>
      <vt:lpstr>Operation and Maintenance</vt:lpstr>
      <vt:lpstr>Capital Costs</vt:lpstr>
      <vt:lpstr>VMT Change</vt:lpstr>
      <vt:lpstr>Project Costs</vt:lpstr>
      <vt:lpstr>Cost Est. Breakdown</vt:lpstr>
      <vt:lpstr>Original Build Years</vt:lpstr>
      <vt:lpstr>Trail Lengths</vt:lpstr>
      <vt:lpstr>Users per Mile</vt:lpstr>
      <vt:lpstr>Annual Use</vt:lpstr>
      <vt:lpstr>Bassett Creek</vt:lpstr>
      <vt:lpstr>Med Lake</vt:lpstr>
      <vt:lpstr>Shingle Creek</vt:lpstr>
      <vt:lpstr>District</vt:lpstr>
      <vt:lpstr>'Air Quality'!Print_Area</vt:lpstr>
      <vt:lpstr>'BCA Summary'!Print_Area</vt:lpstr>
      <vt:lpstr>'Capital Costs'!Print_Area</vt:lpstr>
      <vt:lpstr>'Operating Cost Savings'!Print_Area</vt:lpstr>
      <vt:lpstr>'Operation and Maintenance'!Print_Area</vt:lpstr>
      <vt:lpstr>'Project Data and Assumptions'!Print_Area</vt:lpstr>
      <vt:lpstr>'QoL Benefits - BCRT'!Print_Area</vt:lpstr>
      <vt:lpstr>'QoL Benefits - CP North RT'!Print_Area</vt:lpstr>
      <vt:lpstr>'QoL Benefits - CP South RT'!Print_Area</vt:lpstr>
      <vt:lpstr>'QoL Benefits - Eagle RT'!Print_Area</vt:lpstr>
      <vt:lpstr>'QoL Benefits - Med Lake RT'!Print_Area</vt:lpstr>
      <vt:lpstr>'QoL Benefits - Shingle Crk NAR'!Print_Area</vt:lpstr>
      <vt:lpstr>'QoL Benefits - Twin Lakes RT'!Print_Area</vt:lpstr>
      <vt:lpstr>'VMT Change'!Print_Area</vt:lpstr>
    </vt:vector>
  </TitlesOfParts>
  <Company>SRF Consulting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Ryan Loos</dc:creator>
  <cp:lastModifiedBy>Nick Semeja</cp:lastModifiedBy>
  <cp:lastPrinted>2019-07-11T18:57:14Z</cp:lastPrinted>
  <dcterms:created xsi:type="dcterms:W3CDTF">2013-05-17T20:57:43Z</dcterms:created>
  <dcterms:modified xsi:type="dcterms:W3CDTF">2023-02-27T16:53:43Z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am_Crash_Cost" linkTarget="Prop_Dam_Crash_Cost">
    <vt:r8>0</vt:r8>
  </property>
</Properties>
</file>