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vs-corp\Corpcommon\Marketing\Proposals\2022 Proposals\15249.PP SRST Transportation Services\RAISE\BIA 3\"/>
    </mc:Choice>
  </mc:AlternateContent>
  <xr:revisionPtr revIDLastSave="0" documentId="13_ncr:1_{322BC4BE-A26C-468D-B118-2AAC7C74F863}" xr6:coauthVersionLast="47" xr6:coauthVersionMax="47" xr10:uidLastSave="{00000000-0000-0000-0000-000000000000}"/>
  <bookViews>
    <workbookView xWindow="-25320" yWindow="-120" windowWidth="25440" windowHeight="15390" tabRatio="849" activeTab="1" xr2:uid="{00000000-000D-0000-FFFF-FFFF00000000}"/>
  </bookViews>
  <sheets>
    <sheet name="Assumptions" sheetId="51" r:id="rId1"/>
    <sheet name="BCA Summary" sheetId="12" r:id="rId2"/>
    <sheet name="Travel Time Cost - Construction" sheetId="64" r:id="rId3"/>
    <sheet name="Travel Time Cost Savings" sheetId="75" r:id="rId4"/>
    <sheet name="Operating Cost Savings" sheetId="63" r:id="rId5"/>
    <sheet name="Operating Cost-Roughness" sheetId="71" state="hidden" r:id="rId6"/>
    <sheet name="Operation and Maintenance" sheetId="48" r:id="rId7"/>
    <sheet name="Capital Costs and RCV Calc" sheetId="8" r:id="rId8"/>
    <sheet name="Travel" sheetId="76" r:id="rId9"/>
  </sheets>
  <externalReferences>
    <externalReference r:id="rId10"/>
    <externalReference r:id="rId11"/>
  </externalReferences>
  <definedNames>
    <definedName name="ADTCurrent">Assumptions!$H$4</definedName>
    <definedName name="ADTFuture">Assumptions!$H$5</definedName>
    <definedName name="BCAnalysisPeriod">[1]Assumptions!#REF!</definedName>
    <definedName name="_xlnm.Print_Area" localSheetId="0">Assumptions!$B$2:$J$44</definedName>
    <definedName name="_xlnm.Print_Area" localSheetId="1">'BCA Summary'!$A$1:$M$38</definedName>
    <definedName name="_xlnm.Print_Area" localSheetId="7">'Capital Costs and RCV Calc'!$A$2:$M$34</definedName>
    <definedName name="_xlnm.Print_Area" localSheetId="4">'Operating Cost Savings'!$A$2:$M$49</definedName>
    <definedName name="_xlnm.Print_Area" localSheetId="5">'Operating Cost-Roughness'!$A$2:$N$60</definedName>
    <definedName name="_xlnm.Print_Area" localSheetId="6">'Operation and Maintenance'!$A$2:$G$43</definedName>
    <definedName name="_xlnm.Print_Area" localSheetId="2">'Travel Time Cost - Construction'!$A$2:$N$52</definedName>
    <definedName name="_xlnm.Print_Area" localSheetId="3">'Travel Time Cost Savings'!$A$2:$M$49</definedName>
    <definedName name="projectlength">Travel!$A$1</definedName>
    <definedName name="StartYear">[2]Assumptions!#REF!</definedName>
    <definedName name="TruckCost">[1]Assumptions!#REF!</definedName>
    <definedName name="YearOfConstruction">Assumptions!$D$5</definedName>
    <definedName name="YearOfFailure">'Travel Time Cost Savings'!$L$26</definedName>
    <definedName name="yrofanalysis">Assumptions!#REF!</definedName>
    <definedName name="yrofcurrentdollars">Assumptions!#REF!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48" l="1"/>
  <c r="D8" i="48"/>
  <c r="J7" i="8" l="1"/>
  <c r="F7" i="12" l="1"/>
  <c r="I7" i="12" s="1"/>
  <c r="L28" i="12"/>
  <c r="L27" i="12"/>
  <c r="L26" i="12"/>
  <c r="L25" i="12"/>
  <c r="L24" i="12"/>
  <c r="L23" i="12"/>
  <c r="L22" i="12"/>
  <c r="L21" i="12"/>
  <c r="L20" i="12"/>
  <c r="L19" i="12"/>
  <c r="L18" i="12"/>
  <c r="L17" i="12"/>
  <c r="L16" i="12"/>
  <c r="L15" i="12"/>
  <c r="L14" i="12"/>
  <c r="L13" i="12"/>
  <c r="L12" i="12"/>
  <c r="L11" i="12"/>
  <c r="L10" i="12"/>
  <c r="L9" i="12"/>
  <c r="L7" i="12"/>
  <c r="C6" i="64" a="1"/>
  <c r="C6" i="64" s="1"/>
  <c r="D6" i="64" a="1"/>
  <c r="D6" i="64" s="1"/>
  <c r="D6" i="63" a="1"/>
  <c r="D6" i="63" s="1"/>
  <c r="C6" i="63" a="1"/>
  <c r="C6" i="63" s="1"/>
  <c r="AJ7" i="71"/>
  <c r="AJ8" i="71"/>
  <c r="AJ9" i="71"/>
  <c r="AJ10" i="71"/>
  <c r="AJ6" i="71"/>
  <c r="A8" i="76"/>
  <c r="A7" i="76"/>
  <c r="A6" i="76"/>
  <c r="A5" i="76"/>
  <c r="D6" i="75"/>
  <c r="C6" i="75"/>
  <c r="K23" i="75"/>
  <c r="K24" i="63" s="1"/>
  <c r="K22" i="75"/>
  <c r="K23" i="63" s="1"/>
  <c r="A1" i="76" l="1"/>
  <c r="D3" i="76" s="1"/>
  <c r="K22" i="64"/>
  <c r="K23" i="64"/>
  <c r="E23" i="71"/>
  <c r="F24" i="71"/>
  <c r="E24" i="71"/>
  <c r="E25" i="71"/>
  <c r="J7" i="48"/>
  <c r="C7" i="48" s="1"/>
  <c r="K7" i="48"/>
  <c r="L11" i="75"/>
  <c r="L10" i="75" s="1"/>
  <c r="L7" i="75"/>
  <c r="B7" i="75"/>
  <c r="L6" i="75"/>
  <c r="B3" i="76" l="1"/>
  <c r="B8" i="75"/>
  <c r="C7" i="75"/>
  <c r="D7" i="75"/>
  <c r="C3" i="76"/>
  <c r="C6" i="76"/>
  <c r="C8" i="76" s="1"/>
  <c r="D5" i="76"/>
  <c r="D7" i="76" s="1"/>
  <c r="B6" i="76"/>
  <c r="D6" i="76"/>
  <c r="D8" i="76" s="1"/>
  <c r="B5" i="76"/>
  <c r="C5" i="76"/>
  <c r="C7" i="76" s="1"/>
  <c r="G24" i="71"/>
  <c r="L18" i="75"/>
  <c r="B8" i="48"/>
  <c r="B7" i="71"/>
  <c r="L22" i="71"/>
  <c r="L36" i="71" s="1"/>
  <c r="L48" i="71" s="1"/>
  <c r="L38" i="71"/>
  <c r="L35" i="71"/>
  <c r="L34" i="71"/>
  <c r="B9" i="48" l="1"/>
  <c r="C9" i="48" s="1"/>
  <c r="B9" i="75"/>
  <c r="C8" i="75"/>
  <c r="E8" i="75" s="1"/>
  <c r="D8" i="75"/>
  <c r="F8" i="75" s="1"/>
  <c r="L22" i="75"/>
  <c r="M22" i="64"/>
  <c r="B7" i="76"/>
  <c r="M23" i="63"/>
  <c r="L23" i="63"/>
  <c r="M23" i="64"/>
  <c r="L23" i="75"/>
  <c r="M24" i="63"/>
  <c r="B8" i="76"/>
  <c r="L24" i="63"/>
  <c r="E6" i="75"/>
  <c r="F7" i="75"/>
  <c r="D7" i="48"/>
  <c r="B10" i="48"/>
  <c r="C10" i="48" s="1"/>
  <c r="D9" i="48"/>
  <c r="F6" i="75"/>
  <c r="E7" i="75"/>
  <c r="L41" i="71"/>
  <c r="L40" i="71"/>
  <c r="L37" i="71"/>
  <c r="L50" i="71"/>
  <c r="L47" i="71"/>
  <c r="L53" i="71" s="1"/>
  <c r="L46" i="71"/>
  <c r="L52" i="71" s="1"/>
  <c r="L26" i="71"/>
  <c r="L21" i="71"/>
  <c r="L29" i="71" s="1"/>
  <c r="L20" i="71"/>
  <c r="L28" i="71" s="1"/>
  <c r="B10" i="75" l="1"/>
  <c r="D9" i="75"/>
  <c r="F9" i="75" s="1"/>
  <c r="C9" i="75"/>
  <c r="E9" i="75" s="1"/>
  <c r="G9" i="75" s="1"/>
  <c r="H9" i="75" s="1"/>
  <c r="M22" i="75"/>
  <c r="L22" i="64"/>
  <c r="L23" i="64"/>
  <c r="M23" i="75"/>
  <c r="G7" i="75"/>
  <c r="H7" i="75" s="1"/>
  <c r="G6" i="75"/>
  <c r="G8" i="75"/>
  <c r="H8" i="75" s="1"/>
  <c r="E9" i="48"/>
  <c r="B11" i="48"/>
  <c r="C11" i="48" s="1"/>
  <c r="D10" i="48"/>
  <c r="Z12" i="71"/>
  <c r="AA12" i="71"/>
  <c r="AB12" i="71"/>
  <c r="AC12" i="71"/>
  <c r="Y12" i="71"/>
  <c r="Z11" i="71"/>
  <c r="AA11" i="71"/>
  <c r="AB11" i="71"/>
  <c r="AC11" i="71"/>
  <c r="Y11" i="71"/>
  <c r="B11" i="75" l="1"/>
  <c r="C10" i="75"/>
  <c r="E10" i="75" s="1"/>
  <c r="D10" i="75"/>
  <c r="F10" i="75" s="1"/>
  <c r="H6" i="75"/>
  <c r="C7" i="12"/>
  <c r="E10" i="48"/>
  <c r="B12" i="48"/>
  <c r="C12" i="48" s="1"/>
  <c r="D11" i="48"/>
  <c r="G10" i="75" l="1"/>
  <c r="H10" i="75" s="1"/>
  <c r="B12" i="75"/>
  <c r="D11" i="75"/>
  <c r="F11" i="75" s="1"/>
  <c r="C11" i="75"/>
  <c r="E11" i="75" s="1"/>
  <c r="E11" i="48"/>
  <c r="B13" i="48"/>
  <c r="C13" i="48" s="1"/>
  <c r="D12" i="48"/>
  <c r="G11" i="75" l="1"/>
  <c r="H11" i="75" s="1"/>
  <c r="B13" i="75"/>
  <c r="C12" i="75"/>
  <c r="E12" i="75" s="1"/>
  <c r="D12" i="75"/>
  <c r="F12" i="75" s="1"/>
  <c r="E12" i="48"/>
  <c r="B14" i="48"/>
  <c r="C14" i="48" s="1"/>
  <c r="D13" i="48"/>
  <c r="G12" i="75" l="1"/>
  <c r="H12" i="75" s="1"/>
  <c r="B14" i="75"/>
  <c r="C13" i="75"/>
  <c r="E13" i="75" s="1"/>
  <c r="D13" i="75"/>
  <c r="F13" i="75" s="1"/>
  <c r="E13" i="48"/>
  <c r="B15" i="48"/>
  <c r="C15" i="48" s="1"/>
  <c r="D14" i="48"/>
  <c r="E14" i="48"/>
  <c r="D7" i="51"/>
  <c r="D9" i="51" s="1"/>
  <c r="D7" i="8" l="1"/>
  <c r="L7" i="8"/>
  <c r="G13" i="75"/>
  <c r="H13" i="75" s="1"/>
  <c r="B15" i="75"/>
  <c r="D14" i="75"/>
  <c r="F14" i="75" s="1"/>
  <c r="C14" i="75"/>
  <c r="E14" i="75" s="1"/>
  <c r="B16" i="48"/>
  <c r="C16" i="48" s="1"/>
  <c r="D15" i="48"/>
  <c r="L12" i="71"/>
  <c r="G14" i="75" l="1"/>
  <c r="H14" i="75" s="1"/>
  <c r="B16" i="75"/>
  <c r="D15" i="75"/>
  <c r="F15" i="75" s="1"/>
  <c r="C15" i="75"/>
  <c r="E15" i="75" s="1"/>
  <c r="E15" i="48"/>
  <c r="B17" i="48"/>
  <c r="C17" i="48" s="1"/>
  <c r="D16" i="48"/>
  <c r="F9" i="48"/>
  <c r="F10" i="48"/>
  <c r="L49" i="71"/>
  <c r="L25" i="71"/>
  <c r="AE6" i="71"/>
  <c r="AF6" i="71"/>
  <c r="AG6" i="71"/>
  <c r="AH6" i="71"/>
  <c r="AI6" i="71"/>
  <c r="AE7" i="71"/>
  <c r="AF7" i="71"/>
  <c r="AG7" i="71"/>
  <c r="AH7" i="71"/>
  <c r="AI7" i="71"/>
  <c r="AE8" i="71"/>
  <c r="AF8" i="71"/>
  <c r="AG8" i="71"/>
  <c r="AH8" i="71"/>
  <c r="AI8" i="71"/>
  <c r="AE9" i="71"/>
  <c r="AF9" i="71"/>
  <c r="AG9" i="71"/>
  <c r="AH9" i="71"/>
  <c r="AI9" i="71"/>
  <c r="AE10" i="71"/>
  <c r="AF10" i="71"/>
  <c r="AG10" i="71"/>
  <c r="AH10" i="71"/>
  <c r="AI10" i="71"/>
  <c r="X15" i="71"/>
  <c r="X16" i="71"/>
  <c r="G15" i="75" l="1"/>
  <c r="H15" i="75" s="1"/>
  <c r="B17" i="75"/>
  <c r="D16" i="75"/>
  <c r="F16" i="75" s="1"/>
  <c r="C16" i="75"/>
  <c r="E16" i="75" s="1"/>
  <c r="E16" i="48"/>
  <c r="B18" i="48"/>
  <c r="C18" i="48" s="1"/>
  <c r="D17" i="48"/>
  <c r="E17" i="48"/>
  <c r="AK6" i="71"/>
  <c r="AL6" i="71" s="1"/>
  <c r="AK10" i="71"/>
  <c r="AL10" i="71" s="1"/>
  <c r="AK8" i="71"/>
  <c r="AL8" i="71" s="1"/>
  <c r="AK9" i="71"/>
  <c r="AL9" i="71" s="1"/>
  <c r="AK7" i="71"/>
  <c r="AL7" i="71" s="1"/>
  <c r="G16" i="75" l="1"/>
  <c r="H16" i="75" s="1"/>
  <c r="B18" i="75"/>
  <c r="D17" i="75"/>
  <c r="F17" i="75" s="1"/>
  <c r="C17" i="75"/>
  <c r="E17" i="75" s="1"/>
  <c r="B19" i="48"/>
  <c r="C19" i="48" s="1"/>
  <c r="D18" i="48"/>
  <c r="G17" i="75" l="1"/>
  <c r="H17" i="75" s="1"/>
  <c r="B19" i="75"/>
  <c r="D18" i="75"/>
  <c r="F18" i="75" s="1"/>
  <c r="C18" i="75"/>
  <c r="E18" i="75" s="1"/>
  <c r="E18" i="48"/>
  <c r="B20" i="48"/>
  <c r="C20" i="48" s="1"/>
  <c r="D19" i="48"/>
  <c r="L11" i="71"/>
  <c r="G18" i="75" l="1"/>
  <c r="H18" i="75" s="1"/>
  <c r="B20" i="75"/>
  <c r="C19" i="75"/>
  <c r="E19" i="75" s="1"/>
  <c r="D19" i="75"/>
  <c r="F19" i="75" s="1"/>
  <c r="E19" i="48"/>
  <c r="B21" i="48"/>
  <c r="C21" i="48" s="1"/>
  <c r="D20" i="48"/>
  <c r="E20" i="48" s="1"/>
  <c r="B8" i="71"/>
  <c r="L11" i="64"/>
  <c r="L10" i="64" s="1"/>
  <c r="L7" i="64"/>
  <c r="L6" i="64"/>
  <c r="B7" i="64"/>
  <c r="G19" i="75" l="1"/>
  <c r="H19" i="75" s="1"/>
  <c r="B21" i="75"/>
  <c r="C20" i="75"/>
  <c r="E20" i="75" s="1"/>
  <c r="D20" i="75"/>
  <c r="F20" i="75" s="1"/>
  <c r="D7" i="64" a="1"/>
  <c r="D7" i="64" s="1"/>
  <c r="C7" i="64" a="1"/>
  <c r="C7" i="64" s="1"/>
  <c r="B22" i="48"/>
  <c r="C22" i="48" s="1"/>
  <c r="D21" i="48"/>
  <c r="B8" i="64"/>
  <c r="B9" i="71"/>
  <c r="L18" i="64"/>
  <c r="L15" i="63"/>
  <c r="L14" i="63" s="1"/>
  <c r="L19" i="63" s="1"/>
  <c r="L7" i="63"/>
  <c r="X12" i="71" s="1"/>
  <c r="L6" i="63"/>
  <c r="X11" i="71" s="1"/>
  <c r="G20" i="75" l="1"/>
  <c r="H20" i="75" s="1"/>
  <c r="B22" i="75"/>
  <c r="C21" i="75"/>
  <c r="E21" i="75" s="1"/>
  <c r="D21" i="75"/>
  <c r="F21" i="75" s="1"/>
  <c r="C8" i="64" a="1"/>
  <c r="C8" i="64" s="1"/>
  <c r="D8" i="64" a="1"/>
  <c r="D8" i="64" s="1"/>
  <c r="E21" i="48"/>
  <c r="B23" i="48"/>
  <c r="C23" i="48" s="1"/>
  <c r="D22" i="48"/>
  <c r="E22" i="48"/>
  <c r="B9" i="64"/>
  <c r="F8" i="64"/>
  <c r="E8" i="64"/>
  <c r="E6" i="64"/>
  <c r="F6" i="64"/>
  <c r="E7" i="64"/>
  <c r="F7" i="64"/>
  <c r="AE11" i="71"/>
  <c r="AH11" i="71"/>
  <c r="AG11" i="71"/>
  <c r="AI11" i="71"/>
  <c r="AJ11" i="71" s="1"/>
  <c r="AF11" i="71"/>
  <c r="AE12" i="71"/>
  <c r="AH12" i="71"/>
  <c r="AI12" i="71"/>
  <c r="AJ12" i="71" s="1"/>
  <c r="AF12" i="71"/>
  <c r="AG12" i="71"/>
  <c r="B10" i="71"/>
  <c r="B7" i="63"/>
  <c r="G21" i="75" l="1"/>
  <c r="H21" i="75" s="1"/>
  <c r="C7" i="63" a="1"/>
  <c r="C7" i="63" s="1"/>
  <c r="D7" i="63" a="1"/>
  <c r="D7" i="63" s="1"/>
  <c r="B23" i="75"/>
  <c r="C22" i="75"/>
  <c r="E22" i="75" s="1"/>
  <c r="D22" i="75"/>
  <c r="F22" i="75" s="1"/>
  <c r="C9" i="64" a="1"/>
  <c r="C9" i="64" s="1"/>
  <c r="E9" i="64" s="1"/>
  <c r="D9" i="64" a="1"/>
  <c r="D9" i="64" s="1"/>
  <c r="F9" i="64" s="1"/>
  <c r="G6" i="64"/>
  <c r="G8" i="64"/>
  <c r="H8" i="64" s="1"/>
  <c r="B24" i="48"/>
  <c r="C24" i="48" s="1"/>
  <c r="D23" i="48"/>
  <c r="B10" i="64"/>
  <c r="G7" i="64"/>
  <c r="H7" i="64" s="1"/>
  <c r="AK11" i="71"/>
  <c r="AL11" i="71" s="1"/>
  <c r="L6" i="71" s="1"/>
  <c r="AK12" i="71"/>
  <c r="AL12" i="71" s="1"/>
  <c r="L7" i="71" s="1"/>
  <c r="B11" i="71"/>
  <c r="B8" i="63"/>
  <c r="G22" i="75" l="1"/>
  <c r="H22" i="75" s="1"/>
  <c r="C8" i="63" a="1"/>
  <c r="C8" i="63" s="1"/>
  <c r="D8" i="63" a="1"/>
  <c r="D8" i="63" s="1"/>
  <c r="B24" i="75"/>
  <c r="C23" i="75"/>
  <c r="E23" i="75" s="1"/>
  <c r="D23" i="75"/>
  <c r="F23" i="75" s="1"/>
  <c r="H6" i="64"/>
  <c r="D7" i="12"/>
  <c r="D10" i="64" a="1"/>
  <c r="D10" i="64" s="1"/>
  <c r="F10" i="64" s="1"/>
  <c r="C10" i="64" a="1"/>
  <c r="C10" i="64" s="1"/>
  <c r="E10" i="64" s="1"/>
  <c r="E23" i="48"/>
  <c r="B25" i="48"/>
  <c r="C25" i="48" s="1"/>
  <c r="D24" i="48"/>
  <c r="E24" i="48" s="1"/>
  <c r="G9" i="64"/>
  <c r="H9" i="64" s="1"/>
  <c r="B11" i="64"/>
  <c r="B12" i="71"/>
  <c r="B9" i="63"/>
  <c r="G23" i="75" l="1"/>
  <c r="H23" i="75" s="1"/>
  <c r="D9" i="63" a="1"/>
  <c r="D9" i="63" s="1"/>
  <c r="C9" i="63" a="1"/>
  <c r="C9" i="63" s="1"/>
  <c r="B25" i="75"/>
  <c r="C24" i="75"/>
  <c r="E24" i="75" s="1"/>
  <c r="D24" i="75"/>
  <c r="F24" i="75" s="1"/>
  <c r="C11" i="64" a="1"/>
  <c r="C11" i="64" s="1"/>
  <c r="E11" i="64" s="1"/>
  <c r="D11" i="64" a="1"/>
  <c r="D11" i="64" s="1"/>
  <c r="F11" i="64" s="1"/>
  <c r="B26" i="48"/>
  <c r="C26" i="48" s="1"/>
  <c r="D25" i="48"/>
  <c r="G10" i="64"/>
  <c r="H10" i="64" s="1"/>
  <c r="B12" i="64"/>
  <c r="B13" i="71"/>
  <c r="B10" i="63"/>
  <c r="G24" i="75" l="1"/>
  <c r="H24" i="75" s="1"/>
  <c r="D10" i="63" a="1"/>
  <c r="D10" i="63" s="1"/>
  <c r="C10" i="63" a="1"/>
  <c r="C10" i="63" s="1"/>
  <c r="B26" i="75"/>
  <c r="C25" i="75"/>
  <c r="E25" i="75" s="1"/>
  <c r="D25" i="75"/>
  <c r="F25" i="75" s="1"/>
  <c r="G25" i="75" s="1"/>
  <c r="H25" i="75" s="1"/>
  <c r="C12" i="64" a="1"/>
  <c r="C12" i="64" s="1"/>
  <c r="E12" i="64" s="1"/>
  <c r="D12" i="64" a="1"/>
  <c r="D12" i="64" s="1"/>
  <c r="F12" i="64" s="1"/>
  <c r="E25" i="48"/>
  <c r="B27" i="48"/>
  <c r="C27" i="48" s="1"/>
  <c r="D26" i="48"/>
  <c r="B13" i="64"/>
  <c r="G11" i="64"/>
  <c r="H11" i="64" s="1"/>
  <c r="B14" i="71"/>
  <c r="B11" i="63"/>
  <c r="C11" i="63" l="1" a="1"/>
  <c r="C11" i="63" s="1"/>
  <c r="D11" i="63" a="1"/>
  <c r="D11" i="63" s="1"/>
  <c r="B27" i="75"/>
  <c r="C26" i="75"/>
  <c r="E26" i="75" s="1"/>
  <c r="D26" i="75"/>
  <c r="F26" i="75" s="1"/>
  <c r="D13" i="64" a="1"/>
  <c r="D13" i="64" s="1"/>
  <c r="F13" i="64" s="1"/>
  <c r="C13" i="64" a="1"/>
  <c r="C13" i="64" s="1"/>
  <c r="E13" i="64" s="1"/>
  <c r="G12" i="64"/>
  <c r="H12" i="64" s="1"/>
  <c r="E26" i="48"/>
  <c r="B28" i="48"/>
  <c r="C28" i="48" s="1"/>
  <c r="D27" i="48"/>
  <c r="B14" i="64"/>
  <c r="B15" i="71"/>
  <c r="B12" i="63"/>
  <c r="G26" i="75" l="1"/>
  <c r="H26" i="75" s="1"/>
  <c r="C12" i="63" a="1"/>
  <c r="C12" i="63" s="1"/>
  <c r="D12" i="63" a="1"/>
  <c r="D12" i="63" s="1"/>
  <c r="C27" i="75"/>
  <c r="E27" i="75" s="1"/>
  <c r="D27" i="75"/>
  <c r="F27" i="75" s="1"/>
  <c r="C14" i="64" a="1"/>
  <c r="C14" i="64" s="1"/>
  <c r="E14" i="64" s="1"/>
  <c r="D14" i="64" a="1"/>
  <c r="D14" i="64" s="1"/>
  <c r="F14" i="64" s="1"/>
  <c r="E27" i="48"/>
  <c r="D28" i="48"/>
  <c r="G13" i="64"/>
  <c r="H13" i="64" s="1"/>
  <c r="B15" i="64"/>
  <c r="B16" i="71"/>
  <c r="B13" i="63"/>
  <c r="L15" i="71"/>
  <c r="G27" i="75" l="1"/>
  <c r="H27" i="75" s="1"/>
  <c r="H28" i="75" s="1"/>
  <c r="D13" i="63" a="1"/>
  <c r="D13" i="63" s="1"/>
  <c r="C13" i="63" a="1"/>
  <c r="C13" i="63" s="1"/>
  <c r="D15" i="64" a="1"/>
  <c r="D15" i="64" s="1"/>
  <c r="F15" i="64" s="1"/>
  <c r="C15" i="64" a="1"/>
  <c r="C15" i="64" s="1"/>
  <c r="E15" i="64" s="1"/>
  <c r="G14" i="64"/>
  <c r="H14" i="64" s="1"/>
  <c r="E28" i="48"/>
  <c r="E29" i="48" s="1"/>
  <c r="B16" i="64"/>
  <c r="B17" i="71"/>
  <c r="E18" i="71"/>
  <c r="B14" i="63"/>
  <c r="C16" i="64" l="1" a="1"/>
  <c r="C16" i="64" s="1"/>
  <c r="E16" i="64" s="1"/>
  <c r="D16" i="64" a="1"/>
  <c r="D16" i="64" s="1"/>
  <c r="F16" i="64" s="1"/>
  <c r="G15" i="64"/>
  <c r="H15" i="64" s="1"/>
  <c r="B17" i="64"/>
  <c r="F17" i="71"/>
  <c r="B18" i="71"/>
  <c r="E7" i="71"/>
  <c r="E6" i="71"/>
  <c r="E8" i="71"/>
  <c r="F6" i="71"/>
  <c r="E10" i="71"/>
  <c r="F8" i="71"/>
  <c r="F7" i="71"/>
  <c r="E9" i="71"/>
  <c r="F9" i="71"/>
  <c r="F10" i="71"/>
  <c r="E12" i="71"/>
  <c r="F11" i="71"/>
  <c r="E13" i="71"/>
  <c r="E11" i="71"/>
  <c r="F13" i="71"/>
  <c r="F14" i="71"/>
  <c r="F12" i="71"/>
  <c r="E14" i="71"/>
  <c r="E15" i="71"/>
  <c r="F15" i="71"/>
  <c r="E16" i="71"/>
  <c r="F16" i="71"/>
  <c r="E17" i="71"/>
  <c r="B15" i="63"/>
  <c r="E19" i="71"/>
  <c r="C17" i="64" l="1" a="1"/>
  <c r="C17" i="64" s="1"/>
  <c r="E17" i="64" s="1"/>
  <c r="D17" i="64" a="1"/>
  <c r="D17" i="64" s="1"/>
  <c r="F17" i="64" s="1"/>
  <c r="G16" i="64"/>
  <c r="H16" i="64" s="1"/>
  <c r="B18" i="64"/>
  <c r="G17" i="71"/>
  <c r="H17" i="71" s="1"/>
  <c r="G14" i="71"/>
  <c r="H14" i="71" s="1"/>
  <c r="G11" i="71"/>
  <c r="H11" i="71" s="1"/>
  <c r="G9" i="71"/>
  <c r="H9" i="71" s="1"/>
  <c r="F18" i="71"/>
  <c r="G18" i="71" s="1"/>
  <c r="H18" i="71" s="1"/>
  <c r="B19" i="71"/>
  <c r="G6" i="71"/>
  <c r="H6" i="71" s="1"/>
  <c r="G16" i="71"/>
  <c r="H16" i="71" s="1"/>
  <c r="G15" i="71"/>
  <c r="H15" i="71" s="1"/>
  <c r="G13" i="71"/>
  <c r="H13" i="71" s="1"/>
  <c r="G12" i="71"/>
  <c r="H12" i="71" s="1"/>
  <c r="G10" i="71"/>
  <c r="H10" i="71" s="1"/>
  <c r="G8" i="71"/>
  <c r="H8" i="71" s="1"/>
  <c r="G7" i="71"/>
  <c r="H7" i="71" s="1"/>
  <c r="B16" i="63"/>
  <c r="E20" i="71"/>
  <c r="D18" i="64" l="1" a="1"/>
  <c r="D18" i="64" s="1"/>
  <c r="F18" i="64" s="1"/>
  <c r="C18" i="64" a="1"/>
  <c r="C18" i="64" s="1"/>
  <c r="E18" i="64" s="1"/>
  <c r="G17" i="64"/>
  <c r="H17" i="64" s="1"/>
  <c r="B19" i="64"/>
  <c r="F19" i="71"/>
  <c r="G19" i="71" s="1"/>
  <c r="H19" i="71" s="1"/>
  <c r="B20" i="71"/>
  <c r="B17" i="63"/>
  <c r="E21" i="71"/>
  <c r="C19" i="64" l="1" a="1"/>
  <c r="C19" i="64" s="1"/>
  <c r="E19" i="64" s="1"/>
  <c r="D19" i="64" a="1"/>
  <c r="D19" i="64" s="1"/>
  <c r="F19" i="64" s="1"/>
  <c r="G18" i="64"/>
  <c r="H18" i="64" s="1"/>
  <c r="B20" i="64"/>
  <c r="F20" i="71"/>
  <c r="G20" i="71" s="1"/>
  <c r="H20" i="71" s="1"/>
  <c r="B21" i="71"/>
  <c r="B18" i="63"/>
  <c r="E22" i="71"/>
  <c r="C20" i="64" l="1" a="1"/>
  <c r="C20" i="64" s="1"/>
  <c r="E20" i="64" s="1"/>
  <c r="D20" i="64" a="1"/>
  <c r="D20" i="64" s="1"/>
  <c r="F20" i="64" s="1"/>
  <c r="G19" i="64"/>
  <c r="H19" i="64" s="1"/>
  <c r="B21" i="64"/>
  <c r="C8" i="8"/>
  <c r="L8" i="12" s="1"/>
  <c r="M7" i="8"/>
  <c r="B22" i="71"/>
  <c r="B23" i="71" s="1"/>
  <c r="F21" i="71"/>
  <c r="G21" i="71" s="1"/>
  <c r="H21" i="71" s="1"/>
  <c r="B19" i="63"/>
  <c r="C21" i="64" l="1" a="1"/>
  <c r="C21" i="64" s="1"/>
  <c r="E21" i="64" s="1"/>
  <c r="D21" i="64" a="1"/>
  <c r="D21" i="64" s="1"/>
  <c r="F21" i="64" s="1"/>
  <c r="G20" i="64"/>
  <c r="H20" i="64" s="1"/>
  <c r="F23" i="71"/>
  <c r="G23" i="71" s="1"/>
  <c r="H23" i="71" s="1"/>
  <c r="B24" i="71"/>
  <c r="B22" i="64"/>
  <c r="F22" i="71"/>
  <c r="G22" i="71" s="1"/>
  <c r="H22" i="71" s="1"/>
  <c r="B20" i="63"/>
  <c r="E26" i="71"/>
  <c r="C22" i="64" l="1" a="1"/>
  <c r="C22" i="64" s="1"/>
  <c r="D22" i="64" a="1"/>
  <c r="D22" i="64" s="1"/>
  <c r="F22" i="64" s="1"/>
  <c r="B25" i="71"/>
  <c r="F25" i="71" s="1"/>
  <c r="G25" i="71" s="1"/>
  <c r="H25" i="71" s="1"/>
  <c r="H24" i="71"/>
  <c r="G21" i="64"/>
  <c r="H21" i="64" s="1"/>
  <c r="B23" i="64"/>
  <c r="E22" i="64"/>
  <c r="B26" i="71"/>
  <c r="B21" i="63"/>
  <c r="E27" i="71"/>
  <c r="B22" i="63" l="1"/>
  <c r="D23" i="64" a="1"/>
  <c r="D23" i="64" s="1"/>
  <c r="F23" i="64" s="1"/>
  <c r="C23" i="64" a="1"/>
  <c r="C23" i="64" s="1"/>
  <c r="E23" i="64" s="1"/>
  <c r="G22" i="64"/>
  <c r="H22" i="64" s="1"/>
  <c r="B24" i="64"/>
  <c r="B27" i="71"/>
  <c r="F26" i="71"/>
  <c r="G26" i="71" s="1"/>
  <c r="H26" i="71" s="1"/>
  <c r="B23" i="63" l="1"/>
  <c r="C24" i="64" a="1"/>
  <c r="C24" i="64" s="1"/>
  <c r="E24" i="64" s="1"/>
  <c r="D24" i="64" a="1"/>
  <c r="D24" i="64" s="1"/>
  <c r="F24" i="64" s="1"/>
  <c r="B25" i="64"/>
  <c r="G23" i="64"/>
  <c r="H23" i="64" s="1"/>
  <c r="F27" i="71"/>
  <c r="G27" i="71" s="1"/>
  <c r="H27" i="71" s="1"/>
  <c r="H28" i="71" s="1"/>
  <c r="B24" i="63" l="1"/>
  <c r="C25" i="64" a="1"/>
  <c r="C25" i="64" s="1"/>
  <c r="E25" i="64" s="1"/>
  <c r="D25" i="64" a="1"/>
  <c r="D25" i="64" s="1"/>
  <c r="F25" i="64" s="1"/>
  <c r="B26" i="64"/>
  <c r="G24" i="64"/>
  <c r="H24" i="64" s="1"/>
  <c r="B25" i="63" l="1"/>
  <c r="C26" i="64" a="1"/>
  <c r="C26" i="64" s="1"/>
  <c r="E26" i="64" s="1"/>
  <c r="D26" i="64" a="1"/>
  <c r="D26" i="64" s="1"/>
  <c r="F26" i="64" s="1"/>
  <c r="B27" i="64"/>
  <c r="G25" i="64"/>
  <c r="H25" i="64" s="1"/>
  <c r="D14" i="51"/>
  <c r="B26" i="63" l="1"/>
  <c r="C25" i="63" a="1"/>
  <c r="C25" i="63" s="1"/>
  <c r="C27" i="64" a="1"/>
  <c r="C27" i="64" s="1"/>
  <c r="E27" i="64" s="1"/>
  <c r="D27" i="64" a="1"/>
  <c r="D27" i="64" s="1"/>
  <c r="F27" i="64" s="1"/>
  <c r="G26" i="64"/>
  <c r="H26" i="64" s="1"/>
  <c r="D26" i="51"/>
  <c r="L18" i="63" s="1"/>
  <c r="D25" i="51"/>
  <c r="D14" i="63" l="1" a="1"/>
  <c r="D14" i="63" s="1"/>
  <c r="C14" i="63" a="1"/>
  <c r="C14" i="63" s="1"/>
  <c r="C15" i="63" a="1"/>
  <c r="C15" i="63" s="1"/>
  <c r="D15" i="63" a="1"/>
  <c r="D15" i="63" s="1"/>
  <c r="F15" i="63" s="1"/>
  <c r="C16" i="63" a="1"/>
  <c r="C16" i="63" s="1"/>
  <c r="D16" i="63" a="1"/>
  <c r="D16" i="63" s="1"/>
  <c r="D17" i="63" a="1"/>
  <c r="D17" i="63" s="1"/>
  <c r="F17" i="63" s="1"/>
  <c r="C17" i="63" a="1"/>
  <c r="C17" i="63" s="1"/>
  <c r="E17" i="63" s="1"/>
  <c r="D18" i="63" a="1"/>
  <c r="D18" i="63" s="1"/>
  <c r="C18" i="63" a="1"/>
  <c r="C18" i="63" s="1"/>
  <c r="E18" i="63" s="1"/>
  <c r="C19" i="63" a="1"/>
  <c r="C19" i="63" s="1"/>
  <c r="D19" i="63" a="1"/>
  <c r="D19" i="63" s="1"/>
  <c r="F19" i="63" s="1"/>
  <c r="D20" i="63" a="1"/>
  <c r="D20" i="63" s="1"/>
  <c r="C20" i="63" a="1"/>
  <c r="C20" i="63" s="1"/>
  <c r="E20" i="63" s="1"/>
  <c r="D21" i="63" a="1"/>
  <c r="D21" i="63" s="1"/>
  <c r="F21" i="63" s="1"/>
  <c r="C21" i="63" a="1"/>
  <c r="C21" i="63" s="1"/>
  <c r="E21" i="63" s="1"/>
  <c r="D22" i="63" a="1"/>
  <c r="D22" i="63" s="1"/>
  <c r="C22" i="63" a="1"/>
  <c r="C22" i="63" s="1"/>
  <c r="E22" i="63" s="1"/>
  <c r="C23" i="63" a="1"/>
  <c r="C23" i="63" s="1"/>
  <c r="D23" i="63" a="1"/>
  <c r="D23" i="63" s="1"/>
  <c r="F23" i="63" s="1"/>
  <c r="D24" i="63" a="1"/>
  <c r="D24" i="63" s="1"/>
  <c r="C24" i="63" a="1"/>
  <c r="C24" i="63" s="1"/>
  <c r="D25" i="63" a="1"/>
  <c r="D25" i="63" s="1"/>
  <c r="F25" i="63" s="1"/>
  <c r="B27" i="63"/>
  <c r="C26" i="63" a="1"/>
  <c r="C26" i="63" s="1"/>
  <c r="D26" i="63" a="1"/>
  <c r="D26" i="63" s="1"/>
  <c r="F26" i="63" s="1"/>
  <c r="G27" i="64"/>
  <c r="H27" i="64" s="1"/>
  <c r="H28" i="64" s="1"/>
  <c r="F18" i="63"/>
  <c r="E15" i="63"/>
  <c r="E19" i="63"/>
  <c r="F24" i="63"/>
  <c r="F16" i="63"/>
  <c r="F20" i="63"/>
  <c r="F22" i="63"/>
  <c r="E16" i="63"/>
  <c r="D27" i="63" l="1" a="1"/>
  <c r="D27" i="63" s="1"/>
  <c r="F27" i="63" s="1"/>
  <c r="C27" i="63" a="1"/>
  <c r="C27" i="63" s="1"/>
  <c r="E27" i="63" s="1"/>
  <c r="G27" i="63" s="1"/>
  <c r="H27" i="63" s="1"/>
  <c r="G21" i="63"/>
  <c r="H21" i="63" s="1"/>
  <c r="G16" i="63"/>
  <c r="H16" i="63" s="1"/>
  <c r="G19" i="63"/>
  <c r="H19" i="63" s="1"/>
  <c r="G22" i="63"/>
  <c r="H22" i="63" s="1"/>
  <c r="G17" i="63"/>
  <c r="H17" i="63" s="1"/>
  <c r="E25" i="63"/>
  <c r="G25" i="63" s="1"/>
  <c r="H25" i="63" s="1"/>
  <c r="G15" i="63"/>
  <c r="H15" i="63" s="1"/>
  <c r="G18" i="63"/>
  <c r="H18" i="63" s="1"/>
  <c r="E24" i="63"/>
  <c r="G24" i="63" s="1"/>
  <c r="H24" i="63" s="1"/>
  <c r="E26" i="63"/>
  <c r="G26" i="63" s="1"/>
  <c r="H26" i="63" s="1"/>
  <c r="E23" i="63"/>
  <c r="G23" i="63" s="1"/>
  <c r="H23" i="63" s="1"/>
  <c r="G20" i="63"/>
  <c r="H20" i="63" s="1"/>
  <c r="F11" i="48" l="1"/>
  <c r="F12" i="48" l="1"/>
  <c r="F13" i="48" l="1"/>
  <c r="F14" i="48" l="1"/>
  <c r="F15" i="48" l="1"/>
  <c r="K8" i="12"/>
  <c r="B8" i="12"/>
  <c r="C8" i="12" l="1"/>
  <c r="F8" i="12"/>
  <c r="I8" i="12" s="1"/>
  <c r="D8" i="12"/>
  <c r="F16" i="48"/>
  <c r="B9" i="12"/>
  <c r="K9" i="12"/>
  <c r="M9" i="12" s="1"/>
  <c r="C9" i="12" l="1"/>
  <c r="F9" i="12"/>
  <c r="I9" i="12" s="1"/>
  <c r="D9" i="12"/>
  <c r="F17" i="48"/>
  <c r="B10" i="12"/>
  <c r="F10" i="12" s="1"/>
  <c r="I10" i="12" s="1"/>
  <c r="K10" i="12"/>
  <c r="C10" i="12" l="1"/>
  <c r="D10" i="12"/>
  <c r="F18" i="48"/>
  <c r="B11" i="12"/>
  <c r="F11" i="12" s="1"/>
  <c r="I11" i="12" s="1"/>
  <c r="K11" i="12"/>
  <c r="C11" i="12" l="1"/>
  <c r="B12" i="12"/>
  <c r="F12" i="12" s="1"/>
  <c r="D11" i="12"/>
  <c r="F19" i="48"/>
  <c r="K12" i="12"/>
  <c r="C12" i="12" l="1"/>
  <c r="I12" i="12" s="1"/>
  <c r="B13" i="12"/>
  <c r="F13" i="12" s="1"/>
  <c r="D12" i="12"/>
  <c r="F20" i="48"/>
  <c r="K13" i="12"/>
  <c r="C13" i="12" l="1"/>
  <c r="I13" i="12" s="1"/>
  <c r="D13" i="12"/>
  <c r="B14" i="12"/>
  <c r="F14" i="12" s="1"/>
  <c r="F21" i="48"/>
  <c r="K14" i="12"/>
  <c r="C14" i="12" l="1"/>
  <c r="I14" i="12" s="1"/>
  <c r="B15" i="12"/>
  <c r="F15" i="12" s="1"/>
  <c r="D14" i="12"/>
  <c r="F22" i="48"/>
  <c r="K15" i="12"/>
  <c r="C15" i="12" l="1"/>
  <c r="I15" i="12" s="1"/>
  <c r="B16" i="12"/>
  <c r="F16" i="12" s="1"/>
  <c r="D15" i="12"/>
  <c r="F23" i="48"/>
  <c r="K16" i="12"/>
  <c r="C16" i="12" l="1"/>
  <c r="I16" i="12" s="1"/>
  <c r="B17" i="12"/>
  <c r="D16" i="12"/>
  <c r="K17" i="12"/>
  <c r="F24" i="48"/>
  <c r="B18" i="12"/>
  <c r="F18" i="12" s="1"/>
  <c r="D17" i="12" l="1"/>
  <c r="F17" i="12"/>
  <c r="C18" i="12"/>
  <c r="I18" i="12" s="1"/>
  <c r="C17" i="12"/>
  <c r="K18" i="12"/>
  <c r="D18" i="12"/>
  <c r="F25" i="48"/>
  <c r="B19" i="12"/>
  <c r="F19" i="12" s="1"/>
  <c r="I17" i="12" l="1"/>
  <c r="C19" i="12"/>
  <c r="I19" i="12" s="1"/>
  <c r="K19" i="12"/>
  <c r="D19" i="12"/>
  <c r="F26" i="48"/>
  <c r="B20" i="12"/>
  <c r="F20" i="12" s="1"/>
  <c r="C20" i="12" l="1"/>
  <c r="I20" i="12" s="1"/>
  <c r="K20" i="12"/>
  <c r="K21" i="12" s="1"/>
  <c r="D20" i="12"/>
  <c r="F27" i="48"/>
  <c r="B21" i="12"/>
  <c r="F21" i="12" s="1"/>
  <c r="C21" i="12" l="1"/>
  <c r="I21" i="12" s="1"/>
  <c r="K22" i="12"/>
  <c r="D21" i="12"/>
  <c r="F28" i="48"/>
  <c r="B22" i="12"/>
  <c r="F22" i="12" s="1"/>
  <c r="C22" i="12" l="1"/>
  <c r="I22" i="12" s="1"/>
  <c r="K23" i="12"/>
  <c r="D22" i="12"/>
  <c r="B23" i="12"/>
  <c r="F23" i="12" s="1"/>
  <c r="C23" i="12" l="1"/>
  <c r="I23" i="12" s="1"/>
  <c r="K24" i="12"/>
  <c r="D23" i="12"/>
  <c r="B24" i="12"/>
  <c r="F24" i="12" s="1"/>
  <c r="C24" i="12" l="1"/>
  <c r="I24" i="12" s="1"/>
  <c r="D24" i="12"/>
  <c r="B25" i="12"/>
  <c r="F25" i="12" s="1"/>
  <c r="C25" i="12" l="1"/>
  <c r="I25" i="12" s="1"/>
  <c r="D25" i="12"/>
  <c r="B26" i="12"/>
  <c r="F26" i="12" s="1"/>
  <c r="C26" i="12" l="1"/>
  <c r="I26" i="12" s="1"/>
  <c r="D26" i="12"/>
  <c r="B27" i="12"/>
  <c r="F27" i="12" s="1"/>
  <c r="C27" i="12" l="1"/>
  <c r="I27" i="12" s="1"/>
  <c r="D27" i="12"/>
  <c r="B28" i="12"/>
  <c r="F28" i="12" s="1"/>
  <c r="C28" i="12" l="1"/>
  <c r="I28" i="12" s="1"/>
  <c r="D28" i="12"/>
  <c r="K25" i="12"/>
  <c r="K26" i="12" l="1"/>
  <c r="K27" i="12" l="1"/>
  <c r="K28" i="12" l="1"/>
  <c r="F29" i="48" l="1"/>
  <c r="E7" i="8" l="1"/>
  <c r="F7" i="8"/>
  <c r="B8" i="8"/>
  <c r="E8" i="8" l="1"/>
  <c r="D8" i="8"/>
  <c r="F8" i="8" s="1"/>
  <c r="B9" i="8"/>
  <c r="E9" i="8" l="1"/>
  <c r="D9" i="8"/>
  <c r="F9" i="8" s="1"/>
  <c r="B10" i="8"/>
  <c r="E10" i="8" l="1"/>
  <c r="D10" i="8"/>
  <c r="F10" i="8" s="1"/>
  <c r="B11" i="8"/>
  <c r="E11" i="8" l="1"/>
  <c r="D11" i="8"/>
  <c r="F11" i="8" s="1"/>
  <c r="B12" i="8"/>
  <c r="E12" i="8" l="1"/>
  <c r="D12" i="8"/>
  <c r="F12" i="8"/>
  <c r="B13" i="8"/>
  <c r="E13" i="8" l="1"/>
  <c r="D13" i="8"/>
  <c r="F13" i="8" s="1"/>
  <c r="B14" i="8"/>
  <c r="E14" i="8" l="1"/>
  <c r="D14" i="8"/>
  <c r="F14" i="8" s="1"/>
  <c r="B15" i="8"/>
  <c r="E15" i="8" l="1"/>
  <c r="D15" i="8"/>
  <c r="F15" i="8" s="1"/>
  <c r="B16" i="8"/>
  <c r="E16" i="8" l="1"/>
  <c r="D16" i="8"/>
  <c r="F16" i="8" s="1"/>
  <c r="B17" i="8"/>
  <c r="E17" i="8" l="1"/>
  <c r="D17" i="8"/>
  <c r="F17" i="8" s="1"/>
  <c r="B18" i="8"/>
  <c r="E18" i="8" l="1"/>
  <c r="D18" i="8"/>
  <c r="F18" i="8" s="1"/>
  <c r="B19" i="8"/>
  <c r="E19" i="8" l="1"/>
  <c r="D19" i="8"/>
  <c r="F19" i="8" s="1"/>
  <c r="B20" i="8"/>
  <c r="E20" i="8" l="1"/>
  <c r="D20" i="8"/>
  <c r="F20" i="8"/>
  <c r="B21" i="8"/>
  <c r="E21" i="8" l="1"/>
  <c r="D21" i="8"/>
  <c r="F21" i="8" s="1"/>
  <c r="B22" i="8"/>
  <c r="E22" i="8" l="1"/>
  <c r="D22" i="8"/>
  <c r="F22" i="8" s="1"/>
  <c r="B23" i="8"/>
  <c r="E23" i="8" l="1"/>
  <c r="D23" i="8"/>
  <c r="F23" i="8" s="1"/>
  <c r="B24" i="8"/>
  <c r="E24" i="8" l="1"/>
  <c r="D24" i="8"/>
  <c r="F24" i="8" s="1"/>
  <c r="B25" i="8"/>
  <c r="E25" i="8" l="1"/>
  <c r="D25" i="8"/>
  <c r="F25" i="8" s="1"/>
  <c r="B26" i="8"/>
  <c r="E26" i="8" l="1"/>
  <c r="D26" i="8"/>
  <c r="F26" i="8" s="1"/>
  <c r="B27" i="8"/>
  <c r="E27" i="8" l="1"/>
  <c r="D27" i="8"/>
  <c r="F27" i="8" s="1"/>
  <c r="B28" i="8"/>
  <c r="E28" i="8" l="1"/>
  <c r="D28" i="8"/>
  <c r="F28" i="8" s="1"/>
  <c r="M8" i="12" l="1"/>
  <c r="M7" i="12"/>
  <c r="M10" i="12"/>
  <c r="F9" i="63" l="1"/>
  <c r="F6" i="63"/>
  <c r="E9" i="63"/>
  <c r="E13" i="63"/>
  <c r="E12" i="63"/>
  <c r="F14" i="63"/>
  <c r="F8" i="63"/>
  <c r="F12" i="63"/>
  <c r="F11" i="63"/>
  <c r="F13" i="63"/>
  <c r="F10" i="63"/>
  <c r="F7" i="63"/>
  <c r="E14" i="63"/>
  <c r="E6" i="63"/>
  <c r="E7" i="63"/>
  <c r="E11" i="63"/>
  <c r="E8" i="63"/>
  <c r="E10" i="63"/>
  <c r="G9" i="63" l="1"/>
  <c r="H9" i="63" s="1"/>
  <c r="G10" i="63"/>
  <c r="G11" i="63"/>
  <c r="G6" i="63"/>
  <c r="G14" i="63"/>
  <c r="G12" i="63"/>
  <c r="G8" i="63"/>
  <c r="G7" i="63"/>
  <c r="G13" i="63"/>
  <c r="E21" i="12" l="1"/>
  <c r="E8" i="12"/>
  <c r="E19" i="12"/>
  <c r="E9" i="12"/>
  <c r="E7" i="12"/>
  <c r="E13" i="12"/>
  <c r="E22" i="12"/>
  <c r="E26" i="12"/>
  <c r="H13" i="63"/>
  <c r="E17" i="12"/>
  <c r="E25" i="12"/>
  <c r="H7" i="63"/>
  <c r="E11" i="12"/>
  <c r="H12" i="63"/>
  <c r="E16" i="12"/>
  <c r="H14" i="63"/>
  <c r="E18" i="12"/>
  <c r="E23" i="12"/>
  <c r="E20" i="12"/>
  <c r="E27" i="12"/>
  <c r="H8" i="63"/>
  <c r="E12" i="12"/>
  <c r="E28" i="12"/>
  <c r="E24" i="12"/>
  <c r="H6" i="63"/>
  <c r="E10" i="12"/>
  <c r="H10" i="63"/>
  <c r="E14" i="12"/>
  <c r="H11" i="63"/>
  <c r="E15" i="12"/>
  <c r="H14" i="12" l="1"/>
  <c r="H9" i="12"/>
  <c r="H20" i="12"/>
  <c r="H16" i="12"/>
  <c r="H25" i="12"/>
  <c r="H22" i="12"/>
  <c r="H19" i="12"/>
  <c r="H27" i="12"/>
  <c r="H10" i="12"/>
  <c r="H12" i="12"/>
  <c r="H17" i="12"/>
  <c r="H13" i="12"/>
  <c r="H8" i="12"/>
  <c r="H24" i="12"/>
  <c r="H26" i="12"/>
  <c r="H28" i="12"/>
  <c r="H15" i="12"/>
  <c r="H23" i="12"/>
  <c r="H18" i="12"/>
  <c r="H11" i="12"/>
  <c r="H7" i="12"/>
  <c r="H21" i="12"/>
  <c r="H28" i="63"/>
  <c r="E29" i="8" l="1"/>
  <c r="F29" i="8" l="1"/>
  <c r="M24" i="12"/>
  <c r="M26" i="12"/>
  <c r="M25" i="12"/>
  <c r="M28" i="12"/>
  <c r="M11" i="12"/>
  <c r="M15" i="12"/>
  <c r="M14" i="12"/>
  <c r="M21" i="12"/>
  <c r="M20" i="12"/>
  <c r="M12" i="12"/>
  <c r="M16" i="12"/>
  <c r="M27" i="12"/>
  <c r="M23" i="12"/>
  <c r="M13" i="12"/>
  <c r="M19" i="12"/>
  <c r="M18" i="12"/>
  <c r="M22" i="12"/>
  <c r="M17" i="12"/>
  <c r="M29" i="12" l="1"/>
  <c r="C36" i="12" s="1"/>
  <c r="I29" i="12"/>
  <c r="C35" i="12" l="1"/>
  <c r="C38" i="12" s="1"/>
  <c r="C3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tc={6A3B15BC-FD30-4B7C-9987-388E7EF2D814}</author>
  </authors>
  <commentList>
    <comment ref="J7" authorId="0" shapeId="0" xr:uid="{6A3B15BC-FD30-4B7C-9987-388E7EF2D814}">
      <text>
        <t>[Threaded comment]
Your version of Excel allows you to read this threaded comment; however, any edits to it will get removed if the file is opened in a newer version of Excel. Learn more: https://go.microsoft.com/fwlink/?linkid=870924
Comment:
    2.5 employees, 8 hours a day, 5 days a week, for 4 weeks total for maintenance.  Assume paid $30 an hour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<sst xmlns="http://schemas.openxmlformats.org/spreadsheetml/2006/main" count="307" uniqueCount="199">
  <si>
    <t>Analysis Year</t>
  </si>
  <si>
    <t>7% Discount</t>
  </si>
  <si>
    <t>Total Benefit</t>
  </si>
  <si>
    <t>NOTES:</t>
  </si>
  <si>
    <t>Total Cost</t>
  </si>
  <si>
    <t>BENEFITS</t>
  </si>
  <si>
    <t>Capital Costs</t>
  </si>
  <si>
    <t>Benefits</t>
  </si>
  <si>
    <t>Costs</t>
  </si>
  <si>
    <t>B/C Ratio</t>
  </si>
  <si>
    <t>SUMMARY</t>
  </si>
  <si>
    <t>2)</t>
  </si>
  <si>
    <t>1)</t>
  </si>
  <si>
    <t>3)</t>
  </si>
  <si>
    <t>4)</t>
  </si>
  <si>
    <t xml:space="preserve">Capital Cost </t>
  </si>
  <si>
    <t>CAPITAL COST AND RESIDUAL PROJECT VALUE</t>
  </si>
  <si>
    <t>No Build</t>
  </si>
  <si>
    <t>Build</t>
  </si>
  <si>
    <t>7% Discount Rate</t>
  </si>
  <si>
    <t>Economic Competitiveness</t>
  </si>
  <si>
    <t>Auto Vehicle Operating Cost</t>
  </si>
  <si>
    <t>Truck Vehicle Operating Cost</t>
  </si>
  <si>
    <r>
      <t xml:space="preserve">Table 2 - Fleet Composition </t>
    </r>
    <r>
      <rPr>
        <b/>
        <vertAlign val="superscript"/>
        <sz val="11"/>
        <color theme="1"/>
        <rFont val="Calibri"/>
        <family val="2"/>
        <scheme val="minor"/>
      </rPr>
      <t>2</t>
    </r>
  </si>
  <si>
    <t>Auto Percentage</t>
  </si>
  <si>
    <t>Truck Percentage</t>
  </si>
  <si>
    <t>Aggregate Vehicle Operating Cost</t>
  </si>
  <si>
    <t>No Build Travel Time Cost</t>
  </si>
  <si>
    <t>Build Travel Time Cost</t>
  </si>
  <si>
    <t>Truck Travel Time Cost</t>
  </si>
  <si>
    <t>Aggregate Travel Time Cost</t>
  </si>
  <si>
    <t>Auto Vehicle Occupancy</t>
  </si>
  <si>
    <t>Truck Vehicle Occupancy</t>
  </si>
  <si>
    <t>Table 4 - Per-mile Travel Time Cost</t>
  </si>
  <si>
    <t>Travel Time Cost Savings</t>
  </si>
  <si>
    <t>STATE OF GOOD REPAIR - OPERATION AND MAINTENANCE COSTS</t>
  </si>
  <si>
    <t>State of Good Repair</t>
  </si>
  <si>
    <r>
      <t xml:space="preserve">Table 3 - Vehicle Occupancy </t>
    </r>
    <r>
      <rPr>
        <b/>
        <vertAlign val="superscript"/>
        <sz val="11"/>
        <color theme="1"/>
        <rFont val="Calibri"/>
        <family val="2"/>
        <scheme val="minor"/>
      </rPr>
      <t>3</t>
    </r>
  </si>
  <si>
    <t>Table 1 - Analysis Timeframe Assumptions</t>
  </si>
  <si>
    <r>
      <t xml:space="preserve">Year of Construction </t>
    </r>
    <r>
      <rPr>
        <vertAlign val="superscript"/>
        <sz val="9"/>
        <rFont val="Calibri"/>
        <family val="2"/>
        <scheme val="minor"/>
      </rPr>
      <t>(1)</t>
    </r>
  </si>
  <si>
    <r>
      <t xml:space="preserve">Duration of Construction </t>
    </r>
    <r>
      <rPr>
        <vertAlign val="superscript"/>
        <sz val="9"/>
        <rFont val="Calibri"/>
        <family val="2"/>
        <scheme val="minor"/>
      </rPr>
      <t>(1)</t>
    </r>
  </si>
  <si>
    <r>
      <t xml:space="preserve">Benefit-Cost First Year of Benefit </t>
    </r>
    <r>
      <rPr>
        <vertAlign val="superscript"/>
        <sz val="9"/>
        <rFont val="Calibri"/>
        <family val="2"/>
        <scheme val="minor"/>
      </rPr>
      <t>(1)</t>
    </r>
  </si>
  <si>
    <t>Benefit-Cost Final Year of Benefit</t>
  </si>
  <si>
    <r>
      <t xml:space="preserve">Forecast Traffic Year </t>
    </r>
    <r>
      <rPr>
        <vertAlign val="superscript"/>
        <sz val="9"/>
        <rFont val="Calibri"/>
        <family val="2"/>
        <scheme val="minor"/>
      </rPr>
      <t>(2)</t>
    </r>
  </si>
  <si>
    <t>Table 2 - Network Assumptions</t>
  </si>
  <si>
    <t>Table 3 - Global Assumptions and Factors</t>
  </si>
  <si>
    <t>Composite Cost per Hour</t>
  </si>
  <si>
    <t>Composite Cost per Mile</t>
  </si>
  <si>
    <t>Discount Rate</t>
  </si>
  <si>
    <r>
      <t xml:space="preserve">Expected Service Life </t>
    </r>
    <r>
      <rPr>
        <vertAlign val="superscript"/>
        <sz val="9"/>
        <rFont val="Calibri"/>
        <family val="2"/>
        <scheme val="minor"/>
      </rPr>
      <t>(6)</t>
    </r>
  </si>
  <si>
    <t>Phase</t>
  </si>
  <si>
    <t>Operation and Maintenance Savings</t>
  </si>
  <si>
    <t>Cost Savings</t>
  </si>
  <si>
    <r>
      <t xml:space="preserve">Annual Operation and Maintenance Cost ($) </t>
    </r>
    <r>
      <rPr>
        <vertAlign val="superscript"/>
        <sz val="11"/>
        <color theme="1"/>
        <rFont val="Calibri"/>
        <family val="2"/>
        <scheme val="minor"/>
      </rPr>
      <t>(1)</t>
    </r>
  </si>
  <si>
    <r>
      <t xml:space="preserve">Percent Autos </t>
    </r>
    <r>
      <rPr>
        <vertAlign val="superscript"/>
        <sz val="9"/>
        <rFont val="Calibri"/>
        <family val="2"/>
        <scheme val="minor"/>
      </rPr>
      <t>(2)</t>
    </r>
  </si>
  <si>
    <r>
      <t xml:space="preserve">Percent Trucks </t>
    </r>
    <r>
      <rPr>
        <vertAlign val="superscript"/>
        <sz val="9"/>
        <rFont val="Calibri"/>
        <family val="2"/>
        <scheme val="minor"/>
      </rPr>
      <t>(2)</t>
    </r>
  </si>
  <si>
    <r>
      <t xml:space="preserve">Auto Occupancy </t>
    </r>
    <r>
      <rPr>
        <vertAlign val="superscript"/>
        <sz val="9"/>
        <rFont val="Calibri"/>
        <family val="2"/>
        <scheme val="minor"/>
      </rPr>
      <t>(3)</t>
    </r>
  </si>
  <si>
    <r>
      <t xml:space="preserve">Truck Occupancy </t>
    </r>
    <r>
      <rPr>
        <vertAlign val="superscript"/>
        <sz val="9"/>
        <rFont val="Calibri"/>
        <family val="2"/>
        <scheme val="minor"/>
      </rPr>
      <t>(3)</t>
    </r>
  </si>
  <si>
    <t>5)</t>
  </si>
  <si>
    <t>6)</t>
  </si>
  <si>
    <t>Cost</t>
  </si>
  <si>
    <t>All-Purpose Travel Time Cost</t>
  </si>
  <si>
    <r>
      <t xml:space="preserve">No Build Annual VHT </t>
    </r>
    <r>
      <rPr>
        <vertAlign val="superscript"/>
        <sz val="9"/>
        <color theme="1"/>
        <rFont val="Calibri"/>
        <family val="2"/>
        <scheme val="minor"/>
      </rPr>
      <t>5</t>
    </r>
  </si>
  <si>
    <r>
      <t xml:space="preserve">Build Annual VHT </t>
    </r>
    <r>
      <rPr>
        <vertAlign val="superscript"/>
        <sz val="9"/>
        <color theme="1"/>
        <rFont val="Calibri"/>
        <family val="2"/>
        <scheme val="minor"/>
      </rPr>
      <t>5</t>
    </r>
  </si>
  <si>
    <t>Year</t>
  </si>
  <si>
    <t>Build Annual VMT</t>
  </si>
  <si>
    <t>Speed</t>
  </si>
  <si>
    <t>Vehicle Class</t>
  </si>
  <si>
    <t>Baseline Cost cents/mile</t>
  </si>
  <si>
    <t>Adjustment Factors from Baseline</t>
  </si>
  <si>
    <t>Veh Op Cost (VOC) for IRI level (cents/mile)</t>
  </si>
  <si>
    <t>Average VOC with roughness</t>
  </si>
  <si>
    <t>Net increase in VOC from Baseline</t>
  </si>
  <si>
    <t>IRI</t>
  </si>
  <si>
    <t>cents/mile</t>
  </si>
  <si>
    <t>dollar/mile</t>
  </si>
  <si>
    <t>Medium Car</t>
  </si>
  <si>
    <t>Van</t>
  </si>
  <si>
    <t>SUV</t>
  </si>
  <si>
    <t>Light Truck</t>
  </si>
  <si>
    <t>Articulated Truck</t>
  </si>
  <si>
    <t>1 m/km =</t>
  </si>
  <si>
    <t>in/mi</t>
  </si>
  <si>
    <t>3 m/km =</t>
  </si>
  <si>
    <t>this is considered moderate failure per SDDOT pavement management source</t>
  </si>
  <si>
    <t>4 m/km =</t>
  </si>
  <si>
    <t>this is considered extreme failure per SDDOT pavement management source</t>
  </si>
  <si>
    <t>Growth Per Year</t>
  </si>
  <si>
    <t>Base Year</t>
  </si>
  <si>
    <r>
      <t xml:space="preserve">No Build Annual VMT </t>
    </r>
    <r>
      <rPr>
        <vertAlign val="superscript"/>
        <sz val="9"/>
        <color theme="1"/>
        <rFont val="Calibri"/>
        <family val="2"/>
        <scheme val="minor"/>
      </rPr>
      <t>5</t>
    </r>
  </si>
  <si>
    <t>Build VMT Cost</t>
  </si>
  <si>
    <t>No Build VMT Cost</t>
  </si>
  <si>
    <t>VMT Cost Savings</t>
  </si>
  <si>
    <t>Truck Data*</t>
  </si>
  <si>
    <t>Auto Vehicle Operating Cost - Roughness</t>
  </si>
  <si>
    <t>Truck Vehicle Operating Cost - Roughness</t>
  </si>
  <si>
    <t>Aggregate Vehicle Operating Cost - Roughness</t>
  </si>
  <si>
    <t>Table 1 - Per-mile Operating Cost</t>
  </si>
  <si>
    <t>Truck percentage was estimated based on existing daily traffic and truck volumes obtained for the I-90 corridor from the SDDOT Interactive Needs Book (https://apps.sd.gov/hr53needsbook/).</t>
  </si>
  <si>
    <t>Existing and 20-year forecast daily traffic volumes were obtained for the I-90 corridor from the SDDOT Interactive Needs Book (https://apps.sd.gov/hr53needsbook/).  Average travel time per vehicle data was obtained from google maps. Year 2020 and 2040 VHT and VMT for each alternative were calculated using AADT information, average corridor travel time per vehicle, and an assumed 365 analysis days in a year.</t>
  </si>
  <si>
    <t>Table 1 - Per-mile Operating Cost by Mode</t>
  </si>
  <si>
    <t>Table 2 - Fleet Composition</t>
  </si>
  <si>
    <t>Table 3 - Per-mile Operating Cost</t>
  </si>
  <si>
    <t>Table 1 - Per-mile Travel Time Cost by Mode</t>
  </si>
  <si>
    <t>AADT</t>
  </si>
  <si>
    <t>No-Build VMT</t>
  </si>
  <si>
    <t>ECONOMIC COMPETITIVENESS - USER BENEFIT CALCULATION OF VEHICLE OPERATING COSTS DUE TO PAVEMENT ROUGHNESS</t>
  </si>
  <si>
    <t>Table 5 - No Build VMT Input Variables: 2025-2030</t>
  </si>
  <si>
    <t>No Build and Build VMT for years between 2020 and 2040 were interpolated based on a linear annual growth rate, and VMT for years between 2020 and 2040 were extrapolated based on the same growth rate.</t>
  </si>
  <si>
    <t>Note: Project roadway segments were originally built in 1965-67; nearing end of service life and will continue to degrade in the future</t>
  </si>
  <si>
    <t>Detour Travel Time Savings</t>
  </si>
  <si>
    <t>Construction Travel Time Savings</t>
  </si>
  <si>
    <t>RCV</t>
  </si>
  <si>
    <t>Capital Cost</t>
  </si>
  <si>
    <t>Service Life</t>
  </si>
  <si>
    <t>% Life Remaining</t>
  </si>
  <si>
    <t>NPV</t>
  </si>
  <si>
    <t>* Values inflated from year 2017 to 2019 to GDP deflators</t>
  </si>
  <si>
    <t>Truck VOC</t>
  </si>
  <si>
    <t>Auto VOC</t>
  </si>
  <si>
    <t>Vehicle operating costs for years 2020 and 2040 were valued in accordance with the Benefit-Cost Analysis Guidance for Discretionary Grant Programs - February 2021 (https://www.transportation.gov/sites/dot.gov/files/2021-02/Benefit%20Cost%20Analysis%20Guidance%202021.pdf). Operating costs were derived from the need for vehicles to drive over substandard pavement, resulting in increased damage costs to vehicles.</t>
  </si>
  <si>
    <t>Per-mile operating costs associated with additional impacts of pavement roughness were derived using values from NCHRP Report 720 - "Estimating the Effects of Pavement Condition on Vehicle Operating Costs"; Table 7-5 (see calculations to the right). Current and future pavement roughness under the No Build scenario was assumed to fall in the bottom three categories (used an average of 4-6 in Table 7-5) based on current pavement condition and the expectation that pavement were further deteriorate if left unmaintained.</t>
  </si>
  <si>
    <t>Traffic avoiding I-90 due to detours beginning in years 2025 and 2030 in the No Build was factored into the VMT estimations undergoing increased vehicle operating costs.</t>
  </si>
  <si>
    <t>Table 4 - No Build VMT Input Variables: 2023</t>
  </si>
  <si>
    <t>Table 4 - No Build VMT Input Variables: 2024</t>
  </si>
  <si>
    <t>Directional Miles</t>
  </si>
  <si>
    <t>Resurface Segment</t>
  </si>
  <si>
    <t>Resurface</t>
  </si>
  <si>
    <t>Table 4 - Traffic Volume (AADT)</t>
  </si>
  <si>
    <t>Table 5 - Vehicle Hours Traveled</t>
  </si>
  <si>
    <t>Truck percentage was obtained from the project plan set cover sheet.</t>
  </si>
  <si>
    <t>ECONOMIC COMPETITIVENESS - USER COST CALCULATION OF REGIONAL TRAVEL TIME CHANGE IF PROJECT WAS NOT CONSTRUCTED</t>
  </si>
  <si>
    <t>ECONOMIC COMPETITIVENESS - USER COST CALCULATION OF VEHICLE OPERATING COST CHANGE IF PROJECT WAS NOT CONSTRUCTED</t>
  </si>
  <si>
    <t>Existing and 20-year forecast daily traffic volumes were obtained from the project plan set cover sheet.  Average travel time per vehicle data was determined by google maps.  VHT and VMT for each alternative were calculated using AADT information, average corridor travel time per vehicle, and an assumed construction schedule of five months out of the year.</t>
  </si>
  <si>
    <t>No Build and Build VHT for intermediate years were interpolated based on a linear annual growth rate.</t>
  </si>
  <si>
    <t>Existing and 20-year forecast daily traffic volumes were obtained from the project plan set cover sheet.  Average travel distance per vehicle data was determined by google maps.  VHT and VMT for each alternative were calculated using AADT information, average corridor travel time per vehicle, and an assumed construction schedule of five months out of the year.</t>
  </si>
  <si>
    <t>No Build and Build VMT for intermediate years were interpolated based on a linear annual growth rate.</t>
  </si>
  <si>
    <t>ECONOMIC COMPETITIVENESS - USER BENEFIT CALCULATION OF REGIONAL TRAVEL TIME CHANGE - CONSTRUCTION</t>
  </si>
  <si>
    <t>No-Build</t>
  </si>
  <si>
    <t>Table 1 - Project Timelines</t>
  </si>
  <si>
    <t>Segment</t>
  </si>
  <si>
    <t>Miles</t>
  </si>
  <si>
    <t>Project construction was assumed to be complected in the same year construction began.</t>
  </si>
  <si>
    <t>Table 6 - Year of Revert to Gravel Due to Poor State</t>
  </si>
  <si>
    <t>assume new road has 1/3 maintenance labor cost for plowing/sweeping/etc</t>
  </si>
  <si>
    <t>Table 2 - Project Length</t>
  </si>
  <si>
    <t xml:space="preserve">For the purpose of this analysis it was assumed that the project would begin construction in year 2023. Project construction was assumed to be completed in the same year construction began. The analysis primarily focused on annual benefits for the twenty-year period from 2024 to 2043. </t>
  </si>
  <si>
    <t>During resurfacing project</t>
  </si>
  <si>
    <t>After Resurfacing</t>
  </si>
  <si>
    <t>VHT current</t>
  </si>
  <si>
    <t>VMT current</t>
  </si>
  <si>
    <t>VMT future</t>
  </si>
  <si>
    <t>VHT future</t>
  </si>
  <si>
    <t>speed mph</t>
  </si>
  <si>
    <t>travel time min</t>
  </si>
  <si>
    <t>length miles</t>
  </si>
  <si>
    <t>Existing and 20-year forecast daily traffic volumes were obtained from the project plan set cover sheet.  Average travel time per vehicle data was determined by google maps.  VHT and VMT for each alternative were calculated using project length, AADT information and travel speed.  It was assumed at the pavement failure point the roadway would be returned to gravel and thereafter the travel speed would be reduced to 35mph from 55mph.</t>
  </si>
  <si>
    <t>Table 2 - Per-mile Operating Cost</t>
  </si>
  <si>
    <t>Auto Vehicle Operating Cost - Gravel</t>
  </si>
  <si>
    <t>Truck Vehicle Operating Cost - Gravel</t>
  </si>
  <si>
    <t>Table 3 - Fleet Composition</t>
  </si>
  <si>
    <t>Table 4 - Per-mile Operating Cost</t>
  </si>
  <si>
    <t>Table 5 - Vehicle Miles Traveled</t>
  </si>
  <si>
    <t>Material</t>
  </si>
  <si>
    <t>Labor</t>
  </si>
  <si>
    <t>Annual Maintenance</t>
  </si>
  <si>
    <t>Gravel Conversion</t>
  </si>
  <si>
    <t>35mph Work Zone</t>
  </si>
  <si>
    <t>No Build and Build VHT for intermediate years were interpolated based on a linear annual growth rate.  Build VHT assumes the work zone speed is reduced from 55mph to 35mph for the duration of construction.  Construction is assumed to be 2 months long.</t>
  </si>
  <si>
    <t>Operating Cost Savings</t>
  </si>
  <si>
    <t xml:space="preserve">Existing and 20-year forecast daily traffic volumes were obtained from the project design plans cover pages.  Average travel time per vehicle data was obtained from google maps. Year 2019 and 2039 VHT and VMT for each alternative were calculated using AADT information, average corridor travel time per vehicle, and an assumed 365 analysis days in a year. </t>
  </si>
  <si>
    <t>BCA SUMMARY: Standing Rock Sioux Tribe BIA 3</t>
  </si>
  <si>
    <t>Additional Vehicle Operating Cost - Gravel</t>
  </si>
  <si>
    <t xml:space="preserve">Changes in annual roadway maintenance costs are expected due to intensified maintenance that will be required to keep the No Build Alternative serviceable compared to what will be required on new infrastructure under the Build. At pavement failure year, the roadway would be reverted to gravel with a grinding and asphalt binder procedure.
</t>
  </si>
  <si>
    <t>Annual maintenance of the existing roadway was estimated by assuming 2.5 employees, 8 hours a day, 5 days a week, for 4 weeks total, plus an annual $10,000 in material costs.  A newly resurfaced road was estimated to require 1/3 of the labor to maintain.</t>
  </si>
  <si>
    <t>Per-mile operating costs associated with additional impacts of pavement roughness after the road is converted to gravel were derived using values from NCHRP Report 720 - "Estimating the Effects of Pavement Condition on Vehicle Operating Costs"; Table 7-5. Gravel pavement roughness under the No Build scenario was assumed to fall in the bottom category but this is a conservative estimate.</t>
  </si>
  <si>
    <t>Total Cost Savings
($2020 - Undiscounted)</t>
  </si>
  <si>
    <t>Year of Analysis Dollars $</t>
  </si>
  <si>
    <t>Total</t>
  </si>
  <si>
    <t>Convert Year $2021 to $2020</t>
  </si>
  <si>
    <t>Table 3 - Inflation Adjustments - GDP Deflator</t>
  </si>
  <si>
    <t>Table 4 - Per-hour Travel Time Cost</t>
  </si>
  <si>
    <t xml:space="preserve">Vehicle occupancy that was used in the analysis is consistent with values provided by Benefit Cost Analysis Guidance for Discretionary Grant Programs, dated March 2022 (Updated). The analysis assumed occupancy of 1.67 people per automobile and 1.00 people per truck. </t>
  </si>
  <si>
    <t>The assumed service life of the build conditions was assumed to be 20 years.</t>
  </si>
  <si>
    <t>Project Cost ($2021)</t>
  </si>
  <si>
    <t>Vehicle operating costs were valued in accordance with the Benefit-Cost Analysis Guidance for Discretionary Grant Programs - March 2022(Updated) (https://www.transportation.gov/sites/dot.gov/files/2022-03/Benefit%20Cost%20Analysis%20Guidance%202022%20%28Revised%29.pdf). The alternate route is anticipated in year 2030 when pavements on the highway have zero remaining service life and are deemed to no longer be safely traversable by the public.</t>
  </si>
  <si>
    <t>Table 1 - Per-person hour Travel Time Cost by Mode</t>
  </si>
  <si>
    <t>The value of time was obtained from the Benefit Cost Analysis Guidance for Discretionary Grant Programs, dated March 2022 (Revised): https://www.transportation.gov/sites/dot.gov/files/2022-03/Benefit%20Cost%20Analysis%20Guidance%202022%20%28Revised%29.pdf</t>
  </si>
  <si>
    <t>User travel time costs for years 2019 and 2039 were valued in accordance with the Benefit Cost Analysis Guidance for Discretionary Grant Programs, dated March 2022 (Revised): https://www.transportation.gov/sites/dot.gov/files/2022-03/Benefit%20Cost%20Analysis%20Guidance%202022%20%28Revised%29.pdf</t>
  </si>
  <si>
    <t>Vehicle occupancy ratios were obtained from Federal Highway Administration Highway Statistics and are consistent with Benefit Cost Analysis Guidance for Discretionary Grant Programs, dated March 2022 (Revised): https://www.transportation.gov/sites/dot.gov/files/2022-03/Benefit%20Cost%20Analysis%20Guidance%202022%20%28Revised%29.pdf</t>
  </si>
  <si>
    <t>Remaining Capital Value</t>
  </si>
  <si>
    <t>7% Discount Total</t>
  </si>
  <si>
    <t>Value of time, vehicle operating costs, and vehicle occupancy ratios  were obtained from the Benefit Cost Analysis Guidance for Discretionary Grant Programs, dated March 2022 (Updated) .</t>
  </si>
  <si>
    <r>
      <t xml:space="preserve">Number of Days in a Year </t>
    </r>
    <r>
      <rPr>
        <vertAlign val="superscript"/>
        <sz val="9"/>
        <rFont val="Calibri"/>
        <family val="2"/>
        <scheme val="minor"/>
      </rPr>
      <t>(4)</t>
    </r>
  </si>
  <si>
    <r>
      <t xml:space="preserve">Value of Time </t>
    </r>
    <r>
      <rPr>
        <vertAlign val="superscript"/>
        <sz val="9"/>
        <rFont val="Calibri"/>
        <family val="2"/>
        <scheme val="minor"/>
      </rPr>
      <t>(3)</t>
    </r>
    <r>
      <rPr>
        <sz val="9"/>
        <rFont val="Calibri"/>
        <family val="2"/>
        <scheme val="minor"/>
      </rPr>
      <t xml:space="preserve"> - All-Purpose Travel</t>
    </r>
  </si>
  <si>
    <r>
      <t xml:space="preserve">Value of Time </t>
    </r>
    <r>
      <rPr>
        <vertAlign val="superscript"/>
        <sz val="9"/>
        <rFont val="Calibri"/>
        <family val="2"/>
        <scheme val="minor"/>
      </rPr>
      <t>(3)</t>
    </r>
    <r>
      <rPr>
        <sz val="9"/>
        <rFont val="Calibri"/>
        <family val="2"/>
        <scheme val="minor"/>
      </rPr>
      <t xml:space="preserve"> - Truck Travel</t>
    </r>
  </si>
  <si>
    <r>
      <t xml:space="preserve">Cost per Mile </t>
    </r>
    <r>
      <rPr>
        <vertAlign val="superscript"/>
        <sz val="9"/>
        <rFont val="Calibri"/>
        <family val="2"/>
        <scheme val="minor"/>
      </rPr>
      <t>(3)</t>
    </r>
    <r>
      <rPr>
        <sz val="9"/>
        <rFont val="Calibri"/>
        <family val="2"/>
        <scheme val="minor"/>
      </rPr>
      <t xml:space="preserve"> - Auto</t>
    </r>
  </si>
  <si>
    <r>
      <t xml:space="preserve">Cost per Mile </t>
    </r>
    <r>
      <rPr>
        <vertAlign val="superscript"/>
        <sz val="9"/>
        <rFont val="Calibri"/>
        <family val="2"/>
        <scheme val="minor"/>
      </rPr>
      <t>(3)</t>
    </r>
    <r>
      <rPr>
        <sz val="9"/>
        <rFont val="Calibri"/>
        <family val="2"/>
        <scheme val="minor"/>
      </rPr>
      <t xml:space="preserve"> - Truck</t>
    </r>
  </si>
  <si>
    <t>This analysis assumes 365 days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</si>
</sst>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_(* #,##0_);_(* \(#,##0\);_(* &quot;-&quot;??_);_(@_)"/>
    <numFmt numFmtId="168" formatCode="0.0%"/>
    <numFmt numFmtId="169" formatCode="&quot;$&quot;#,##0.00"/>
    <numFmt numFmtId="170" formatCode="0.00000"/>
    <numFmt numFmtId="171" formatCode="0.0"/>
    <numFmt numFmtId="172" formatCode="&quot;$&quot;#,##0.000"/>
    <numFmt numFmtId="173" formatCode="0.000"/>
  </numFmts>
  <fonts count="31"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b/>
      <vertAlign val="superscript"/>
      <sz val="11"/>
      <color theme="1"/>
      <name val="Calibri"/>
      <family val="2"/>
      <scheme val="minor"/>
    </font>
    <font>
      <sz val="11"/>
      <color indexed="8"/>
      <name val="Calibri"/>
      <family val="2"/>
      <scheme val="minor"/>
    </font>
    <font>
      <sz val="9"/>
      <color rgb="FF0070C0"/>
      <name val="Calibri"/>
      <family val="2"/>
      <scheme val="minor"/>
    </font>
    <font>
      <u/>
      <sz val="11"/>
      <color theme="10"/>
      <name val="Calibri"/>
      <family val="2"/>
      <scheme val="minor"/>
    </font>
    <font>
      <b/>
      <sz val="18"/>
      <color rgb="FFFF0000"/>
      <name val="Calibri"/>
      <family val="2"/>
      <scheme val="minor"/>
    </font>
    <font>
      <vertAlign val="superscript"/>
      <sz val="9"/>
      <name val="Calibri"/>
      <family val="2"/>
      <scheme val="minor"/>
    </font>
    <font>
      <b/>
      <i/>
      <sz val="9"/>
      <name val="Calibri"/>
      <family val="2"/>
      <scheme val="minor"/>
    </font>
    <font>
      <sz val="9"/>
      <color rgb="FFFF0000"/>
      <name val="Calibri"/>
      <family val="2"/>
      <scheme val="minor"/>
    </font>
    <font>
      <vertAlign val="superscript"/>
      <sz val="11"/>
      <color theme="1"/>
      <name val="Calibri"/>
      <family val="2"/>
      <scheme val="minor"/>
    </font>
    <font>
      <sz val="8"/>
      <color theme="1"/>
      <name val="Calibri"/>
      <family val="2"/>
      <scheme val="minor"/>
    </font>
    <font>
      <i/>
      <u/>
      <sz val="8"/>
      <color theme="10"/>
      <name val="Calibri"/>
      <family val="2"/>
      <scheme val="minor"/>
    </font>
    <font>
      <sz val="10"/>
      <color theme="1"/>
      <name val="Calibri"/>
      <family val="2"/>
      <scheme val="minor"/>
    </font>
    <font>
      <sz val="8"/>
      <name val="Calibri"/>
      <family val="2"/>
      <scheme val="minor"/>
    </font>
    <font>
      <u/>
      <sz val="11"/>
      <color theme="1"/>
      <name val="Calibri"/>
      <family val="2"/>
      <scheme val="minor"/>
    </font>
    <font>
      <u/>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141">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7" fillId="0" borderId="0"/>
    <xf numFmtId="0" fontId="19" fillId="0" borderId="0" applyNumberForma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pplyNumberFormat="0" applyFill="0" applyBorder="0" applyAlignment="0" applyProtection="0">
      <alignment vertical="top"/>
      <protection locked="0"/>
    </xf>
  </cellStyleXfs>
  <cellXfs count="375">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164" fontId="2" fillId="0" borderId="0" xfId="0" applyNumberFormat="1" applyFont="1" applyAlignment="1">
      <alignment horizontal="center"/>
    </xf>
    <xf numFmtId="0" fontId="4" fillId="0" borderId="0" xfId="0" applyFont="1"/>
    <xf numFmtId="0" fontId="0" fillId="0" borderId="0" xfId="0" applyAlignment="1">
      <alignment horizontal="right"/>
    </xf>
    <xf numFmtId="164" fontId="2" fillId="0" borderId="0" xfId="0" applyNumberFormat="1" applyFont="1" applyBorder="1" applyAlignment="1">
      <alignment horizontal="center"/>
    </xf>
    <xf numFmtId="165" fontId="2" fillId="0" borderId="0" xfId="0" applyNumberFormat="1" applyFont="1"/>
    <xf numFmtId="0" fontId="0" fillId="0" borderId="0" xfId="0" applyAlignment="1"/>
    <xf numFmtId="0" fontId="2" fillId="0" borderId="0" xfId="0" applyFont="1" applyBorder="1" applyAlignment="1">
      <alignment horizontal="center"/>
    </xf>
    <xf numFmtId="0" fontId="10" fillId="0" borderId="0" xfId="0" applyFont="1" applyBorder="1" applyAlignment="1">
      <alignment horizontal="center"/>
    </xf>
    <xf numFmtId="0" fontId="11" fillId="0" borderId="0" xfId="0" applyFont="1"/>
    <xf numFmtId="164" fontId="12" fillId="0" borderId="0" xfId="0" applyNumberFormat="1" applyFont="1" applyFill="1" applyBorder="1" applyAlignment="1">
      <alignment horizontal="center"/>
    </xf>
    <xf numFmtId="0" fontId="4" fillId="2" borderId="36" xfId="0" applyFont="1" applyFill="1" applyBorder="1"/>
    <xf numFmtId="0" fontId="4" fillId="2" borderId="35" xfId="0" applyFont="1" applyFill="1" applyBorder="1"/>
    <xf numFmtId="0" fontId="0" fillId="0" borderId="0" xfId="0" applyFill="1"/>
    <xf numFmtId="0" fontId="4" fillId="0" borderId="0" xfId="0" applyFont="1" applyFill="1"/>
    <xf numFmtId="0" fontId="0" fillId="0" borderId="0" xfId="0" applyFill="1" applyBorder="1"/>
    <xf numFmtId="0" fontId="0" fillId="0" borderId="0" xfId="0" applyFill="1" applyBorder="1" applyAlignment="1">
      <alignment horizontal="center"/>
    </xf>
    <xf numFmtId="0" fontId="0" fillId="0" borderId="0" xfId="0" applyBorder="1"/>
    <xf numFmtId="0" fontId="0" fillId="0" borderId="0" xfId="0" applyAlignment="1">
      <alignment vertical="top" wrapText="1"/>
    </xf>
    <xf numFmtId="0" fontId="4" fillId="0" borderId="0" xfId="0" applyFont="1" applyFill="1" applyBorder="1" applyAlignment="1">
      <alignment horizontal="left"/>
    </xf>
    <xf numFmtId="0" fontId="0" fillId="0" borderId="0" xfId="0" applyBorder="1" applyAlignment="1">
      <alignment horizontal="center"/>
    </xf>
    <xf numFmtId="0" fontId="15" fillId="0" borderId="0" xfId="0" applyFont="1"/>
    <xf numFmtId="0" fontId="10" fillId="0" borderId="0" xfId="0" applyFont="1" applyAlignment="1">
      <alignment horizontal="left"/>
    </xf>
    <xf numFmtId="0" fontId="10" fillId="0" borderId="0" xfId="0" applyFont="1" applyBorder="1" applyAlignment="1">
      <alignment horizontal="left"/>
    </xf>
    <xf numFmtId="167" fontId="0" fillId="0" borderId="0" xfId="15" applyNumberFormat="1" applyFont="1" applyBorder="1"/>
    <xf numFmtId="164" fontId="0" fillId="0" borderId="27" xfId="0" applyNumberFormat="1" applyBorder="1" applyAlignment="1">
      <alignment horizontal="center"/>
    </xf>
    <xf numFmtId="164" fontId="0" fillId="0" borderId="0" xfId="0" applyNumberFormat="1" applyBorder="1" applyAlignment="1">
      <alignment horizontal="center"/>
    </xf>
    <xf numFmtId="2" fontId="0" fillId="0" borderId="27" xfId="0" applyNumberFormat="1" applyBorder="1" applyAlignment="1">
      <alignment horizontal="center"/>
    </xf>
    <xf numFmtId="2" fontId="0" fillId="0" borderId="0" xfId="0" applyNumberFormat="1" applyBorder="1" applyAlignment="1">
      <alignment horizontal="center"/>
    </xf>
    <xf numFmtId="9" fontId="4" fillId="0" borderId="27" xfId="0" applyNumberFormat="1" applyFont="1" applyFill="1" applyBorder="1" applyAlignment="1">
      <alignment horizontal="center"/>
    </xf>
    <xf numFmtId="9" fontId="4" fillId="0" borderId="0" xfId="0" applyNumberFormat="1" applyFont="1" applyFill="1" applyBorder="1" applyAlignment="1">
      <alignment horizontal="center"/>
    </xf>
    <xf numFmtId="0" fontId="0" fillId="0" borderId="0" xfId="0" applyBorder="1" applyAlignment="1">
      <alignment vertical="top" wrapText="1"/>
    </xf>
    <xf numFmtId="167" fontId="0" fillId="0" borderId="0" xfId="0" applyNumberFormat="1" applyBorder="1"/>
    <xf numFmtId="0" fontId="0" fillId="0" borderId="22" xfId="0" applyFill="1" applyBorder="1" applyAlignment="1">
      <alignment horizontal="center"/>
    </xf>
    <xf numFmtId="0" fontId="4" fillId="0" borderId="0" xfId="0" applyFont="1" applyFill="1" applyBorder="1" applyAlignment="1">
      <alignment horizontal="center"/>
    </xf>
    <xf numFmtId="0" fontId="2" fillId="0" borderId="39" xfId="0" applyFont="1" applyFill="1" applyBorder="1" applyAlignment="1">
      <alignment horizontal="center" vertical="center" wrapText="1"/>
    </xf>
    <xf numFmtId="0" fontId="2" fillId="0" borderId="39" xfId="0" applyFont="1" applyBorder="1" applyAlignment="1">
      <alignment horizontal="center"/>
    </xf>
    <xf numFmtId="0" fontId="0" fillId="0" borderId="0" xfId="0"/>
    <xf numFmtId="0" fontId="0" fillId="0" borderId="0" xfId="0" applyAlignment="1">
      <alignment vertical="center"/>
    </xf>
    <xf numFmtId="0" fontId="10" fillId="0" borderId="0" xfId="0" applyFont="1" applyAlignment="1">
      <alignment horizontal="center" vertical="center"/>
    </xf>
    <xf numFmtId="0" fontId="0" fillId="0" borderId="0" xfId="0" applyAlignment="1">
      <alignment horizontal="right" vertical="top"/>
    </xf>
    <xf numFmtId="0" fontId="0" fillId="0" borderId="0" xfId="0" applyAlignment="1">
      <alignment vertical="top"/>
    </xf>
    <xf numFmtId="164" fontId="18" fillId="0" borderId="0" xfId="0" applyNumberFormat="1" applyFont="1" applyBorder="1" applyAlignment="1">
      <alignment horizontal="center"/>
    </xf>
    <xf numFmtId="0" fontId="0" fillId="0" borderId="22" xfId="0" applyFont="1" applyFill="1" applyBorder="1" applyAlignment="1"/>
    <xf numFmtId="0" fontId="0" fillId="0" borderId="0" xfId="0" applyFont="1" applyFill="1" applyAlignment="1">
      <alignment horizontal="center"/>
    </xf>
    <xf numFmtId="0" fontId="0" fillId="0" borderId="0" xfId="0" applyFont="1" applyFill="1" applyBorder="1" applyAlignment="1">
      <alignment horizontal="center"/>
    </xf>
    <xf numFmtId="165" fontId="2" fillId="0" borderId="0" xfId="1" applyNumberFormat="1" applyFont="1" applyBorder="1" applyAlignment="1">
      <alignment horizontal="center"/>
    </xf>
    <xf numFmtId="0" fontId="0" fillId="0" borderId="0" xfId="0" applyFill="1" applyAlignment="1">
      <alignment vertical="top"/>
    </xf>
    <xf numFmtId="37" fontId="2" fillId="0" borderId="0" xfId="0" applyNumberFormat="1" applyFont="1"/>
    <xf numFmtId="0" fontId="0" fillId="0" borderId="0" xfId="0"/>
    <xf numFmtId="0" fontId="0" fillId="0" borderId="0" xfId="0" applyFill="1" applyBorder="1" applyAlignment="1">
      <alignment horizontal="left"/>
    </xf>
    <xf numFmtId="167" fontId="0" fillId="0" borderId="0" xfId="0" applyNumberFormat="1" applyFill="1" applyBorder="1" applyAlignment="1">
      <alignment horizontal="center"/>
    </xf>
    <xf numFmtId="167" fontId="0" fillId="0" borderId="0" xfId="0" applyNumberFormat="1" applyFill="1" applyBorder="1" applyAlignment="1">
      <alignment horizontal="center" vertical="top" wrapText="1"/>
    </xf>
    <xf numFmtId="44" fontId="0" fillId="0" borderId="0" xfId="1" applyFont="1" applyFill="1" applyBorder="1"/>
    <xf numFmtId="0" fontId="0" fillId="0" borderId="0" xfId="0" applyFill="1" applyBorder="1" applyAlignment="1"/>
    <xf numFmtId="0" fontId="0" fillId="0" borderId="0" xfId="0" applyAlignment="1">
      <alignment horizontal="left"/>
    </xf>
    <xf numFmtId="0" fontId="2" fillId="0" borderId="36" xfId="0" applyFont="1" applyBorder="1" applyAlignment="1">
      <alignment horizontal="center"/>
    </xf>
    <xf numFmtId="0" fontId="2" fillId="0" borderId="7" xfId="0" applyFont="1" applyBorder="1" applyAlignment="1">
      <alignment horizontal="center"/>
    </xf>
    <xf numFmtId="164" fontId="2" fillId="0" borderId="27" xfId="0" applyNumberFormat="1" applyFont="1" applyBorder="1" applyAlignment="1">
      <alignment horizontal="center"/>
    </xf>
    <xf numFmtId="0" fontId="0" fillId="0" borderId="0" xfId="0" applyFill="1" applyAlignment="1">
      <alignment horizontal="right"/>
    </xf>
    <xf numFmtId="1" fontId="0" fillId="0" borderId="0" xfId="0" applyNumberFormat="1"/>
    <xf numFmtId="0" fontId="0" fillId="0" borderId="0" xfId="0" applyFill="1" applyAlignment="1">
      <alignment horizontal="left"/>
    </xf>
    <xf numFmtId="169" fontId="0" fillId="0" borderId="0" xfId="1" applyNumberFormat="1" applyFont="1" applyFill="1" applyBorder="1" applyAlignment="1">
      <alignment horizontal="center"/>
    </xf>
    <xf numFmtId="168" fontId="0" fillId="0" borderId="22" xfId="16" applyNumberFormat="1" applyFont="1" applyFill="1" applyBorder="1" applyAlignment="1">
      <alignment horizontal="center"/>
    </xf>
    <xf numFmtId="0" fontId="0" fillId="0" borderId="22" xfId="0" applyFill="1" applyBorder="1" applyAlignment="1">
      <alignment horizontal="left"/>
    </xf>
    <xf numFmtId="6" fontId="3" fillId="0" borderId="0" xfId="0" applyNumberFormat="1" applyFont="1" applyFill="1"/>
    <xf numFmtId="169" fontId="0" fillId="0" borderId="22" xfId="1" applyNumberFormat="1" applyFont="1" applyFill="1" applyBorder="1" applyAlignment="1">
      <alignment horizontal="center"/>
    </xf>
    <xf numFmtId="164" fontId="2" fillId="0" borderId="39" xfId="0" applyNumberFormat="1" applyFont="1" applyBorder="1" applyAlignment="1">
      <alignment horizontal="center"/>
    </xf>
    <xf numFmtId="0" fontId="2" fillId="0" borderId="5" xfId="0" applyFont="1" applyBorder="1" applyAlignment="1">
      <alignment horizontal="center" vertical="center" wrapText="1"/>
    </xf>
    <xf numFmtId="0" fontId="0" fillId="0" borderId="0" xfId="0" applyFill="1" applyAlignment="1">
      <alignment horizontal="left" vertical="top"/>
    </xf>
    <xf numFmtId="0" fontId="0" fillId="0" borderId="0" xfId="0" applyFill="1" applyAlignment="1">
      <alignment vertical="top" wrapText="1"/>
    </xf>
    <xf numFmtId="0" fontId="3" fillId="0" borderId="0" xfId="0" applyFont="1"/>
    <xf numFmtId="6" fontId="11" fillId="0" borderId="0" xfId="0" applyNumberFormat="1" applyFont="1" applyAlignment="1">
      <alignment horizontal="center"/>
    </xf>
    <xf numFmtId="0" fontId="0" fillId="0" borderId="45" xfId="0" applyBorder="1" applyAlignment="1">
      <alignment horizontal="center" wrapText="1"/>
    </xf>
    <xf numFmtId="0" fontId="8" fillId="0" borderId="0" xfId="2" applyFont="1" applyFill="1" applyBorder="1" applyAlignment="1">
      <alignment horizontal="left" vertical="center"/>
    </xf>
    <xf numFmtId="0" fontId="9" fillId="0" borderId="0" xfId="2" applyFont="1" applyFill="1" applyBorder="1" applyAlignment="1">
      <alignment horizontal="left"/>
    </xf>
    <xf numFmtId="0" fontId="20" fillId="0" borderId="0" xfId="2" applyFont="1" applyFill="1" applyBorder="1" applyAlignment="1"/>
    <xf numFmtId="0" fontId="9" fillId="0" borderId="22" xfId="2" applyFont="1" applyFill="1" applyBorder="1" applyAlignment="1">
      <alignment horizontal="left" vertical="center"/>
    </xf>
    <xf numFmtId="0" fontId="9" fillId="0" borderId="22" xfId="2" applyFont="1" applyFill="1" applyBorder="1" applyAlignment="1">
      <alignment horizontal="center" vertical="center"/>
    </xf>
    <xf numFmtId="0" fontId="9" fillId="0" borderId="0" xfId="2" applyFont="1" applyFill="1" applyBorder="1" applyAlignment="1">
      <alignment horizontal="left" vertical="center"/>
    </xf>
    <xf numFmtId="170" fontId="9" fillId="0" borderId="0" xfId="2" applyNumberFormat="1" applyFont="1" applyFill="1" applyBorder="1" applyAlignment="1">
      <alignment horizontal="left"/>
    </xf>
    <xf numFmtId="0" fontId="22" fillId="0" borderId="0" xfId="2" applyFont="1" applyFill="1" applyBorder="1" applyAlignment="1">
      <alignment horizontal="left"/>
    </xf>
    <xf numFmtId="0" fontId="8" fillId="0" borderId="22" xfId="2" applyFont="1" applyFill="1" applyBorder="1" applyAlignment="1">
      <alignment horizontal="center" vertical="center"/>
    </xf>
    <xf numFmtId="10" fontId="9" fillId="0" borderId="0" xfId="2" applyNumberFormat="1" applyFont="1" applyFill="1" applyBorder="1" applyAlignment="1">
      <alignment horizontal="center" vertical="center"/>
    </xf>
    <xf numFmtId="169" fontId="9" fillId="0" borderId="22" xfId="2" applyNumberFormat="1" applyFont="1" applyFill="1" applyBorder="1" applyAlignment="1">
      <alignment horizontal="left" vertical="center"/>
    </xf>
    <xf numFmtId="169" fontId="9" fillId="0" borderId="0" xfId="2" applyNumberFormat="1" applyFont="1" applyFill="1" applyBorder="1" applyAlignment="1">
      <alignment horizontal="left" vertical="center"/>
    </xf>
    <xf numFmtId="0" fontId="8" fillId="0" borderId="0" xfId="0" applyFont="1" applyFill="1" applyBorder="1" applyAlignment="1">
      <alignment horizontal="left"/>
    </xf>
    <xf numFmtId="0" fontId="6" fillId="0" borderId="0" xfId="0" applyFont="1" applyFill="1" applyBorder="1" applyAlignment="1">
      <alignment horizontal="right"/>
    </xf>
    <xf numFmtId="0" fontId="14" fillId="0" borderId="0" xfId="0" applyFont="1" applyFill="1" applyBorder="1" applyAlignment="1">
      <alignment horizontal="right"/>
    </xf>
    <xf numFmtId="0" fontId="6" fillId="0" borderId="0" xfId="2" applyFont="1" applyFill="1" applyBorder="1" applyAlignment="1">
      <alignment horizontal="right"/>
    </xf>
    <xf numFmtId="0" fontId="9" fillId="0" borderId="0" xfId="2" applyFont="1" applyFill="1" applyBorder="1" applyAlignment="1">
      <alignment horizontal="right"/>
    </xf>
    <xf numFmtId="6" fontId="2" fillId="0" borderId="0" xfId="0" applyNumberFormat="1" applyFont="1" applyFill="1" applyBorder="1" applyAlignment="1">
      <alignment horizontal="right" indent="1"/>
    </xf>
    <xf numFmtId="0" fontId="9" fillId="0" borderId="0" xfId="2" applyFont="1" applyFill="1" applyBorder="1" applyAlignment="1">
      <alignment horizontal="center" vertical="center"/>
    </xf>
    <xf numFmtId="0" fontId="4" fillId="0" borderId="22" xfId="0" applyFont="1" applyBorder="1"/>
    <xf numFmtId="0" fontId="0" fillId="0" borderId="22" xfId="0" applyBorder="1"/>
    <xf numFmtId="0" fontId="2" fillId="0" borderId="14" xfId="0" applyFont="1" applyBorder="1" applyAlignment="1">
      <alignment horizontal="center" vertical="center" wrapText="1"/>
    </xf>
    <xf numFmtId="164" fontId="0" fillId="0" borderId="0" xfId="0" applyNumberFormat="1" applyAlignment="1">
      <alignment horizontal="center"/>
    </xf>
    <xf numFmtId="0" fontId="4" fillId="0" borderId="0" xfId="0" applyFont="1" applyAlignment="1">
      <alignment horizontal="right"/>
    </xf>
    <xf numFmtId="0" fontId="0" fillId="0" borderId="0" xfId="0"/>
    <xf numFmtId="168" fontId="9" fillId="0" borderId="22" xfId="2" applyNumberFormat="1" applyFont="1" applyFill="1" applyBorder="1" applyAlignment="1">
      <alignment horizontal="center" vertical="center"/>
    </xf>
    <xf numFmtId="0" fontId="0" fillId="0" borderId="22" xfId="0" applyFill="1" applyBorder="1"/>
    <xf numFmtId="165" fontId="9" fillId="0" borderId="0" xfId="1" applyNumberFormat="1" applyFont="1" applyBorder="1" applyAlignment="1">
      <alignment vertical="center"/>
    </xf>
    <xf numFmtId="0" fontId="9" fillId="0" borderId="0" xfId="1" applyNumberFormat="1" applyFont="1" applyFill="1" applyBorder="1" applyAlignment="1">
      <alignment horizontal="center"/>
    </xf>
    <xf numFmtId="165" fontId="8" fillId="0" borderId="0" xfId="1" applyNumberFormat="1" applyFont="1" applyFill="1" applyBorder="1" applyAlignment="1">
      <alignment horizontal="center"/>
    </xf>
    <xf numFmtId="165" fontId="9" fillId="0" borderId="0" xfId="1" applyNumberFormat="1" applyFont="1" applyFill="1" applyBorder="1" applyAlignment="1">
      <alignment horizontal="center"/>
    </xf>
    <xf numFmtId="2" fontId="9" fillId="0" borderId="0" xfId="0" applyNumberFormat="1" applyFont="1" applyFill="1" applyBorder="1" applyAlignment="1">
      <alignment horizontal="center"/>
    </xf>
    <xf numFmtId="0" fontId="2" fillId="0" borderId="14" xfId="0" applyFont="1" applyFill="1" applyBorder="1" applyAlignment="1">
      <alignment horizontal="center" vertical="center" wrapText="1"/>
    </xf>
    <xf numFmtId="0" fontId="4" fillId="0" borderId="0" xfId="0" applyFont="1" applyBorder="1" applyAlignment="1">
      <alignment horizontal="center"/>
    </xf>
    <xf numFmtId="0" fontId="25" fillId="0" borderId="0" xfId="0" applyFont="1"/>
    <xf numFmtId="0" fontId="26" fillId="0" borderId="0" xfId="18" applyFont="1"/>
    <xf numFmtId="0" fontId="19" fillId="0" borderId="0" xfId="18"/>
    <xf numFmtId="2" fontId="0" fillId="0" borderId="22" xfId="0" applyNumberFormat="1" applyBorder="1"/>
    <xf numFmtId="2" fontId="0" fillId="4" borderId="22" xfId="0" applyNumberFormat="1" applyFill="1" applyBorder="1"/>
    <xf numFmtId="2" fontId="0" fillId="0" borderId="22" xfId="0" applyNumberFormat="1" applyBorder="1" applyAlignment="1">
      <alignment horizontal="center"/>
    </xf>
    <xf numFmtId="44" fontId="0" fillId="0" borderId="22" xfId="1" applyFont="1" applyBorder="1" applyAlignment="1">
      <alignment horizontal="center"/>
    </xf>
    <xf numFmtId="9" fontId="0" fillId="0" borderId="0" xfId="0" applyNumberFormat="1"/>
    <xf numFmtId="0" fontId="6" fillId="0" borderId="0" xfId="0" applyFont="1"/>
    <xf numFmtId="0" fontId="14" fillId="0" borderId="0" xfId="0" applyFont="1"/>
    <xf numFmtId="44" fontId="6" fillId="0" borderId="0" xfId="1" applyFont="1" applyFill="1"/>
    <xf numFmtId="6" fontId="2" fillId="0" borderId="12" xfId="0" applyNumberFormat="1" applyFont="1" applyFill="1" applyBorder="1" applyAlignment="1">
      <alignment horizontal="right" indent="1"/>
    </xf>
    <xf numFmtId="0" fontId="0" fillId="0" borderId="0" xfId="0"/>
    <xf numFmtId="0" fontId="0" fillId="0" borderId="0" xfId="0" applyAlignment="1">
      <alignment horizontal="center"/>
    </xf>
    <xf numFmtId="0" fontId="2" fillId="0" borderId="15" xfId="0" applyFont="1" applyFill="1" applyBorder="1" applyAlignment="1">
      <alignment horizontal="center" vertical="center" wrapText="1"/>
    </xf>
    <xf numFmtId="0" fontId="0" fillId="0" borderId="0" xfId="0"/>
    <xf numFmtId="0" fontId="0" fillId="0" borderId="0" xfId="0" applyAlignment="1">
      <alignment horizontal="center"/>
    </xf>
    <xf numFmtId="169" fontId="0" fillId="0" borderId="22" xfId="0" applyNumberFormat="1" applyFont="1" applyFill="1" applyBorder="1" applyAlignment="1">
      <alignment horizontal="center"/>
    </xf>
    <xf numFmtId="2" fontId="0" fillId="0" borderId="22" xfId="16" applyNumberFormat="1" applyFont="1" applyFill="1" applyBorder="1" applyAlignment="1">
      <alignment horizontal="center"/>
    </xf>
    <xf numFmtId="1" fontId="0" fillId="0" borderId="22" xfId="0" applyNumberFormat="1" applyBorder="1" applyAlignment="1">
      <alignment horizontal="center"/>
    </xf>
    <xf numFmtId="37" fontId="2" fillId="0" borderId="14" xfId="15" applyNumberFormat="1" applyFont="1" applyFill="1" applyBorder="1" applyAlignment="1">
      <alignment horizontal="center"/>
    </xf>
    <xf numFmtId="37" fontId="2" fillId="0" borderId="40" xfId="15" applyNumberFormat="1" applyFont="1" applyFill="1" applyBorder="1" applyAlignment="1">
      <alignment horizontal="center"/>
    </xf>
    <xf numFmtId="6" fontId="2" fillId="0" borderId="14" xfId="15" applyNumberFormat="1" applyFont="1" applyFill="1" applyBorder="1" applyAlignment="1">
      <alignment horizontal="right"/>
    </xf>
    <xf numFmtId="6" fontId="2" fillId="0" borderId="8" xfId="15" applyNumberFormat="1" applyFont="1" applyFill="1" applyBorder="1" applyAlignment="1">
      <alignment horizontal="right"/>
    </xf>
    <xf numFmtId="0" fontId="2" fillId="0" borderId="5" xfId="0" applyFont="1" applyBorder="1" applyAlignment="1">
      <alignment horizontal="center"/>
    </xf>
    <xf numFmtId="168" fontId="0" fillId="0" borderId="0" xfId="16" applyNumberFormat="1" applyFont="1" applyFill="1" applyBorder="1" applyAlignment="1">
      <alignment horizontal="center"/>
    </xf>
    <xf numFmtId="2" fontId="0" fillId="0" borderId="0" xfId="16" applyNumberFormat="1" applyFont="1" applyFill="1" applyBorder="1" applyAlignment="1">
      <alignment horizontal="center"/>
    </xf>
    <xf numFmtId="169" fontId="0" fillId="0" borderId="0" xfId="0" applyNumberFormat="1" applyFont="1" applyFill="1" applyBorder="1" applyAlignment="1">
      <alignment horizontal="center"/>
    </xf>
    <xf numFmtId="37" fontId="2" fillId="0" borderId="13" xfId="15" applyNumberFormat="1" applyFont="1" applyFill="1" applyBorder="1" applyAlignment="1">
      <alignment horizontal="center"/>
    </xf>
    <xf numFmtId="37" fontId="2" fillId="0" borderId="44" xfId="15" applyNumberFormat="1" applyFont="1" applyFill="1" applyBorder="1" applyAlignment="1">
      <alignment horizontal="center"/>
    </xf>
    <xf numFmtId="6" fontId="2" fillId="0" borderId="13" xfId="15" applyNumberFormat="1" applyFont="1" applyFill="1" applyBorder="1" applyAlignment="1">
      <alignment horizontal="right"/>
    </xf>
    <xf numFmtId="6" fontId="2" fillId="0" borderId="6" xfId="15" applyNumberFormat="1" applyFont="1" applyFill="1" applyBorder="1" applyAlignment="1">
      <alignment horizontal="right"/>
    </xf>
    <xf numFmtId="6" fontId="2" fillId="0" borderId="14" xfId="15" applyNumberFormat="1" applyFont="1" applyFill="1" applyBorder="1" applyAlignment="1"/>
    <xf numFmtId="6" fontId="2" fillId="0" borderId="8" xfId="15" applyNumberFormat="1" applyFont="1" applyFill="1" applyBorder="1" applyAlignment="1"/>
    <xf numFmtId="37" fontId="27" fillId="5" borderId="40" xfId="15" applyNumberFormat="1" applyFont="1" applyFill="1" applyBorder="1" applyAlignment="1">
      <alignment horizontal="center"/>
    </xf>
    <xf numFmtId="6" fontId="2" fillId="5" borderId="14" xfId="15" applyNumberFormat="1" applyFont="1" applyFill="1" applyBorder="1" applyAlignment="1">
      <alignment horizontal="right"/>
    </xf>
    <xf numFmtId="6" fontId="2" fillId="5" borderId="8" xfId="15" applyNumberFormat="1" applyFont="1" applyFill="1" applyBorder="1" applyAlignment="1">
      <alignment horizontal="right"/>
    </xf>
    <xf numFmtId="37" fontId="2" fillId="5" borderId="40" xfId="15" applyNumberFormat="1" applyFont="1" applyFill="1" applyBorder="1" applyAlignment="1">
      <alignment horizontal="center"/>
    </xf>
    <xf numFmtId="37" fontId="2" fillId="5" borderId="43" xfId="15" applyNumberFormat="1" applyFont="1" applyFill="1" applyBorder="1" applyAlignment="1">
      <alignment horizontal="center"/>
    </xf>
    <xf numFmtId="6" fontId="2" fillId="5" borderId="15" xfId="15" applyNumberFormat="1" applyFont="1" applyFill="1" applyBorder="1" applyAlignment="1">
      <alignment horizontal="right"/>
    </xf>
    <xf numFmtId="6" fontId="2" fillId="5" borderId="10" xfId="15" applyNumberFormat="1" applyFont="1" applyFill="1" applyBorder="1" applyAlignment="1">
      <alignment horizontal="right"/>
    </xf>
    <xf numFmtId="0" fontId="0" fillId="0" borderId="0" xfId="0"/>
    <xf numFmtId="0" fontId="4" fillId="0" borderId="0" xfId="0" applyFont="1" applyFill="1" applyBorder="1" applyAlignment="1">
      <alignment horizontal="left"/>
    </xf>
    <xf numFmtId="0" fontId="6" fillId="0" borderId="0" xfId="2" applyFont="1" applyFill="1" applyBorder="1" applyAlignment="1">
      <alignment horizontal="left" vertical="top" wrapText="1"/>
    </xf>
    <xf numFmtId="0" fontId="0" fillId="0" borderId="0" xfId="0" applyFill="1" applyAlignment="1">
      <alignment horizontal="left" vertical="top" wrapText="1"/>
    </xf>
    <xf numFmtId="0" fontId="0" fillId="0" borderId="0" xfId="0"/>
    <xf numFmtId="0" fontId="4" fillId="0" borderId="0" xfId="0" applyFont="1" applyFill="1" applyBorder="1" applyAlignment="1">
      <alignment horizontal="left"/>
    </xf>
    <xf numFmtId="0" fontId="4" fillId="0" borderId="22" xfId="0" applyFont="1" applyBorder="1" applyAlignment="1">
      <alignment horizontal="center" wrapText="1"/>
    </xf>
    <xf numFmtId="0" fontId="0" fillId="0" borderId="22" xfId="0" applyBorder="1" applyAlignment="1">
      <alignment horizontal="center"/>
    </xf>
    <xf numFmtId="0" fontId="0" fillId="0" borderId="0" xfId="0" applyAlignment="1">
      <alignment horizontal="center"/>
    </xf>
    <xf numFmtId="37" fontId="2" fillId="0" borderId="15" xfId="15" applyNumberFormat="1" applyFont="1" applyFill="1" applyBorder="1" applyAlignment="1">
      <alignment horizontal="center"/>
    </xf>
    <xf numFmtId="0" fontId="0" fillId="0" borderId="46" xfId="0" applyFont="1" applyFill="1" applyBorder="1" applyAlignment="1"/>
    <xf numFmtId="0" fontId="4" fillId="0" borderId="0" xfId="0" applyFont="1" applyFill="1" applyBorder="1" applyAlignment="1"/>
    <xf numFmtId="37" fontId="1" fillId="0" borderId="22" xfId="15" applyNumberFormat="1" applyFont="1" applyFill="1" applyBorder="1" applyAlignment="1">
      <alignment horizontal="center"/>
    </xf>
    <xf numFmtId="0" fontId="0" fillId="0" borderId="0" xfId="0"/>
    <xf numFmtId="6" fontId="2" fillId="0" borderId="15" xfId="15" applyNumberFormat="1" applyFont="1" applyFill="1" applyBorder="1" applyAlignment="1">
      <alignment horizontal="right"/>
    </xf>
    <xf numFmtId="6" fontId="2" fillId="0" borderId="10" xfId="15" applyNumberFormat="1" applyFont="1" applyFill="1" applyBorder="1" applyAlignment="1">
      <alignment horizontal="right"/>
    </xf>
    <xf numFmtId="0" fontId="6" fillId="0" borderId="0" xfId="0" applyFont="1" applyFill="1" applyBorder="1" applyAlignment="1">
      <alignment vertical="top" wrapText="1"/>
    </xf>
    <xf numFmtId="1" fontId="0" fillId="0" borderId="22" xfId="0" applyNumberFormat="1" applyFill="1" applyBorder="1" applyAlignment="1">
      <alignment horizontal="center"/>
    </xf>
    <xf numFmtId="10" fontId="0" fillId="0" borderId="22" xfId="16" applyNumberFormat="1" applyFont="1" applyFill="1" applyBorder="1" applyAlignment="1">
      <alignment horizontal="center"/>
    </xf>
    <xf numFmtId="0" fontId="0" fillId="0" borderId="52" xfId="0" applyFill="1" applyBorder="1"/>
    <xf numFmtId="172" fontId="0" fillId="0" borderId="22" xfId="0" applyNumberFormat="1" applyFill="1" applyBorder="1" applyAlignment="1">
      <alignment horizontal="center"/>
    </xf>
    <xf numFmtId="0" fontId="4" fillId="0" borderId="22" xfId="0" applyFont="1" applyFill="1" applyBorder="1" applyAlignment="1">
      <alignment horizontal="center" vertical="center"/>
    </xf>
    <xf numFmtId="2" fontId="9" fillId="0" borderId="22" xfId="2" applyNumberFormat="1" applyFont="1" applyFill="1" applyBorder="1" applyAlignment="1">
      <alignment horizontal="center" vertical="center"/>
    </xf>
    <xf numFmtId="0" fontId="2" fillId="0" borderId="7" xfId="0" applyFont="1" applyBorder="1" applyAlignment="1">
      <alignment horizontal="center" vertical="center" wrapText="1"/>
    </xf>
    <xf numFmtId="164" fontId="2" fillId="0" borderId="29" xfId="0" applyNumberFormat="1" applyFont="1" applyBorder="1" applyAlignment="1">
      <alignment horizontal="right" vertical="center" wrapText="1"/>
    </xf>
    <xf numFmtId="164" fontId="2" fillId="0" borderId="14" xfId="0" applyNumberFormat="1" applyFont="1" applyBorder="1" applyAlignment="1">
      <alignment horizontal="right"/>
    </xf>
    <xf numFmtId="164" fontId="2" fillId="0" borderId="44" xfId="0" applyNumberFormat="1" applyFont="1" applyBorder="1" applyAlignment="1">
      <alignment horizontal="right" vertical="center"/>
    </xf>
    <xf numFmtId="164" fontId="2" fillId="0" borderId="37" xfId="0" applyNumberFormat="1" applyFont="1" applyBorder="1" applyAlignment="1">
      <alignment horizontal="right"/>
    </xf>
    <xf numFmtId="164" fontId="2" fillId="0" borderId="24" xfId="0" applyNumberFormat="1" applyFont="1" applyBorder="1" applyAlignment="1">
      <alignment horizontal="right"/>
    </xf>
    <xf numFmtId="164" fontId="2" fillId="0" borderId="38" xfId="0" applyNumberFormat="1" applyFont="1" applyBorder="1" applyAlignment="1">
      <alignment horizontal="right"/>
    </xf>
    <xf numFmtId="164" fontId="2" fillId="0" borderId="39" xfId="0" applyNumberFormat="1" applyFont="1" applyBorder="1" applyAlignment="1">
      <alignment horizontal="right"/>
    </xf>
    <xf numFmtId="164" fontId="2" fillId="0" borderId="42" xfId="0" applyNumberFormat="1" applyFont="1" applyBorder="1" applyAlignment="1">
      <alignment horizontal="right"/>
    </xf>
    <xf numFmtId="164" fontId="2" fillId="0" borderId="46" xfId="0" applyNumberFormat="1" applyFont="1" applyBorder="1" applyAlignment="1">
      <alignment horizontal="right"/>
    </xf>
    <xf numFmtId="164" fontId="2" fillId="0" borderId="40" xfId="0" applyNumberFormat="1" applyFont="1" applyBorder="1" applyAlignment="1">
      <alignment horizontal="right"/>
    </xf>
    <xf numFmtId="164" fontId="2" fillId="0" borderId="33" xfId="0" applyNumberFormat="1" applyFont="1" applyBorder="1" applyAlignment="1">
      <alignment horizontal="right"/>
    </xf>
    <xf numFmtId="164" fontId="2" fillId="0" borderId="20" xfId="0" applyNumberFormat="1" applyFont="1" applyBorder="1" applyAlignment="1">
      <alignment horizontal="right"/>
    </xf>
    <xf numFmtId="164" fontId="2" fillId="0" borderId="48" xfId="0" applyNumberFormat="1" applyFont="1" applyBorder="1" applyAlignment="1">
      <alignment horizontal="right" vertical="center" wrapText="1"/>
    </xf>
    <xf numFmtId="164" fontId="2" fillId="0" borderId="6" xfId="0" applyNumberFormat="1" applyFont="1" applyBorder="1" applyAlignment="1">
      <alignment horizontal="right" vertical="center" wrapText="1"/>
    </xf>
    <xf numFmtId="0" fontId="14" fillId="0" borderId="22" xfId="0" applyFont="1" applyFill="1" applyBorder="1" applyAlignment="1">
      <alignment horizontal="center"/>
    </xf>
    <xf numFmtId="0" fontId="6" fillId="0" borderId="22" xfId="0" applyNumberFormat="1" applyFont="1" applyFill="1" applyBorder="1"/>
    <xf numFmtId="164" fontId="6" fillId="0" borderId="22" xfId="0" applyNumberFormat="1" applyFont="1" applyBorder="1"/>
    <xf numFmtId="168" fontId="6" fillId="0" borderId="22" xfId="16" applyNumberFormat="1" applyFont="1" applyBorder="1" applyAlignment="1">
      <alignment horizontal="center"/>
    </xf>
    <xf numFmtId="0" fontId="8" fillId="0" borderId="22" xfId="0" applyFont="1" applyBorder="1" applyAlignment="1">
      <alignment vertical="center"/>
    </xf>
    <xf numFmtId="164" fontId="6" fillId="0" borderId="0" xfId="1" applyNumberFormat="1" applyFont="1" applyFill="1" applyBorder="1" applyAlignment="1">
      <alignment horizontal="right"/>
    </xf>
    <xf numFmtId="164" fontId="2" fillId="0" borderId="18" xfId="0" applyNumberFormat="1" applyFont="1" applyBorder="1" applyAlignment="1">
      <alignment horizontal="right" vertical="center"/>
    </xf>
    <xf numFmtId="5" fontId="2" fillId="0" borderId="33" xfId="0" applyNumberFormat="1" applyFont="1" applyBorder="1" applyAlignment="1">
      <alignment horizontal="right" vertical="center" wrapText="1"/>
    </xf>
    <xf numFmtId="164" fontId="2" fillId="0" borderId="19" xfId="0" applyNumberFormat="1" applyFont="1" applyBorder="1" applyAlignment="1">
      <alignment horizontal="right" vertical="center"/>
    </xf>
    <xf numFmtId="164" fontId="2" fillId="0" borderId="8" xfId="0" applyNumberFormat="1" applyFont="1" applyBorder="1" applyAlignment="1">
      <alignment horizontal="right" vertical="center" wrapText="1"/>
    </xf>
    <xf numFmtId="164" fontId="2" fillId="0" borderId="8" xfId="0" applyNumberFormat="1" applyFont="1" applyBorder="1" applyAlignment="1">
      <alignment horizontal="right"/>
    </xf>
    <xf numFmtId="164" fontId="2" fillId="0" borderId="19" xfId="0" applyNumberFormat="1" applyFont="1" applyBorder="1" applyAlignment="1">
      <alignment horizontal="right"/>
    </xf>
    <xf numFmtId="164" fontId="2" fillId="0" borderId="10" xfId="0" applyNumberFormat="1" applyFont="1" applyBorder="1" applyAlignment="1">
      <alignment horizontal="right"/>
    </xf>
    <xf numFmtId="164" fontId="2" fillId="0" borderId="23" xfId="0" applyNumberFormat="1" applyFont="1" applyBorder="1" applyAlignment="1">
      <alignment horizontal="right"/>
    </xf>
    <xf numFmtId="164" fontId="2" fillId="0" borderId="0" xfId="0" applyNumberFormat="1" applyFont="1" applyAlignment="1">
      <alignment horizontal="right"/>
    </xf>
    <xf numFmtId="6" fontId="11" fillId="0" borderId="0" xfId="0" applyNumberFormat="1" applyFont="1" applyAlignment="1">
      <alignment horizontal="right"/>
    </xf>
    <xf numFmtId="0" fontId="4" fillId="2" borderId="55" xfId="0" applyFont="1" applyFill="1" applyBorder="1"/>
    <xf numFmtId="2" fontId="0" fillId="0" borderId="56" xfId="0" applyNumberFormat="1" applyBorder="1" applyAlignment="1">
      <alignment horizontal="center"/>
    </xf>
    <xf numFmtId="0" fontId="4" fillId="2" borderId="30" xfId="0" applyFont="1" applyFill="1" applyBorder="1"/>
    <xf numFmtId="164" fontId="0" fillId="0" borderId="20" xfId="0" applyNumberFormat="1" applyBorder="1" applyAlignment="1">
      <alignment horizontal="center"/>
    </xf>
    <xf numFmtId="0" fontId="0" fillId="0" borderId="0" xfId="0"/>
    <xf numFmtId="0" fontId="0" fillId="0" borderId="0" xfId="0" applyBorder="1" applyAlignment="1">
      <alignment horizontal="center" vertical="center"/>
    </xf>
    <xf numFmtId="0" fontId="0" fillId="0" borderId="52" xfId="0" applyBorder="1"/>
    <xf numFmtId="2" fontId="0" fillId="0" borderId="52" xfId="0" applyNumberFormat="1" applyBorder="1"/>
    <xf numFmtId="2" fontId="0" fillId="4" borderId="52" xfId="0" applyNumberFormat="1" applyFill="1" applyBorder="1"/>
    <xf numFmtId="2" fontId="0" fillId="0" borderId="52" xfId="0" applyNumberFormat="1" applyBorder="1" applyAlignment="1">
      <alignment horizontal="center"/>
    </xf>
    <xf numFmtId="44" fontId="0" fillId="0" borderId="52" xfId="1" applyFont="1" applyBorder="1" applyAlignment="1">
      <alignment horizontal="center"/>
    </xf>
    <xf numFmtId="0" fontId="4" fillId="0" borderId="29" xfId="0" applyFont="1" applyFill="1" applyBorder="1"/>
    <xf numFmtId="0" fontId="4" fillId="0" borderId="48" xfId="0" applyFont="1" applyFill="1" applyBorder="1"/>
    <xf numFmtId="0" fontId="4" fillId="0" borderId="48" xfId="0" applyFont="1" applyBorder="1"/>
    <xf numFmtId="0" fontId="4" fillId="0" borderId="2" xfId="0" applyFont="1" applyBorder="1"/>
    <xf numFmtId="2" fontId="4" fillId="0" borderId="48" xfId="0" applyNumberFormat="1" applyFont="1" applyBorder="1"/>
    <xf numFmtId="2" fontId="4" fillId="4" borderId="48" xfId="0" applyNumberFormat="1" applyFont="1" applyFill="1" applyBorder="1"/>
    <xf numFmtId="2" fontId="4" fillId="0" borderId="48" xfId="0" applyNumberFormat="1" applyFont="1" applyBorder="1" applyAlignment="1">
      <alignment horizontal="center"/>
    </xf>
    <xf numFmtId="0" fontId="4" fillId="0" borderId="30" xfId="0" applyFont="1" applyFill="1" applyBorder="1"/>
    <xf numFmtId="0" fontId="4" fillId="0" borderId="41" xfId="0" applyFont="1" applyFill="1" applyBorder="1"/>
    <xf numFmtId="0" fontId="4" fillId="0" borderId="41" xfId="0" applyFont="1" applyBorder="1"/>
    <xf numFmtId="0" fontId="4" fillId="0" borderId="4" xfId="0" applyFont="1" applyBorder="1"/>
    <xf numFmtId="2" fontId="4" fillId="0" borderId="41" xfId="0" applyNumberFormat="1" applyFont="1" applyBorder="1"/>
    <xf numFmtId="2" fontId="4" fillId="4" borderId="41" xfId="0" applyNumberFormat="1" applyFont="1" applyFill="1" applyBorder="1"/>
    <xf numFmtId="2" fontId="4" fillId="0" borderId="41" xfId="0" applyNumberFormat="1" applyFont="1" applyBorder="1" applyAlignment="1">
      <alignment horizontal="center"/>
    </xf>
    <xf numFmtId="44" fontId="4" fillId="0" borderId="18" xfId="1" applyNumberFormat="1" applyFont="1" applyBorder="1" applyAlignment="1">
      <alignment horizontal="center"/>
    </xf>
    <xf numFmtId="44" fontId="4" fillId="0" borderId="20" xfId="1" applyNumberFormat="1" applyFont="1" applyBorder="1" applyAlignment="1">
      <alignment horizontal="center"/>
    </xf>
    <xf numFmtId="0" fontId="0" fillId="0" borderId="22" xfId="0" applyFill="1" applyBorder="1" applyAlignment="1">
      <alignment horizontal="center"/>
    </xf>
    <xf numFmtId="0" fontId="4" fillId="0" borderId="0" xfId="0" applyFont="1" applyFill="1" applyBorder="1" applyAlignment="1">
      <alignment horizontal="left"/>
    </xf>
    <xf numFmtId="0" fontId="0" fillId="0" borderId="0" xfId="0"/>
    <xf numFmtId="0" fontId="0" fillId="0" borderId="22" xfId="0" applyBorder="1" applyAlignment="1">
      <alignment horizontal="center"/>
    </xf>
    <xf numFmtId="0" fontId="0" fillId="0" borderId="0" xfId="0" applyFill="1" applyAlignment="1">
      <alignment horizontal="left" vertical="top" wrapText="1"/>
    </xf>
    <xf numFmtId="0" fontId="4" fillId="0" borderId="0" xfId="0" applyFont="1" applyFill="1" applyBorder="1" applyAlignment="1">
      <alignment horizontal="left"/>
    </xf>
    <xf numFmtId="0" fontId="0" fillId="0" borderId="0" xfId="0"/>
    <xf numFmtId="0" fontId="0" fillId="0" borderId="0" xfId="0" applyFill="1" applyAlignment="1">
      <alignment horizontal="left" vertical="top" wrapText="1"/>
    </xf>
    <xf numFmtId="0" fontId="0" fillId="0" borderId="0" xfId="0"/>
    <xf numFmtId="0" fontId="9" fillId="6" borderId="22" xfId="2" applyFont="1" applyFill="1" applyBorder="1" applyAlignment="1">
      <alignment horizontal="center" vertical="center"/>
    </xf>
    <xf numFmtId="168" fontId="9" fillId="6" borderId="22" xfId="2" applyNumberFormat="1" applyFont="1" applyFill="1" applyBorder="1" applyAlignment="1">
      <alignment horizontal="center" vertical="center"/>
    </xf>
    <xf numFmtId="168" fontId="9" fillId="6" borderId="22" xfId="2" applyNumberFormat="1" applyFont="1" applyFill="1" applyBorder="1" applyAlignment="1">
      <alignment horizontal="left" vertical="center"/>
    </xf>
    <xf numFmtId="0" fontId="9" fillId="6" borderId="22" xfId="2" applyFont="1" applyFill="1" applyBorder="1" applyAlignment="1">
      <alignment horizontal="left" vertical="center"/>
    </xf>
    <xf numFmtId="169" fontId="9" fillId="6" borderId="22" xfId="2" applyNumberFormat="1" applyFont="1" applyFill="1" applyBorder="1" applyAlignment="1">
      <alignment horizontal="left" vertical="center"/>
    </xf>
    <xf numFmtId="0" fontId="27" fillId="0" borderId="0" xfId="0" applyFont="1" applyAlignment="1">
      <alignment horizontal="center"/>
    </xf>
    <xf numFmtId="37" fontId="2" fillId="0" borderId="39" xfId="15" applyNumberFormat="1" applyFont="1" applyFill="1" applyBorder="1" applyAlignment="1">
      <alignment horizontal="center"/>
    </xf>
    <xf numFmtId="0" fontId="0" fillId="0" borderId="0" xfId="0"/>
    <xf numFmtId="0" fontId="0" fillId="0" borderId="22" xfId="0" applyFill="1" applyBorder="1" applyAlignment="1">
      <alignment horizontal="center" vertical="center"/>
    </xf>
    <xf numFmtId="0" fontId="2" fillId="0" borderId="0" xfId="0" applyFont="1" applyBorder="1" applyAlignment="1">
      <alignment horizontal="center" vertical="center"/>
    </xf>
    <xf numFmtId="6" fontId="2" fillId="0" borderId="0" xfId="15" applyNumberFormat="1" applyFont="1" applyFill="1" applyBorder="1" applyAlignment="1">
      <alignment horizontal="right"/>
    </xf>
    <xf numFmtId="0" fontId="0" fillId="0" borderId="22" xfId="0" applyFill="1" applyBorder="1" applyAlignment="1">
      <alignment horizontal="center"/>
    </xf>
    <xf numFmtId="0" fontId="0" fillId="0" borderId="0" xfId="0"/>
    <xf numFmtId="0" fontId="4" fillId="0" borderId="22" xfId="0" applyFont="1" applyFill="1" applyBorder="1" applyAlignment="1">
      <alignment horizontal="left" vertical="center"/>
    </xf>
    <xf numFmtId="0" fontId="0" fillId="0" borderId="22" xfId="0" applyFill="1" applyBorder="1" applyAlignment="1">
      <alignment horizontal="left" vertical="center"/>
    </xf>
    <xf numFmtId="44" fontId="0" fillId="0" borderId="0" xfId="1" applyFont="1" applyAlignment="1">
      <alignment horizontal="center"/>
    </xf>
    <xf numFmtId="0" fontId="14" fillId="0" borderId="22" xfId="0" applyFont="1" applyFill="1" applyBorder="1" applyAlignment="1">
      <alignment horizontal="left"/>
    </xf>
    <xf numFmtId="0" fontId="4" fillId="0" borderId="0" xfId="0" applyFont="1" applyFill="1" applyBorder="1" applyAlignment="1">
      <alignment horizontal="left"/>
    </xf>
    <xf numFmtId="0" fontId="0" fillId="0" borderId="0" xfId="0"/>
    <xf numFmtId="44" fontId="0" fillId="0" borderId="0" xfId="0" applyNumberFormat="1" applyAlignment="1">
      <alignment horizontal="center"/>
    </xf>
    <xf numFmtId="165" fontId="3" fillId="0" borderId="0" xfId="0" applyNumberFormat="1" applyFont="1" applyFill="1" applyBorder="1"/>
    <xf numFmtId="164" fontId="2" fillId="0" borderId="42" xfId="0" applyNumberFormat="1" applyFont="1" applyBorder="1" applyAlignment="1">
      <alignment horizontal="right" vertical="center" wrapText="1"/>
    </xf>
    <xf numFmtId="164" fontId="2" fillId="0" borderId="26" xfId="0" applyNumberFormat="1" applyFont="1" applyBorder="1" applyAlignment="1">
      <alignment horizontal="right" vertical="center" wrapText="1"/>
    </xf>
    <xf numFmtId="171" fontId="0" fillId="0" borderId="0" xfId="0" applyNumberFormat="1" applyAlignment="1">
      <alignment horizontal="center"/>
    </xf>
    <xf numFmtId="0" fontId="4" fillId="0" borderId="0" xfId="0" applyFont="1" applyFill="1" applyBorder="1" applyAlignment="1">
      <alignment horizontal="center" vertical="center"/>
    </xf>
    <xf numFmtId="1" fontId="0" fillId="0" borderId="0" xfId="0" applyNumberFormat="1" applyAlignment="1">
      <alignment horizontal="center" wrapText="1"/>
    </xf>
    <xf numFmtId="1" fontId="0" fillId="0" borderId="0" xfId="0" applyNumberFormat="1" applyAlignment="1">
      <alignment horizontal="center"/>
    </xf>
    <xf numFmtId="6" fontId="2" fillId="0" borderId="13" xfId="15" applyNumberFormat="1" applyFont="1" applyFill="1" applyBorder="1" applyAlignment="1"/>
    <xf numFmtId="6" fontId="2" fillId="0" borderId="6" xfId="15" applyNumberFormat="1" applyFont="1" applyFill="1" applyBorder="1" applyAlignment="1"/>
    <xf numFmtId="2" fontId="0" fillId="0" borderId="22" xfId="0" applyNumberFormat="1" applyFill="1" applyBorder="1"/>
    <xf numFmtId="2" fontId="0" fillId="0" borderId="52" xfId="0" applyNumberFormat="1" applyFill="1" applyBorder="1"/>
    <xf numFmtId="2" fontId="4" fillId="0" borderId="48" xfId="0" applyNumberFormat="1" applyFont="1" applyFill="1" applyBorder="1"/>
    <xf numFmtId="2" fontId="4" fillId="0" borderId="41" xfId="0" applyNumberFormat="1" applyFont="1" applyFill="1" applyBorder="1"/>
    <xf numFmtId="0" fontId="29" fillId="0" borderId="0" xfId="0" applyFont="1" applyAlignment="1"/>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3" xfId="0" applyFont="1" applyBorder="1" applyAlignment="1">
      <alignment horizontal="center" vertical="center" wrapText="1"/>
    </xf>
    <xf numFmtId="0" fontId="0" fillId="0" borderId="0" xfId="0"/>
    <xf numFmtId="0" fontId="0" fillId="0" borderId="0" xfId="0" applyFill="1" applyAlignment="1">
      <alignment horizontal="left" vertical="top" wrapText="1"/>
    </xf>
    <xf numFmtId="0" fontId="2" fillId="0" borderId="13" xfId="0" applyFont="1" applyBorder="1" applyAlignment="1">
      <alignment horizontal="center" vertical="center" wrapText="1"/>
    </xf>
    <xf numFmtId="0" fontId="0" fillId="0" borderId="0" xfId="0"/>
    <xf numFmtId="167" fontId="0" fillId="0" borderId="22" xfId="15" applyNumberFormat="1" applyFont="1" applyFill="1" applyBorder="1" applyAlignment="1">
      <alignment horizontal="center" vertical="center"/>
    </xf>
    <xf numFmtId="0" fontId="2" fillId="0" borderId="9" xfId="0" applyFont="1" applyBorder="1" applyAlignment="1">
      <alignment horizontal="center"/>
    </xf>
    <xf numFmtId="37" fontId="2" fillId="0" borderId="43" xfId="15" applyNumberFormat="1" applyFont="1" applyFill="1" applyBorder="1" applyAlignment="1">
      <alignment horizontal="center"/>
    </xf>
    <xf numFmtId="6" fontId="2" fillId="0" borderId="15" xfId="15" applyNumberFormat="1" applyFont="1" applyFill="1" applyBorder="1" applyAlignment="1"/>
    <xf numFmtId="6" fontId="2" fillId="0" borderId="10" xfId="15" applyNumberFormat="1" applyFont="1" applyFill="1" applyBorder="1" applyAlignment="1"/>
    <xf numFmtId="0" fontId="0" fillId="0" borderId="34" xfId="0" applyFill="1" applyBorder="1"/>
    <xf numFmtId="164" fontId="2" fillId="0" borderId="30" xfId="0" applyNumberFormat="1" applyFont="1" applyBorder="1" applyAlignment="1">
      <alignment horizontal="right"/>
    </xf>
    <xf numFmtId="164" fontId="2" fillId="0" borderId="57" xfId="0" applyNumberFormat="1" applyFont="1" applyBorder="1" applyAlignment="1">
      <alignment horizontal="right"/>
    </xf>
    <xf numFmtId="164" fontId="2" fillId="0" borderId="21" xfId="0" applyNumberFormat="1" applyFont="1" applyBorder="1" applyAlignment="1">
      <alignment horizontal="right"/>
    </xf>
    <xf numFmtId="164" fontId="2" fillId="0" borderId="31" xfId="0" applyNumberFormat="1" applyFont="1" applyBorder="1" applyAlignment="1">
      <alignment horizontal="right"/>
    </xf>
    <xf numFmtId="164" fontId="2" fillId="0" borderId="15" xfId="0" applyNumberFormat="1" applyFont="1" applyBorder="1" applyAlignment="1">
      <alignment horizontal="right"/>
    </xf>
    <xf numFmtId="164" fontId="2" fillId="0" borderId="43" xfId="0" applyNumberFormat="1" applyFont="1" applyBorder="1" applyAlignment="1">
      <alignment horizontal="right"/>
    </xf>
    <xf numFmtId="9" fontId="4" fillId="0" borderId="58" xfId="0" applyNumberFormat="1" applyFont="1" applyFill="1" applyBorder="1" applyAlignment="1">
      <alignment horizontal="right"/>
    </xf>
    <xf numFmtId="164" fontId="0" fillId="0" borderId="38" xfId="0" applyNumberFormat="1" applyBorder="1" applyAlignment="1">
      <alignment horizontal="center"/>
    </xf>
    <xf numFmtId="164" fontId="0" fillId="0" borderId="59" xfId="0" applyNumberFormat="1" applyBorder="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2" fontId="0" fillId="0" borderId="0" xfId="0" applyNumberFormat="1"/>
    <xf numFmtId="164" fontId="2" fillId="0" borderId="60" xfId="0" applyNumberFormat="1" applyFont="1" applyBorder="1" applyAlignment="1">
      <alignment horizontal="right" vertical="center" wrapText="1"/>
    </xf>
    <xf numFmtId="6" fontId="2" fillId="0" borderId="61" xfId="0" applyNumberFormat="1" applyFont="1" applyBorder="1" applyAlignment="1">
      <alignment horizontal="right" vertical="center" wrapText="1"/>
    </xf>
    <xf numFmtId="164" fontId="2" fillId="0" borderId="61" xfId="0" applyNumberFormat="1" applyFont="1" applyBorder="1" applyAlignment="1">
      <alignment horizontal="right" vertical="center" wrapText="1"/>
    </xf>
    <xf numFmtId="164" fontId="2" fillId="0" borderId="62" xfId="0" applyNumberFormat="1" applyFont="1" applyBorder="1" applyAlignment="1">
      <alignment horizontal="right"/>
    </xf>
    <xf numFmtId="164" fontId="2" fillId="0" borderId="63" xfId="0" applyNumberFormat="1" applyFont="1" applyBorder="1" applyAlignment="1">
      <alignment horizontal="right"/>
    </xf>
    <xf numFmtId="6" fontId="2" fillId="0" borderId="64" xfId="0" applyNumberFormat="1" applyFont="1" applyBorder="1" applyAlignment="1">
      <alignment horizontal="right" vertical="center"/>
    </xf>
    <xf numFmtId="0" fontId="23" fillId="0" borderId="0" xfId="2" applyFont="1" applyFill="1" applyBorder="1" applyAlignment="1">
      <alignment horizontal="left"/>
    </xf>
    <xf numFmtId="164" fontId="2" fillId="0" borderId="64" xfId="0" applyNumberFormat="1" applyFont="1" applyBorder="1" applyAlignment="1">
      <alignment horizontal="right"/>
    </xf>
    <xf numFmtId="37" fontId="2" fillId="0" borderId="12" xfId="15" applyNumberFormat="1" applyFont="1" applyFill="1" applyBorder="1" applyAlignment="1">
      <alignment horizontal="center"/>
    </xf>
    <xf numFmtId="0" fontId="2" fillId="0" borderId="15" xfId="0" applyFont="1" applyBorder="1" applyAlignment="1">
      <alignment horizontal="center" vertical="center" wrapText="1"/>
    </xf>
    <xf numFmtId="164" fontId="2" fillId="0" borderId="12" xfId="0" applyNumberFormat="1" applyFont="1" applyBorder="1" applyAlignment="1">
      <alignment horizontal="center"/>
    </xf>
    <xf numFmtId="0" fontId="0" fillId="0" borderId="22" xfId="0" applyBorder="1" applyAlignment="1">
      <alignment horizontal="right"/>
    </xf>
    <xf numFmtId="173" fontId="0" fillId="0" borderId="22" xfId="0" applyNumberFormat="1" applyFill="1" applyBorder="1" applyAlignment="1">
      <alignment horizontal="center"/>
    </xf>
    <xf numFmtId="0" fontId="0" fillId="0" borderId="25" xfId="0" applyBorder="1" applyAlignment="1">
      <alignment horizontal="center" wrapText="1"/>
    </xf>
    <xf numFmtId="0" fontId="0" fillId="0" borderId="0" xfId="0" applyAlignment="1">
      <alignment horizontal="center" vertical="center"/>
    </xf>
    <xf numFmtId="164" fontId="6" fillId="0" borderId="22" xfId="0" applyNumberFormat="1" applyFont="1" applyFill="1" applyBorder="1"/>
    <xf numFmtId="0" fontId="6" fillId="0" borderId="22" xfId="0" applyFont="1" applyFill="1" applyBorder="1" applyAlignment="1">
      <alignment horizontal="center"/>
    </xf>
    <xf numFmtId="164" fontId="2" fillId="0" borderId="47" xfId="0" applyNumberFormat="1" applyFont="1" applyBorder="1" applyAlignment="1">
      <alignment horizontal="right" vertical="center" wrapText="1"/>
    </xf>
    <xf numFmtId="164" fontId="2" fillId="0" borderId="51" xfId="0" applyNumberFormat="1" applyFont="1" applyBorder="1" applyAlignment="1">
      <alignment horizontal="right" vertical="center" wrapText="1"/>
    </xf>
    <xf numFmtId="0" fontId="0" fillId="0" borderId="27" xfId="0" applyBorder="1"/>
    <xf numFmtId="164" fontId="2" fillId="0" borderId="38" xfId="0" applyNumberFormat="1" applyFont="1" applyBorder="1" applyAlignment="1">
      <alignment horizontal="right" vertical="center"/>
    </xf>
    <xf numFmtId="164" fontId="2" fillId="0" borderId="17" xfId="0" applyNumberFormat="1" applyFont="1" applyBorder="1" applyAlignment="1">
      <alignment horizontal="right" vertical="center"/>
    </xf>
    <xf numFmtId="0" fontId="6" fillId="0" borderId="0"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6" xfId="0" applyFont="1" applyFill="1" applyBorder="1" applyAlignment="1">
      <alignment horizontal="center" vertical="center" wrapText="1"/>
    </xf>
    <xf numFmtId="164" fontId="3" fillId="0" borderId="34" xfId="0" applyNumberFormat="1" applyFont="1" applyBorder="1" applyAlignment="1">
      <alignment horizontal="center" vertical="center"/>
    </xf>
    <xf numFmtId="164" fontId="3" fillId="0" borderId="25" xfId="0" applyNumberFormat="1" applyFont="1" applyBorder="1" applyAlignment="1">
      <alignment horizontal="center" vertical="center"/>
    </xf>
    <xf numFmtId="0" fontId="3" fillId="0" borderId="34" xfId="0" applyFont="1" applyFill="1" applyBorder="1" applyAlignment="1">
      <alignment horizontal="center" vertical="center"/>
    </xf>
    <xf numFmtId="0" fontId="3" fillId="0" borderId="50"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4" fillId="0" borderId="23" xfId="0" applyFont="1" applyFill="1" applyBorder="1" applyAlignment="1">
      <alignment horizontal="left"/>
    </xf>
    <xf numFmtId="0" fontId="0" fillId="0" borderId="0" xfId="0" applyFill="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0" xfId="0" applyFill="1" applyAlignment="1">
      <alignment horizontal="right" vertical="top"/>
    </xf>
    <xf numFmtId="0" fontId="0" fillId="0" borderId="0" xfId="0" applyAlignment="1">
      <alignment horizontal="left" wrapText="1"/>
    </xf>
    <xf numFmtId="0" fontId="0" fillId="0" borderId="0" xfId="0" applyAlignment="1">
      <alignment horizontal="left" vertical="top" wrapText="1"/>
    </xf>
    <xf numFmtId="0" fontId="4" fillId="0" borderId="0" xfId="0" applyFont="1" applyFill="1" applyBorder="1" applyAlignment="1">
      <alignment horizontal="left"/>
    </xf>
    <xf numFmtId="0" fontId="4" fillId="0" borderId="22" xfId="0" applyFont="1" applyBorder="1" applyAlignment="1">
      <alignment horizontal="center" wrapText="1"/>
    </xf>
    <xf numFmtId="0" fontId="0" fillId="0" borderId="22" xfId="0" applyBorder="1" applyAlignment="1">
      <alignment horizontal="center"/>
    </xf>
    <xf numFmtId="0" fontId="4" fillId="0" borderId="22" xfId="0" applyFont="1" applyBorder="1" applyAlignment="1">
      <alignment horizontal="center"/>
    </xf>
    <xf numFmtId="0" fontId="0" fillId="0" borderId="22" xfId="0" applyBorder="1" applyAlignment="1">
      <alignment horizontal="center" vertical="center"/>
    </xf>
    <xf numFmtId="0" fontId="0" fillId="0" borderId="0" xfId="0"/>
    <xf numFmtId="0" fontId="0" fillId="3" borderId="0" xfId="0" applyFill="1" applyAlignment="1">
      <alignment horizontal="left" vertical="top" wrapText="1"/>
    </xf>
    <xf numFmtId="0" fontId="0" fillId="0" borderId="0" xfId="0" applyFont="1" applyAlignment="1">
      <alignment horizontal="left" vertical="top" wrapText="1"/>
    </xf>
    <xf numFmtId="0" fontId="0" fillId="0" borderId="0" xfId="0" applyAlignment="1">
      <alignment horizont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0" fillId="0" borderId="34" xfId="0" applyBorder="1" applyAlignment="1">
      <alignment horizontal="center" wrapText="1"/>
    </xf>
    <xf numFmtId="0" fontId="0" fillId="0" borderId="25" xfId="0" applyBorder="1" applyAlignment="1">
      <alignment horizontal="center" wrapText="1"/>
    </xf>
    <xf numFmtId="0" fontId="0" fillId="0" borderId="34" xfId="0" applyBorder="1" applyAlignment="1">
      <alignment horizontal="center"/>
    </xf>
    <xf numFmtId="0" fontId="0" fillId="0" borderId="25" xfId="0" applyBorder="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cellXfs>
  <cellStyles count="141">
    <cellStyle name="Comma" xfId="15" builtinId="3"/>
    <cellStyle name="Comma 2" xfId="7" xr:uid="{00000000-0005-0000-0000-000001000000}"/>
    <cellStyle name="Comma 47 2" xfId="21" xr:uid="{00000000-0005-0000-0000-000002000000}"/>
    <cellStyle name="Comma 47 3" xfId="22" xr:uid="{00000000-0005-0000-0000-000003000000}"/>
    <cellStyle name="Comma 47 4" xfId="23" xr:uid="{00000000-0005-0000-0000-000004000000}"/>
    <cellStyle name="Comma0" xfId="8" xr:uid="{00000000-0005-0000-0000-000005000000}"/>
    <cellStyle name="Currency" xfId="1" builtinId="4"/>
    <cellStyle name="Currency 2" xfId="20" xr:uid="{00000000-0005-0000-0000-000007000000}"/>
    <cellStyle name="Currency0" xfId="9" xr:uid="{00000000-0005-0000-0000-000008000000}"/>
    <cellStyle name="Date" xfId="10" xr:uid="{00000000-0005-0000-0000-000009000000}"/>
    <cellStyle name="Fixed" xfId="11" xr:uid="{00000000-0005-0000-0000-00000A000000}"/>
    <cellStyle name="Hyperlink" xfId="18" builtinId="8"/>
    <cellStyle name="Hyperlink 2" xfId="140" xr:uid="{55E347C4-1494-4907-871B-1CB7A7F15760}"/>
    <cellStyle name="Normal" xfId="0" builtinId="0"/>
    <cellStyle name="Normal 11" xfId="24" xr:uid="{00000000-0005-0000-0000-00000D000000}"/>
    <cellStyle name="Normal 11 2" xfId="25" xr:uid="{00000000-0005-0000-0000-00000E000000}"/>
    <cellStyle name="Normal 11 3" xfId="26" xr:uid="{00000000-0005-0000-0000-00000F000000}"/>
    <cellStyle name="Normal 11 4" xfId="27" xr:uid="{00000000-0005-0000-0000-000010000000}"/>
    <cellStyle name="Normal 11 5" xfId="28" xr:uid="{00000000-0005-0000-0000-000011000000}"/>
    <cellStyle name="Normal 12" xfId="29" xr:uid="{00000000-0005-0000-0000-000012000000}"/>
    <cellStyle name="Normal 12 2" xfId="30" xr:uid="{00000000-0005-0000-0000-000013000000}"/>
    <cellStyle name="Normal 12 3" xfId="31" xr:uid="{00000000-0005-0000-0000-000014000000}"/>
    <cellStyle name="Normal 12 4" xfId="32" xr:uid="{00000000-0005-0000-0000-000015000000}"/>
    <cellStyle name="Normal 12 5" xfId="33" xr:uid="{00000000-0005-0000-0000-000016000000}"/>
    <cellStyle name="Normal 13" xfId="34" xr:uid="{00000000-0005-0000-0000-000017000000}"/>
    <cellStyle name="Normal 13 2" xfId="35" xr:uid="{00000000-0005-0000-0000-000018000000}"/>
    <cellStyle name="Normal 13 3" xfId="36" xr:uid="{00000000-0005-0000-0000-000019000000}"/>
    <cellStyle name="Normal 13 4" xfId="37" xr:uid="{00000000-0005-0000-0000-00001A000000}"/>
    <cellStyle name="Normal 13 5" xfId="38" xr:uid="{00000000-0005-0000-0000-00001B000000}"/>
    <cellStyle name="Normal 14" xfId="39" xr:uid="{00000000-0005-0000-0000-00001C000000}"/>
    <cellStyle name="Normal 14 2" xfId="40" xr:uid="{00000000-0005-0000-0000-00001D000000}"/>
    <cellStyle name="Normal 14 3" xfId="41" xr:uid="{00000000-0005-0000-0000-00001E000000}"/>
    <cellStyle name="Normal 14 4" xfId="42" xr:uid="{00000000-0005-0000-0000-00001F000000}"/>
    <cellStyle name="Normal 14 5" xfId="43" xr:uid="{00000000-0005-0000-0000-000020000000}"/>
    <cellStyle name="Normal 15" xfId="44" xr:uid="{00000000-0005-0000-0000-000021000000}"/>
    <cellStyle name="Normal 15 2" xfId="45" xr:uid="{00000000-0005-0000-0000-000022000000}"/>
    <cellStyle name="Normal 15 3" xfId="46" xr:uid="{00000000-0005-0000-0000-000023000000}"/>
    <cellStyle name="Normal 15 4" xfId="47" xr:uid="{00000000-0005-0000-0000-000024000000}"/>
    <cellStyle name="Normal 15 5" xfId="48" xr:uid="{00000000-0005-0000-0000-000025000000}"/>
    <cellStyle name="Normal 16" xfId="2" xr:uid="{00000000-0005-0000-0000-000026000000}"/>
    <cellStyle name="Normal 16 2" xfId="49" xr:uid="{00000000-0005-0000-0000-000027000000}"/>
    <cellStyle name="Normal 16 3" xfId="50" xr:uid="{00000000-0005-0000-0000-000028000000}"/>
    <cellStyle name="Normal 16 4" xfId="51" xr:uid="{00000000-0005-0000-0000-000029000000}"/>
    <cellStyle name="Normal 16 5" xfId="52" xr:uid="{00000000-0005-0000-0000-00002A000000}"/>
    <cellStyle name="Normal 17" xfId="4" xr:uid="{00000000-0005-0000-0000-00002B000000}"/>
    <cellStyle name="Normal 17 2" xfId="53" xr:uid="{00000000-0005-0000-0000-00002C000000}"/>
    <cellStyle name="Normal 17 3" xfId="54" xr:uid="{00000000-0005-0000-0000-00002D000000}"/>
    <cellStyle name="Normal 17 4" xfId="55" xr:uid="{00000000-0005-0000-0000-00002E000000}"/>
    <cellStyle name="Normal 17 5" xfId="56" xr:uid="{00000000-0005-0000-0000-00002F000000}"/>
    <cellStyle name="Normal 18" xfId="3" xr:uid="{00000000-0005-0000-0000-000030000000}"/>
    <cellStyle name="Normal 18 2" xfId="57" xr:uid="{00000000-0005-0000-0000-000031000000}"/>
    <cellStyle name="Normal 18 3" xfId="58" xr:uid="{00000000-0005-0000-0000-000032000000}"/>
    <cellStyle name="Normal 18 4" xfId="59" xr:uid="{00000000-0005-0000-0000-000033000000}"/>
    <cellStyle name="Normal 18 5" xfId="60" xr:uid="{00000000-0005-0000-0000-000034000000}"/>
    <cellStyle name="Normal 19" xfId="5" xr:uid="{00000000-0005-0000-0000-000035000000}"/>
    <cellStyle name="Normal 19 2" xfId="61" xr:uid="{00000000-0005-0000-0000-000036000000}"/>
    <cellStyle name="Normal 19 3" xfId="62" xr:uid="{00000000-0005-0000-0000-000037000000}"/>
    <cellStyle name="Normal 19 4" xfId="63" xr:uid="{00000000-0005-0000-0000-000038000000}"/>
    <cellStyle name="Normal 19 5" xfId="64" xr:uid="{00000000-0005-0000-0000-000039000000}"/>
    <cellStyle name="Normal 2" xfId="6" xr:uid="{00000000-0005-0000-0000-00003A000000}"/>
    <cellStyle name="Normal 2 2" xfId="65" xr:uid="{00000000-0005-0000-0000-00003B000000}"/>
    <cellStyle name="Normal 2 3" xfId="66" xr:uid="{00000000-0005-0000-0000-00003C000000}"/>
    <cellStyle name="Normal 2 4" xfId="67" xr:uid="{00000000-0005-0000-0000-00003D000000}"/>
    <cellStyle name="Normal 2 5" xfId="68" xr:uid="{00000000-0005-0000-0000-00003E000000}"/>
    <cellStyle name="Normal 20" xfId="69" xr:uid="{00000000-0005-0000-0000-00003F000000}"/>
    <cellStyle name="Normal 20 2" xfId="70" xr:uid="{00000000-0005-0000-0000-000040000000}"/>
    <cellStyle name="Normal 20 3" xfId="71" xr:uid="{00000000-0005-0000-0000-000041000000}"/>
    <cellStyle name="Normal 20 4" xfId="72" xr:uid="{00000000-0005-0000-0000-000042000000}"/>
    <cellStyle name="Normal 20 5" xfId="73" xr:uid="{00000000-0005-0000-0000-000043000000}"/>
    <cellStyle name="Normal 21" xfId="74" xr:uid="{00000000-0005-0000-0000-000044000000}"/>
    <cellStyle name="Normal 21 2" xfId="75" xr:uid="{00000000-0005-0000-0000-000045000000}"/>
    <cellStyle name="Normal 21 3" xfId="76" xr:uid="{00000000-0005-0000-0000-000046000000}"/>
    <cellStyle name="Normal 21 4" xfId="77" xr:uid="{00000000-0005-0000-0000-000047000000}"/>
    <cellStyle name="Normal 21 5" xfId="78" xr:uid="{00000000-0005-0000-0000-000048000000}"/>
    <cellStyle name="Normal 23" xfId="79" xr:uid="{00000000-0005-0000-0000-000049000000}"/>
    <cellStyle name="Normal 23 2" xfId="80" xr:uid="{00000000-0005-0000-0000-00004A000000}"/>
    <cellStyle name="Normal 23 3" xfId="81" xr:uid="{00000000-0005-0000-0000-00004B000000}"/>
    <cellStyle name="Normal 23 4" xfId="82" xr:uid="{00000000-0005-0000-0000-00004C000000}"/>
    <cellStyle name="Normal 23 5" xfId="83" xr:uid="{00000000-0005-0000-0000-00004D000000}"/>
    <cellStyle name="Normal 24" xfId="84" xr:uid="{00000000-0005-0000-0000-00004E000000}"/>
    <cellStyle name="Normal 24 2" xfId="85" xr:uid="{00000000-0005-0000-0000-00004F000000}"/>
    <cellStyle name="Normal 24 3" xfId="86" xr:uid="{00000000-0005-0000-0000-000050000000}"/>
    <cellStyle name="Normal 24 4" xfId="87" xr:uid="{00000000-0005-0000-0000-000051000000}"/>
    <cellStyle name="Normal 24 5" xfId="88" xr:uid="{00000000-0005-0000-0000-000052000000}"/>
    <cellStyle name="Normal 25" xfId="89" xr:uid="{00000000-0005-0000-0000-000053000000}"/>
    <cellStyle name="Normal 25 2" xfId="90" xr:uid="{00000000-0005-0000-0000-000054000000}"/>
    <cellStyle name="Normal 25 3" xfId="91" xr:uid="{00000000-0005-0000-0000-000055000000}"/>
    <cellStyle name="Normal 25 4" xfId="92" xr:uid="{00000000-0005-0000-0000-000056000000}"/>
    <cellStyle name="Normal 25 5" xfId="93" xr:uid="{00000000-0005-0000-0000-000057000000}"/>
    <cellStyle name="Normal 26" xfId="94" xr:uid="{00000000-0005-0000-0000-000058000000}"/>
    <cellStyle name="Normal 26 2" xfId="95" xr:uid="{00000000-0005-0000-0000-000059000000}"/>
    <cellStyle name="Normal 26 3" xfId="96" xr:uid="{00000000-0005-0000-0000-00005A000000}"/>
    <cellStyle name="Normal 26 4" xfId="97" xr:uid="{00000000-0005-0000-0000-00005B000000}"/>
    <cellStyle name="Normal 26 5" xfId="98" xr:uid="{00000000-0005-0000-0000-00005C000000}"/>
    <cellStyle name="Normal 27" xfId="99" xr:uid="{00000000-0005-0000-0000-00005D000000}"/>
    <cellStyle name="Normal 27 2" xfId="100" xr:uid="{00000000-0005-0000-0000-00005E000000}"/>
    <cellStyle name="Normal 27 3" xfId="101" xr:uid="{00000000-0005-0000-0000-00005F000000}"/>
    <cellStyle name="Normal 27 4" xfId="102" xr:uid="{00000000-0005-0000-0000-000060000000}"/>
    <cellStyle name="Normal 27 5" xfId="103" xr:uid="{00000000-0005-0000-0000-000061000000}"/>
    <cellStyle name="Normal 28 2" xfId="104" xr:uid="{00000000-0005-0000-0000-000062000000}"/>
    <cellStyle name="Normal 28 3" xfId="105" xr:uid="{00000000-0005-0000-0000-000063000000}"/>
    <cellStyle name="Normal 28 4" xfId="106" xr:uid="{00000000-0005-0000-0000-000064000000}"/>
    <cellStyle name="Normal 29" xfId="107" xr:uid="{00000000-0005-0000-0000-000065000000}"/>
    <cellStyle name="Normal 3" xfId="12" xr:uid="{00000000-0005-0000-0000-000066000000}"/>
    <cellStyle name="Normal 3 2" xfId="108" xr:uid="{00000000-0005-0000-0000-000067000000}"/>
    <cellStyle name="Normal 3 3" xfId="109" xr:uid="{00000000-0005-0000-0000-000068000000}"/>
    <cellStyle name="Normal 3 4" xfId="110" xr:uid="{00000000-0005-0000-0000-000069000000}"/>
    <cellStyle name="Normal 3 5" xfId="111" xr:uid="{00000000-0005-0000-0000-00006A000000}"/>
    <cellStyle name="Normal 30" xfId="112" xr:uid="{00000000-0005-0000-0000-00006B000000}"/>
    <cellStyle name="Normal 32" xfId="113" xr:uid="{00000000-0005-0000-0000-00006C000000}"/>
    <cellStyle name="Normal 4" xfId="13" xr:uid="{00000000-0005-0000-0000-00006D000000}"/>
    <cellStyle name="Normal 4 2" xfId="114" xr:uid="{00000000-0005-0000-0000-00006E000000}"/>
    <cellStyle name="Normal 4 3" xfId="115" xr:uid="{00000000-0005-0000-0000-00006F000000}"/>
    <cellStyle name="Normal 4 4" xfId="116" xr:uid="{00000000-0005-0000-0000-000070000000}"/>
    <cellStyle name="Normal 4 5" xfId="117" xr:uid="{00000000-0005-0000-0000-000071000000}"/>
    <cellStyle name="Normal 5" xfId="17" xr:uid="{00000000-0005-0000-0000-000072000000}"/>
    <cellStyle name="Normal 5 2" xfId="118" xr:uid="{00000000-0005-0000-0000-000073000000}"/>
    <cellStyle name="Normal 5 3" xfId="119" xr:uid="{00000000-0005-0000-0000-000074000000}"/>
    <cellStyle name="Normal 5 4" xfId="120" xr:uid="{00000000-0005-0000-0000-000075000000}"/>
    <cellStyle name="Normal 5 5" xfId="121" xr:uid="{00000000-0005-0000-0000-000076000000}"/>
    <cellStyle name="Normal 6" xfId="122" xr:uid="{00000000-0005-0000-0000-000077000000}"/>
    <cellStyle name="Normal 6 2" xfId="123" xr:uid="{00000000-0005-0000-0000-000078000000}"/>
    <cellStyle name="Normal 6 3" xfId="124" xr:uid="{00000000-0005-0000-0000-000079000000}"/>
    <cellStyle name="Normal 6 4" xfId="125" xr:uid="{00000000-0005-0000-0000-00007A000000}"/>
    <cellStyle name="Normal 6 5" xfId="126" xr:uid="{00000000-0005-0000-0000-00007B000000}"/>
    <cellStyle name="Normal 7 2" xfId="127" xr:uid="{00000000-0005-0000-0000-00007C000000}"/>
    <cellStyle name="Normal 7 3" xfId="128" xr:uid="{00000000-0005-0000-0000-00007D000000}"/>
    <cellStyle name="Normal 7 4" xfId="129" xr:uid="{00000000-0005-0000-0000-00007E000000}"/>
    <cellStyle name="Normal 7 5" xfId="130" xr:uid="{00000000-0005-0000-0000-00007F000000}"/>
    <cellStyle name="Normal 8 2" xfId="131" xr:uid="{00000000-0005-0000-0000-000080000000}"/>
    <cellStyle name="Normal 8 3" xfId="132" xr:uid="{00000000-0005-0000-0000-000081000000}"/>
    <cellStyle name="Normal 8 4" xfId="133" xr:uid="{00000000-0005-0000-0000-000082000000}"/>
    <cellStyle name="Normal 8 5" xfId="134" xr:uid="{00000000-0005-0000-0000-000083000000}"/>
    <cellStyle name="Normal 9" xfId="135" xr:uid="{00000000-0005-0000-0000-000084000000}"/>
    <cellStyle name="Normal 9 2" xfId="136" xr:uid="{00000000-0005-0000-0000-000085000000}"/>
    <cellStyle name="Normal 9 3" xfId="137" xr:uid="{00000000-0005-0000-0000-000086000000}"/>
    <cellStyle name="Normal 9 4" xfId="138" xr:uid="{00000000-0005-0000-0000-000087000000}"/>
    <cellStyle name="Normal 9 5" xfId="139" xr:uid="{00000000-0005-0000-0000-000088000000}"/>
    <cellStyle name="Percent" xfId="16" builtinId="5"/>
    <cellStyle name="Percent 2" xfId="14" xr:uid="{00000000-0005-0000-0000-00008A000000}"/>
    <cellStyle name="Percent 3" xfId="19" xr:uid="{00000000-0005-0000-0000-00008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13</xdr:col>
      <xdr:colOff>527986</xdr:colOff>
      <xdr:row>3</xdr:row>
      <xdr:rowOff>330066</xdr:rowOff>
    </xdr:from>
    <xdr:ext cx="7406496" cy="4997822"/>
    <xdr:pic>
      <xdr:nvPicPr>
        <xdr:cNvPr id="2" name="Picture 1">
          <a:extLst>
            <a:ext uri="{FF2B5EF4-FFF2-40B4-BE49-F238E27FC236}">
              <a16:creationId xmlns:a16="http://schemas.microsoft.com/office/drawing/2014/main" id="{5179B452-74FD-4F0D-92A9-4076B3C1A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27759" y="918884"/>
          <a:ext cx="7406496" cy="49978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22</xdr:col>
          <xdr:colOff>3286</xdr:colOff>
          <xdr:row>4</xdr:row>
          <xdr:rowOff>285751</xdr:rowOff>
        </xdr:from>
        <xdr:to>
          <xdr:col>46</xdr:col>
          <xdr:colOff>318406</xdr:colOff>
          <xdr:row>26</xdr:row>
          <xdr:rowOff>149679</xdr:rowOff>
        </xdr:to>
        <xdr:pic>
          <xdr:nvPicPr>
            <xdr:cNvPr id="3" name="Picture 2">
              <a:extLst>
                <a:ext uri="{FF2B5EF4-FFF2-40B4-BE49-F238E27FC236}">
                  <a16:creationId xmlns:a16="http://schemas.microsoft.com/office/drawing/2014/main" id="{85C84AA6-3B9B-4B78-B174-51D786FA40E3}"/>
                </a:ext>
              </a:extLst>
            </xdr:cNvPr>
            <xdr:cNvPicPr>
              <a:picLocks noChangeAspect="1" noChangeArrowheads="1"/>
              <a:extLst>
                <a:ext uri="{84589F7E-364E-4C9E-8A38-B11213B215E9}">
                  <a14:cameraTool cellRange="'Operating Cost-Roughness'!$V$3:$AL$19" spid="_x0000_s33827"/>
                </a:ext>
              </a:extLst>
            </xdr:cNvPicPr>
          </xdr:nvPicPr>
          <xdr:blipFill>
            <a:blip xmlns:r="http://schemas.openxmlformats.org/officeDocument/2006/relationships" r:embed="rId2"/>
            <a:srcRect/>
            <a:stretch>
              <a:fillRect/>
            </a:stretch>
          </xdr:blipFill>
          <xdr:spPr bwMode="auto">
            <a:xfrm>
              <a:off x="23883822" y="1306287"/>
              <a:ext cx="15010835" cy="43951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12</xdr:col>
      <xdr:colOff>347382</xdr:colOff>
      <xdr:row>1</xdr:row>
      <xdr:rowOff>156884</xdr:rowOff>
    </xdr:from>
    <xdr:ext cx="7406496" cy="4997822"/>
    <xdr:pic>
      <xdr:nvPicPr>
        <xdr:cNvPr id="5" name="Picture 4">
          <a:extLst>
            <a:ext uri="{FF2B5EF4-FFF2-40B4-BE49-F238E27FC236}">
              <a16:creationId xmlns:a16="http://schemas.microsoft.com/office/drawing/2014/main" id="{95E1321A-6A9C-4FE8-B415-55A1414DB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6882" y="347384"/>
          <a:ext cx="7406496" cy="49978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Projects\09000\9320\TS\INFRA%20Grant\BCA%20Workbook%20-%20B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rans\Grant%20Applications\2022%20Grants\RAISE\Dakota%20County\BCA\Dakota%20County%20BCA%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
      <sheetName val="Travel Time - Interchange"/>
      <sheetName val="Air Quality"/>
      <sheetName val="Operating and Maintenance Costs"/>
      <sheetName val="Safety Benefits - Mainline"/>
      <sheetName val="Safety Benefits - Interchange"/>
      <sheetName val="Capital Cost and RCV Calc"/>
      <sheetName val="Data"/>
      <sheetName val="Build"/>
      <sheetName val="No Buil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Jeff Knudson" id="{535C87F2-4B2F-493D-B6E7-4E67FE81EAA3}" userId="S::JKnudson@srfconsulting.com::3ed20ebe-34ae-4471-b327-06f49c22fba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dT="2022-04-08T01:10:26.75" personId="{535C87F2-4B2F-493D-B6E7-4E67FE81EAA3}" id="{6A3B15BC-FD30-4B7C-9987-388E7EF2D814}">
    <text>2.5 employees, 8 hours a day, 5 days a week, for 4 weeks total for maintenance.  Assume paid $30 an hour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2:S45"/>
  <sheetViews>
    <sheetView view="pageBreakPreview" topLeftCell="A4" zoomScale="115" zoomScaleNormal="85" zoomScaleSheetLayoutView="115" workbookViewId="0">
      <selection activeCell="F10" sqref="F10"/>
    </sheetView>
  </sheetViews>
  <sheetFormatPr defaultColWidth="10.7109375" defaultRowHeight="15" customHeight="1" x14ac:dyDescent="0.2"/>
  <cols>
    <col min="1" max="1" width="10.7109375" style="79"/>
    <col min="2" max="2" width="5.7109375" style="79" customWidth="1"/>
    <col min="3" max="3" width="39.140625" style="79" bestFit="1" customWidth="1"/>
    <col min="4" max="4" width="15.7109375" style="79" customWidth="1"/>
    <col min="5" max="6" width="6" style="79" customWidth="1"/>
    <col min="7" max="7" width="22.7109375" style="79" customWidth="1"/>
    <col min="8" max="9" width="8.42578125" style="79" customWidth="1"/>
    <col min="10" max="10" width="15.42578125" style="79" customWidth="1"/>
    <col min="11" max="11" width="14.28515625" style="79" customWidth="1"/>
    <col min="12" max="12" width="11.7109375" style="84" bestFit="1" customWidth="1"/>
    <col min="13" max="18" width="10.7109375" style="84"/>
    <col min="19" max="16384" width="10.7109375" style="79"/>
  </cols>
  <sheetData>
    <row r="2" spans="2:19" ht="15" customHeight="1" x14ac:dyDescent="0.2">
      <c r="B2" s="78"/>
      <c r="L2" s="79"/>
      <c r="M2" s="79"/>
      <c r="N2" s="79"/>
      <c r="O2" s="79"/>
      <c r="P2" s="79"/>
      <c r="Q2" s="79"/>
      <c r="R2" s="79"/>
    </row>
    <row r="3" spans="2:19" ht="15" customHeight="1" x14ac:dyDescent="0.35">
      <c r="C3" s="75" t="s">
        <v>38</v>
      </c>
      <c r="D3" s="310"/>
      <c r="F3" s="80"/>
      <c r="G3" s="75" t="s">
        <v>128</v>
      </c>
      <c r="H3" s="85"/>
      <c r="L3" s="79"/>
      <c r="M3" s="79"/>
      <c r="N3" s="79"/>
      <c r="O3" s="79"/>
      <c r="P3" s="79"/>
      <c r="Q3" s="79"/>
      <c r="R3" s="79"/>
    </row>
    <row r="4" spans="2:19" ht="15" customHeight="1" x14ac:dyDescent="0.35">
      <c r="C4" s="81" t="s">
        <v>177</v>
      </c>
      <c r="D4" s="243">
        <v>2020</v>
      </c>
      <c r="F4" s="80"/>
      <c r="G4" s="246">
        <v>2019</v>
      </c>
      <c r="H4" s="243">
        <v>715</v>
      </c>
      <c r="L4" s="79"/>
      <c r="M4" s="79"/>
      <c r="N4" s="79"/>
      <c r="O4" s="79"/>
      <c r="P4" s="79"/>
      <c r="Q4" s="79"/>
      <c r="R4" s="79"/>
    </row>
    <row r="5" spans="2:19" ht="15" customHeight="1" x14ac:dyDescent="0.2">
      <c r="B5" s="83"/>
      <c r="C5" s="81" t="s">
        <v>39</v>
      </c>
      <c r="D5" s="243">
        <v>2023</v>
      </c>
      <c r="E5" s="83"/>
      <c r="G5" s="246">
        <v>2039</v>
      </c>
      <c r="H5" s="243">
        <v>790</v>
      </c>
      <c r="I5" s="83"/>
      <c r="J5" s="83"/>
      <c r="K5" s="83"/>
      <c r="L5" s="83"/>
      <c r="M5" s="83"/>
      <c r="N5" s="83"/>
      <c r="P5" s="83"/>
    </row>
    <row r="6" spans="2:19" ht="15" customHeight="1" x14ac:dyDescent="0.25">
      <c r="B6" s="83"/>
      <c r="C6" s="81" t="s">
        <v>40</v>
      </c>
      <c r="D6" s="243">
        <v>1</v>
      </c>
      <c r="E6" s="83"/>
      <c r="G6"/>
      <c r="H6"/>
      <c r="I6" s="78"/>
      <c r="J6" s="78"/>
      <c r="K6" s="78"/>
      <c r="L6" s="78"/>
      <c r="M6" s="78"/>
      <c r="N6" s="83"/>
      <c r="P6" s="83"/>
    </row>
    <row r="7" spans="2:19" ht="15" customHeight="1" x14ac:dyDescent="0.25">
      <c r="B7" s="83"/>
      <c r="C7" s="81" t="s">
        <v>41</v>
      </c>
      <c r="D7" s="82">
        <f>D5+D6</f>
        <v>2024</v>
      </c>
      <c r="E7" s="83"/>
      <c r="G7"/>
      <c r="H7"/>
      <c r="I7"/>
      <c r="J7" s="83"/>
      <c r="K7" s="78"/>
      <c r="L7" s="83"/>
      <c r="M7" s="83"/>
      <c r="N7" s="83"/>
      <c r="O7" s="83"/>
      <c r="P7" s="83"/>
      <c r="Q7" s="83"/>
    </row>
    <row r="8" spans="2:19" ht="15" customHeight="1" x14ac:dyDescent="0.25">
      <c r="B8" s="83"/>
      <c r="C8" s="81" t="s">
        <v>49</v>
      </c>
      <c r="D8" s="243">
        <v>20</v>
      </c>
      <c r="E8" s="83"/>
      <c r="G8"/>
      <c r="H8"/>
      <c r="I8"/>
      <c r="J8" s="83"/>
      <c r="L8" s="79"/>
      <c r="M8" s="83"/>
      <c r="N8" s="83"/>
      <c r="O8" s="83"/>
      <c r="P8" s="83"/>
      <c r="Q8" s="83"/>
      <c r="R8" s="79"/>
    </row>
    <row r="9" spans="2:19" ht="15" customHeight="1" x14ac:dyDescent="0.25">
      <c r="C9" s="81" t="s">
        <v>42</v>
      </c>
      <c r="D9" s="82">
        <f>D7+20-1</f>
        <v>2043</v>
      </c>
      <c r="E9" s="83"/>
      <c r="G9"/>
      <c r="H9"/>
      <c r="I9"/>
      <c r="L9" s="79"/>
      <c r="M9" s="79"/>
      <c r="N9" s="79"/>
      <c r="O9" s="79"/>
      <c r="P9" s="79"/>
      <c r="Q9" s="79"/>
      <c r="R9" s="79"/>
    </row>
    <row r="10" spans="2:19" ht="15" customHeight="1" x14ac:dyDescent="0.25">
      <c r="C10" s="81" t="s">
        <v>43</v>
      </c>
      <c r="D10" s="243">
        <v>2039</v>
      </c>
      <c r="E10" s="83"/>
      <c r="G10"/>
      <c r="H10"/>
      <c r="I10"/>
      <c r="L10" s="79"/>
      <c r="M10" s="79"/>
      <c r="N10" s="79"/>
      <c r="O10" s="79"/>
      <c r="P10" s="79"/>
      <c r="Q10" s="79"/>
      <c r="R10" s="79"/>
    </row>
    <row r="11" spans="2:19" ht="15" customHeight="1" x14ac:dyDescent="0.25">
      <c r="D11" s="85"/>
      <c r="F11" s="83"/>
      <c r="G11"/>
      <c r="H11"/>
      <c r="I11"/>
      <c r="J11" s="83"/>
      <c r="L11" s="79"/>
      <c r="M11" s="79"/>
      <c r="N11" s="79"/>
      <c r="O11" s="79"/>
      <c r="P11" s="79"/>
      <c r="Q11" s="79"/>
      <c r="R11" s="79"/>
    </row>
    <row r="12" spans="2:19" ht="15" customHeight="1" x14ac:dyDescent="0.25">
      <c r="C12" s="75" t="s">
        <v>44</v>
      </c>
      <c r="E12" s="83"/>
      <c r="F12" s="83"/>
      <c r="G12"/>
      <c r="H12"/>
      <c r="I12"/>
      <c r="J12" s="83"/>
      <c r="L12" s="79"/>
      <c r="M12" s="79"/>
      <c r="N12" s="79"/>
      <c r="O12" s="79"/>
      <c r="P12" s="79"/>
      <c r="Q12" s="79"/>
      <c r="R12" s="79"/>
    </row>
    <row r="13" spans="2:19" ht="15" customHeight="1" x14ac:dyDescent="0.25">
      <c r="C13" s="81"/>
      <c r="D13" s="86" t="s">
        <v>17</v>
      </c>
      <c r="E13"/>
      <c r="F13" s="83"/>
      <c r="G13"/>
      <c r="H13"/>
      <c r="I13"/>
      <c r="J13"/>
      <c r="L13" s="79"/>
      <c r="M13" s="79"/>
      <c r="N13" s="79"/>
      <c r="O13" s="79"/>
      <c r="P13" s="79"/>
      <c r="Q13" s="79"/>
      <c r="R13" s="79"/>
    </row>
    <row r="14" spans="2:19" ht="15" customHeight="1" x14ac:dyDescent="0.25">
      <c r="C14" s="81" t="s">
        <v>54</v>
      </c>
      <c r="D14" s="103">
        <f>1-D15</f>
        <v>0.95</v>
      </c>
      <c r="E14"/>
      <c r="F14" s="83"/>
      <c r="K14" s="87"/>
      <c r="L14" s="79"/>
      <c r="M14" s="79"/>
      <c r="N14" s="79"/>
      <c r="O14" s="79"/>
      <c r="P14" s="79"/>
      <c r="Q14" s="79"/>
      <c r="R14" s="79"/>
    </row>
    <row r="15" spans="2:19" ht="15" customHeight="1" x14ac:dyDescent="0.25">
      <c r="C15" s="81" t="s">
        <v>55</v>
      </c>
      <c r="D15" s="244">
        <v>0.05</v>
      </c>
      <c r="E15"/>
      <c r="J15" s="87"/>
      <c r="L15" s="79"/>
      <c r="M15" s="79"/>
      <c r="N15" s="79"/>
      <c r="O15" s="79"/>
      <c r="P15" s="79"/>
      <c r="Q15" s="79"/>
      <c r="R15" s="79"/>
    </row>
    <row r="16" spans="2:19" ht="15" customHeight="1" x14ac:dyDescent="0.25">
      <c r="C16" s="81" t="s">
        <v>56</v>
      </c>
      <c r="D16" s="82">
        <v>1.67</v>
      </c>
      <c r="E16"/>
      <c r="L16" s="79"/>
      <c r="M16" s="79"/>
      <c r="N16" s="79"/>
      <c r="O16" s="79"/>
      <c r="P16" s="79"/>
      <c r="Q16" s="79"/>
      <c r="R16" s="79"/>
      <c r="S16" s="83"/>
    </row>
    <row r="17" spans="2:18" ht="15" customHeight="1" x14ac:dyDescent="0.25">
      <c r="C17" s="81" t="s">
        <v>57</v>
      </c>
      <c r="D17" s="175">
        <v>1</v>
      </c>
      <c r="E17"/>
      <c r="L17" s="79"/>
      <c r="M17" s="79"/>
      <c r="N17" s="79"/>
      <c r="O17" s="79"/>
      <c r="P17" s="79"/>
      <c r="Q17" s="79"/>
      <c r="R17" s="79"/>
    </row>
    <row r="18" spans="2:18" ht="15" customHeight="1" x14ac:dyDescent="0.25">
      <c r="C18" s="83"/>
      <c r="D18" s="96"/>
      <c r="E18"/>
      <c r="L18" s="79"/>
      <c r="M18" s="79"/>
      <c r="N18" s="79"/>
      <c r="O18" s="79"/>
      <c r="P18" s="79"/>
      <c r="Q18" s="79"/>
      <c r="R18" s="79"/>
    </row>
    <row r="19" spans="2:18" ht="15" customHeight="1" x14ac:dyDescent="0.2">
      <c r="C19" s="75" t="s">
        <v>45</v>
      </c>
      <c r="D19" s="85"/>
      <c r="F19" s="83"/>
      <c r="L19" s="79"/>
      <c r="M19" s="79"/>
      <c r="N19" s="79"/>
      <c r="O19" s="79"/>
      <c r="P19" s="79"/>
      <c r="Q19" s="79"/>
      <c r="R19" s="79"/>
    </row>
    <row r="20" spans="2:18" ht="15" customHeight="1" x14ac:dyDescent="0.2">
      <c r="C20" s="81" t="s">
        <v>193</v>
      </c>
      <c r="D20" s="246">
        <v>365</v>
      </c>
      <c r="F20" s="83"/>
      <c r="L20" s="79"/>
      <c r="M20" s="79"/>
      <c r="N20" s="79"/>
      <c r="O20" s="79"/>
      <c r="P20" s="79"/>
      <c r="Q20" s="79"/>
      <c r="R20" s="79"/>
    </row>
    <row r="21" spans="2:18" ht="15" customHeight="1" x14ac:dyDescent="0.2">
      <c r="C21" s="81" t="s">
        <v>194</v>
      </c>
      <c r="D21" s="247">
        <v>17.8</v>
      </c>
      <c r="F21" s="89"/>
      <c r="L21" s="79"/>
      <c r="M21" s="79"/>
      <c r="N21" s="79"/>
      <c r="O21" s="79"/>
      <c r="P21" s="79"/>
      <c r="Q21" s="79"/>
      <c r="R21" s="79"/>
    </row>
    <row r="22" spans="2:18" ht="15" customHeight="1" x14ac:dyDescent="0.2">
      <c r="C22" s="81" t="s">
        <v>195</v>
      </c>
      <c r="D22" s="247">
        <v>32</v>
      </c>
      <c r="F22" s="83"/>
      <c r="L22" s="79"/>
      <c r="M22" s="79"/>
      <c r="N22" s="79"/>
      <c r="O22" s="79"/>
      <c r="P22" s="79"/>
      <c r="Q22" s="79"/>
      <c r="R22" s="79"/>
    </row>
    <row r="23" spans="2:18" ht="15" customHeight="1" x14ac:dyDescent="0.2">
      <c r="C23" s="81" t="s">
        <v>196</v>
      </c>
      <c r="D23" s="247">
        <v>0.45</v>
      </c>
      <c r="F23" s="83"/>
      <c r="L23" s="79"/>
      <c r="M23" s="79"/>
      <c r="N23" s="79"/>
      <c r="O23" s="79"/>
      <c r="P23" s="79"/>
      <c r="Q23" s="79"/>
      <c r="R23" s="79"/>
    </row>
    <row r="24" spans="2:18" ht="15" customHeight="1" x14ac:dyDescent="0.2">
      <c r="C24" s="81" t="s">
        <v>197</v>
      </c>
      <c r="D24" s="247">
        <v>0.94</v>
      </c>
      <c r="F24" s="83"/>
      <c r="L24" s="79"/>
      <c r="M24" s="79"/>
      <c r="N24" s="79"/>
      <c r="O24" s="79"/>
      <c r="P24" s="79"/>
      <c r="Q24" s="79"/>
      <c r="R24" s="79"/>
    </row>
    <row r="25" spans="2:18" ht="15" customHeight="1" x14ac:dyDescent="0.2">
      <c r="C25" s="81" t="s">
        <v>46</v>
      </c>
      <c r="D25" s="88">
        <f>(D21*D14*D16+D22*D15*D17)</f>
        <v>29.839700000000001</v>
      </c>
      <c r="F25" s="83"/>
      <c r="L25" s="79"/>
      <c r="M25" s="79"/>
      <c r="N25" s="79"/>
      <c r="O25" s="79"/>
      <c r="P25" s="79"/>
      <c r="Q25" s="79"/>
      <c r="R25" s="79"/>
    </row>
    <row r="26" spans="2:18" ht="15" customHeight="1" x14ac:dyDescent="0.2">
      <c r="C26" s="81" t="s">
        <v>47</v>
      </c>
      <c r="D26" s="88">
        <f>D23*D14+D24*D15</f>
        <v>0.47449999999999998</v>
      </c>
      <c r="F26" s="83"/>
      <c r="L26" s="79"/>
      <c r="M26" s="79"/>
      <c r="N26" s="79"/>
      <c r="O26" s="79"/>
      <c r="P26" s="79"/>
      <c r="Q26" s="79"/>
      <c r="R26" s="79"/>
    </row>
    <row r="27" spans="2:18" ht="15" customHeight="1" x14ac:dyDescent="0.2">
      <c r="C27" s="81" t="s">
        <v>48</v>
      </c>
      <c r="D27" s="245">
        <v>7.0000000000000007E-2</v>
      </c>
      <c r="F27" s="83"/>
      <c r="L27" s="79"/>
      <c r="M27" s="79"/>
      <c r="N27" s="79"/>
      <c r="O27" s="79"/>
      <c r="P27" s="79"/>
      <c r="Q27" s="79"/>
      <c r="R27" s="79"/>
    </row>
    <row r="28" spans="2:18" ht="15" customHeight="1" x14ac:dyDescent="0.2">
      <c r="L28" s="79"/>
      <c r="M28" s="79"/>
      <c r="N28" s="79"/>
      <c r="O28" s="79"/>
      <c r="P28" s="79"/>
      <c r="Q28" s="79"/>
      <c r="R28" s="79"/>
    </row>
    <row r="29" spans="2:18" ht="15" customHeight="1" x14ac:dyDescent="0.2">
      <c r="B29" s="90" t="s">
        <v>3</v>
      </c>
      <c r="C29" s="90"/>
      <c r="D29" s="90"/>
      <c r="L29" s="79"/>
      <c r="M29" s="79"/>
      <c r="N29" s="79"/>
      <c r="O29" s="79"/>
      <c r="P29" s="79"/>
      <c r="Q29" s="79"/>
      <c r="R29" s="79"/>
    </row>
    <row r="30" spans="2:18" ht="15" customHeight="1" x14ac:dyDescent="0.25">
      <c r="B30" s="91" t="s">
        <v>12</v>
      </c>
      <c r="C30" s="326" t="s">
        <v>146</v>
      </c>
      <c r="D30" s="326"/>
      <c r="E30" s="326"/>
      <c r="F30" s="326"/>
      <c r="G30" s="326"/>
      <c r="H30" s="326"/>
      <c r="I30" s="326"/>
      <c r="J30" s="326"/>
      <c r="L30" s="79"/>
      <c r="M30" s="79"/>
      <c r="N30" s="79"/>
      <c r="O30" s="79"/>
      <c r="P30" s="79"/>
      <c r="Q30" s="79"/>
      <c r="R30" s="79"/>
    </row>
    <row r="31" spans="2:18" ht="15" customHeight="1" x14ac:dyDescent="0.25">
      <c r="B31" s="91"/>
      <c r="C31" s="326"/>
      <c r="D31" s="326"/>
      <c r="E31" s="326"/>
      <c r="F31" s="326"/>
      <c r="G31" s="326"/>
      <c r="H31" s="326"/>
      <c r="I31" s="326"/>
      <c r="J31" s="326"/>
      <c r="L31" s="79"/>
      <c r="M31" s="79"/>
      <c r="N31" s="79"/>
      <c r="O31" s="79"/>
      <c r="P31" s="79"/>
      <c r="Q31" s="79"/>
      <c r="R31" s="79"/>
    </row>
    <row r="32" spans="2:18" ht="15" customHeight="1" x14ac:dyDescent="0.25">
      <c r="B32" s="92"/>
      <c r="C32" s="326"/>
      <c r="D32" s="326"/>
      <c r="E32" s="326"/>
      <c r="F32" s="326"/>
      <c r="G32" s="326"/>
      <c r="H32" s="326"/>
      <c r="I32" s="326"/>
      <c r="J32" s="326"/>
      <c r="L32" s="79"/>
      <c r="M32" s="79"/>
      <c r="N32" s="79"/>
      <c r="O32" s="79"/>
      <c r="P32" s="79"/>
      <c r="Q32" s="79"/>
      <c r="R32" s="79"/>
    </row>
    <row r="33" spans="2:18" ht="15" customHeight="1" x14ac:dyDescent="0.25">
      <c r="B33" s="92"/>
      <c r="C33" s="169"/>
      <c r="D33" s="169"/>
      <c r="E33" s="169"/>
      <c r="F33" s="169"/>
      <c r="G33" s="169"/>
      <c r="H33" s="169"/>
      <c r="I33" s="169"/>
      <c r="J33" s="169"/>
      <c r="L33" s="79"/>
      <c r="M33" s="79"/>
      <c r="N33" s="79"/>
      <c r="O33" s="79"/>
      <c r="P33" s="79"/>
      <c r="Q33" s="79"/>
      <c r="R33" s="79"/>
    </row>
    <row r="34" spans="2:18" ht="15" customHeight="1" x14ac:dyDescent="0.25">
      <c r="B34" s="91" t="s">
        <v>11</v>
      </c>
      <c r="C34" s="326" t="s">
        <v>170</v>
      </c>
      <c r="D34" s="326"/>
      <c r="E34" s="326"/>
      <c r="F34" s="326"/>
      <c r="G34" s="326"/>
      <c r="H34" s="326"/>
      <c r="I34" s="326"/>
      <c r="J34" s="326"/>
      <c r="L34" s="79"/>
      <c r="M34" s="79"/>
      <c r="N34" s="79"/>
      <c r="O34" s="79"/>
      <c r="P34" s="79"/>
      <c r="Q34" s="79"/>
      <c r="R34" s="79"/>
    </row>
    <row r="35" spans="2:18" ht="15" customHeight="1" x14ac:dyDescent="0.2">
      <c r="C35" s="326"/>
      <c r="D35" s="326"/>
      <c r="E35" s="326"/>
      <c r="F35" s="326"/>
      <c r="G35" s="326"/>
      <c r="H35" s="326"/>
      <c r="I35" s="326"/>
      <c r="J35" s="326"/>
    </row>
    <row r="36" spans="2:18" ht="15" customHeight="1" x14ac:dyDescent="0.25">
      <c r="B36" s="91"/>
      <c r="C36" s="326"/>
      <c r="D36" s="326"/>
      <c r="E36" s="326"/>
      <c r="F36" s="326"/>
      <c r="G36" s="326"/>
      <c r="H36" s="326"/>
      <c r="I36" s="326"/>
      <c r="J36" s="326"/>
      <c r="L36" s="79"/>
      <c r="M36" s="79"/>
      <c r="N36" s="79"/>
      <c r="O36" s="79"/>
      <c r="P36" s="79"/>
      <c r="Q36" s="79"/>
      <c r="R36" s="79"/>
    </row>
    <row r="37" spans="2:18" ht="15" customHeight="1" x14ac:dyDescent="0.25">
      <c r="B37" s="93"/>
      <c r="C37" s="155"/>
      <c r="D37" s="155"/>
      <c r="E37" s="155"/>
      <c r="F37" s="155"/>
      <c r="G37" s="155"/>
      <c r="H37" s="155"/>
      <c r="I37" s="155"/>
      <c r="J37" s="155"/>
      <c r="L37" s="79"/>
      <c r="M37" s="79"/>
      <c r="N37" s="79"/>
      <c r="O37" s="79"/>
      <c r="P37" s="79"/>
      <c r="Q37" s="79"/>
      <c r="R37" s="79"/>
    </row>
    <row r="38" spans="2:18" ht="15" customHeight="1" x14ac:dyDescent="0.25">
      <c r="B38" s="91" t="s">
        <v>13</v>
      </c>
      <c r="C38" s="326" t="s">
        <v>192</v>
      </c>
      <c r="D38" s="326"/>
      <c r="E38" s="326"/>
      <c r="F38" s="326"/>
      <c r="G38" s="326"/>
      <c r="H38" s="326"/>
      <c r="I38" s="326"/>
      <c r="J38" s="326"/>
      <c r="L38" s="79"/>
      <c r="M38" s="79"/>
      <c r="N38" s="79"/>
      <c r="O38" s="79"/>
      <c r="P38" s="79"/>
      <c r="Q38" s="79"/>
      <c r="R38" s="79"/>
    </row>
    <row r="39" spans="2:18" ht="15" customHeight="1" x14ac:dyDescent="0.25">
      <c r="B39" s="91"/>
      <c r="C39" s="326"/>
      <c r="D39" s="326"/>
      <c r="E39" s="326"/>
      <c r="F39" s="326"/>
      <c r="G39" s="326"/>
      <c r="H39" s="326"/>
      <c r="I39" s="326"/>
      <c r="J39" s="326"/>
      <c r="L39" s="79"/>
      <c r="M39" s="79"/>
      <c r="N39" s="79"/>
      <c r="O39" s="79"/>
      <c r="P39" s="79"/>
      <c r="Q39" s="79"/>
      <c r="R39" s="79"/>
    </row>
    <row r="40" spans="2:18" ht="15" customHeight="1" x14ac:dyDescent="0.25">
      <c r="B40" s="91"/>
      <c r="C40" s="326"/>
      <c r="D40" s="326"/>
      <c r="E40" s="326"/>
      <c r="F40" s="326"/>
      <c r="G40" s="326"/>
      <c r="H40" s="326"/>
      <c r="I40" s="326"/>
      <c r="J40" s="326"/>
      <c r="L40" s="79"/>
      <c r="M40" s="79"/>
      <c r="N40" s="79"/>
      <c r="O40" s="79"/>
      <c r="P40" s="79"/>
      <c r="Q40" s="79"/>
      <c r="R40" s="79"/>
    </row>
    <row r="41" spans="2:18" ht="15" customHeight="1" x14ac:dyDescent="0.25">
      <c r="B41" s="91"/>
      <c r="C41" s="169"/>
      <c r="D41" s="169"/>
      <c r="E41" s="169"/>
      <c r="F41" s="169"/>
      <c r="G41" s="169"/>
      <c r="H41" s="169"/>
      <c r="I41" s="169"/>
      <c r="J41" s="169"/>
      <c r="L41" s="79"/>
      <c r="M41" s="79"/>
      <c r="N41" s="79"/>
      <c r="O41" s="79"/>
      <c r="P41" s="79"/>
      <c r="Q41" s="79"/>
      <c r="R41" s="79"/>
    </row>
    <row r="42" spans="2:18" ht="15" customHeight="1" x14ac:dyDescent="0.25">
      <c r="B42" s="91" t="s">
        <v>14</v>
      </c>
      <c r="C42" s="326" t="s">
        <v>198</v>
      </c>
      <c r="D42" s="326"/>
      <c r="E42" s="326"/>
      <c r="F42" s="326"/>
      <c r="G42" s="326"/>
      <c r="H42" s="326"/>
      <c r="I42" s="326"/>
      <c r="J42" s="326"/>
      <c r="L42" s="79"/>
      <c r="M42" s="79"/>
      <c r="N42" s="79"/>
      <c r="O42" s="79"/>
      <c r="P42" s="79"/>
      <c r="Q42" s="79"/>
      <c r="R42" s="79"/>
    </row>
    <row r="43" spans="2:18" ht="15" customHeight="1" x14ac:dyDescent="0.25">
      <c r="B43" s="91"/>
      <c r="C43" s="169"/>
      <c r="D43" s="169"/>
      <c r="E43" s="169"/>
      <c r="F43" s="169"/>
      <c r="G43" s="169"/>
      <c r="H43" s="169"/>
      <c r="I43" s="169"/>
      <c r="J43" s="169"/>
    </row>
    <row r="44" spans="2:18" ht="15" customHeight="1" x14ac:dyDescent="0.25">
      <c r="B44" s="91"/>
      <c r="C44" s="169"/>
      <c r="D44" s="169"/>
      <c r="E44" s="169"/>
      <c r="F44" s="169"/>
      <c r="G44" s="169"/>
      <c r="H44" s="169"/>
      <c r="I44" s="169"/>
      <c r="J44" s="169"/>
    </row>
    <row r="45" spans="2:18" ht="15" customHeight="1" x14ac:dyDescent="0.2">
      <c r="B45" s="94"/>
      <c r="C45" s="155"/>
      <c r="D45" s="155"/>
      <c r="E45" s="155"/>
      <c r="F45" s="155"/>
      <c r="G45" s="155"/>
    </row>
  </sheetData>
  <mergeCells count="4">
    <mergeCell ref="C38:J40"/>
    <mergeCell ref="C30:J32"/>
    <mergeCell ref="C34:J36"/>
    <mergeCell ref="C42:J42"/>
  </mergeCells>
  <printOptions horizontalCentered="1"/>
  <pageMargins left="0.7" right="0.7" top="0.75" bottom="0.75" header="0.3" footer="0.3"/>
  <pageSetup scale="81" orientation="landscape" r:id="rId1"/>
  <headerFooter scaleWithDoc="0"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N46"/>
  <sheetViews>
    <sheetView tabSelected="1" view="pageBreakPreview" zoomScale="70" zoomScaleNormal="85" zoomScaleSheetLayoutView="70" workbookViewId="0">
      <selection activeCell="I33" sqref="I33"/>
    </sheetView>
  </sheetViews>
  <sheetFormatPr defaultRowHeight="15" x14ac:dyDescent="0.25"/>
  <cols>
    <col min="1" max="1" width="3.5703125" customWidth="1"/>
    <col min="2" max="2" width="13" customWidth="1"/>
    <col min="3" max="3" width="19.85546875" customWidth="1"/>
    <col min="4" max="4" width="15.7109375" customWidth="1"/>
    <col min="5" max="5" width="15.7109375" style="166" customWidth="1"/>
    <col min="6" max="6" width="15.7109375" customWidth="1"/>
    <col min="7" max="7" width="15.7109375" style="53" customWidth="1"/>
    <col min="8" max="8" width="19.28515625" style="285" bestFit="1" customWidth="1"/>
    <col min="9" max="9" width="21.7109375" bestFit="1" customWidth="1"/>
    <col min="10" max="10" width="7.85546875" customWidth="1"/>
    <col min="11" max="11" width="11.42578125" bestFit="1" customWidth="1"/>
    <col min="12" max="12" width="13.140625" bestFit="1" customWidth="1"/>
    <col min="13" max="13" width="12.5703125" bestFit="1" customWidth="1"/>
    <col min="14" max="16" width="20.7109375" customWidth="1"/>
    <col min="17" max="18" width="15.7109375" customWidth="1"/>
  </cols>
  <sheetData>
    <row r="1" spans="1:14" ht="24" customHeight="1" x14ac:dyDescent="0.35">
      <c r="A1" s="17"/>
      <c r="B1" s="25" t="s">
        <v>171</v>
      </c>
      <c r="C1" s="25"/>
      <c r="D1" s="25"/>
      <c r="E1" s="25"/>
      <c r="I1" s="285"/>
      <c r="J1" s="285"/>
      <c r="K1" s="285"/>
    </row>
    <row r="2" spans="1:14" x14ac:dyDescent="0.25">
      <c r="I2" s="285"/>
      <c r="J2" s="285"/>
      <c r="K2" s="285"/>
      <c r="N2" s="10"/>
    </row>
    <row r="3" spans="1:14" ht="16.5" thickBot="1" x14ac:dyDescent="0.3">
      <c r="B3" s="26" t="s">
        <v>5</v>
      </c>
      <c r="C3" s="26"/>
      <c r="D3" s="26"/>
      <c r="E3" s="26"/>
      <c r="I3" s="285"/>
      <c r="J3" s="285"/>
      <c r="K3" s="285"/>
      <c r="N3" s="27"/>
    </row>
    <row r="4" spans="1:14" s="42" customFormat="1" ht="16.5" thickBot="1" x14ac:dyDescent="0.25">
      <c r="B4" s="43"/>
      <c r="C4" s="337" t="s">
        <v>20</v>
      </c>
      <c r="D4" s="338"/>
      <c r="E4" s="338"/>
      <c r="F4" s="335" t="s">
        <v>36</v>
      </c>
      <c r="G4" s="336"/>
      <c r="I4" s="50"/>
      <c r="L4" s="50"/>
      <c r="M4" s="50"/>
    </row>
    <row r="5" spans="1:14" ht="35.1" customHeight="1" x14ac:dyDescent="0.25">
      <c r="B5" s="327" t="s">
        <v>0</v>
      </c>
      <c r="C5" s="329" t="s">
        <v>110</v>
      </c>
      <c r="D5" s="341" t="s">
        <v>111</v>
      </c>
      <c r="E5" s="339" t="s">
        <v>169</v>
      </c>
      <c r="F5" s="329" t="s">
        <v>51</v>
      </c>
      <c r="G5" s="331" t="s">
        <v>190</v>
      </c>
      <c r="H5" s="331" t="s">
        <v>176</v>
      </c>
      <c r="I5" s="333" t="s">
        <v>191</v>
      </c>
      <c r="J5" s="318"/>
      <c r="K5" s="301" t="s">
        <v>0</v>
      </c>
      <c r="L5" s="279" t="s">
        <v>6</v>
      </c>
      <c r="M5" s="277" t="s">
        <v>1</v>
      </c>
    </row>
    <row r="6" spans="1:14" ht="35.1" customHeight="1" thickBot="1" x14ac:dyDescent="0.3">
      <c r="B6" s="328"/>
      <c r="C6" s="330"/>
      <c r="D6" s="342"/>
      <c r="E6" s="340"/>
      <c r="F6" s="330"/>
      <c r="G6" s="332"/>
      <c r="H6" s="332"/>
      <c r="I6" s="334"/>
      <c r="J6" s="318"/>
      <c r="K6" s="302"/>
      <c r="L6" s="280"/>
      <c r="M6" s="278"/>
    </row>
    <row r="7" spans="1:14" ht="15" customHeight="1" x14ac:dyDescent="0.25">
      <c r="B7" s="72">
        <v>2022</v>
      </c>
      <c r="C7" s="177">
        <f>IFERROR(_xlfn.XLOOKUP($B7,'Travel Time Cost Savings'!B6:B27,'Travel Time Cost Savings'!G6:G27),0)</f>
        <v>0</v>
      </c>
      <c r="D7" s="189">
        <f>IFERROR(_xlfn.XLOOKUP($B7,'Travel Time Cost - Construction'!$B$6:$B$27,'Travel Time Cost - Construction'!$G$6:$G$27),0)</f>
        <v>0</v>
      </c>
      <c r="E7" s="189">
        <f>IFERROR(_xlfn.XLOOKUP($B7,'Operating Cost Savings'!$B$6:$B$27,'Operating Cost Savings'!$G$6:$G$27),0)</f>
        <v>0</v>
      </c>
      <c r="F7" s="180">
        <f>_xlfn.XLOOKUP($B7,'Operation and Maintenance'!B7:B28,'Operation and Maintenance'!E7:E28,0)</f>
        <v>0</v>
      </c>
      <c r="G7" s="178">
        <v>0</v>
      </c>
      <c r="H7" s="184">
        <f t="shared" ref="H7:H28" si="0">SUM(C7:E7,F7:G7)</f>
        <v>0</v>
      </c>
      <c r="I7" s="179">
        <f>SUM(C7:E7,F7:G7)*(1+0.07)^-(B7-Assumptions!$D$4)</f>
        <v>0</v>
      </c>
      <c r="K7" s="281">
        <v>2022</v>
      </c>
      <c r="L7" s="190">
        <f>'Capital Costs and RCV Calc'!C7</f>
        <v>0</v>
      </c>
      <c r="M7" s="197">
        <f>L7*(1+0.07)^-(K7-Assumptions!$D$4)</f>
        <v>0</v>
      </c>
    </row>
    <row r="8" spans="1:14" ht="15" customHeight="1" thickBot="1" x14ac:dyDescent="0.3">
      <c r="B8" s="176">
        <f>B7+1</f>
        <v>2023</v>
      </c>
      <c r="C8" s="304">
        <f>IFERROR(_xlfn.XLOOKUP($B8,'Travel Time Cost Savings'!B7:B27,'Travel Time Cost Savings'!G7:G27),0)</f>
        <v>0</v>
      </c>
      <c r="D8" s="305">
        <f>IFERROR(_xlfn.XLOOKUP($B8,'Travel Time Cost - Construction'!$B$6:$B$27,'Travel Time Cost - Construction'!$G$6:$G$27),0)</f>
        <v>-63151.973773428355</v>
      </c>
      <c r="E8" s="306">
        <f>IFERROR(_xlfn.XLOOKUP($B8,'Operating Cost Savings'!$B$6:$B$27,'Operating Cost Savings'!$G$6:$G$27),0)</f>
        <v>0</v>
      </c>
      <c r="F8" s="307">
        <f>_xlfn.XLOOKUP($B8,'Operation and Maintenance'!B8:B29,'Operation and Maintenance'!E8:E29,0)</f>
        <v>0</v>
      </c>
      <c r="G8" s="308">
        <v>0</v>
      </c>
      <c r="H8" s="311">
        <f t="shared" si="0"/>
        <v>-63151.973773428355</v>
      </c>
      <c r="I8" s="309">
        <f>SUM(C8:E8,F8:G8)*(1+0.07)^-(B8-Assumptions!$D$4)</f>
        <v>-51550.822112716327</v>
      </c>
      <c r="J8" s="62"/>
      <c r="K8" s="99">
        <f>K7+1</f>
        <v>2023</v>
      </c>
      <c r="L8" s="200">
        <f>'Capital Costs and RCV Calc'!C8</f>
        <v>2181494.8543812362</v>
      </c>
      <c r="M8" s="199">
        <f>L8*(1+0.07)^-(K8-Assumptions!$D$4)</f>
        <v>1780749.6180797212</v>
      </c>
    </row>
    <row r="9" spans="1:14" ht="15" customHeight="1" thickTop="1" x14ac:dyDescent="0.25">
      <c r="B9" s="60">
        <f t="shared" ref="B9:B28" si="1">B8+1</f>
        <v>2024</v>
      </c>
      <c r="C9" s="180">
        <f>IFERROR(_xlfn.XLOOKUP($B9,'Travel Time Cost Savings'!B8:B28,'Travel Time Cost Savings'!G8:G28),0)</f>
        <v>0</v>
      </c>
      <c r="D9" s="181">
        <f>IFERROR(_xlfn.XLOOKUP($B9,'Travel Time Cost - Construction'!$B$6:$B$27,'Travel Time Cost - Construction'!$G$6:$G$27),0)</f>
        <v>0</v>
      </c>
      <c r="E9" s="181">
        <f>IFERROR(_xlfn.XLOOKUP($B9,'Operating Cost Savings'!$B$6:$B$27,'Operating Cost Savings'!$G$6:$G$27),0)</f>
        <v>0</v>
      </c>
      <c r="F9" s="180">
        <f>_xlfn.XLOOKUP($B9,'Operation and Maintenance'!B9:B30,'Operation and Maintenance'!E9:E30,0)</f>
        <v>18000</v>
      </c>
      <c r="G9" s="183">
        <v>0</v>
      </c>
      <c r="H9" s="184">
        <f t="shared" si="0"/>
        <v>18000</v>
      </c>
      <c r="I9" s="184">
        <f>SUM(C9:E9,F9:G9)*(1+0.07)^-(B9-Assumptions!$D$4)</f>
        <v>13732.113816855453</v>
      </c>
      <c r="K9" s="2">
        <f t="shared" ref="K9:K28" si="2">K8+1</f>
        <v>2024</v>
      </c>
      <c r="L9" s="201">
        <f>'Capital Costs and RCV Calc'!C9</f>
        <v>0</v>
      </c>
      <c r="M9" s="202">
        <f>L9*(1+0.07)^-(K9-Assumptions!$D$4)</f>
        <v>0</v>
      </c>
    </row>
    <row r="10" spans="1:14" ht="15" customHeight="1" x14ac:dyDescent="0.25">
      <c r="B10" s="61">
        <f t="shared" si="1"/>
        <v>2025</v>
      </c>
      <c r="C10" s="180">
        <f>IFERROR(_xlfn.XLOOKUP($B10,'Travel Time Cost Savings'!B9:B29,'Travel Time Cost Savings'!G9:G29),0)</f>
        <v>0</v>
      </c>
      <c r="D10" s="185">
        <f>IFERROR(_xlfn.XLOOKUP($B10,'Travel Time Cost - Construction'!$B$6:$B$27,'Travel Time Cost - Construction'!$G$6:$G$27),0)</f>
        <v>0</v>
      </c>
      <c r="E10" s="181">
        <f>IFERROR(_xlfn.XLOOKUP($B10,'Operating Cost Savings'!$B$6:$B$27,'Operating Cost Savings'!$G$6:$G$27),0)</f>
        <v>0</v>
      </c>
      <c r="F10" s="180">
        <f>_xlfn.XLOOKUP($B10,'Operation and Maintenance'!B10:B31,'Operation and Maintenance'!E10:E31,0)</f>
        <v>18000</v>
      </c>
      <c r="G10" s="178">
        <v>0</v>
      </c>
      <c r="H10" s="186">
        <f t="shared" si="0"/>
        <v>18000</v>
      </c>
      <c r="I10" s="186">
        <f>SUM(C10:E10,F10:G10)*(1+0.07)^-(B10-Assumptions!$D$4)</f>
        <v>12833.751230706031</v>
      </c>
      <c r="K10" s="40">
        <f t="shared" si="2"/>
        <v>2025</v>
      </c>
      <c r="L10" s="204">
        <f>'Capital Costs and RCV Calc'!C10</f>
        <v>0</v>
      </c>
      <c r="M10" s="182">
        <f>L10*(1+0.07)^-(K10-Assumptions!$D$4)</f>
        <v>0</v>
      </c>
    </row>
    <row r="11" spans="1:14" ht="15" customHeight="1" x14ac:dyDescent="0.25">
      <c r="A11" s="53"/>
      <c r="B11" s="61">
        <f t="shared" si="1"/>
        <v>2026</v>
      </c>
      <c r="C11" s="180">
        <f>IFERROR(_xlfn.XLOOKUP($B11,'Travel Time Cost Savings'!B10:B30,'Travel Time Cost Savings'!G10:G30),0)</f>
        <v>0</v>
      </c>
      <c r="D11" s="185">
        <f>IFERROR(_xlfn.XLOOKUP($B11,'Travel Time Cost - Construction'!$B$6:$B$27,'Travel Time Cost - Construction'!$G$6:$G$27),0)</f>
        <v>0</v>
      </c>
      <c r="E11" s="181">
        <f>IFERROR(_xlfn.XLOOKUP($B11,'Operating Cost Savings'!$B$6:$B$27,'Operating Cost Savings'!$G$6:$G$27),0)</f>
        <v>0</v>
      </c>
      <c r="F11" s="180">
        <f>_xlfn.XLOOKUP($B11,'Operation and Maintenance'!B11:B32,'Operation and Maintenance'!E11:E32,0)</f>
        <v>18000</v>
      </c>
      <c r="G11" s="183">
        <v>0</v>
      </c>
      <c r="H11" s="184">
        <f t="shared" si="0"/>
        <v>18000</v>
      </c>
      <c r="I11" s="186">
        <f>SUM(C11:E11,F11:G11)*(1+0.07)^-(B11-Assumptions!$D$4)</f>
        <v>11994.160028697226</v>
      </c>
      <c r="J11" s="53"/>
      <c r="K11" s="40">
        <f t="shared" si="2"/>
        <v>2026</v>
      </c>
      <c r="L11" s="204">
        <f>'Capital Costs and RCV Calc'!C11</f>
        <v>0</v>
      </c>
      <c r="M11" s="182">
        <f>L11*(1+0.07)^-(K11-Assumptions!$D$4)</f>
        <v>0</v>
      </c>
    </row>
    <row r="12" spans="1:14" ht="15" customHeight="1" x14ac:dyDescent="0.25">
      <c r="A12" s="53"/>
      <c r="B12" s="61">
        <f t="shared" si="1"/>
        <v>2027</v>
      </c>
      <c r="C12" s="180">
        <f>IFERROR(_xlfn.XLOOKUP($B12,'Travel Time Cost Savings'!B11:B31,'Travel Time Cost Savings'!G11:G31),0)</f>
        <v>0</v>
      </c>
      <c r="D12" s="185">
        <f>IFERROR(_xlfn.XLOOKUP($B12,'Travel Time Cost - Construction'!$B$6:$B$27,'Travel Time Cost - Construction'!$G$6:$G$27),0)</f>
        <v>0</v>
      </c>
      <c r="E12" s="181">
        <f>IFERROR(_xlfn.XLOOKUP($B12,'Operating Cost Savings'!$B$6:$B$27,'Operating Cost Savings'!$G$6:$G$27),0)</f>
        <v>0</v>
      </c>
      <c r="F12" s="180">
        <f>_xlfn.XLOOKUP($B12,'Operation and Maintenance'!B12:B33,'Operation and Maintenance'!E12:E33,0)</f>
        <v>18000</v>
      </c>
      <c r="G12" s="178">
        <v>0</v>
      </c>
      <c r="H12" s="186">
        <f t="shared" si="0"/>
        <v>18000</v>
      </c>
      <c r="I12" s="186">
        <f>SUM(C12:E12,F12:G12)*(1+0.07)^-(B12-Assumptions!$D$4)</f>
        <v>11209.495353922639</v>
      </c>
      <c r="J12" s="53"/>
      <c r="K12" s="2">
        <f t="shared" si="2"/>
        <v>2027</v>
      </c>
      <c r="L12" s="201">
        <f>'Capital Costs and RCV Calc'!C12</f>
        <v>0</v>
      </c>
      <c r="M12" s="202">
        <f>L12*(1+0.07)^-(K12-Assumptions!$D$4)</f>
        <v>0</v>
      </c>
    </row>
    <row r="13" spans="1:14" ht="15" customHeight="1" x14ac:dyDescent="0.25">
      <c r="A13" s="53"/>
      <c r="B13" s="61">
        <f t="shared" si="1"/>
        <v>2028</v>
      </c>
      <c r="C13" s="180">
        <f>IFERROR(_xlfn.XLOOKUP($B13,'Travel Time Cost Savings'!B12:B32,'Travel Time Cost Savings'!G12:G32),0)</f>
        <v>0</v>
      </c>
      <c r="D13" s="185">
        <f>IFERROR(_xlfn.XLOOKUP($B13,'Travel Time Cost - Construction'!$B$6:$B$27,'Travel Time Cost - Construction'!$G$6:$G$27),0)</f>
        <v>0</v>
      </c>
      <c r="E13" s="181">
        <f>IFERROR(_xlfn.XLOOKUP($B13,'Operating Cost Savings'!$B$6:$B$27,'Operating Cost Savings'!$G$6:$G$27),0)</f>
        <v>0</v>
      </c>
      <c r="F13" s="180">
        <f>_xlfn.XLOOKUP($B13,'Operation and Maintenance'!B13:B34,'Operation and Maintenance'!E13:E34,0)</f>
        <v>18000</v>
      </c>
      <c r="G13" s="178">
        <v>0</v>
      </c>
      <c r="H13" s="186">
        <f t="shared" si="0"/>
        <v>18000</v>
      </c>
      <c r="I13" s="186">
        <f>SUM(C13:E13,F13:G13)*(1+0.07)^-(B13-Assumptions!$D$4)</f>
        <v>10476.163882170691</v>
      </c>
      <c r="J13" s="53"/>
      <c r="K13" s="2">
        <f t="shared" si="2"/>
        <v>2028</v>
      </c>
      <c r="L13" s="201">
        <f>'Capital Costs and RCV Calc'!C13</f>
        <v>0</v>
      </c>
      <c r="M13" s="202">
        <f>L13*(1+0.07)^-(K13-Assumptions!$D$4)</f>
        <v>0</v>
      </c>
    </row>
    <row r="14" spans="1:14" ht="15" customHeight="1" x14ac:dyDescent="0.25">
      <c r="A14" s="53"/>
      <c r="B14" s="61">
        <f t="shared" si="1"/>
        <v>2029</v>
      </c>
      <c r="C14" s="180">
        <f>IFERROR(_xlfn.XLOOKUP($B14,'Travel Time Cost Savings'!B13:B33,'Travel Time Cost Savings'!G13:G33),0)</f>
        <v>0</v>
      </c>
      <c r="D14" s="185">
        <f>IFERROR(_xlfn.XLOOKUP($B14,'Travel Time Cost - Construction'!$B$6:$B$27,'Travel Time Cost - Construction'!$G$6:$G$27),0)</f>
        <v>0</v>
      </c>
      <c r="E14" s="181">
        <f>IFERROR(_xlfn.XLOOKUP($B14,'Operating Cost Savings'!$B$6:$B$27,'Operating Cost Savings'!$G$6:$G$27),0)</f>
        <v>0</v>
      </c>
      <c r="F14" s="180">
        <f>_xlfn.XLOOKUP($B14,'Operation and Maintenance'!B14:B35,'Operation and Maintenance'!E14:E35,0)</f>
        <v>18000</v>
      </c>
      <c r="G14" s="178">
        <v>0</v>
      </c>
      <c r="H14" s="186">
        <f t="shared" si="0"/>
        <v>18000</v>
      </c>
      <c r="I14" s="186">
        <f>SUM(C14:E14,F14:G14)*(1+0.07)^-(B14-Assumptions!$D$4)</f>
        <v>9790.8073665146658</v>
      </c>
      <c r="J14" s="53"/>
      <c r="K14" s="2">
        <f t="shared" si="2"/>
        <v>2029</v>
      </c>
      <c r="L14" s="201">
        <f>'Capital Costs and RCV Calc'!C14</f>
        <v>0</v>
      </c>
      <c r="M14" s="202">
        <f>L14*(1+0.07)^-(K14-Assumptions!$D$4)</f>
        <v>0</v>
      </c>
    </row>
    <row r="15" spans="1:14" ht="15" customHeight="1" x14ac:dyDescent="0.25">
      <c r="A15" s="53"/>
      <c r="B15" s="61">
        <f t="shared" si="1"/>
        <v>2030</v>
      </c>
      <c r="C15" s="180">
        <f>IFERROR(_xlfn.XLOOKUP($B15,'Travel Time Cost Savings'!B14:B34,'Travel Time Cost Savings'!G14:G34),0)</f>
        <v>392537.09725606907</v>
      </c>
      <c r="D15" s="185">
        <f>IFERROR(_xlfn.XLOOKUP($B15,'Travel Time Cost - Construction'!$B$6:$B$27,'Travel Time Cost - Construction'!$G$6:$G$27),0)</f>
        <v>0</v>
      </c>
      <c r="E15" s="181">
        <f>IFERROR(_xlfn.XLOOKUP($B15,'Operating Cost Savings'!$B$6:$B$27,'Operating Cost Savings'!$G$6:$G$27),0)</f>
        <v>64266.58231388469</v>
      </c>
      <c r="F15" s="180">
        <f>_xlfn.XLOOKUP($B15,'Operation and Maintenance'!B15:B36,'Operation and Maintenance'!E15:E36,0)</f>
        <v>396000</v>
      </c>
      <c r="G15" s="178">
        <v>0</v>
      </c>
      <c r="H15" s="186">
        <f t="shared" si="0"/>
        <v>852803.67956995382</v>
      </c>
      <c r="I15" s="186">
        <f>SUM(C15:E15,F15:G15)*(1+0.07)^-(B15-Assumptions!$D$4)</f>
        <v>433522.14683926874</v>
      </c>
      <c r="J15" s="53"/>
      <c r="K15" s="2">
        <f t="shared" si="2"/>
        <v>2030</v>
      </c>
      <c r="L15" s="201">
        <f>'Capital Costs and RCV Calc'!C15</f>
        <v>0</v>
      </c>
      <c r="M15" s="202">
        <f>L15*(1+0.07)^-(K15-Assumptions!$D$4)</f>
        <v>0</v>
      </c>
    </row>
    <row r="16" spans="1:14" ht="15" customHeight="1" x14ac:dyDescent="0.25">
      <c r="A16" s="53"/>
      <c r="B16" s="61">
        <f t="shared" si="1"/>
        <v>2031</v>
      </c>
      <c r="C16" s="180">
        <f>IFERROR(_xlfn.XLOOKUP($B16,'Travel Time Cost Savings'!B15:B35,'Travel Time Cost Savings'!G15:G35),0)</f>
        <v>394483.5622011415</v>
      </c>
      <c r="D16" s="185">
        <f>IFERROR(_xlfn.XLOOKUP($B16,'Travel Time Cost - Construction'!$B$6:$B$27,'Travel Time Cost - Construction'!$G$6:$G$27),0)</f>
        <v>0</v>
      </c>
      <c r="E16" s="181">
        <f>IFERROR(_xlfn.XLOOKUP($B16,'Operating Cost Savings'!$B$6:$B$27,'Operating Cost Savings'!$G$6:$G$27),0)</f>
        <v>64585.259581556951</v>
      </c>
      <c r="F16" s="180">
        <f>_xlfn.XLOOKUP($B16,'Operation and Maintenance'!B16:B37,'Operation and Maintenance'!E16:E37,0)</f>
        <v>18000</v>
      </c>
      <c r="G16" s="178">
        <v>0</v>
      </c>
      <c r="H16" s="186">
        <f t="shared" si="0"/>
        <v>477068.82178269845</v>
      </c>
      <c r="I16" s="186">
        <f>SUM(C16:E16,F16:G16)*(1+0.07)^-(B16-Assumptions!$D$4)</f>
        <v>226651.96061007344</v>
      </c>
      <c r="J16" s="53"/>
      <c r="K16" s="2">
        <f t="shared" si="2"/>
        <v>2031</v>
      </c>
      <c r="L16" s="201">
        <f>'Capital Costs and RCV Calc'!C16</f>
        <v>0</v>
      </c>
      <c r="M16" s="202">
        <f>L16*(1+0.07)^-(K16-Assumptions!$D$4)</f>
        <v>0</v>
      </c>
    </row>
    <row r="17" spans="1:13" ht="15" customHeight="1" x14ac:dyDescent="0.25">
      <c r="A17" s="53"/>
      <c r="B17" s="61">
        <f t="shared" si="1"/>
        <v>2032</v>
      </c>
      <c r="C17" s="180">
        <f>IFERROR(_xlfn.XLOOKUP($B17,'Travel Time Cost Savings'!B16:B36,'Travel Time Cost Savings'!G16:G36),0)</f>
        <v>396430.02714621217</v>
      </c>
      <c r="D17" s="185">
        <f>IFERROR(_xlfn.XLOOKUP($B17,'Travel Time Cost - Construction'!$B$6:$B$27,'Travel Time Cost - Construction'!$G$6:$G$27),0)</f>
        <v>0</v>
      </c>
      <c r="E17" s="181">
        <f>IFERROR(_xlfn.XLOOKUP($B17,'Operating Cost Savings'!$B$6:$B$27,'Operating Cost Savings'!$G$6:$G$27),0)</f>
        <v>64903.936849229038</v>
      </c>
      <c r="F17" s="180">
        <f>_xlfn.XLOOKUP($B17,'Operation and Maintenance'!B17:B38,'Operation and Maintenance'!E17:E38,0)</f>
        <v>18000</v>
      </c>
      <c r="G17" s="178">
        <v>0</v>
      </c>
      <c r="H17" s="186">
        <f t="shared" si="0"/>
        <v>479333.96399544121</v>
      </c>
      <c r="I17" s="186">
        <f>SUM(C17:E17,F17:G17)*(1+0.07)^-(B17-Assumptions!$D$4)</f>
        <v>212830.01248424393</v>
      </c>
      <c r="J17" s="53"/>
      <c r="K17" s="2">
        <f t="shared" si="2"/>
        <v>2032</v>
      </c>
      <c r="L17" s="201">
        <f>'Capital Costs and RCV Calc'!C17</f>
        <v>0</v>
      </c>
      <c r="M17" s="202">
        <f>L17*(1+0.07)^-(K17-Assumptions!$D$4)</f>
        <v>0</v>
      </c>
    </row>
    <row r="18" spans="1:13" ht="15" customHeight="1" x14ac:dyDescent="0.25">
      <c r="B18" s="61">
        <f t="shared" si="1"/>
        <v>2033</v>
      </c>
      <c r="C18" s="180">
        <f>IFERROR(_xlfn.XLOOKUP($B18,'Travel Time Cost Savings'!B17:B37,'Travel Time Cost Savings'!G17:G37),0)</f>
        <v>398376.49209128448</v>
      </c>
      <c r="D18" s="185">
        <f>IFERROR(_xlfn.XLOOKUP($B18,'Travel Time Cost - Construction'!$B$6:$B$27,'Travel Time Cost - Construction'!$G$6:$G$27),0)</f>
        <v>0</v>
      </c>
      <c r="E18" s="181">
        <f>IFERROR(_xlfn.XLOOKUP($B18,'Operating Cost Savings'!$B$6:$B$27,'Operating Cost Savings'!$G$6:$G$27),0)</f>
        <v>65222.614116901241</v>
      </c>
      <c r="F18" s="180">
        <f>_xlfn.XLOOKUP($B18,'Operation and Maintenance'!B18:B39,'Operation and Maintenance'!E18:E39,0)</f>
        <v>18000</v>
      </c>
      <c r="G18" s="178">
        <v>0</v>
      </c>
      <c r="H18" s="186">
        <f t="shared" si="0"/>
        <v>481599.10620818572</v>
      </c>
      <c r="I18" s="186">
        <f>SUM(C18:E18,F18:G18)*(1+0.07)^-(B18-Assumptions!$D$4)</f>
        <v>199846.50721129298</v>
      </c>
      <c r="K18" s="2">
        <f t="shared" si="2"/>
        <v>2033</v>
      </c>
      <c r="L18" s="201">
        <f>'Capital Costs and RCV Calc'!C18</f>
        <v>0</v>
      </c>
      <c r="M18" s="202">
        <f>L18*(1+0.07)^-(K18-Assumptions!$D$4)</f>
        <v>0</v>
      </c>
    </row>
    <row r="19" spans="1:13" ht="15" customHeight="1" x14ac:dyDescent="0.25">
      <c r="B19" s="61">
        <f t="shared" si="1"/>
        <v>2034</v>
      </c>
      <c r="C19" s="180">
        <f>IFERROR(_xlfn.XLOOKUP($B19,'Travel Time Cost Savings'!B18:B38,'Travel Time Cost Savings'!G18:G38),0)</f>
        <v>400322.95703635516</v>
      </c>
      <c r="D19" s="185">
        <f>IFERROR(_xlfn.XLOOKUP($B19,'Travel Time Cost - Construction'!$B$6:$B$27,'Travel Time Cost - Construction'!$G$6:$G$27),0)</f>
        <v>0</v>
      </c>
      <c r="E19" s="181">
        <f>IFERROR(_xlfn.XLOOKUP($B19,'Operating Cost Savings'!$B$6:$B$27,'Operating Cost Savings'!$G$6:$G$27),0)</f>
        <v>65541.291384573444</v>
      </c>
      <c r="F19" s="180">
        <f>_xlfn.XLOOKUP($B19,'Operation and Maintenance'!B19:B40,'Operation and Maintenance'!E19:E40,0)</f>
        <v>18000</v>
      </c>
      <c r="G19" s="178">
        <v>0</v>
      </c>
      <c r="H19" s="186">
        <f t="shared" si="0"/>
        <v>483864.2484209286</v>
      </c>
      <c r="I19" s="186">
        <f>SUM(C19:E19,F19:G19)*(1+0.07)^-(B19-Assumptions!$D$4)</f>
        <v>187650.89784952602</v>
      </c>
      <c r="K19" s="2">
        <f t="shared" si="2"/>
        <v>2034</v>
      </c>
      <c r="L19" s="201">
        <f>'Capital Costs and RCV Calc'!C19</f>
        <v>0</v>
      </c>
      <c r="M19" s="202">
        <f>L19*(1+0.07)^-(K19-Assumptions!$D$4)</f>
        <v>0</v>
      </c>
    </row>
    <row r="20" spans="1:13" ht="15" customHeight="1" x14ac:dyDescent="0.25">
      <c r="B20" s="61">
        <f t="shared" si="1"/>
        <v>2035</v>
      </c>
      <c r="C20" s="180">
        <f>IFERROR(_xlfn.XLOOKUP($B20,'Travel Time Cost Savings'!B19:B39,'Travel Time Cost Savings'!G19:G39),0)</f>
        <v>402269.42198142747</v>
      </c>
      <c r="D20" s="185">
        <f>IFERROR(_xlfn.XLOOKUP($B20,'Travel Time Cost - Construction'!$B$6:$B$27,'Travel Time Cost - Construction'!$G$6:$G$27),0)</f>
        <v>0</v>
      </c>
      <c r="E20" s="181">
        <f>IFERROR(_xlfn.XLOOKUP($B20,'Operating Cost Savings'!$B$6:$B$27,'Operating Cost Savings'!$G$6:$G$27),0)</f>
        <v>65859.96865224553</v>
      </c>
      <c r="F20" s="180">
        <f>_xlfn.XLOOKUP($B20,'Operation and Maintenance'!B20:B41,'Operation and Maintenance'!E20:E41,0)</f>
        <v>18000</v>
      </c>
      <c r="G20" s="178">
        <v>0</v>
      </c>
      <c r="H20" s="186">
        <f t="shared" si="0"/>
        <v>486129.390633673</v>
      </c>
      <c r="I20" s="186">
        <f>SUM(C20:E20,F20:G20)*(1+0.07)^-(B20-Assumptions!$D$4)</f>
        <v>176195.66266634059</v>
      </c>
      <c r="K20" s="2">
        <f t="shared" si="2"/>
        <v>2035</v>
      </c>
      <c r="L20" s="201">
        <f>'Capital Costs and RCV Calc'!C20</f>
        <v>0</v>
      </c>
      <c r="M20" s="202">
        <f>L20*(1+0.07)^-(K20-Assumptions!$D$4)</f>
        <v>0</v>
      </c>
    </row>
    <row r="21" spans="1:13" ht="15" customHeight="1" x14ac:dyDescent="0.25">
      <c r="B21" s="61">
        <f t="shared" si="1"/>
        <v>2036</v>
      </c>
      <c r="C21" s="180">
        <f>IFERROR(_xlfn.XLOOKUP($B21,'Travel Time Cost Savings'!B20:B40,'Travel Time Cost Savings'!G20:G40),0)</f>
        <v>404215.88692649803</v>
      </c>
      <c r="D21" s="185">
        <f>IFERROR(_xlfn.XLOOKUP($B21,'Travel Time Cost - Construction'!$B$6:$B$27,'Travel Time Cost - Construction'!$G$6:$G$27),0)</f>
        <v>0</v>
      </c>
      <c r="E21" s="181">
        <f>IFERROR(_xlfn.XLOOKUP($B21,'Operating Cost Savings'!$B$6:$B$27,'Operating Cost Savings'!$G$6:$G$27),0)</f>
        <v>66178.645919917675</v>
      </c>
      <c r="F21" s="180">
        <f>_xlfn.XLOOKUP($B21,'Operation and Maintenance'!B21:B42,'Operation and Maintenance'!E21:E42,0)</f>
        <v>18000</v>
      </c>
      <c r="G21" s="178">
        <v>0</v>
      </c>
      <c r="H21" s="186">
        <f t="shared" si="0"/>
        <v>488394.53284641571</v>
      </c>
      <c r="I21" s="186">
        <f>SUM(C21:E21,F21:G21)*(1+0.07)^-(B21-Assumptions!$D$4)</f>
        <v>165436.12564978792</v>
      </c>
      <c r="K21" s="2">
        <f t="shared" si="2"/>
        <v>2036</v>
      </c>
      <c r="L21" s="201">
        <f>'Capital Costs and RCV Calc'!C21</f>
        <v>0</v>
      </c>
      <c r="M21" s="202">
        <f>L21*(1+0.07)^-(K21-Assumptions!$D$4)</f>
        <v>0</v>
      </c>
    </row>
    <row r="22" spans="1:13" ht="15" customHeight="1" x14ac:dyDescent="0.25">
      <c r="B22" s="61">
        <f t="shared" si="1"/>
        <v>2037</v>
      </c>
      <c r="C22" s="180">
        <f>IFERROR(_xlfn.XLOOKUP($B22,'Travel Time Cost Savings'!B21:B41,'Travel Time Cost Savings'!G21:G41),0)</f>
        <v>406162.35187157057</v>
      </c>
      <c r="D22" s="185">
        <f>IFERROR(_xlfn.XLOOKUP($B22,'Travel Time Cost - Construction'!$B$6:$B$27,'Travel Time Cost - Construction'!$G$6:$G$27),0)</f>
        <v>0</v>
      </c>
      <c r="E22" s="181">
        <f>IFERROR(_xlfn.XLOOKUP($B22,'Operating Cost Savings'!$B$6:$B$27,'Operating Cost Savings'!$G$6:$G$27),0)</f>
        <v>66497.32318758982</v>
      </c>
      <c r="F22" s="180">
        <f>_xlfn.XLOOKUP($B22,'Operation and Maintenance'!B22:B43,'Operation and Maintenance'!E22:E43,0)</f>
        <v>18000</v>
      </c>
      <c r="G22" s="178">
        <v>0</v>
      </c>
      <c r="H22" s="186">
        <f t="shared" si="0"/>
        <v>490659.67505916039</v>
      </c>
      <c r="I22" s="186">
        <f>SUM(C22:E22,F22:G22)*(1+0.07)^-(B22-Assumptions!$D$4)</f>
        <v>155330.28755717207</v>
      </c>
      <c r="K22" s="2">
        <f t="shared" si="2"/>
        <v>2037</v>
      </c>
      <c r="L22" s="201">
        <f>'Capital Costs and RCV Calc'!C22</f>
        <v>0</v>
      </c>
      <c r="M22" s="202">
        <f>L22*(1+0.07)^-(K22-Assumptions!$D$4)</f>
        <v>0</v>
      </c>
    </row>
    <row r="23" spans="1:13" ht="15" customHeight="1" x14ac:dyDescent="0.25">
      <c r="B23" s="61">
        <f t="shared" si="1"/>
        <v>2038</v>
      </c>
      <c r="C23" s="180">
        <f>IFERROR(_xlfn.XLOOKUP($B23,'Travel Time Cost Savings'!B22:B42,'Travel Time Cost Savings'!G22:G42),0)</f>
        <v>408108.81681664125</v>
      </c>
      <c r="D23" s="185">
        <f>IFERROR(_xlfn.XLOOKUP($B23,'Travel Time Cost - Construction'!$B$6:$B$27,'Travel Time Cost - Construction'!$G$6:$G$27),0)</f>
        <v>0</v>
      </c>
      <c r="E23" s="181">
        <f>IFERROR(_xlfn.XLOOKUP($B23,'Operating Cost Savings'!$B$6:$B$27,'Operating Cost Savings'!$G$6:$G$27),0)</f>
        <v>66816.000455261965</v>
      </c>
      <c r="F23" s="180">
        <f>_xlfn.XLOOKUP($B23,'Operation and Maintenance'!B23:B44,'Operation and Maintenance'!E23:E44,0)</f>
        <v>18000</v>
      </c>
      <c r="G23" s="178">
        <v>0</v>
      </c>
      <c r="H23" s="186">
        <f t="shared" si="0"/>
        <v>492924.81727190322</v>
      </c>
      <c r="I23" s="186">
        <f>SUM(C23:E23,F23:G23)*(1+0.07)^-(B23-Assumptions!$D$4)</f>
        <v>145838.66689017348</v>
      </c>
      <c r="K23" s="2">
        <f t="shared" si="2"/>
        <v>2038</v>
      </c>
      <c r="L23" s="201">
        <f>'Capital Costs and RCV Calc'!C23</f>
        <v>0</v>
      </c>
      <c r="M23" s="202">
        <f>L23*(1+0.07)^-(K23-Assumptions!$D$4)</f>
        <v>0</v>
      </c>
    </row>
    <row r="24" spans="1:13" ht="15" customHeight="1" x14ac:dyDescent="0.25">
      <c r="B24" s="61">
        <f t="shared" si="1"/>
        <v>2039</v>
      </c>
      <c r="C24" s="180">
        <f>IFERROR(_xlfn.XLOOKUP($B24,'Travel Time Cost Savings'!B23:B43,'Travel Time Cost Savings'!G23:G43),0)</f>
        <v>410055.28176171356</v>
      </c>
      <c r="D24" s="185">
        <f>IFERROR(_xlfn.XLOOKUP($B24,'Travel Time Cost - Construction'!$B$6:$B$27,'Travel Time Cost - Construction'!$G$6:$G$27),0)</f>
        <v>0</v>
      </c>
      <c r="E24" s="181">
        <f>IFERROR(_xlfn.XLOOKUP($B24,'Operating Cost Savings'!$B$6:$B$27,'Operating Cost Savings'!$G$6:$G$27),0)</f>
        <v>67134.677722934226</v>
      </c>
      <c r="F24" s="180">
        <f>_xlfn.XLOOKUP($B24,'Operation and Maintenance'!B24:B45,'Operation and Maintenance'!E24:E45,0)</f>
        <v>18000</v>
      </c>
      <c r="G24" s="178">
        <v>0</v>
      </c>
      <c r="H24" s="186">
        <f t="shared" si="0"/>
        <v>495189.95948464778</v>
      </c>
      <c r="I24" s="186">
        <f>SUM(C24:E24,F24:G24)*(1+0.07)^-(B24-Assumptions!$D$4)</f>
        <v>136924.15022080511</v>
      </c>
      <c r="K24" s="2">
        <f t="shared" si="2"/>
        <v>2039</v>
      </c>
      <c r="L24" s="201">
        <f>'Capital Costs and RCV Calc'!C24</f>
        <v>0</v>
      </c>
      <c r="M24" s="202">
        <f>L24*(1+0.07)^-(K24-Assumptions!$D$4)</f>
        <v>0</v>
      </c>
    </row>
    <row r="25" spans="1:13" ht="15" customHeight="1" x14ac:dyDescent="0.25">
      <c r="B25" s="61">
        <f t="shared" si="1"/>
        <v>2040</v>
      </c>
      <c r="C25" s="180">
        <f>IFERROR(_xlfn.XLOOKUP($B25,'Travel Time Cost Savings'!B24:B44,'Travel Time Cost Savings'!G24:G44),0)</f>
        <v>412001.74670678424</v>
      </c>
      <c r="D25" s="185">
        <f>IFERROR(_xlfn.XLOOKUP($B25,'Travel Time Cost - Construction'!$B$6:$B$27,'Travel Time Cost - Construction'!$G$6:$G$27),0)</f>
        <v>0</v>
      </c>
      <c r="E25" s="181">
        <f>IFERROR(_xlfn.XLOOKUP($B25,'Operating Cost Savings'!$B$6:$B$27,'Operating Cost Savings'!$G$6:$G$27),0)</f>
        <v>67453.354990606313</v>
      </c>
      <c r="F25" s="180">
        <f>_xlfn.XLOOKUP($B25,'Operation and Maintenance'!B25:B46,'Operation and Maintenance'!E25:E46,0)</f>
        <v>18000</v>
      </c>
      <c r="G25" s="178">
        <v>0</v>
      </c>
      <c r="H25" s="186">
        <f t="shared" si="0"/>
        <v>497455.10169739055</v>
      </c>
      <c r="I25" s="186">
        <f>SUM(C25:E25,F25:G25)*(1+0.07)^-(B25-Assumptions!$D$4)</f>
        <v>128551.85132531131</v>
      </c>
      <c r="K25" s="2">
        <f t="shared" si="2"/>
        <v>2040</v>
      </c>
      <c r="L25" s="201">
        <f>'Capital Costs and RCV Calc'!C25</f>
        <v>0</v>
      </c>
      <c r="M25" s="202">
        <f>L25*(1+0.07)^-(K25-Assumptions!$D$4)</f>
        <v>0</v>
      </c>
    </row>
    <row r="26" spans="1:13" ht="15" customHeight="1" x14ac:dyDescent="0.25">
      <c r="B26" s="61">
        <f t="shared" si="1"/>
        <v>2041</v>
      </c>
      <c r="C26" s="187">
        <f>IFERROR(_xlfn.XLOOKUP($B26,'Travel Time Cost Savings'!B25:B45,'Travel Time Cost Savings'!G25:G45),0)</f>
        <v>413948.21165185655</v>
      </c>
      <c r="D26" s="185">
        <f>IFERROR(_xlfn.XLOOKUP($B26,'Travel Time Cost - Construction'!$B$6:$B$27,'Travel Time Cost - Construction'!$G$6:$G$27),0)</f>
        <v>0</v>
      </c>
      <c r="E26" s="181">
        <f>IFERROR(_xlfn.XLOOKUP($B26,'Operating Cost Savings'!$B$6:$B$27,'Operating Cost Savings'!$G$6:$G$27),0)</f>
        <v>67772.032258278516</v>
      </c>
      <c r="F26" s="180">
        <f>_xlfn.XLOOKUP($B26,'Operation and Maintenance'!B26:B47,'Operation and Maintenance'!E26:E47,0)</f>
        <v>18000</v>
      </c>
      <c r="G26" s="178">
        <v>0</v>
      </c>
      <c r="H26" s="186">
        <f t="shared" si="0"/>
        <v>499720.24391013506</v>
      </c>
      <c r="I26" s="186">
        <f>SUM(C26:E26,F26:G26)*(1+0.07)^-(B26-Assumptions!$D$4)</f>
        <v>120688.97861416855</v>
      </c>
      <c r="K26" s="2">
        <f t="shared" si="2"/>
        <v>2041</v>
      </c>
      <c r="L26" s="201">
        <f>'Capital Costs and RCV Calc'!C26</f>
        <v>0</v>
      </c>
      <c r="M26" s="202">
        <f>L26*(1+0.07)^-(K26-Assumptions!$D$4)</f>
        <v>0</v>
      </c>
    </row>
    <row r="27" spans="1:13" ht="15" customHeight="1" x14ac:dyDescent="0.25">
      <c r="B27" s="61">
        <f t="shared" si="1"/>
        <v>2042</v>
      </c>
      <c r="C27" s="187">
        <f>IFERROR(_xlfn.XLOOKUP($B27,'Travel Time Cost Savings'!B26:B46,'Travel Time Cost Savings'!G26:G46),0)</f>
        <v>415894.67659692629</v>
      </c>
      <c r="D27" s="185">
        <f>IFERROR(_xlfn.XLOOKUP($B27,'Travel Time Cost - Construction'!$B$6:$B$27,'Travel Time Cost - Construction'!$G$6:$G$27),0)</f>
        <v>0</v>
      </c>
      <c r="E27" s="181">
        <f>IFERROR(_xlfn.XLOOKUP($B27,'Operating Cost Savings'!$B$6:$B$27,'Operating Cost Savings'!$G$6:$G$27),0)</f>
        <v>68090.709525950602</v>
      </c>
      <c r="F27" s="180">
        <f>_xlfn.XLOOKUP($B27,'Operation and Maintenance'!B27:B48,'Operation and Maintenance'!E27:E48,0)</f>
        <v>18000</v>
      </c>
      <c r="G27" s="178">
        <v>0</v>
      </c>
      <c r="H27" s="186">
        <f t="shared" si="0"/>
        <v>501985.38612287689</v>
      </c>
      <c r="I27" s="186">
        <f>SUM(C27:E27,F27:G27)*(1+0.07)^-(B27-Assumptions!$D$4)</f>
        <v>113304.71037558625</v>
      </c>
      <c r="K27" s="2">
        <f t="shared" si="2"/>
        <v>2042</v>
      </c>
      <c r="L27" s="201">
        <f>'Capital Costs and RCV Calc'!C27</f>
        <v>0</v>
      </c>
      <c r="M27" s="202">
        <f>L27*(1+0.07)^-(K27-Assumptions!$D$4)</f>
        <v>0</v>
      </c>
    </row>
    <row r="28" spans="1:13" ht="15" customHeight="1" thickBot="1" x14ac:dyDescent="0.3">
      <c r="B28" s="287">
        <f t="shared" si="1"/>
        <v>2043</v>
      </c>
      <c r="C28" s="292">
        <f>IFERROR(_xlfn.XLOOKUP($B28,'Travel Time Cost Savings'!B27:B47,'Travel Time Cost Savings'!G27:G47),0)</f>
        <v>417841.14154199883</v>
      </c>
      <c r="D28" s="293">
        <f>IFERROR(_xlfn.XLOOKUP($B28,'Travel Time Cost - Construction'!$B$6:$B$27,'Travel Time Cost - Construction'!$G$6:$G$27),0)</f>
        <v>0</v>
      </c>
      <c r="E28" s="294">
        <f>IFERROR(_xlfn.XLOOKUP($B28,'Operating Cost Savings'!$B$6:$B$27,'Operating Cost Savings'!$G$6:$G$27),0)</f>
        <v>68409.386793622805</v>
      </c>
      <c r="F28" s="295">
        <f>_xlfn.XLOOKUP($B28,'Operation and Maintenance'!B28:B49,'Operation and Maintenance'!E28:E49,0)</f>
        <v>18000</v>
      </c>
      <c r="G28" s="296">
        <v>0</v>
      </c>
      <c r="H28" s="297">
        <f t="shared" si="0"/>
        <v>504250.52833562164</v>
      </c>
      <c r="I28" s="297">
        <f>SUM(C28:E28,F28:G28)*(1+0.07)^-(B28-Assumptions!$D$4)</f>
        <v>106370.07737757596</v>
      </c>
      <c r="K28" s="3">
        <f t="shared" si="2"/>
        <v>2043</v>
      </c>
      <c r="L28" s="203">
        <f>'Capital Costs and RCV Calc'!C28</f>
        <v>0</v>
      </c>
      <c r="M28" s="188">
        <f>L28*(1+0.07)^-(K28-Assumptions!$D$4)</f>
        <v>0</v>
      </c>
    </row>
    <row r="29" spans="1:13" ht="15" customHeight="1" x14ac:dyDescent="0.25">
      <c r="B29" s="11"/>
      <c r="C29" s="46"/>
      <c r="D29" s="46"/>
      <c r="E29" s="46"/>
      <c r="F29" s="53"/>
      <c r="G29" s="100"/>
      <c r="H29" s="100"/>
      <c r="I29" s="8">
        <f>SUM(I7:I28)</f>
        <v>2527627.7052374766</v>
      </c>
      <c r="J29" s="14"/>
      <c r="K29" s="282"/>
      <c r="L29" s="101" t="s">
        <v>4</v>
      </c>
      <c r="M29" s="205">
        <f>SUM(M7:M28)</f>
        <v>1780749.6180797212</v>
      </c>
    </row>
    <row r="30" spans="1:13" x14ac:dyDescent="0.25">
      <c r="A30" s="53"/>
      <c r="B30" s="11"/>
      <c r="C30" s="14"/>
      <c r="D30" s="14"/>
      <c r="E30" s="14"/>
      <c r="I30" s="14"/>
      <c r="J30" s="14"/>
      <c r="M30" s="206"/>
    </row>
    <row r="31" spans="1:13" x14ac:dyDescent="0.25">
      <c r="A31" s="53"/>
      <c r="B31" s="11"/>
      <c r="C31" s="50"/>
      <c r="D31" s="50"/>
      <c r="E31" s="50"/>
      <c r="F31" s="8"/>
      <c r="G31" s="8"/>
      <c r="H31" s="8"/>
      <c r="I31" s="14"/>
      <c r="J31" s="14"/>
    </row>
    <row r="32" spans="1:13" x14ac:dyDescent="0.25">
      <c r="E32" s="76"/>
      <c r="G32"/>
    </row>
    <row r="33" spans="2:9" ht="16.5" thickBot="1" x14ac:dyDescent="0.3">
      <c r="B33" s="12" t="s">
        <v>10</v>
      </c>
      <c r="F33" s="13"/>
      <c r="G33"/>
    </row>
    <row r="34" spans="2:9" ht="15.75" thickBot="1" x14ac:dyDescent="0.3">
      <c r="B34" s="291"/>
      <c r="C34" s="298" t="s">
        <v>19</v>
      </c>
      <c r="D34" s="33"/>
      <c r="E34" s="34"/>
      <c r="F34" s="53"/>
      <c r="G34" s="13"/>
      <c r="H34" s="13"/>
    </row>
    <row r="35" spans="2:9" x14ac:dyDescent="0.25">
      <c r="B35" s="15" t="s">
        <v>7</v>
      </c>
      <c r="C35" s="299">
        <f>I29+G29</f>
        <v>2527627.7052374766</v>
      </c>
      <c r="D35" s="29"/>
      <c r="E35" s="30"/>
      <c r="F35" s="53"/>
      <c r="G35" s="14"/>
      <c r="H35" s="14"/>
      <c r="I35" s="14"/>
    </row>
    <row r="36" spans="2:9" ht="15.75" thickBot="1" x14ac:dyDescent="0.3">
      <c r="B36" s="16" t="s">
        <v>8</v>
      </c>
      <c r="C36" s="300">
        <f>M29</f>
        <v>1780749.6180797212</v>
      </c>
      <c r="D36" s="29"/>
      <c r="E36" s="30"/>
      <c r="F36" s="53"/>
      <c r="G36" s="14"/>
      <c r="H36" s="14"/>
    </row>
    <row r="37" spans="2:9" ht="15.75" thickTop="1" x14ac:dyDescent="0.25">
      <c r="B37" s="207" t="s">
        <v>9</v>
      </c>
      <c r="C37" s="208">
        <f>+C35/C36</f>
        <v>1.4194177999954618</v>
      </c>
      <c r="D37" s="31"/>
      <c r="E37" s="32"/>
      <c r="F37" s="53"/>
      <c r="G37" s="14"/>
      <c r="H37" s="14"/>
    </row>
    <row r="38" spans="2:9" ht="15.75" thickBot="1" x14ac:dyDescent="0.3">
      <c r="B38" s="209" t="s">
        <v>116</v>
      </c>
      <c r="C38" s="210">
        <f>C35-C36</f>
        <v>746878.08715775539</v>
      </c>
    </row>
    <row r="40" spans="2:9" x14ac:dyDescent="0.25">
      <c r="E40"/>
      <c r="G40"/>
    </row>
    <row r="41" spans="2:9" x14ac:dyDescent="0.25">
      <c r="E41"/>
      <c r="G41"/>
    </row>
    <row r="42" spans="2:9" x14ac:dyDescent="0.25">
      <c r="E42"/>
      <c r="G42"/>
    </row>
    <row r="43" spans="2:9" x14ac:dyDescent="0.25">
      <c r="E43"/>
      <c r="G43"/>
    </row>
    <row r="44" spans="2:9" x14ac:dyDescent="0.25">
      <c r="E44"/>
      <c r="G44"/>
    </row>
    <row r="45" spans="2:9" x14ac:dyDescent="0.25">
      <c r="E45"/>
      <c r="G45"/>
    </row>
    <row r="46" spans="2:9" x14ac:dyDescent="0.25">
      <c r="E46"/>
      <c r="G46"/>
    </row>
  </sheetData>
  <mergeCells count="10">
    <mergeCell ref="F4:G4"/>
    <mergeCell ref="G5:G6"/>
    <mergeCell ref="C4:E4"/>
    <mergeCell ref="E5:E6"/>
    <mergeCell ref="D5:D6"/>
    <mergeCell ref="B5:B6"/>
    <mergeCell ref="C5:C6"/>
    <mergeCell ref="H5:H6"/>
    <mergeCell ref="I5:I6"/>
    <mergeCell ref="F5:F6"/>
  </mergeCells>
  <printOptions horizontalCentered="1"/>
  <pageMargins left="0.7" right="0.7" top="0.75" bottom="0.75" header="0.3" footer="0.3"/>
  <pageSetup scale="66" orientation="landscape" r:id="rId1"/>
  <headerFooter scaleWithDoc="0"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9826-1E30-4120-81B4-A53082CDB784}">
  <sheetPr>
    <tabColor rgb="FF00B050"/>
    <pageSetUpPr fitToPage="1"/>
  </sheetPr>
  <dimension ref="A1:V56"/>
  <sheetViews>
    <sheetView view="pageBreakPreview" zoomScale="70" zoomScaleNormal="70" zoomScaleSheetLayoutView="70" workbookViewId="0">
      <selection activeCell="F10" sqref="F10"/>
    </sheetView>
  </sheetViews>
  <sheetFormatPr defaultColWidth="9.140625" defaultRowHeight="15" x14ac:dyDescent="0.25"/>
  <cols>
    <col min="1" max="1" width="3.7109375" style="127" customWidth="1"/>
    <col min="2" max="8" width="20.7109375" style="127" customWidth="1"/>
    <col min="9" max="10" width="5.7109375" style="127" customWidth="1"/>
    <col min="11" max="11" width="32.28515625" style="127" customWidth="1"/>
    <col min="12" max="12" width="24.5703125" style="127" customWidth="1"/>
    <col min="13" max="13" width="24.5703125" style="21" customWidth="1"/>
    <col min="14" max="14" width="16.7109375" style="127" bestFit="1" customWidth="1"/>
    <col min="15" max="15" width="18.28515625" style="127" bestFit="1" customWidth="1"/>
    <col min="16" max="16" width="22.85546875" style="127" bestFit="1" customWidth="1"/>
    <col min="17" max="17" width="29.28515625" style="127" customWidth="1"/>
    <col min="18" max="18" width="29" style="127" customWidth="1"/>
    <col min="19" max="20" width="37" style="127" bestFit="1" customWidth="1"/>
    <col min="21" max="21" width="36.28515625" style="127" bestFit="1" customWidth="1"/>
    <col min="22" max="22" width="24.85546875" style="127" bestFit="1" customWidth="1"/>
    <col min="23" max="23" width="10.42578125" style="127" bestFit="1" customWidth="1"/>
    <col min="24" max="16384" width="9.140625" style="127"/>
  </cols>
  <sheetData>
    <row r="1" spans="1:22" x14ac:dyDescent="0.25">
      <c r="A1" s="17"/>
      <c r="B1" s="128">
        <v>1</v>
      </c>
      <c r="C1" s="128">
        <v>2</v>
      </c>
      <c r="D1" s="128">
        <v>3</v>
      </c>
      <c r="E1" s="128">
        <v>4</v>
      </c>
      <c r="F1" s="128">
        <v>5</v>
      </c>
      <c r="G1" s="128">
        <v>6</v>
      </c>
      <c r="H1" s="128">
        <v>7</v>
      </c>
      <c r="K1" s="17"/>
      <c r="L1" s="17"/>
      <c r="M1" s="19"/>
    </row>
    <row r="2" spans="1:22" x14ac:dyDescent="0.25">
      <c r="B2" s="6" t="s">
        <v>137</v>
      </c>
      <c r="K2" s="17"/>
      <c r="L2" s="17"/>
      <c r="M2" s="19"/>
    </row>
    <row r="3" spans="1:22" ht="15.75" thickBot="1" x14ac:dyDescent="0.3">
      <c r="K3" s="65"/>
      <c r="L3" s="17"/>
      <c r="M3" s="19"/>
    </row>
    <row r="4" spans="1:22" ht="35.1" customHeight="1" x14ac:dyDescent="0.25">
      <c r="B4" s="347" t="s">
        <v>0</v>
      </c>
      <c r="C4" s="347" t="s">
        <v>62</v>
      </c>
      <c r="D4" s="349" t="s">
        <v>63</v>
      </c>
      <c r="E4" s="347" t="s">
        <v>27</v>
      </c>
      <c r="F4" s="347" t="s">
        <v>28</v>
      </c>
      <c r="G4" s="345" t="s">
        <v>34</v>
      </c>
      <c r="H4" s="351" t="s">
        <v>1</v>
      </c>
      <c r="K4" s="65"/>
      <c r="L4" s="17"/>
      <c r="M4" s="19"/>
      <c r="N4" s="21"/>
    </row>
    <row r="5" spans="1:22" ht="43.5" customHeight="1" thickBot="1" x14ac:dyDescent="0.3">
      <c r="B5" s="348"/>
      <c r="C5" s="348"/>
      <c r="D5" s="350"/>
      <c r="E5" s="348"/>
      <c r="F5" s="348"/>
      <c r="G5" s="346"/>
      <c r="H5" s="352"/>
      <c r="K5" s="343" t="s">
        <v>186</v>
      </c>
      <c r="L5" s="343"/>
      <c r="M5" s="23"/>
      <c r="N5" s="28"/>
      <c r="O5" s="10"/>
      <c r="P5" s="10"/>
      <c r="Q5" s="10"/>
      <c r="R5" s="10"/>
    </row>
    <row r="6" spans="1:22" x14ac:dyDescent="0.25">
      <c r="B6" s="136">
        <v>2022</v>
      </c>
      <c r="C6" s="140" cm="1">
        <f t="array" ref="C6">IF(B6=YearOfConstruction,TREND('Travel Time Cost - Construction'!$L$22:$L$23,$K$22:$K$23,B6),0)*1/6</f>
        <v>0</v>
      </c>
      <c r="D6" s="141" cm="1">
        <f t="array" ref="D6">IF(B6=YearOfConstruction,TREND($M$22:$M$23,$K$22:$K$23,B6),0)*1/6</f>
        <v>0</v>
      </c>
      <c r="E6" s="270">
        <f t="shared" ref="E6" si="0">C6*$L$18</f>
        <v>0</v>
      </c>
      <c r="F6" s="270">
        <f t="shared" ref="F6" si="1">D6*$L$18</f>
        <v>0</v>
      </c>
      <c r="G6" s="271">
        <f t="shared" ref="G6" si="2">(E6-F6)</f>
        <v>0</v>
      </c>
      <c r="H6" s="270">
        <f>G6*(1+0.07)^-(B6-Assumptions!$D$4)</f>
        <v>0</v>
      </c>
      <c r="I6" s="17"/>
      <c r="K6" s="68" t="s">
        <v>61</v>
      </c>
      <c r="L6" s="129">
        <f>Assumptions!D21</f>
        <v>17.8</v>
      </c>
      <c r="M6" s="139"/>
      <c r="O6" s="10"/>
      <c r="P6" s="10"/>
      <c r="Q6" s="10"/>
      <c r="R6" s="10"/>
      <c r="U6" s="157"/>
      <c r="V6" s="157"/>
    </row>
    <row r="7" spans="1:22" x14ac:dyDescent="0.25">
      <c r="B7" s="61">
        <f>B6+1</f>
        <v>2023</v>
      </c>
      <c r="C7" s="132" cm="1">
        <f t="array" ref="C7">IF(B7=YearOfConstruction,TREND('Travel Time Cost - Construction'!$L$22:$L$23,$K$22:$K$23,B7),0)*1/6</f>
        <v>3703.6550000000038</v>
      </c>
      <c r="D7" s="133" cm="1">
        <f t="array" ref="D7">IF(B7=YearOfConstruction,TREND($M$22:$M$23,$K$22:$K$23,B7),0)*1/6</f>
        <v>5820.0292857142822</v>
      </c>
      <c r="E7" s="144">
        <f t="shared" ref="E7" si="3">C7*$L$18</f>
        <v>110515.95410350012</v>
      </c>
      <c r="F7" s="144">
        <f t="shared" ref="F7" si="4">D7*$L$18</f>
        <v>173667.92787692847</v>
      </c>
      <c r="G7" s="145">
        <f t="shared" ref="G7" si="5">(E7-F7)</f>
        <v>-63151.973773428355</v>
      </c>
      <c r="H7" s="144">
        <f>G7*(1+0.07)^-(B7-Assumptions!$D$4)</f>
        <v>-51550.822112716327</v>
      </c>
      <c r="I7" s="17"/>
      <c r="K7" s="68" t="s">
        <v>29</v>
      </c>
      <c r="L7" s="70">
        <f>Assumptions!D22</f>
        <v>32</v>
      </c>
      <c r="M7" s="66"/>
      <c r="O7" s="10"/>
      <c r="P7" s="10"/>
      <c r="Q7" s="10"/>
      <c r="R7" s="10"/>
      <c r="U7" s="157"/>
      <c r="V7" s="157"/>
    </row>
    <row r="8" spans="1:22" x14ac:dyDescent="0.25">
      <c r="B8" s="61">
        <f t="shared" ref="B8:B27" si="6">B7+1</f>
        <v>2024</v>
      </c>
      <c r="C8" s="132" cm="1">
        <f t="array" ref="C8">IF(B8=YearOfConstruction,TREND('Travel Time Cost - Construction'!$L$22:$L$23,$K$22:$K$23,B8),0)*1/6</f>
        <v>0</v>
      </c>
      <c r="D8" s="133" cm="1">
        <f t="array" ref="D8">IF(B8=YearOfConstruction,TREND($M$22:$M$23,$K$22:$K$23,B8),0)*1/6</f>
        <v>0</v>
      </c>
      <c r="E8" s="144">
        <f t="shared" ref="E8:E24" si="7">C8*$L$18</f>
        <v>0</v>
      </c>
      <c r="F8" s="144">
        <f t="shared" ref="F8:F24" si="8">D8*$L$18</f>
        <v>0</v>
      </c>
      <c r="G8" s="145">
        <f t="shared" ref="G8:G24" si="9">(E8-F8)</f>
        <v>0</v>
      </c>
      <c r="H8" s="144">
        <f>G8*(1+0.07)^-(B8-Assumptions!$D$4)</f>
        <v>0</v>
      </c>
      <c r="J8" s="64"/>
      <c r="K8" s="54"/>
      <c r="L8" s="66"/>
      <c r="M8" s="66"/>
      <c r="O8" s="10"/>
      <c r="P8" s="10"/>
      <c r="Q8" s="10"/>
      <c r="R8" s="10"/>
      <c r="U8" s="157"/>
      <c r="V8" s="157"/>
    </row>
    <row r="9" spans="1:22" ht="14.25" customHeight="1" x14ac:dyDescent="0.25">
      <c r="B9" s="61">
        <f t="shared" si="6"/>
        <v>2025</v>
      </c>
      <c r="C9" s="132" cm="1">
        <f t="array" ref="C9">IF(B9=YearOfConstruction,TREND('Travel Time Cost - Construction'!$L$22:$L$23,$K$22:$K$23,B9),0)*1/6</f>
        <v>0</v>
      </c>
      <c r="D9" s="133" cm="1">
        <f t="array" ref="D9">IF(B9=YearOfConstruction,TREND($M$22:$M$23,$K$22:$K$23,B9),0)*1/6</f>
        <v>0</v>
      </c>
      <c r="E9" s="144">
        <f t="shared" si="7"/>
        <v>0</v>
      </c>
      <c r="F9" s="144">
        <f t="shared" si="8"/>
        <v>0</v>
      </c>
      <c r="G9" s="145">
        <f t="shared" si="9"/>
        <v>0</v>
      </c>
      <c r="H9" s="144">
        <f>G9*(1+0.07)^-(B9-Assumptions!$D$4)</f>
        <v>0</v>
      </c>
      <c r="K9" s="343" t="s">
        <v>23</v>
      </c>
      <c r="L9" s="343"/>
      <c r="M9" s="23"/>
      <c r="O9" s="10"/>
      <c r="P9" s="10"/>
      <c r="Q9" s="10"/>
      <c r="R9" s="10"/>
      <c r="U9" s="157"/>
      <c r="V9" s="157"/>
    </row>
    <row r="10" spans="1:22" x14ac:dyDescent="0.25">
      <c r="B10" s="61">
        <f t="shared" si="6"/>
        <v>2026</v>
      </c>
      <c r="C10" s="132" cm="1">
        <f t="array" ref="C10">IF(B10=YearOfConstruction,TREND('Travel Time Cost - Construction'!$L$22:$L$23,$K$22:$K$23,B10),0)*1/6</f>
        <v>0</v>
      </c>
      <c r="D10" s="133" cm="1">
        <f t="array" ref="D10">IF(B10=YearOfConstruction,TREND($M$22:$M$23,$K$22:$K$23,B10),0)*1/6</f>
        <v>0</v>
      </c>
      <c r="E10" s="144">
        <f t="shared" si="7"/>
        <v>0</v>
      </c>
      <c r="F10" s="144">
        <f t="shared" si="8"/>
        <v>0</v>
      </c>
      <c r="G10" s="145">
        <f t="shared" si="9"/>
        <v>0</v>
      </c>
      <c r="H10" s="144">
        <f>G10*(1+0.07)^-(B10-Assumptions!$D$4)</f>
        <v>0</v>
      </c>
      <c r="K10" s="68" t="s">
        <v>24</v>
      </c>
      <c r="L10" s="67">
        <f>1-L11</f>
        <v>0.95</v>
      </c>
      <c r="M10" s="137"/>
      <c r="N10" s="19"/>
      <c r="O10" s="10"/>
      <c r="P10" s="10"/>
      <c r="Q10" s="10"/>
      <c r="R10" s="10"/>
      <c r="U10" s="157"/>
      <c r="V10" s="157"/>
    </row>
    <row r="11" spans="1:22" x14ac:dyDescent="0.25">
      <c r="B11" s="61">
        <f t="shared" si="6"/>
        <v>2027</v>
      </c>
      <c r="C11" s="132" cm="1">
        <f t="array" ref="C11">IF(B11=YearOfConstruction,TREND('Travel Time Cost - Construction'!$L$22:$L$23,$K$22:$K$23,B11),0)*1/6</f>
        <v>0</v>
      </c>
      <c r="D11" s="133" cm="1">
        <f t="array" ref="D11">IF(B11=YearOfConstruction,TREND($M$22:$M$23,$K$22:$K$23,B11),0)*1/6</f>
        <v>0</v>
      </c>
      <c r="E11" s="144">
        <f t="shared" si="7"/>
        <v>0</v>
      </c>
      <c r="F11" s="144">
        <f t="shared" si="8"/>
        <v>0</v>
      </c>
      <c r="G11" s="145">
        <f t="shared" si="9"/>
        <v>0</v>
      </c>
      <c r="H11" s="144">
        <f>G11*(1+0.07)^-(B11-Assumptions!$D$4)</f>
        <v>0</v>
      </c>
      <c r="K11" s="68" t="s">
        <v>25</v>
      </c>
      <c r="L11" s="67">
        <f>Assumptions!D15</f>
        <v>0.05</v>
      </c>
      <c r="M11" s="137"/>
      <c r="N11" s="54"/>
      <c r="O11" s="10"/>
      <c r="P11" s="10"/>
      <c r="Q11" s="10"/>
      <c r="R11" s="10"/>
      <c r="S11" s="157"/>
      <c r="T11" s="157"/>
      <c r="U11" s="157"/>
      <c r="V11" s="157"/>
    </row>
    <row r="12" spans="1:22" x14ac:dyDescent="0.25">
      <c r="B12" s="61">
        <f t="shared" si="6"/>
        <v>2028</v>
      </c>
      <c r="C12" s="132" cm="1">
        <f t="array" ref="C12">IF(B12=YearOfConstruction,TREND('Travel Time Cost - Construction'!$L$22:$L$23,$K$22:$K$23,B12),0)*1/6</f>
        <v>0</v>
      </c>
      <c r="D12" s="133" cm="1">
        <f t="array" ref="D12">IF(B12=YearOfConstruction,TREND($M$22:$M$23,$K$22:$K$23,B12),0)*1/6</f>
        <v>0</v>
      </c>
      <c r="E12" s="144">
        <f t="shared" si="7"/>
        <v>0</v>
      </c>
      <c r="F12" s="144">
        <f t="shared" si="8"/>
        <v>0</v>
      </c>
      <c r="G12" s="145">
        <f t="shared" si="9"/>
        <v>0</v>
      </c>
      <c r="H12" s="144">
        <f>G12*(1+0.07)^-(B12-Assumptions!$D$4)</f>
        <v>0</v>
      </c>
      <c r="K12" s="54"/>
      <c r="L12" s="57"/>
      <c r="M12" s="57"/>
      <c r="N12" s="19"/>
      <c r="O12" s="10"/>
      <c r="P12" s="10"/>
      <c r="Q12" s="10"/>
      <c r="R12" s="10"/>
      <c r="S12" s="157"/>
      <c r="T12" s="157"/>
      <c r="U12" s="157"/>
      <c r="V12" s="157"/>
    </row>
    <row r="13" spans="1:22" ht="15" customHeight="1" x14ac:dyDescent="0.25">
      <c r="B13" s="61">
        <f t="shared" si="6"/>
        <v>2029</v>
      </c>
      <c r="C13" s="132" cm="1">
        <f t="array" ref="C13">IF(B13=YearOfConstruction,TREND('Travel Time Cost - Construction'!$L$22:$L$23,$K$22:$K$23,B13),0)*1/6</f>
        <v>0</v>
      </c>
      <c r="D13" s="133" cm="1">
        <f t="array" ref="D13">IF(B13=YearOfConstruction,TREND($M$22:$M$23,$K$22:$K$23,B13),0)*1/6</f>
        <v>0</v>
      </c>
      <c r="E13" s="144">
        <f t="shared" si="7"/>
        <v>0</v>
      </c>
      <c r="F13" s="144">
        <f t="shared" si="8"/>
        <v>0</v>
      </c>
      <c r="G13" s="145">
        <f t="shared" si="9"/>
        <v>0</v>
      </c>
      <c r="H13" s="144">
        <f>G13*(1+0.07)^-(B13-Assumptions!$D$4)</f>
        <v>0</v>
      </c>
      <c r="K13" s="343" t="s">
        <v>37</v>
      </c>
      <c r="L13" s="343"/>
      <c r="M13" s="23"/>
      <c r="N13" s="19"/>
      <c r="O13" s="10"/>
      <c r="P13" s="10"/>
      <c r="Q13" s="10"/>
      <c r="R13" s="10"/>
      <c r="S13" s="157"/>
      <c r="T13" s="157"/>
      <c r="U13" s="157"/>
      <c r="V13" s="157"/>
    </row>
    <row r="14" spans="1:22" x14ac:dyDescent="0.25">
      <c r="B14" s="61">
        <f t="shared" si="6"/>
        <v>2030</v>
      </c>
      <c r="C14" s="132" cm="1">
        <f t="array" ref="C14">IF(B14=YearOfConstruction,TREND('Travel Time Cost - Construction'!$L$22:$L$23,$K$22:$K$23,B14),0)*1/6</f>
        <v>0</v>
      </c>
      <c r="D14" s="133" cm="1">
        <f t="array" ref="D14">IF(B14=YearOfConstruction,TREND($M$22:$M$23,$K$22:$K$23,B14),0)*1/6</f>
        <v>0</v>
      </c>
      <c r="E14" s="144">
        <f t="shared" si="7"/>
        <v>0</v>
      </c>
      <c r="F14" s="144">
        <f t="shared" si="8"/>
        <v>0</v>
      </c>
      <c r="G14" s="145">
        <f t="shared" si="9"/>
        <v>0</v>
      </c>
      <c r="H14" s="144">
        <f>G14*(1+0.07)^-(B14-Assumptions!$D$4)</f>
        <v>0</v>
      </c>
      <c r="K14" s="68" t="s">
        <v>31</v>
      </c>
      <c r="L14" s="130">
        <v>1.67</v>
      </c>
      <c r="M14" s="138"/>
      <c r="N14" s="58"/>
      <c r="S14" s="157"/>
      <c r="T14" s="157"/>
      <c r="U14" s="157"/>
      <c r="V14" s="157"/>
    </row>
    <row r="15" spans="1:22" x14ac:dyDescent="0.25">
      <c r="B15" s="61">
        <f t="shared" si="6"/>
        <v>2031</v>
      </c>
      <c r="C15" s="132" cm="1">
        <f t="array" ref="C15">IF(B15=YearOfConstruction,TREND('Travel Time Cost - Construction'!$L$22:$L$23,$K$22:$K$23,B15),0)*1/6</f>
        <v>0</v>
      </c>
      <c r="D15" s="133" cm="1">
        <f t="array" ref="D15">IF(B15=YearOfConstruction,TREND($M$22:$M$23,$K$22:$K$23,B15),0)*1/6</f>
        <v>0</v>
      </c>
      <c r="E15" s="144">
        <f t="shared" si="7"/>
        <v>0</v>
      </c>
      <c r="F15" s="144">
        <f t="shared" si="8"/>
        <v>0</v>
      </c>
      <c r="G15" s="145">
        <f t="shared" si="9"/>
        <v>0</v>
      </c>
      <c r="H15" s="144">
        <f>G15*(1+0.07)^-(B15-Assumptions!$D$4)</f>
        <v>0</v>
      </c>
      <c r="K15" s="68" t="s">
        <v>32</v>
      </c>
      <c r="L15" s="130">
        <v>1</v>
      </c>
      <c r="M15" s="138"/>
      <c r="N15" s="19"/>
      <c r="T15" s="157"/>
      <c r="U15" s="157"/>
      <c r="V15" s="157"/>
    </row>
    <row r="16" spans="1:22" x14ac:dyDescent="0.25">
      <c r="B16" s="61">
        <f t="shared" si="6"/>
        <v>2032</v>
      </c>
      <c r="C16" s="132" cm="1">
        <f t="array" ref="C16">IF(B16=YearOfConstruction,TREND('Travel Time Cost - Construction'!$L$22:$L$23,$K$22:$K$23,B16),0)*1/6</f>
        <v>0</v>
      </c>
      <c r="D16" s="133" cm="1">
        <f t="array" ref="D16">IF(B16=YearOfConstruction,TREND($M$22:$M$23,$K$22:$K$23,B16),0)*1/6</f>
        <v>0</v>
      </c>
      <c r="E16" s="144">
        <f t="shared" si="7"/>
        <v>0</v>
      </c>
      <c r="F16" s="144">
        <f t="shared" si="8"/>
        <v>0</v>
      </c>
      <c r="G16" s="145">
        <f t="shared" si="9"/>
        <v>0</v>
      </c>
      <c r="H16" s="144">
        <f>G16*(1+0.07)^-(B16-Assumptions!$D$4)</f>
        <v>0</v>
      </c>
      <c r="K16" s="54"/>
      <c r="L16" s="57"/>
      <c r="M16" s="57"/>
      <c r="N16" s="20"/>
    </row>
    <row r="17" spans="1:19" x14ac:dyDescent="0.25">
      <c r="B17" s="61">
        <f t="shared" si="6"/>
        <v>2033</v>
      </c>
      <c r="C17" s="132" cm="1">
        <f t="array" ref="C17">IF(B17=YearOfConstruction,TREND('Travel Time Cost - Construction'!$L$22:$L$23,$K$22:$K$23,B17),0)*1/6</f>
        <v>0</v>
      </c>
      <c r="D17" s="133" cm="1">
        <f t="array" ref="D17">IF(B17=YearOfConstruction,TREND($M$22:$M$23,$K$22:$K$23,B17),0)*1/6</f>
        <v>0</v>
      </c>
      <c r="E17" s="144">
        <f t="shared" si="7"/>
        <v>0</v>
      </c>
      <c r="F17" s="144">
        <f t="shared" si="8"/>
        <v>0</v>
      </c>
      <c r="G17" s="145">
        <f t="shared" si="9"/>
        <v>0</v>
      </c>
      <c r="H17" s="144">
        <f>G17*(1+0.07)^-(B17-Assumptions!$D$4)</f>
        <v>0</v>
      </c>
      <c r="K17" s="23" t="s">
        <v>181</v>
      </c>
      <c r="L17" s="48"/>
      <c r="M17" s="49"/>
      <c r="N17" s="20"/>
    </row>
    <row r="18" spans="1:19" x14ac:dyDescent="0.25">
      <c r="B18" s="61">
        <f t="shared" si="6"/>
        <v>2034</v>
      </c>
      <c r="C18" s="132" cm="1">
        <f t="array" ref="C18">IF(B18=YearOfConstruction,TREND('Travel Time Cost - Construction'!$L$22:$L$23,$K$22:$K$23,B18),0)*1/6</f>
        <v>0</v>
      </c>
      <c r="D18" s="133" cm="1">
        <f t="array" ref="D18">IF(B18=YearOfConstruction,TREND($M$22:$M$23,$K$22:$K$23,B18),0)*1/6</f>
        <v>0</v>
      </c>
      <c r="E18" s="144">
        <f t="shared" si="7"/>
        <v>0</v>
      </c>
      <c r="F18" s="144">
        <f t="shared" si="8"/>
        <v>0</v>
      </c>
      <c r="G18" s="145">
        <f t="shared" si="9"/>
        <v>0</v>
      </c>
      <c r="H18" s="144">
        <f>G18*(1+0.07)^-(B18-Assumptions!$D$4)</f>
        <v>0</v>
      </c>
      <c r="K18" s="47" t="s">
        <v>30</v>
      </c>
      <c r="L18" s="70">
        <f>L10*L6*L14+L11*L7*L15</f>
        <v>29.839700000000001</v>
      </c>
      <c r="M18" s="66"/>
      <c r="N18" s="55"/>
    </row>
    <row r="19" spans="1:19" x14ac:dyDescent="0.25">
      <c r="B19" s="61">
        <f t="shared" si="6"/>
        <v>2035</v>
      </c>
      <c r="C19" s="132" cm="1">
        <f t="array" ref="C19">IF(B19=YearOfConstruction,TREND('Travel Time Cost - Construction'!$L$22:$L$23,$K$22:$K$23,B19),0)*1/6</f>
        <v>0</v>
      </c>
      <c r="D19" s="133" cm="1">
        <f t="array" ref="D19">IF(B19=YearOfConstruction,TREND($M$22:$M$23,$K$22:$K$23,B19),0)*1/6</f>
        <v>0</v>
      </c>
      <c r="E19" s="144">
        <f t="shared" si="7"/>
        <v>0</v>
      </c>
      <c r="F19" s="144">
        <f t="shared" si="8"/>
        <v>0</v>
      </c>
      <c r="G19" s="145">
        <f t="shared" si="9"/>
        <v>0</v>
      </c>
      <c r="H19" s="144">
        <f>G19*(1+0.07)^-(B19-Assumptions!$D$4)</f>
        <v>0</v>
      </c>
      <c r="K19" s="54"/>
      <c r="L19" s="57"/>
      <c r="M19" s="57"/>
      <c r="N19" s="56"/>
      <c r="O19" s="161"/>
      <c r="P19" s="161"/>
    </row>
    <row r="20" spans="1:19" ht="14.25" customHeight="1" x14ac:dyDescent="0.25">
      <c r="B20" s="61">
        <f t="shared" si="6"/>
        <v>2036</v>
      </c>
      <c r="C20" s="132" cm="1">
        <f t="array" ref="C20">IF(B20=YearOfConstruction,TREND('Travel Time Cost - Construction'!$L$22:$L$23,$K$22:$K$23,B20),0)*1/6</f>
        <v>0</v>
      </c>
      <c r="D20" s="133" cm="1">
        <f t="array" ref="D20">IF(B20=YearOfConstruction,TREND($M$22:$M$23,$K$22:$K$23,B20),0)*1/6</f>
        <v>0</v>
      </c>
      <c r="E20" s="144">
        <f t="shared" si="7"/>
        <v>0</v>
      </c>
      <c r="F20" s="144">
        <f t="shared" si="8"/>
        <v>0</v>
      </c>
      <c r="G20" s="145">
        <f t="shared" si="9"/>
        <v>0</v>
      </c>
      <c r="H20" s="144">
        <f>G20*(1+0.07)^-(B20-Assumptions!$D$4)</f>
        <v>0</v>
      </c>
      <c r="K20" s="18" t="s">
        <v>129</v>
      </c>
      <c r="L20" s="17"/>
      <c r="M20" s="17"/>
      <c r="N20" s="17"/>
    </row>
    <row r="21" spans="1:19" x14ac:dyDescent="0.25">
      <c r="B21" s="61">
        <f t="shared" si="6"/>
        <v>2037</v>
      </c>
      <c r="C21" s="132" cm="1">
        <f t="array" ref="C21">IF(B21=YearOfConstruction,TREND('Travel Time Cost - Construction'!$L$22:$L$23,$K$22:$K$23,B21),0)*1/6</f>
        <v>0</v>
      </c>
      <c r="D21" s="133" cm="1">
        <f t="array" ref="D21">IF(B21=YearOfConstruction,TREND($M$22:$M$23,$K$22:$K$23,B21),0)*1/6</f>
        <v>0</v>
      </c>
      <c r="E21" s="144">
        <f t="shared" si="7"/>
        <v>0</v>
      </c>
      <c r="F21" s="144">
        <f t="shared" si="8"/>
        <v>0</v>
      </c>
      <c r="G21" s="145">
        <f t="shared" si="9"/>
        <v>0</v>
      </c>
      <c r="H21" s="144">
        <f>G21*(1+0.07)^-(B21-Assumptions!$D$4)</f>
        <v>0</v>
      </c>
      <c r="K21" s="174" t="s">
        <v>64</v>
      </c>
      <c r="L21" s="174" t="s">
        <v>138</v>
      </c>
      <c r="M21" s="174" t="s">
        <v>167</v>
      </c>
      <c r="N21" s="267"/>
    </row>
    <row r="22" spans="1:19" x14ac:dyDescent="0.25">
      <c r="B22" s="61">
        <f t="shared" si="6"/>
        <v>2038</v>
      </c>
      <c r="C22" s="132" cm="1">
        <f t="array" ref="C22">IF(B22=YearOfConstruction,TREND('Travel Time Cost - Construction'!$L$22:$L$23,$K$22:$K$23,B22),0)*1/6</f>
        <v>0</v>
      </c>
      <c r="D22" s="133" cm="1">
        <f t="array" ref="D22">IF(B22=YearOfConstruction,TREND($M$22:$M$23,$K$22:$K$23,B22),0)*1/6</f>
        <v>0</v>
      </c>
      <c r="E22" s="144">
        <f t="shared" si="7"/>
        <v>0</v>
      </c>
      <c r="F22" s="144">
        <f t="shared" si="8"/>
        <v>0</v>
      </c>
      <c r="G22" s="145">
        <f t="shared" si="9"/>
        <v>0</v>
      </c>
      <c r="H22" s="144">
        <f>G22*(1+0.07)^-(B22-Assumptions!$D$4)</f>
        <v>0</v>
      </c>
      <c r="K22" s="251">
        <f>Assumptions!G4</f>
        <v>2019</v>
      </c>
      <c r="L22" s="165">
        <f>Travel!B7</f>
        <v>21765.314999999999</v>
      </c>
      <c r="M22" s="165">
        <f>Travel!C7</f>
        <v>34202.637857142858</v>
      </c>
    </row>
    <row r="23" spans="1:19" x14ac:dyDescent="0.25">
      <c r="B23" s="61">
        <f t="shared" si="6"/>
        <v>2039</v>
      </c>
      <c r="C23" s="132" cm="1">
        <f t="array" ref="C23">IF(B23=YearOfConstruction,TREND('Travel Time Cost - Construction'!$L$22:$L$23,$K$22:$K$23,B23),0)*1/6</f>
        <v>0</v>
      </c>
      <c r="D23" s="133" cm="1">
        <f t="array" ref="D23">IF(B23=YearOfConstruction,TREND($M$22:$M$23,$K$22:$K$23,B23),0)*1/6</f>
        <v>0</v>
      </c>
      <c r="E23" s="144">
        <f t="shared" si="7"/>
        <v>0</v>
      </c>
      <c r="F23" s="144">
        <f t="shared" si="8"/>
        <v>0</v>
      </c>
      <c r="G23" s="145">
        <f t="shared" si="9"/>
        <v>0</v>
      </c>
      <c r="H23" s="144">
        <f>G23*(1+0.07)^-(B23-Assumptions!$D$4)</f>
        <v>0</v>
      </c>
      <c r="K23" s="251">
        <f>Assumptions!G5</f>
        <v>2039</v>
      </c>
      <c r="L23" s="165">
        <f>Travel!B8</f>
        <v>24048.39</v>
      </c>
      <c r="M23" s="165">
        <f>Travel!C8</f>
        <v>37790.327142857139</v>
      </c>
    </row>
    <row r="24" spans="1:19" x14ac:dyDescent="0.25">
      <c r="B24" s="61">
        <f t="shared" si="6"/>
        <v>2040</v>
      </c>
      <c r="C24" s="132" cm="1">
        <f t="array" ref="C24">IF(B24=YearOfConstruction,TREND('Travel Time Cost - Construction'!$L$22:$L$23,$K$22:$K$23,B24),0)*1/6</f>
        <v>0</v>
      </c>
      <c r="D24" s="133" cm="1">
        <f t="array" ref="D24">IF(B24=YearOfConstruction,TREND($M$22:$M$23,$K$22:$K$23,B24),0)*1/6</f>
        <v>0</v>
      </c>
      <c r="E24" s="144">
        <f t="shared" si="7"/>
        <v>0</v>
      </c>
      <c r="F24" s="144">
        <f t="shared" si="8"/>
        <v>0</v>
      </c>
      <c r="G24" s="145">
        <f t="shared" si="9"/>
        <v>0</v>
      </c>
      <c r="H24" s="144">
        <f>G24*(1+0.07)^-(B24-Assumptions!$D$4)</f>
        <v>0</v>
      </c>
      <c r="K24"/>
      <c r="L24" s="248"/>
      <c r="M24" s="248" t="s">
        <v>147</v>
      </c>
      <c r="N24"/>
      <c r="O24" s="161"/>
      <c r="P24" s="161"/>
      <c r="Q24" s="157"/>
      <c r="R24" s="157"/>
      <c r="S24" s="157"/>
    </row>
    <row r="25" spans="1:19" s="250" customFormat="1" x14ac:dyDescent="0.25">
      <c r="B25" s="61">
        <f t="shared" si="6"/>
        <v>2041</v>
      </c>
      <c r="C25" s="132" cm="1">
        <f t="array" ref="C25">IF(B25=YearOfConstruction,TREND('Travel Time Cost - Construction'!$L$22:$L$23,$K$22:$K$23,B25),0)*1/6</f>
        <v>0</v>
      </c>
      <c r="D25" s="133" cm="1">
        <f t="array" ref="D25">IF(B25=YearOfConstruction,TREND($M$22:$M$23,$K$22:$K$23,B25),0)*1/6</f>
        <v>0</v>
      </c>
      <c r="E25" s="144">
        <f t="shared" ref="E25:E27" si="10">C25*$L$18</f>
        <v>0</v>
      </c>
      <c r="F25" s="144">
        <f t="shared" ref="F25:F27" si="11">D25*$L$18</f>
        <v>0</v>
      </c>
      <c r="G25" s="145">
        <f t="shared" ref="G25:G27" si="12">(E25-F25)</f>
        <v>0</v>
      </c>
      <c r="H25" s="144">
        <f>G25*(1+0.07)^-(B25-Assumptions!$D$4)</f>
        <v>0</v>
      </c>
      <c r="L25" s="248"/>
      <c r="M25" s="248"/>
      <c r="O25" s="161"/>
      <c r="P25" s="161"/>
    </row>
    <row r="26" spans="1:19" s="250" customFormat="1" x14ac:dyDescent="0.25">
      <c r="B26" s="61">
        <f t="shared" si="6"/>
        <v>2042</v>
      </c>
      <c r="C26" s="132" cm="1">
        <f t="array" ref="C26">IF(B26=YearOfConstruction,TREND('Travel Time Cost - Construction'!$L$22:$L$23,$K$22:$K$23,B26),0)*1/6</f>
        <v>0</v>
      </c>
      <c r="D26" s="133" cm="1">
        <f t="array" ref="D26">IF(B26=YearOfConstruction,TREND($M$22:$M$23,$K$22:$K$23,B26),0)*1/6</f>
        <v>0</v>
      </c>
      <c r="E26" s="144">
        <f t="shared" si="10"/>
        <v>0</v>
      </c>
      <c r="F26" s="144">
        <f t="shared" si="11"/>
        <v>0</v>
      </c>
      <c r="G26" s="145">
        <f t="shared" si="12"/>
        <v>0</v>
      </c>
      <c r="H26" s="144">
        <f>G26*(1+0.07)^-(B26-Assumptions!$D$4)</f>
        <v>0</v>
      </c>
      <c r="L26" s="248"/>
      <c r="M26" s="248"/>
      <c r="O26" s="161"/>
      <c r="P26" s="161"/>
    </row>
    <row r="27" spans="1:19" s="250" customFormat="1" ht="15.75" thickBot="1" x14ac:dyDescent="0.3">
      <c r="B27" s="287">
        <f t="shared" si="6"/>
        <v>2043</v>
      </c>
      <c r="C27" s="162" cm="1">
        <f t="array" ref="C27">IF(B27=YearOfConstruction,TREND('Travel Time Cost - Construction'!$L$22:$L$23,$K$22:$K$23,B27),0)*1/6</f>
        <v>0</v>
      </c>
      <c r="D27" s="288" cm="1">
        <f t="array" ref="D27">IF(B27=YearOfConstruction,TREND($M$22:$M$23,$K$22:$K$23,B27),0)*1/6</f>
        <v>0</v>
      </c>
      <c r="E27" s="289">
        <f t="shared" si="10"/>
        <v>0</v>
      </c>
      <c r="F27" s="289">
        <f t="shared" si="11"/>
        <v>0</v>
      </c>
      <c r="G27" s="290">
        <f t="shared" si="12"/>
        <v>0</v>
      </c>
      <c r="H27" s="289">
        <f>G27*(1+0.07)^-(B27-Assumptions!$D$4)</f>
        <v>0</v>
      </c>
      <c r="L27" s="248"/>
      <c r="M27" s="248"/>
      <c r="O27" s="161"/>
      <c r="P27" s="161"/>
    </row>
    <row r="28" spans="1:19" ht="15" customHeight="1" thickBot="1" x14ac:dyDescent="0.3">
      <c r="B28" s="4"/>
      <c r="C28" s="52"/>
      <c r="D28" s="52"/>
      <c r="E28" s="52"/>
      <c r="F28" s="52"/>
      <c r="G28" s="69" t="s">
        <v>2</v>
      </c>
      <c r="H28" s="123">
        <f>SUM(H6:H27)</f>
        <v>-51550.822112716327</v>
      </c>
      <c r="K28"/>
      <c r="L28" s="17"/>
      <c r="M28" s="19"/>
      <c r="N28"/>
      <c r="P28" s="157"/>
      <c r="Q28" s="157"/>
      <c r="R28" s="157"/>
      <c r="S28" s="157"/>
    </row>
    <row r="29" spans="1:19" x14ac:dyDescent="0.25">
      <c r="G29" s="128"/>
      <c r="H29" s="128"/>
      <c r="I29" s="24"/>
      <c r="J29" s="21"/>
      <c r="K29"/>
      <c r="L29" s="157"/>
      <c r="M29" s="127"/>
      <c r="N29"/>
      <c r="P29" s="157"/>
      <c r="Q29" s="157"/>
      <c r="R29" s="157"/>
      <c r="S29" s="157"/>
    </row>
    <row r="30" spans="1:19" x14ac:dyDescent="0.25">
      <c r="A30" s="17"/>
      <c r="B30" s="18" t="s">
        <v>3</v>
      </c>
      <c r="C30" s="17"/>
      <c r="D30" s="17"/>
      <c r="E30" s="17"/>
      <c r="F30" s="17"/>
      <c r="G30" s="17"/>
      <c r="I30" s="21"/>
      <c r="J30" s="21"/>
      <c r="K30" s="17"/>
      <c r="L30" s="17"/>
      <c r="M30" s="19"/>
      <c r="N30" s="157"/>
      <c r="P30" s="157"/>
      <c r="Q30" s="157"/>
      <c r="R30" s="157"/>
      <c r="S30" s="157"/>
    </row>
    <row r="31" spans="1:19" ht="15" customHeight="1" x14ac:dyDescent="0.25">
      <c r="A31" s="63" t="s">
        <v>12</v>
      </c>
      <c r="B31" s="344" t="s">
        <v>188</v>
      </c>
      <c r="C31" s="344"/>
      <c r="D31" s="344"/>
      <c r="E31" s="344"/>
      <c r="F31" s="344"/>
      <c r="G31" s="344"/>
      <c r="H31" s="344"/>
      <c r="I31" s="21"/>
      <c r="J31" s="28"/>
      <c r="K31" s="17"/>
      <c r="L31" s="17"/>
      <c r="M31" s="19"/>
      <c r="N31" s="157"/>
      <c r="P31" s="157"/>
      <c r="Q31" s="157"/>
    </row>
    <row r="32" spans="1:19" x14ac:dyDescent="0.25">
      <c r="A32" s="17"/>
      <c r="B32" s="344"/>
      <c r="C32" s="344"/>
      <c r="D32" s="344"/>
      <c r="E32" s="344"/>
      <c r="F32" s="344"/>
      <c r="G32" s="344"/>
      <c r="H32" s="344"/>
      <c r="I32" s="35"/>
      <c r="J32" s="36"/>
      <c r="K32" s="157"/>
      <c r="L32" s="17"/>
      <c r="M32" s="19"/>
    </row>
    <row r="33" spans="1:13" x14ac:dyDescent="0.25">
      <c r="A33" s="17"/>
      <c r="B33" s="344"/>
      <c r="C33" s="344"/>
      <c r="D33" s="344"/>
      <c r="E33" s="344"/>
      <c r="F33" s="344"/>
      <c r="G33" s="344"/>
      <c r="H33" s="344"/>
      <c r="I33" s="35"/>
      <c r="J33" s="35"/>
      <c r="K33" s="17"/>
    </row>
    <row r="34" spans="1:13" x14ac:dyDescent="0.25">
      <c r="A34" s="17"/>
      <c r="B34" s="74"/>
      <c r="C34" s="74"/>
      <c r="D34" s="74"/>
      <c r="E34" s="74"/>
      <c r="F34" s="74"/>
      <c r="G34" s="17"/>
      <c r="J34" s="35"/>
      <c r="K34" s="17"/>
    </row>
    <row r="35" spans="1:13" ht="15" customHeight="1" x14ac:dyDescent="0.25">
      <c r="A35" s="63" t="s">
        <v>11</v>
      </c>
      <c r="B35" s="344" t="s">
        <v>130</v>
      </c>
      <c r="C35" s="344"/>
      <c r="D35" s="344"/>
      <c r="E35" s="344"/>
      <c r="F35" s="344"/>
      <c r="G35" s="344"/>
      <c r="H35" s="344"/>
      <c r="J35" s="35"/>
      <c r="K35" s="17"/>
    </row>
    <row r="36" spans="1:13" ht="15" customHeight="1" x14ac:dyDescent="0.25">
      <c r="A36" s="63"/>
      <c r="B36" s="344"/>
      <c r="C36" s="344"/>
      <c r="D36" s="344"/>
      <c r="E36" s="344"/>
      <c r="F36" s="344"/>
      <c r="G36" s="344"/>
      <c r="H36" s="344"/>
      <c r="J36" s="35"/>
    </row>
    <row r="37" spans="1:13" ht="15" customHeight="1" x14ac:dyDescent="0.25">
      <c r="A37" s="63"/>
      <c r="B37" s="156"/>
      <c r="C37" s="156"/>
      <c r="D37" s="156"/>
      <c r="E37" s="156"/>
      <c r="F37" s="156"/>
      <c r="G37" s="156"/>
      <c r="J37" s="35"/>
    </row>
    <row r="38" spans="1:13" ht="15" customHeight="1" x14ac:dyDescent="0.25">
      <c r="A38" s="63" t="s">
        <v>13</v>
      </c>
      <c r="B38" s="344" t="s">
        <v>189</v>
      </c>
      <c r="C38" s="344"/>
      <c r="D38" s="344"/>
      <c r="E38" s="344"/>
      <c r="F38" s="344"/>
      <c r="G38" s="344"/>
      <c r="H38" s="344"/>
      <c r="J38" s="22"/>
    </row>
    <row r="39" spans="1:13" x14ac:dyDescent="0.25">
      <c r="A39" s="17"/>
      <c r="B39" s="344"/>
      <c r="C39" s="344"/>
      <c r="D39" s="344"/>
      <c r="E39" s="344"/>
      <c r="F39" s="344"/>
      <c r="G39" s="344"/>
      <c r="H39" s="344"/>
      <c r="J39" s="22"/>
    </row>
    <row r="40" spans="1:13" x14ac:dyDescent="0.25">
      <c r="A40" s="17"/>
      <c r="B40" s="344"/>
      <c r="C40" s="344"/>
      <c r="D40" s="344"/>
      <c r="E40" s="344"/>
      <c r="F40" s="344"/>
      <c r="G40" s="344"/>
      <c r="H40" s="344"/>
      <c r="J40" s="22"/>
    </row>
    <row r="41" spans="1:13" ht="15" customHeight="1" x14ac:dyDescent="0.25">
      <c r="A41" s="17"/>
      <c r="B41" s="344"/>
      <c r="C41" s="344"/>
      <c r="D41" s="344"/>
      <c r="E41" s="344"/>
      <c r="F41" s="344"/>
      <c r="G41" s="344"/>
      <c r="H41" s="344"/>
      <c r="I41" s="17"/>
      <c r="J41" s="22"/>
    </row>
    <row r="42" spans="1:13" ht="15" customHeight="1" x14ac:dyDescent="0.25">
      <c r="A42" s="17"/>
      <c r="B42" s="74"/>
      <c r="C42" s="74"/>
      <c r="D42" s="74"/>
      <c r="E42" s="74"/>
      <c r="F42" s="74"/>
      <c r="G42" s="17"/>
    </row>
    <row r="43" spans="1:13" ht="15" customHeight="1" x14ac:dyDescent="0.25">
      <c r="A43" s="63" t="s">
        <v>14</v>
      </c>
      <c r="B43" s="344" t="s">
        <v>133</v>
      </c>
      <c r="C43" s="344"/>
      <c r="D43" s="344"/>
      <c r="E43" s="344"/>
      <c r="F43" s="344"/>
      <c r="G43" s="344"/>
      <c r="H43" s="344"/>
    </row>
    <row r="44" spans="1:13" ht="15" customHeight="1" x14ac:dyDescent="0.25">
      <c r="A44" s="17"/>
      <c r="B44" s="344"/>
      <c r="C44" s="344"/>
      <c r="D44" s="344"/>
      <c r="E44" s="344"/>
      <c r="F44" s="344"/>
      <c r="G44" s="344"/>
      <c r="H44" s="344"/>
    </row>
    <row r="45" spans="1:13" x14ac:dyDescent="0.25">
      <c r="A45" s="17"/>
      <c r="B45" s="344"/>
      <c r="C45" s="344"/>
      <c r="D45" s="344"/>
      <c r="E45" s="344"/>
      <c r="F45" s="344"/>
      <c r="G45" s="344"/>
      <c r="H45" s="344"/>
    </row>
    <row r="46" spans="1:13" x14ac:dyDescent="0.25">
      <c r="A46" s="17"/>
      <c r="B46" s="344"/>
      <c r="C46" s="344"/>
      <c r="D46" s="344"/>
      <c r="E46" s="344"/>
      <c r="F46" s="344"/>
      <c r="G46" s="344"/>
      <c r="H46" s="344"/>
    </row>
    <row r="47" spans="1:13" x14ac:dyDescent="0.25">
      <c r="A47" s="17"/>
      <c r="B47" s="74"/>
      <c r="C47" s="74"/>
      <c r="D47" s="74"/>
      <c r="E47" s="74"/>
      <c r="F47" s="74"/>
      <c r="G47" s="74"/>
      <c r="H47" s="74"/>
    </row>
    <row r="48" spans="1:13" ht="15" customHeight="1" x14ac:dyDescent="0.25">
      <c r="A48" s="7" t="s">
        <v>58</v>
      </c>
      <c r="B48" s="344" t="s">
        <v>168</v>
      </c>
      <c r="C48" s="344"/>
      <c r="D48" s="344"/>
      <c r="E48" s="344"/>
      <c r="F48" s="344"/>
      <c r="G48" s="344"/>
      <c r="H48" s="344"/>
      <c r="L48" s="22"/>
      <c r="M48" s="35"/>
    </row>
    <row r="49" spans="1:11" x14ac:dyDescent="0.25">
      <c r="A49" s="17"/>
      <c r="B49" s="344"/>
      <c r="C49" s="344"/>
      <c r="D49" s="344"/>
      <c r="E49" s="344"/>
      <c r="F49" s="344"/>
      <c r="G49" s="344"/>
      <c r="H49" s="344"/>
    </row>
    <row r="50" spans="1:11" ht="15" customHeight="1" x14ac:dyDescent="0.25">
      <c r="A50" s="7"/>
      <c r="B50" s="74"/>
      <c r="C50" s="74"/>
      <c r="D50" s="74"/>
      <c r="E50" s="74"/>
      <c r="F50" s="74"/>
      <c r="G50" s="74"/>
      <c r="H50" s="74"/>
    </row>
    <row r="51" spans="1:11" x14ac:dyDescent="0.25">
      <c r="B51" s="74"/>
      <c r="C51" s="74"/>
      <c r="D51" s="74"/>
      <c r="E51" s="74"/>
      <c r="F51" s="74"/>
      <c r="G51" s="74"/>
      <c r="H51" s="74"/>
      <c r="K51" s="22"/>
    </row>
    <row r="52" spans="1:11" x14ac:dyDescent="0.25">
      <c r="B52" s="74"/>
      <c r="C52" s="74"/>
      <c r="D52" s="74"/>
      <c r="E52" s="74"/>
      <c r="F52" s="74"/>
      <c r="G52" s="74"/>
      <c r="H52" s="74"/>
    </row>
    <row r="53" spans="1:11" x14ac:dyDescent="0.25">
      <c r="B53" s="74"/>
      <c r="C53" s="74"/>
      <c r="D53" s="74"/>
      <c r="E53" s="74"/>
      <c r="F53" s="74"/>
      <c r="G53" s="74"/>
    </row>
    <row r="54" spans="1:11" x14ac:dyDescent="0.25">
      <c r="B54" s="74"/>
      <c r="C54" s="74"/>
      <c r="D54" s="74"/>
    </row>
    <row r="55" spans="1:11" x14ac:dyDescent="0.25">
      <c r="B55" s="74"/>
      <c r="C55" s="74"/>
      <c r="D55" s="74"/>
    </row>
    <row r="56" spans="1:11" x14ac:dyDescent="0.25">
      <c r="B56" s="74"/>
      <c r="C56" s="74"/>
      <c r="D56" s="74"/>
    </row>
  </sheetData>
  <mergeCells count="15">
    <mergeCell ref="B38:H41"/>
    <mergeCell ref="B43:H46"/>
    <mergeCell ref="B35:H36"/>
    <mergeCell ref="B48:H49"/>
    <mergeCell ref="H4:H5"/>
    <mergeCell ref="K5:L5"/>
    <mergeCell ref="K9:L9"/>
    <mergeCell ref="K13:L13"/>
    <mergeCell ref="B31:H33"/>
    <mergeCell ref="G4:G5"/>
    <mergeCell ref="B4:B5"/>
    <mergeCell ref="C4:C5"/>
    <mergeCell ref="D4:D5"/>
    <mergeCell ref="E4:E5"/>
    <mergeCell ref="F4:F5"/>
  </mergeCells>
  <printOptions horizontalCentered="1"/>
  <pageMargins left="0.7" right="0.7" top="0.75" bottom="0.75" header="0.3" footer="0.3"/>
  <pageSetup scale="47" orientation="landscape" r:id="rId1"/>
  <headerFooter scaleWithDoc="0"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633C-2957-41AB-844F-DAD0EC391F6F}">
  <sheetPr>
    <tabColor rgb="FF00B050"/>
    <pageSetUpPr fitToPage="1"/>
  </sheetPr>
  <dimension ref="A1:R57"/>
  <sheetViews>
    <sheetView view="pageBreakPreview" zoomScale="85" zoomScaleNormal="70" zoomScaleSheetLayoutView="85" workbookViewId="0">
      <selection activeCell="F10" sqref="F10"/>
    </sheetView>
  </sheetViews>
  <sheetFormatPr defaultColWidth="9.140625" defaultRowHeight="15" x14ac:dyDescent="0.25"/>
  <cols>
    <col min="1" max="1" width="3.7109375" style="240" customWidth="1"/>
    <col min="2" max="8" width="20.7109375" style="240" customWidth="1"/>
    <col min="9" max="10" width="5.7109375" style="240" customWidth="1"/>
    <col min="11" max="11" width="32.28515625" style="240" customWidth="1"/>
    <col min="12" max="12" width="24.5703125" style="240" customWidth="1"/>
    <col min="13" max="13" width="24.5703125" style="21" customWidth="1"/>
    <col min="14" max="14" width="16.7109375" style="240" bestFit="1" customWidth="1"/>
    <col min="15" max="15" width="18.28515625" style="240" bestFit="1" customWidth="1"/>
    <col min="16" max="16" width="22.85546875" style="240" bestFit="1" customWidth="1"/>
    <col min="17" max="17" width="29.28515625" style="240" customWidth="1"/>
    <col min="18" max="18" width="29" style="240" customWidth="1"/>
    <col min="19" max="20" width="37" style="240" bestFit="1" customWidth="1"/>
    <col min="21" max="21" width="36.28515625" style="240" bestFit="1" customWidth="1"/>
    <col min="22" max="22" width="24.85546875" style="240" bestFit="1" customWidth="1"/>
    <col min="23" max="23" width="10.42578125" style="240" bestFit="1" customWidth="1"/>
    <col min="24" max="16384" width="9.140625" style="240"/>
  </cols>
  <sheetData>
    <row r="1" spans="1:18" x14ac:dyDescent="0.25">
      <c r="A1" s="17"/>
      <c r="B1" s="161">
        <v>1</v>
      </c>
      <c r="C1" s="161">
        <v>2</v>
      </c>
      <c r="D1" s="161">
        <v>3</v>
      </c>
      <c r="E1" s="161">
        <v>4</v>
      </c>
      <c r="F1" s="161">
        <v>5</v>
      </c>
      <c r="G1" s="161">
        <v>6</v>
      </c>
      <c r="H1" s="161">
        <v>7</v>
      </c>
      <c r="K1" s="17"/>
      <c r="L1" s="17"/>
      <c r="M1" s="19"/>
    </row>
    <row r="2" spans="1:18" x14ac:dyDescent="0.25">
      <c r="B2" s="6" t="s">
        <v>131</v>
      </c>
      <c r="K2" s="17"/>
      <c r="L2" s="17"/>
      <c r="M2" s="19"/>
    </row>
    <row r="3" spans="1:18" ht="15.75" thickBot="1" x14ac:dyDescent="0.3">
      <c r="K3" s="65"/>
      <c r="L3" s="17"/>
      <c r="M3" s="19"/>
    </row>
    <row r="4" spans="1:18" ht="35.1" customHeight="1" x14ac:dyDescent="0.25">
      <c r="B4" s="347" t="s">
        <v>0</v>
      </c>
      <c r="C4" s="347" t="s">
        <v>62</v>
      </c>
      <c r="D4" s="349" t="s">
        <v>63</v>
      </c>
      <c r="E4" s="347" t="s">
        <v>27</v>
      </c>
      <c r="F4" s="347" t="s">
        <v>28</v>
      </c>
      <c r="G4" s="345" t="s">
        <v>34</v>
      </c>
      <c r="H4" s="351" t="s">
        <v>1</v>
      </c>
      <c r="K4" s="65"/>
      <c r="L4" s="17"/>
      <c r="M4" s="19"/>
      <c r="N4" s="21"/>
    </row>
    <row r="5" spans="1:18" ht="43.5" customHeight="1" thickBot="1" x14ac:dyDescent="0.3">
      <c r="B5" s="348"/>
      <c r="C5" s="348"/>
      <c r="D5" s="350"/>
      <c r="E5" s="348"/>
      <c r="F5" s="348"/>
      <c r="G5" s="346"/>
      <c r="H5" s="352"/>
      <c r="K5" s="343" t="s">
        <v>103</v>
      </c>
      <c r="L5" s="343"/>
      <c r="M5" s="239"/>
      <c r="N5" s="28"/>
      <c r="O5" s="10"/>
      <c r="P5" s="10"/>
      <c r="Q5" s="10"/>
      <c r="R5" s="10"/>
    </row>
    <row r="6" spans="1:18" x14ac:dyDescent="0.25">
      <c r="B6" s="136">
        <v>2022</v>
      </c>
      <c r="C6" s="140">
        <f t="shared" ref="C6:C27" si="0">IF(B6&gt;=$L$26,(TREND(TREND($L$22:$L$23,$K$22:$K$23,$B6))),0)</f>
        <v>0</v>
      </c>
      <c r="D6" s="141">
        <f t="shared" ref="D6:D27" si="1">IF(B6&gt;=$L$26,(TREND(TREND($M$22:$M$23,$K$22:$K$23,$B6))),0)</f>
        <v>0</v>
      </c>
      <c r="E6" s="270">
        <f t="shared" ref="E6:F22" si="2">C6*$L$18</f>
        <v>0</v>
      </c>
      <c r="F6" s="270">
        <f t="shared" si="2"/>
        <v>0</v>
      </c>
      <c r="G6" s="271">
        <f t="shared" ref="G6:G23" si="3">(E6-F6)</f>
        <v>0</v>
      </c>
      <c r="H6" s="270">
        <f>G6*(1+0.07)^-(B6-Assumptions!$D$4)</f>
        <v>0</v>
      </c>
      <c r="I6" s="17"/>
      <c r="K6" s="68" t="s">
        <v>61</v>
      </c>
      <c r="L6" s="129">
        <f>Assumptions!D21</f>
        <v>17.8</v>
      </c>
      <c r="M6" s="139"/>
      <c r="O6" s="10"/>
      <c r="P6" s="10"/>
      <c r="Q6" s="10"/>
      <c r="R6" s="10"/>
    </row>
    <row r="7" spans="1:18" x14ac:dyDescent="0.25">
      <c r="B7" s="61">
        <f>B6+1</f>
        <v>2023</v>
      </c>
      <c r="C7" s="249">
        <f t="shared" si="0"/>
        <v>0</v>
      </c>
      <c r="D7" s="133">
        <f t="shared" si="1"/>
        <v>0</v>
      </c>
      <c r="E7" s="144">
        <f t="shared" si="2"/>
        <v>0</v>
      </c>
      <c r="F7" s="144">
        <f t="shared" si="2"/>
        <v>0</v>
      </c>
      <c r="G7" s="145">
        <f t="shared" si="3"/>
        <v>0</v>
      </c>
      <c r="H7" s="144">
        <f>G7*(1+0.07)^-(B7-Assumptions!$D$4)</f>
        <v>0</v>
      </c>
      <c r="I7" s="17"/>
      <c r="K7" s="68" t="s">
        <v>29</v>
      </c>
      <c r="L7" s="70">
        <f>Assumptions!D22</f>
        <v>32</v>
      </c>
      <c r="M7" s="66"/>
      <c r="O7" s="10"/>
      <c r="P7" s="10"/>
      <c r="Q7" s="10"/>
      <c r="R7" s="10"/>
    </row>
    <row r="8" spans="1:18" x14ac:dyDescent="0.25">
      <c r="B8" s="61">
        <f t="shared" ref="B8:B23" si="4">B7+1</f>
        <v>2024</v>
      </c>
      <c r="C8" s="249">
        <f t="shared" si="0"/>
        <v>0</v>
      </c>
      <c r="D8" s="133">
        <f t="shared" si="1"/>
        <v>0</v>
      </c>
      <c r="E8" s="144">
        <f t="shared" si="2"/>
        <v>0</v>
      </c>
      <c r="F8" s="144">
        <f t="shared" si="2"/>
        <v>0</v>
      </c>
      <c r="G8" s="145">
        <f t="shared" si="3"/>
        <v>0</v>
      </c>
      <c r="H8" s="144">
        <f>G8*(1+0.07)^-(B8-Assumptions!$D$4)</f>
        <v>0</v>
      </c>
      <c r="J8" s="64"/>
      <c r="K8" s="54"/>
      <c r="L8" s="66"/>
      <c r="M8" s="66"/>
      <c r="O8" s="10"/>
      <c r="P8" s="10"/>
      <c r="Q8" s="10"/>
      <c r="R8" s="10"/>
    </row>
    <row r="9" spans="1:18" ht="14.25" customHeight="1" x14ac:dyDescent="0.25">
      <c r="B9" s="61">
        <f t="shared" si="4"/>
        <v>2025</v>
      </c>
      <c r="C9" s="249">
        <f t="shared" si="0"/>
        <v>0</v>
      </c>
      <c r="D9" s="133">
        <f t="shared" si="1"/>
        <v>0</v>
      </c>
      <c r="E9" s="144">
        <f t="shared" si="2"/>
        <v>0</v>
      </c>
      <c r="F9" s="144">
        <f t="shared" si="2"/>
        <v>0</v>
      </c>
      <c r="G9" s="145">
        <f t="shared" si="3"/>
        <v>0</v>
      </c>
      <c r="H9" s="144">
        <f>G9*(1+0.07)^-(B9-Assumptions!$D$4)</f>
        <v>0</v>
      </c>
      <c r="K9" s="343" t="s">
        <v>23</v>
      </c>
      <c r="L9" s="343"/>
      <c r="M9" s="239"/>
      <c r="O9" s="10"/>
      <c r="P9" s="10"/>
      <c r="Q9" s="10"/>
      <c r="R9" s="10"/>
    </row>
    <row r="10" spans="1:18" x14ac:dyDescent="0.25">
      <c r="B10" s="61">
        <f t="shared" si="4"/>
        <v>2026</v>
      </c>
      <c r="C10" s="249">
        <f t="shared" si="0"/>
        <v>0</v>
      </c>
      <c r="D10" s="133">
        <f t="shared" si="1"/>
        <v>0</v>
      </c>
      <c r="E10" s="144">
        <f t="shared" si="2"/>
        <v>0</v>
      </c>
      <c r="F10" s="144">
        <f t="shared" si="2"/>
        <v>0</v>
      </c>
      <c r="G10" s="145">
        <f t="shared" si="3"/>
        <v>0</v>
      </c>
      <c r="H10" s="144">
        <f>G10*(1+0.07)^-(B10-Assumptions!$D$4)</f>
        <v>0</v>
      </c>
      <c r="K10" s="68" t="s">
        <v>24</v>
      </c>
      <c r="L10" s="67">
        <f>1-L11</f>
        <v>0.95</v>
      </c>
      <c r="M10" s="137"/>
      <c r="N10" s="19"/>
      <c r="O10" s="10"/>
      <c r="P10" s="10"/>
      <c r="Q10" s="10"/>
      <c r="R10" s="10"/>
    </row>
    <row r="11" spans="1:18" x14ac:dyDescent="0.25">
      <c r="B11" s="61">
        <f t="shared" si="4"/>
        <v>2027</v>
      </c>
      <c r="C11" s="249">
        <f t="shared" si="0"/>
        <v>0</v>
      </c>
      <c r="D11" s="133">
        <f t="shared" si="1"/>
        <v>0</v>
      </c>
      <c r="E11" s="144">
        <f t="shared" si="2"/>
        <v>0</v>
      </c>
      <c r="F11" s="144">
        <f t="shared" si="2"/>
        <v>0</v>
      </c>
      <c r="G11" s="145">
        <f t="shared" si="3"/>
        <v>0</v>
      </c>
      <c r="H11" s="144">
        <f>G11*(1+0.07)^-(B11-Assumptions!$D$4)</f>
        <v>0</v>
      </c>
      <c r="K11" s="68" t="s">
        <v>25</v>
      </c>
      <c r="L11" s="67">
        <f>Assumptions!D15</f>
        <v>0.05</v>
      </c>
      <c r="M11" s="137"/>
      <c r="N11" s="54"/>
      <c r="O11" s="10"/>
      <c r="P11" s="10"/>
      <c r="Q11" s="10"/>
      <c r="R11" s="10"/>
    </row>
    <row r="12" spans="1:18" x14ac:dyDescent="0.25">
      <c r="B12" s="61">
        <f t="shared" si="4"/>
        <v>2028</v>
      </c>
      <c r="C12" s="249">
        <f t="shared" si="0"/>
        <v>0</v>
      </c>
      <c r="D12" s="133">
        <f t="shared" si="1"/>
        <v>0</v>
      </c>
      <c r="E12" s="144">
        <f t="shared" si="2"/>
        <v>0</v>
      </c>
      <c r="F12" s="144">
        <f t="shared" si="2"/>
        <v>0</v>
      </c>
      <c r="G12" s="145">
        <f t="shared" si="3"/>
        <v>0</v>
      </c>
      <c r="H12" s="144">
        <f>G12*(1+0.07)^-(B12-Assumptions!$D$4)</f>
        <v>0</v>
      </c>
      <c r="K12" s="54"/>
      <c r="L12" s="57"/>
      <c r="M12" s="57"/>
      <c r="N12" s="19"/>
      <c r="O12" s="10"/>
      <c r="P12" s="10"/>
      <c r="Q12" s="10"/>
      <c r="R12" s="10"/>
    </row>
    <row r="13" spans="1:18" ht="15" customHeight="1" x14ac:dyDescent="0.25">
      <c r="B13" s="61">
        <f t="shared" si="4"/>
        <v>2029</v>
      </c>
      <c r="C13" s="249">
        <f t="shared" si="0"/>
        <v>0</v>
      </c>
      <c r="D13" s="133">
        <f t="shared" si="1"/>
        <v>0</v>
      </c>
      <c r="E13" s="144">
        <f t="shared" si="2"/>
        <v>0</v>
      </c>
      <c r="F13" s="144">
        <f t="shared" si="2"/>
        <v>0</v>
      </c>
      <c r="G13" s="145">
        <f t="shared" si="3"/>
        <v>0</v>
      </c>
      <c r="H13" s="144">
        <f>G13*(1+0.07)^-(B13-Assumptions!$D$4)</f>
        <v>0</v>
      </c>
      <c r="K13" s="343" t="s">
        <v>37</v>
      </c>
      <c r="L13" s="343"/>
      <c r="M13" s="239"/>
      <c r="N13" s="19"/>
      <c r="O13" s="10"/>
      <c r="P13" s="10"/>
      <c r="Q13" s="10"/>
      <c r="R13" s="10"/>
    </row>
    <row r="14" spans="1:18" x14ac:dyDescent="0.25">
      <c r="B14" s="61">
        <f t="shared" si="4"/>
        <v>2030</v>
      </c>
      <c r="C14" s="249">
        <f t="shared" si="0"/>
        <v>36175.866964285669</v>
      </c>
      <c r="D14" s="133">
        <f t="shared" si="1"/>
        <v>23021.006250000035</v>
      </c>
      <c r="E14" s="144">
        <f t="shared" si="2"/>
        <v>1079477.0174541951</v>
      </c>
      <c r="F14" s="144">
        <f t="shared" si="2"/>
        <v>686939.920198126</v>
      </c>
      <c r="G14" s="145">
        <f t="shared" si="3"/>
        <v>392537.09725606907</v>
      </c>
      <c r="H14" s="144">
        <f>G14*(1+0.07)^-(B14-Assumptions!$D$4)</f>
        <v>199545.95552673959</v>
      </c>
      <c r="K14" s="68" t="s">
        <v>31</v>
      </c>
      <c r="L14" s="130">
        <v>1.67</v>
      </c>
      <c r="M14" s="138"/>
      <c r="N14" s="58"/>
    </row>
    <row r="15" spans="1:18" x14ac:dyDescent="0.25">
      <c r="B15" s="61">
        <f t="shared" si="4"/>
        <v>2031</v>
      </c>
      <c r="C15" s="249">
        <f t="shared" si="0"/>
        <v>36355.251428571413</v>
      </c>
      <c r="D15" s="133">
        <f t="shared" si="1"/>
        <v>23135.160000000033</v>
      </c>
      <c r="E15" s="144">
        <f t="shared" si="2"/>
        <v>1084829.7960531425</v>
      </c>
      <c r="F15" s="144">
        <f t="shared" si="2"/>
        <v>690346.23385200102</v>
      </c>
      <c r="G15" s="145">
        <f t="shared" si="3"/>
        <v>394483.5622011415</v>
      </c>
      <c r="H15" s="144">
        <f>G15*(1+0.07)^-(B15-Assumptions!$D$4)</f>
        <v>187416.29869507681</v>
      </c>
      <c r="K15" s="68" t="s">
        <v>32</v>
      </c>
      <c r="L15" s="130">
        <v>1</v>
      </c>
      <c r="M15" s="138"/>
      <c r="N15" s="19"/>
    </row>
    <row r="16" spans="1:18" x14ac:dyDescent="0.25">
      <c r="B16" s="61">
        <f t="shared" si="4"/>
        <v>2032</v>
      </c>
      <c r="C16" s="249">
        <f t="shared" si="0"/>
        <v>36534.635892857099</v>
      </c>
      <c r="D16" s="133">
        <f t="shared" si="1"/>
        <v>23249.31375000003</v>
      </c>
      <c r="E16" s="144">
        <f t="shared" si="2"/>
        <v>1090182.5746520881</v>
      </c>
      <c r="F16" s="144">
        <f t="shared" si="2"/>
        <v>693752.54750587593</v>
      </c>
      <c r="G16" s="145">
        <f t="shared" si="3"/>
        <v>396430.02714621217</v>
      </c>
      <c r="H16" s="144">
        <f>G16*(1+0.07)^-(B16-Assumptions!$D$4)</f>
        <v>176019.67305504755</v>
      </c>
      <c r="K16" s="54"/>
      <c r="L16" s="57"/>
      <c r="M16" s="57"/>
      <c r="N16" s="20"/>
    </row>
    <row r="17" spans="1:16" x14ac:dyDescent="0.25">
      <c r="B17" s="61">
        <f t="shared" si="4"/>
        <v>2033</v>
      </c>
      <c r="C17" s="249">
        <f t="shared" si="0"/>
        <v>36714.020357142843</v>
      </c>
      <c r="D17" s="133">
        <f t="shared" si="1"/>
        <v>23363.467500000028</v>
      </c>
      <c r="E17" s="144">
        <f t="shared" si="2"/>
        <v>1095535.3532510353</v>
      </c>
      <c r="F17" s="144">
        <f t="shared" si="2"/>
        <v>697158.86115975084</v>
      </c>
      <c r="G17" s="145">
        <f t="shared" si="3"/>
        <v>398376.49209128448</v>
      </c>
      <c r="H17" s="144">
        <f>G17*(1+0.07)^-(B17-Assumptions!$D$4)</f>
        <v>165312.08109243223</v>
      </c>
      <c r="K17" s="239" t="s">
        <v>33</v>
      </c>
      <c r="L17" s="48"/>
      <c r="M17" s="49"/>
      <c r="N17" s="20"/>
    </row>
    <row r="18" spans="1:16" x14ac:dyDescent="0.25">
      <c r="B18" s="61">
        <f t="shared" si="4"/>
        <v>2034</v>
      </c>
      <c r="C18" s="249">
        <f t="shared" si="0"/>
        <v>36893.404821428529</v>
      </c>
      <c r="D18" s="133">
        <f t="shared" si="1"/>
        <v>23477.621250000026</v>
      </c>
      <c r="E18" s="144">
        <f t="shared" si="2"/>
        <v>1100888.1318499809</v>
      </c>
      <c r="F18" s="144">
        <f t="shared" si="2"/>
        <v>700565.17481362575</v>
      </c>
      <c r="G18" s="145">
        <f t="shared" si="3"/>
        <v>400322.95703635516</v>
      </c>
      <c r="H18" s="144">
        <f>G18*(1+0.07)^-(B18-Assumptions!$D$4)</f>
        <v>155252.14471373634</v>
      </c>
      <c r="K18" s="47" t="s">
        <v>30</v>
      </c>
      <c r="L18" s="70">
        <f>L10*L6*L14+L11*L7*L15</f>
        <v>29.839700000000001</v>
      </c>
      <c r="M18" s="66"/>
      <c r="N18" s="55"/>
    </row>
    <row r="19" spans="1:16" x14ac:dyDescent="0.25">
      <c r="B19" s="61">
        <f t="shared" si="4"/>
        <v>2035</v>
      </c>
      <c r="C19" s="249">
        <f t="shared" si="0"/>
        <v>37072.789285714272</v>
      </c>
      <c r="D19" s="133">
        <f t="shared" si="1"/>
        <v>23591.775000000023</v>
      </c>
      <c r="E19" s="144">
        <f t="shared" si="2"/>
        <v>1106240.9104489281</v>
      </c>
      <c r="F19" s="144">
        <f t="shared" si="2"/>
        <v>703971.48846750066</v>
      </c>
      <c r="G19" s="145">
        <f t="shared" si="3"/>
        <v>402269.42198142747</v>
      </c>
      <c r="H19" s="144">
        <f>G19*(1+0.07)^-(B19-Assumptions!$D$4)</f>
        <v>145800.95082100114</v>
      </c>
      <c r="K19" s="54"/>
      <c r="L19" s="57"/>
      <c r="M19" s="57"/>
      <c r="N19" s="56"/>
      <c r="O19" s="161"/>
      <c r="P19" s="161"/>
    </row>
    <row r="20" spans="1:16" ht="14.25" customHeight="1" x14ac:dyDescent="0.25">
      <c r="B20" s="61">
        <f t="shared" si="4"/>
        <v>2036</v>
      </c>
      <c r="C20" s="249">
        <f t="shared" si="0"/>
        <v>37252.173749999958</v>
      </c>
      <c r="D20" s="133">
        <f t="shared" si="1"/>
        <v>23705.928750000021</v>
      </c>
      <c r="E20" s="144">
        <f t="shared" si="2"/>
        <v>1111593.6890478737</v>
      </c>
      <c r="F20" s="144">
        <f t="shared" si="2"/>
        <v>707377.80212137569</v>
      </c>
      <c r="G20" s="145">
        <f t="shared" si="3"/>
        <v>404215.88692649803</v>
      </c>
      <c r="H20" s="144">
        <f>G20*(1+0.07)^-(B20-Assumptions!$D$4)</f>
        <v>136921.90588104239</v>
      </c>
      <c r="K20" s="18" t="s">
        <v>129</v>
      </c>
      <c r="L20" s="17"/>
      <c r="M20" s="17"/>
      <c r="N20" s="17"/>
    </row>
    <row r="21" spans="1:16" x14ac:dyDescent="0.25">
      <c r="B21" s="61">
        <f t="shared" si="4"/>
        <v>2037</v>
      </c>
      <c r="C21" s="249">
        <f t="shared" si="0"/>
        <v>37431.558214285702</v>
      </c>
      <c r="D21" s="133">
        <f t="shared" si="1"/>
        <v>23820.082500000019</v>
      </c>
      <c r="E21" s="144">
        <f t="shared" si="2"/>
        <v>1116946.4676468212</v>
      </c>
      <c r="F21" s="144">
        <f t="shared" si="2"/>
        <v>710784.1157752506</v>
      </c>
      <c r="G21" s="145">
        <f t="shared" si="3"/>
        <v>406162.35187157057</v>
      </c>
      <c r="H21" s="144">
        <f>G21*(1+0.07)^-(B21-Assumptions!$D$4)</f>
        <v>128580.59897321189</v>
      </c>
      <c r="K21" s="174" t="s">
        <v>64</v>
      </c>
      <c r="L21" s="174" t="s">
        <v>138</v>
      </c>
      <c r="M21" s="174" t="s">
        <v>18</v>
      </c>
    </row>
    <row r="22" spans="1:16" x14ac:dyDescent="0.25">
      <c r="B22" s="61">
        <f t="shared" si="4"/>
        <v>2038</v>
      </c>
      <c r="C22" s="249">
        <f t="shared" si="0"/>
        <v>37610.942678571388</v>
      </c>
      <c r="D22" s="133">
        <f t="shared" si="1"/>
        <v>23934.236250000016</v>
      </c>
      <c r="E22" s="144">
        <f t="shared" si="2"/>
        <v>1122299.2462457668</v>
      </c>
      <c r="F22" s="144">
        <f t="shared" si="2"/>
        <v>714190.42942912551</v>
      </c>
      <c r="G22" s="145">
        <f t="shared" si="3"/>
        <v>408108.81681664125</v>
      </c>
      <c r="H22" s="144">
        <f>G22*(1+0.07)^-(B22-Assumptions!$D$4)</f>
        <v>120744.67282874521</v>
      </c>
      <c r="K22" s="251">
        <f>Assumptions!G4</f>
        <v>2019</v>
      </c>
      <c r="L22" s="165">
        <f>Travel!C7</f>
        <v>34202.637857142858</v>
      </c>
      <c r="M22" s="165">
        <f>Travel!B7</f>
        <v>21765.314999999999</v>
      </c>
    </row>
    <row r="23" spans="1:16" x14ac:dyDescent="0.25">
      <c r="B23" s="61">
        <f t="shared" si="4"/>
        <v>2039</v>
      </c>
      <c r="C23" s="249">
        <f t="shared" si="0"/>
        <v>37790.327142857132</v>
      </c>
      <c r="D23" s="133">
        <f t="shared" si="1"/>
        <v>24048.390000000014</v>
      </c>
      <c r="E23" s="144">
        <f t="shared" ref="E23:F23" si="5">C23*$L$18</f>
        <v>1127652.024844714</v>
      </c>
      <c r="F23" s="144">
        <f t="shared" si="5"/>
        <v>717596.74308300042</v>
      </c>
      <c r="G23" s="145">
        <f t="shared" si="3"/>
        <v>410055.28176171356</v>
      </c>
      <c r="H23" s="144">
        <f>G23*(1+0.07)^-(B23-Assumptions!$D$4)</f>
        <v>113383.7024022215</v>
      </c>
      <c r="K23" s="251">
        <f>Assumptions!G5</f>
        <v>2039</v>
      </c>
      <c r="L23" s="165">
        <f>Travel!C8</f>
        <v>37790.327142857139</v>
      </c>
      <c r="M23" s="165">
        <f>Travel!B8</f>
        <v>24048.39</v>
      </c>
    </row>
    <row r="24" spans="1:16" x14ac:dyDescent="0.25">
      <c r="B24" s="61">
        <f>B23+1</f>
        <v>2040</v>
      </c>
      <c r="C24" s="249">
        <f t="shared" si="0"/>
        <v>37969.711607142817</v>
      </c>
      <c r="D24" s="133">
        <f t="shared" si="1"/>
        <v>24162.543750000012</v>
      </c>
      <c r="E24" s="144">
        <f>C24*$L$18</f>
        <v>1133004.8034436596</v>
      </c>
      <c r="F24" s="144">
        <f>D24*$L$18</f>
        <v>721003.05673687533</v>
      </c>
      <c r="G24" s="145">
        <f>(E24-F24)</f>
        <v>412001.74670678424</v>
      </c>
      <c r="H24" s="144">
        <f>G24*(1+0.07)^-(B24-Assumptions!$D$4)</f>
        <v>106469.0805415393</v>
      </c>
      <c r="K24" s="261"/>
      <c r="L24" s="248"/>
      <c r="M24" s="248" t="s">
        <v>148</v>
      </c>
      <c r="O24" s="161"/>
      <c r="P24" s="161"/>
    </row>
    <row r="25" spans="1:16" s="250" customFormat="1" x14ac:dyDescent="0.25">
      <c r="B25" s="61">
        <f t="shared" ref="B25:B27" si="6">B24+1</f>
        <v>2041</v>
      </c>
      <c r="C25" s="249">
        <f t="shared" si="0"/>
        <v>38149.096071428561</v>
      </c>
      <c r="D25" s="133">
        <f t="shared" si="1"/>
        <v>24276.697500000009</v>
      </c>
      <c r="E25" s="144">
        <f t="shared" ref="E25:E27" si="7">C25*$L$18</f>
        <v>1138357.5820426068</v>
      </c>
      <c r="F25" s="144">
        <f t="shared" ref="F25:F27" si="8">D25*$L$18</f>
        <v>724409.37039075023</v>
      </c>
      <c r="G25" s="145">
        <f t="shared" ref="G25:G27" si="9">(E25-F25)</f>
        <v>413948.21165185655</v>
      </c>
      <c r="H25" s="144">
        <f>G25*(1+0.07)^-(B25-Assumptions!$D$4)</f>
        <v>99973.910347343015</v>
      </c>
      <c r="K25" s="239" t="s">
        <v>143</v>
      </c>
      <c r="L25" s="240"/>
      <c r="M25" s="248"/>
      <c r="O25" s="161"/>
      <c r="P25" s="161"/>
    </row>
    <row r="26" spans="1:16" s="250" customFormat="1" x14ac:dyDescent="0.25">
      <c r="B26" s="61">
        <f t="shared" si="6"/>
        <v>2042</v>
      </c>
      <c r="C26" s="249">
        <f t="shared" si="0"/>
        <v>38328.480535714247</v>
      </c>
      <c r="D26" s="133">
        <f t="shared" si="1"/>
        <v>24390.851250000036</v>
      </c>
      <c r="E26" s="144">
        <f t="shared" si="7"/>
        <v>1143710.3606415524</v>
      </c>
      <c r="F26" s="144">
        <f t="shared" si="8"/>
        <v>727815.68404462608</v>
      </c>
      <c r="G26" s="145">
        <f t="shared" si="9"/>
        <v>415894.67659692629</v>
      </c>
      <c r="H26" s="144">
        <f>G26*(1+0.07)^-(B26-Assumptions!$D$4)</f>
        <v>93872.903835945588</v>
      </c>
      <c r="K26" s="251" t="s">
        <v>64</v>
      </c>
      <c r="L26" s="251">
        <v>2030</v>
      </c>
      <c r="M26" s="248"/>
      <c r="O26" s="161"/>
      <c r="P26" s="161"/>
    </row>
    <row r="27" spans="1:16" s="250" customFormat="1" ht="15.75" thickBot="1" x14ac:dyDescent="0.3">
      <c r="B27" s="287">
        <f t="shared" si="6"/>
        <v>2043</v>
      </c>
      <c r="C27" s="312">
        <f t="shared" si="0"/>
        <v>38507.864999999991</v>
      </c>
      <c r="D27" s="288">
        <f t="shared" si="1"/>
        <v>24505.005000000034</v>
      </c>
      <c r="E27" s="289">
        <f t="shared" si="7"/>
        <v>1149063.1392404998</v>
      </c>
      <c r="F27" s="289">
        <f t="shared" si="8"/>
        <v>731221.99769850099</v>
      </c>
      <c r="G27" s="290">
        <f t="shared" si="9"/>
        <v>417841.14154199883</v>
      </c>
      <c r="H27" s="289">
        <f>G27*(1+0.07)^-(B27-Assumptions!$D$4)</f>
        <v>88142.286541690293</v>
      </c>
      <c r="M27" s="248"/>
      <c r="O27" s="161"/>
      <c r="P27" s="161"/>
    </row>
    <row r="28" spans="1:16" ht="15" customHeight="1" thickBot="1" x14ac:dyDescent="0.3">
      <c r="B28" s="4"/>
      <c r="C28" s="52"/>
      <c r="D28" s="52"/>
      <c r="E28" s="52"/>
      <c r="F28" s="52"/>
      <c r="G28" s="69" t="s">
        <v>2</v>
      </c>
      <c r="H28" s="123">
        <f>SUM(H6:H27)</f>
        <v>1917436.1652557726</v>
      </c>
      <c r="M28" s="19"/>
    </row>
    <row r="29" spans="1:16" x14ac:dyDescent="0.25">
      <c r="G29" s="161"/>
      <c r="H29" s="161"/>
      <c r="I29" s="24"/>
      <c r="J29" s="21"/>
      <c r="M29" s="240"/>
    </row>
    <row r="30" spans="1:16" x14ac:dyDescent="0.25">
      <c r="A30" s="17"/>
      <c r="B30" s="18" t="s">
        <v>3</v>
      </c>
      <c r="C30" s="17"/>
      <c r="D30" s="17"/>
      <c r="E30" s="17"/>
      <c r="F30" s="17"/>
      <c r="H30"/>
      <c r="I30" s="21"/>
      <c r="J30" s="21"/>
      <c r="K30" s="17"/>
      <c r="L30" s="17"/>
      <c r="M30" s="19"/>
    </row>
    <row r="31" spans="1:16" ht="15" customHeight="1" x14ac:dyDescent="0.25">
      <c r="A31" s="63" t="s">
        <v>12</v>
      </c>
      <c r="B31" s="344" t="s">
        <v>187</v>
      </c>
      <c r="C31" s="344"/>
      <c r="D31" s="344"/>
      <c r="E31" s="344"/>
      <c r="F31" s="344"/>
      <c r="G31" s="344"/>
      <c r="H31" s="344"/>
      <c r="I31" s="21"/>
      <c r="J31" s="28"/>
      <c r="K31" s="17"/>
      <c r="L31" s="17"/>
      <c r="M31" s="19"/>
    </row>
    <row r="32" spans="1:16" x14ac:dyDescent="0.25">
      <c r="A32" s="17"/>
      <c r="B32" s="344"/>
      <c r="C32" s="344"/>
      <c r="D32" s="344"/>
      <c r="E32" s="344"/>
      <c r="F32" s="344"/>
      <c r="G32" s="344"/>
      <c r="H32" s="344"/>
      <c r="I32" s="35"/>
      <c r="J32" s="36"/>
      <c r="L32" s="17"/>
      <c r="M32" s="19"/>
    </row>
    <row r="33" spans="1:13" x14ac:dyDescent="0.25">
      <c r="A33" s="17"/>
      <c r="B33" s="344"/>
      <c r="C33" s="344"/>
      <c r="D33" s="344"/>
      <c r="E33" s="344"/>
      <c r="F33" s="344"/>
      <c r="G33" s="344"/>
      <c r="H33" s="344"/>
      <c r="I33" s="35"/>
      <c r="J33" s="35"/>
      <c r="K33" s="17"/>
    </row>
    <row r="34" spans="1:13" x14ac:dyDescent="0.25">
      <c r="A34" s="17"/>
      <c r="B34" s="74"/>
      <c r="C34" s="74"/>
      <c r="D34" s="74"/>
      <c r="E34" s="74"/>
      <c r="F34" s="74"/>
      <c r="G34" s="17"/>
      <c r="H34" s="242"/>
      <c r="J34" s="35"/>
      <c r="K34" s="17"/>
    </row>
    <row r="35" spans="1:13" ht="15" customHeight="1" x14ac:dyDescent="0.25">
      <c r="A35" s="63" t="s">
        <v>11</v>
      </c>
      <c r="B35" s="344" t="s">
        <v>130</v>
      </c>
      <c r="C35" s="344"/>
      <c r="D35" s="344"/>
      <c r="E35" s="344"/>
      <c r="F35" s="344"/>
      <c r="G35" s="344"/>
      <c r="H35" s="344"/>
      <c r="J35" s="35"/>
      <c r="K35" s="17"/>
    </row>
    <row r="36" spans="1:13" ht="15" customHeight="1" x14ac:dyDescent="0.25">
      <c r="A36" s="63"/>
      <c r="B36" s="344"/>
      <c r="C36" s="344"/>
      <c r="D36" s="344"/>
      <c r="E36" s="344"/>
      <c r="F36" s="344"/>
      <c r="G36" s="344"/>
      <c r="H36" s="344"/>
      <c r="J36" s="35"/>
    </row>
    <row r="37" spans="1:13" ht="15" customHeight="1" x14ac:dyDescent="0.25">
      <c r="A37" s="63"/>
      <c r="B37" s="241"/>
      <c r="C37" s="241"/>
      <c r="D37" s="241"/>
      <c r="E37" s="241"/>
      <c r="F37" s="241"/>
      <c r="G37" s="241"/>
      <c r="H37" s="242"/>
      <c r="J37" s="35"/>
    </row>
    <row r="38" spans="1:13" ht="15" customHeight="1" x14ac:dyDescent="0.25">
      <c r="A38" s="63" t="s">
        <v>13</v>
      </c>
      <c r="B38" s="344" t="s">
        <v>182</v>
      </c>
      <c r="C38" s="344"/>
      <c r="D38" s="344"/>
      <c r="E38" s="344"/>
      <c r="F38" s="344"/>
      <c r="G38" s="344"/>
      <c r="H38" s="344"/>
      <c r="J38" s="22"/>
    </row>
    <row r="39" spans="1:13" x14ac:dyDescent="0.25">
      <c r="A39" s="17"/>
      <c r="B39" s="344"/>
      <c r="C39" s="344"/>
      <c r="D39" s="344"/>
      <c r="E39" s="344"/>
      <c r="F39" s="344"/>
      <c r="G39" s="344"/>
      <c r="H39" s="344"/>
      <c r="J39" s="22"/>
    </row>
    <row r="40" spans="1:13" x14ac:dyDescent="0.25">
      <c r="A40" s="17"/>
      <c r="B40" s="344"/>
      <c r="C40" s="344"/>
      <c r="D40" s="344"/>
      <c r="E40" s="344"/>
      <c r="F40" s="344"/>
      <c r="G40" s="344"/>
      <c r="H40" s="344"/>
      <c r="J40" s="22"/>
    </row>
    <row r="41" spans="1:13" ht="15" customHeight="1" x14ac:dyDescent="0.25">
      <c r="A41" s="17"/>
      <c r="B41" s="344"/>
      <c r="C41" s="344"/>
      <c r="D41" s="344"/>
      <c r="E41" s="344"/>
      <c r="F41" s="344"/>
      <c r="G41" s="344"/>
      <c r="H41" s="344"/>
      <c r="I41" s="17"/>
      <c r="J41" s="22"/>
    </row>
    <row r="42" spans="1:13" ht="15" customHeight="1" x14ac:dyDescent="0.25">
      <c r="A42" s="17"/>
      <c r="B42" s="74"/>
      <c r="C42" s="74"/>
      <c r="D42" s="74"/>
      <c r="E42" s="74"/>
      <c r="F42" s="74"/>
      <c r="G42" s="17"/>
      <c r="H42" s="242"/>
    </row>
    <row r="43" spans="1:13" ht="15" customHeight="1" x14ac:dyDescent="0.25">
      <c r="A43" s="63" t="s">
        <v>14</v>
      </c>
      <c r="B43" s="344" t="s">
        <v>156</v>
      </c>
      <c r="C43" s="344"/>
      <c r="D43" s="344"/>
      <c r="E43" s="344"/>
      <c r="F43" s="344"/>
      <c r="G43" s="344"/>
      <c r="H43" s="344"/>
    </row>
    <row r="44" spans="1:13" ht="15" customHeight="1" x14ac:dyDescent="0.25">
      <c r="A44" s="17"/>
      <c r="B44" s="344"/>
      <c r="C44" s="344"/>
      <c r="D44" s="344"/>
      <c r="E44" s="344"/>
      <c r="F44" s="344"/>
      <c r="G44" s="344"/>
      <c r="H44" s="344"/>
    </row>
    <row r="45" spans="1:13" x14ac:dyDescent="0.25">
      <c r="A45" s="17"/>
      <c r="B45" s="344"/>
      <c r="C45" s="344"/>
      <c r="D45" s="344"/>
      <c r="E45" s="344"/>
      <c r="F45" s="344"/>
      <c r="G45" s="344"/>
      <c r="H45" s="344"/>
    </row>
    <row r="46" spans="1:13" ht="15" customHeight="1" x14ac:dyDescent="0.25">
      <c r="A46" s="17"/>
      <c r="B46" s="344"/>
      <c r="C46" s="344"/>
      <c r="D46" s="344"/>
      <c r="E46" s="344"/>
      <c r="F46" s="344"/>
      <c r="G46" s="344"/>
      <c r="H46" s="344"/>
    </row>
    <row r="47" spans="1:13" x14ac:dyDescent="0.25">
      <c r="A47" s="17"/>
      <c r="B47" s="74"/>
      <c r="C47" s="74"/>
      <c r="D47" s="74"/>
      <c r="E47" s="74"/>
      <c r="F47" s="74"/>
      <c r="G47" s="74"/>
      <c r="H47" s="74"/>
    </row>
    <row r="48" spans="1:13" x14ac:dyDescent="0.25">
      <c r="A48" s="7" t="s">
        <v>58</v>
      </c>
      <c r="B48" s="344" t="s">
        <v>134</v>
      </c>
      <c r="C48" s="344"/>
      <c r="D48" s="344"/>
      <c r="E48" s="344"/>
      <c r="F48" s="344"/>
      <c r="G48" s="344"/>
      <c r="H48" s="344"/>
      <c r="L48" s="22"/>
      <c r="M48" s="35"/>
    </row>
    <row r="49" spans="1:11" x14ac:dyDescent="0.25">
      <c r="A49" s="17"/>
      <c r="B49" s="344"/>
      <c r="C49" s="344"/>
      <c r="D49" s="344"/>
      <c r="E49" s="344"/>
      <c r="F49" s="344"/>
      <c r="G49" s="344"/>
      <c r="H49" s="344"/>
    </row>
    <row r="50" spans="1:11" ht="15" customHeight="1" x14ac:dyDescent="0.25">
      <c r="A50" s="17"/>
      <c r="B50" s="51"/>
      <c r="C50" s="51"/>
      <c r="D50" s="51"/>
      <c r="E50" s="51"/>
      <c r="F50" s="51"/>
      <c r="G50" s="51"/>
      <c r="H50"/>
    </row>
    <row r="51" spans="1:11" x14ac:dyDescent="0.25">
      <c r="A51" s="17"/>
      <c r="B51" s="51"/>
      <c r="C51" s="51"/>
      <c r="D51" s="51"/>
      <c r="E51" s="51"/>
      <c r="F51" s="51"/>
      <c r="G51" s="51"/>
      <c r="H51"/>
      <c r="K51" s="22"/>
    </row>
    <row r="52" spans="1:11" x14ac:dyDescent="0.25">
      <c r="A52"/>
      <c r="B52"/>
      <c r="C52"/>
      <c r="D52"/>
      <c r="E52"/>
      <c r="F52"/>
      <c r="G52"/>
      <c r="H52"/>
    </row>
    <row r="53" spans="1:11" ht="15" customHeight="1" x14ac:dyDescent="0.25">
      <c r="A53"/>
      <c r="B53"/>
      <c r="C53"/>
      <c r="D53"/>
      <c r="E53"/>
      <c r="F53"/>
      <c r="G53"/>
      <c r="H53"/>
    </row>
    <row r="54" spans="1:11" x14ac:dyDescent="0.25">
      <c r="A54"/>
      <c r="B54"/>
      <c r="C54"/>
      <c r="D54"/>
      <c r="E54"/>
      <c r="F54"/>
      <c r="G54"/>
      <c r="H54"/>
    </row>
    <row r="55" spans="1:11" x14ac:dyDescent="0.25">
      <c r="A55"/>
      <c r="B55"/>
      <c r="C55"/>
      <c r="D55"/>
      <c r="E55"/>
      <c r="F55"/>
      <c r="G55"/>
      <c r="H55"/>
    </row>
    <row r="56" spans="1:11" x14ac:dyDescent="0.25">
      <c r="A56"/>
      <c r="B56"/>
      <c r="C56"/>
      <c r="D56"/>
      <c r="E56"/>
      <c r="F56"/>
      <c r="G56"/>
      <c r="H56"/>
    </row>
    <row r="57" spans="1:11" x14ac:dyDescent="0.25">
      <c r="A57"/>
      <c r="B57"/>
      <c r="C57"/>
      <c r="D57"/>
      <c r="E57"/>
      <c r="F57"/>
      <c r="G57"/>
      <c r="H57"/>
    </row>
  </sheetData>
  <mergeCells count="15">
    <mergeCell ref="H4:H5"/>
    <mergeCell ref="K5:L5"/>
    <mergeCell ref="K9:L9"/>
    <mergeCell ref="K13:L13"/>
    <mergeCell ref="B48:H49"/>
    <mergeCell ref="G4:G5"/>
    <mergeCell ref="B38:H41"/>
    <mergeCell ref="B31:H33"/>
    <mergeCell ref="B35:H36"/>
    <mergeCell ref="B43:H46"/>
    <mergeCell ref="B4:B5"/>
    <mergeCell ref="C4:C5"/>
    <mergeCell ref="D4:D5"/>
    <mergeCell ref="E4:E5"/>
    <mergeCell ref="F4:F5"/>
  </mergeCells>
  <printOptions horizontalCentered="1"/>
  <pageMargins left="0.7" right="0.7" top="0.75" bottom="0.75" header="0.3" footer="0.3"/>
  <pageSetup scale="50" orientation="landscape" r:id="rId1"/>
  <headerFooter scaleWithDoc="0"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B677-884D-4C04-80E1-0D68BC631329}">
  <sheetPr>
    <tabColor rgb="FF00B050"/>
    <pageSetUpPr fitToPage="1"/>
  </sheetPr>
  <dimension ref="A1:AQ59"/>
  <sheetViews>
    <sheetView view="pageBreakPreview" zoomScale="70" zoomScaleNormal="55" zoomScaleSheetLayoutView="70" workbookViewId="0">
      <selection activeCell="F10" sqref="F10"/>
    </sheetView>
  </sheetViews>
  <sheetFormatPr defaultColWidth="9.140625" defaultRowHeight="15" x14ac:dyDescent="0.25"/>
  <cols>
    <col min="1" max="1" width="5.5703125" style="124" customWidth="1"/>
    <col min="2" max="8" width="20.7109375" style="124" customWidth="1"/>
    <col min="9" max="9" width="5.7109375" style="242" customWidth="1"/>
    <col min="10" max="10" width="5.7109375" style="124" customWidth="1"/>
    <col min="11" max="11" width="40.7109375" style="124" customWidth="1"/>
    <col min="12" max="13" width="15.5703125" style="124" customWidth="1"/>
    <col min="14" max="21" width="9.140625" style="124"/>
    <col min="22" max="22" width="52" style="124" customWidth="1"/>
    <col min="23" max="24" width="9.140625" style="124"/>
    <col min="44" max="16384" width="9.140625" style="124"/>
  </cols>
  <sheetData>
    <row r="1" spans="1:24" x14ac:dyDescent="0.25">
      <c r="A1" s="17"/>
      <c r="B1" s="125">
        <v>1</v>
      </c>
      <c r="C1" s="125">
        <v>2</v>
      </c>
      <c r="D1" s="125">
        <v>3</v>
      </c>
      <c r="E1" s="125">
        <v>4</v>
      </c>
      <c r="F1" s="125">
        <v>5</v>
      </c>
      <c r="G1" s="125">
        <v>6</v>
      </c>
      <c r="H1" s="125">
        <v>7</v>
      </c>
      <c r="I1" s="161"/>
    </row>
    <row r="2" spans="1:24" x14ac:dyDescent="0.25">
      <c r="B2" s="6" t="s">
        <v>132</v>
      </c>
    </row>
    <row r="3" spans="1:24" ht="15.75" customHeight="1" thickBot="1" x14ac:dyDescent="0.3">
      <c r="L3" s="59"/>
    </row>
    <row r="4" spans="1:24" ht="35.1" customHeight="1" x14ac:dyDescent="0.25">
      <c r="B4" s="347" t="s">
        <v>0</v>
      </c>
      <c r="C4" s="347" t="s">
        <v>89</v>
      </c>
      <c r="D4" s="349" t="s">
        <v>65</v>
      </c>
      <c r="E4" s="347" t="s">
        <v>91</v>
      </c>
      <c r="F4" s="347" t="s">
        <v>90</v>
      </c>
      <c r="G4" s="345" t="s">
        <v>92</v>
      </c>
      <c r="H4" s="351" t="s">
        <v>1</v>
      </c>
      <c r="I4" s="252"/>
      <c r="L4" s="65"/>
      <c r="P4" s="282"/>
      <c r="Q4" s="282"/>
      <c r="R4" s="282"/>
      <c r="S4" s="282"/>
      <c r="T4" s="282"/>
      <c r="U4" s="282"/>
      <c r="V4" s="282"/>
      <c r="W4" s="282"/>
      <c r="X4" s="282"/>
    </row>
    <row r="5" spans="1:24" ht="43.5" customHeight="1" thickBot="1" x14ac:dyDescent="0.3">
      <c r="B5" s="348"/>
      <c r="C5" s="348"/>
      <c r="D5" s="350"/>
      <c r="E5" s="348"/>
      <c r="F5" s="348"/>
      <c r="G5" s="346"/>
      <c r="H5" s="352"/>
      <c r="I5" s="252"/>
      <c r="K5" s="356" t="s">
        <v>100</v>
      </c>
      <c r="L5" s="356"/>
      <c r="P5" s="282"/>
      <c r="Q5" s="282"/>
      <c r="R5" s="282"/>
      <c r="S5" s="282"/>
      <c r="T5" s="282"/>
      <c r="U5" s="282"/>
      <c r="V5" s="282"/>
      <c r="W5" s="282"/>
      <c r="X5" s="282"/>
    </row>
    <row r="6" spans="1:24" x14ac:dyDescent="0.25">
      <c r="B6" s="1">
        <v>2022</v>
      </c>
      <c r="C6" s="140" cm="1">
        <f t="array" ref="C6">_xlfn.SINGLE(IF(B6&gt;='Travel Time Cost Savings'!$L$26,TREND($L$23:$L$24,$K$23:$K$24,B6)*$L$18+TREND($L$23:$L$24,$K$23:$K$24,B6)*$L$19,0))</f>
        <v>0</v>
      </c>
      <c r="D6" s="140" cm="1">
        <f t="array" ref="D6">_xlfn.SINGLE(IF(B6&gt;='Travel Time Cost Savings'!$L$26,TREND($M$23:$M$24,$K$23:$K$24,B6)*$L$18,0))</f>
        <v>0</v>
      </c>
      <c r="E6" s="142">
        <f t="shared" ref="E6:E27" si="0">C6*$L$18</f>
        <v>0</v>
      </c>
      <c r="F6" s="142">
        <f t="shared" ref="F6:F27" si="1">D6*$L$18</f>
        <v>0</v>
      </c>
      <c r="G6" s="143">
        <f>(E6-F6)</f>
        <v>0</v>
      </c>
      <c r="H6" s="142">
        <f>G6*(1+0.07)^-(B6-Assumptions!$D$4)</f>
        <v>0</v>
      </c>
      <c r="I6" s="253"/>
      <c r="J6" s="17"/>
      <c r="K6" s="68" t="s">
        <v>21</v>
      </c>
      <c r="L6" s="129">
        <f>Assumptions!D23</f>
        <v>0.45</v>
      </c>
      <c r="P6" s="282"/>
      <c r="Q6" s="282"/>
      <c r="R6" s="282"/>
      <c r="S6" s="282"/>
      <c r="T6" s="282"/>
      <c r="U6" s="282"/>
      <c r="V6" s="282"/>
      <c r="W6" s="282"/>
      <c r="X6" s="282"/>
    </row>
    <row r="7" spans="1:24" x14ac:dyDescent="0.25">
      <c r="B7" s="2">
        <f>B6+1</f>
        <v>2023</v>
      </c>
      <c r="C7" s="132" cm="1">
        <f t="array" ref="C7">_xlfn.SINGLE(IF(B7&gt;='Travel Time Cost Savings'!$L$26,TREND($L$23:$L$24,$K$23:$K$24,B7)*$L$18+TREND($L$23:$L$24,$K$23:$K$24,B7)*$L$19,0))</f>
        <v>0</v>
      </c>
      <c r="D7" s="132" cm="1">
        <f t="array" ref="D7">_xlfn.SINGLE(IF(B7&gt;='Travel Time Cost Savings'!$L$26,TREND($M$23:$M$24,$K$23:$K$24,B7)*$L$18,0))</f>
        <v>0</v>
      </c>
      <c r="E7" s="134">
        <f t="shared" si="0"/>
        <v>0</v>
      </c>
      <c r="F7" s="134">
        <f t="shared" si="1"/>
        <v>0</v>
      </c>
      <c r="G7" s="135">
        <f t="shared" ref="G7:G14" si="2">(E7-F7)</f>
        <v>0</v>
      </c>
      <c r="H7" s="134">
        <f>G7*(1+0.07)^-(B7-Assumptions!$D$4)</f>
        <v>0</v>
      </c>
      <c r="I7" s="253"/>
      <c r="J7" s="17"/>
      <c r="K7" s="68" t="s">
        <v>22</v>
      </c>
      <c r="L7" s="70">
        <f>Assumptions!D24</f>
        <v>0.94</v>
      </c>
      <c r="P7" s="17"/>
      <c r="Q7" s="17"/>
      <c r="R7" s="282"/>
      <c r="S7" s="282"/>
      <c r="T7" s="282"/>
      <c r="U7" s="282"/>
      <c r="V7" s="282"/>
      <c r="W7" s="282"/>
      <c r="X7" s="282"/>
    </row>
    <row r="8" spans="1:24" x14ac:dyDescent="0.25">
      <c r="B8" s="2">
        <f t="shared" ref="B8:B27" si="3">B7+1</f>
        <v>2024</v>
      </c>
      <c r="C8" s="132" cm="1">
        <f t="array" ref="C8">_xlfn.SINGLE(IF(B8&gt;='Travel Time Cost Savings'!$L$26,TREND($L$23:$L$24,$K$23:$K$24,B8)*$L$18+TREND($L$23:$L$24,$K$23:$K$24,B8)*$L$19,0))</f>
        <v>0</v>
      </c>
      <c r="D8" s="132" cm="1">
        <f t="array" ref="D8">_xlfn.SINGLE(IF(B8&gt;='Travel Time Cost Savings'!$L$26,TREND($M$23:$M$24,$K$23:$K$24,B8)*$L$18,0))</f>
        <v>0</v>
      </c>
      <c r="E8" s="134">
        <f t="shared" si="0"/>
        <v>0</v>
      </c>
      <c r="F8" s="134">
        <f t="shared" si="1"/>
        <v>0</v>
      </c>
      <c r="G8" s="135">
        <f t="shared" si="2"/>
        <v>0</v>
      </c>
      <c r="H8" s="134">
        <f>G8*(1+0.07)^-(B8-Assumptions!$D$4)</f>
        <v>0</v>
      </c>
      <c r="I8" s="253"/>
      <c r="K8" s="54"/>
      <c r="L8" s="66"/>
      <c r="P8" s="17"/>
      <c r="Q8" s="17"/>
      <c r="R8" s="282"/>
      <c r="S8" s="282"/>
      <c r="T8" s="282"/>
      <c r="U8" s="282"/>
      <c r="V8" s="282"/>
      <c r="W8" s="282"/>
      <c r="X8" s="282"/>
    </row>
    <row r="9" spans="1:24" ht="14.25" customHeight="1" x14ac:dyDescent="0.25">
      <c r="B9" s="2">
        <f t="shared" si="3"/>
        <v>2025</v>
      </c>
      <c r="C9" s="132" cm="1">
        <f t="array" ref="C9">_xlfn.SINGLE(IF(B9&gt;='Travel Time Cost Savings'!$L$26,TREND($L$23:$L$24,$K$23:$K$24,B9)*$L$18+TREND($L$23:$L$24,$K$23:$K$24,B9)*$L$19,0))</f>
        <v>0</v>
      </c>
      <c r="D9" s="132" cm="1">
        <f t="array" ref="D9">_xlfn.SINGLE(IF(B9&gt;='Travel Time Cost Savings'!$L$26,TREND($M$23:$M$24,$K$23:$K$24,B9)*$L$18,0))</f>
        <v>0</v>
      </c>
      <c r="E9" s="134">
        <f t="shared" si="0"/>
        <v>0</v>
      </c>
      <c r="F9" s="134">
        <f t="shared" si="1"/>
        <v>0</v>
      </c>
      <c r="G9" s="135">
        <f t="shared" si="2"/>
        <v>0</v>
      </c>
      <c r="H9" s="134">
        <f>G9*(1+0.07)^-(B9-Assumptions!$D$4)</f>
        <v>0</v>
      </c>
      <c r="I9" s="253"/>
      <c r="K9" s="356" t="s">
        <v>157</v>
      </c>
      <c r="L9" s="356"/>
      <c r="P9" s="17"/>
      <c r="Q9" s="17"/>
      <c r="R9" s="282"/>
      <c r="S9" s="282"/>
      <c r="T9" s="282"/>
      <c r="U9" s="282"/>
      <c r="V9" s="282"/>
      <c r="W9" s="282"/>
      <c r="X9" s="282"/>
    </row>
    <row r="10" spans="1:24" x14ac:dyDescent="0.25">
      <c r="B10" s="2">
        <f t="shared" si="3"/>
        <v>2026</v>
      </c>
      <c r="C10" s="132" cm="1">
        <f t="array" ref="C10">_xlfn.SINGLE(IF(B10&gt;='Travel Time Cost Savings'!$L$26,TREND($L$23:$L$24,$K$23:$K$24,B10)*$L$18+TREND($L$23:$L$24,$K$23:$K$24,B10)*$L$19,0))</f>
        <v>0</v>
      </c>
      <c r="D10" s="132" cm="1">
        <f t="array" ref="D10">_xlfn.SINGLE(IF(B10&gt;='Travel Time Cost Savings'!$L$26,TREND($M$23:$M$24,$K$23:$K$24,B10)*$L$18,0))</f>
        <v>0</v>
      </c>
      <c r="E10" s="134">
        <f t="shared" si="0"/>
        <v>0</v>
      </c>
      <c r="F10" s="134">
        <f t="shared" si="1"/>
        <v>0</v>
      </c>
      <c r="G10" s="135">
        <f t="shared" si="2"/>
        <v>0</v>
      </c>
      <c r="H10" s="134">
        <f>G10*(1+0.07)^-(B10-Assumptions!$D$4)</f>
        <v>0</v>
      </c>
      <c r="I10" s="253"/>
      <c r="K10" s="68" t="s">
        <v>158</v>
      </c>
      <c r="L10" s="129">
        <v>0.1032</v>
      </c>
      <c r="P10" s="17"/>
      <c r="Q10" s="17"/>
      <c r="R10" s="282"/>
      <c r="S10" s="282"/>
      <c r="T10" s="282"/>
      <c r="U10" s="282"/>
      <c r="V10" s="282"/>
      <c r="W10" s="282"/>
      <c r="X10" s="282"/>
    </row>
    <row r="11" spans="1:24" x14ac:dyDescent="0.25">
      <c r="B11" s="2">
        <f t="shared" si="3"/>
        <v>2027</v>
      </c>
      <c r="C11" s="132" cm="1">
        <f t="array" ref="C11">_xlfn.SINGLE(IF(B11&gt;='Travel Time Cost Savings'!$L$26,TREND($L$23:$L$24,$K$23:$K$24,B11)*$L$18+TREND($L$23:$L$24,$K$23:$K$24,B11)*$L$19,0))</f>
        <v>0</v>
      </c>
      <c r="D11" s="132" cm="1">
        <f t="array" ref="D11">_xlfn.SINGLE(IF(B11&gt;='Travel Time Cost Savings'!$L$26,TREND($M$23:$M$24,$K$23:$K$24,B11)*$L$18,0))</f>
        <v>0</v>
      </c>
      <c r="E11" s="134">
        <f t="shared" si="0"/>
        <v>0</v>
      </c>
      <c r="F11" s="134">
        <f t="shared" si="1"/>
        <v>0</v>
      </c>
      <c r="G11" s="135">
        <f t="shared" si="2"/>
        <v>0</v>
      </c>
      <c r="H11" s="134">
        <f>G11*(1+0.07)^-(B11-Assumptions!$D$4)</f>
        <v>0</v>
      </c>
      <c r="I11" s="253"/>
      <c r="K11" s="68" t="s">
        <v>159</v>
      </c>
      <c r="L11" s="70">
        <v>0.17859999999999998</v>
      </c>
      <c r="P11" s="17"/>
      <c r="Q11" s="17"/>
      <c r="R11" s="282"/>
      <c r="S11" s="282"/>
      <c r="T11" s="282"/>
      <c r="U11" s="282"/>
      <c r="V11" s="282"/>
      <c r="W11" s="282"/>
      <c r="X11" s="282"/>
    </row>
    <row r="12" spans="1:24" x14ac:dyDescent="0.25">
      <c r="B12" s="2">
        <f t="shared" si="3"/>
        <v>2028</v>
      </c>
      <c r="C12" s="132" cm="1">
        <f t="array" ref="C12">_xlfn.SINGLE(IF(B12&gt;='Travel Time Cost Savings'!$L$26,TREND($L$23:$L$24,$K$23:$K$24,B12)*$L$18+TREND($L$23:$L$24,$K$23:$K$24,B12)*$L$19,0))</f>
        <v>0</v>
      </c>
      <c r="D12" s="132" cm="1">
        <f t="array" ref="D12">_xlfn.SINGLE(IF(B12&gt;='Travel Time Cost Savings'!$L$26,TREND($M$23:$M$24,$K$23:$K$24,B12)*$L$18,0))</f>
        <v>0</v>
      </c>
      <c r="E12" s="134">
        <f t="shared" si="0"/>
        <v>0</v>
      </c>
      <c r="F12" s="134">
        <f t="shared" si="1"/>
        <v>0</v>
      </c>
      <c r="G12" s="135">
        <f t="shared" si="2"/>
        <v>0</v>
      </c>
      <c r="H12" s="134">
        <f>G12*(1+0.07)^-(B12-Assumptions!$D$4)</f>
        <v>0</v>
      </c>
      <c r="I12" s="253"/>
      <c r="P12" s="17"/>
      <c r="Q12" s="17"/>
      <c r="R12" s="282"/>
      <c r="S12" s="282"/>
      <c r="T12" s="282"/>
      <c r="U12" s="282"/>
      <c r="V12" s="282"/>
      <c r="W12" s="282"/>
      <c r="X12" s="282"/>
    </row>
    <row r="13" spans="1:24" ht="15" customHeight="1" x14ac:dyDescent="0.25">
      <c r="B13" s="2">
        <f t="shared" si="3"/>
        <v>2029</v>
      </c>
      <c r="C13" s="132" cm="1">
        <f t="array" ref="C13">_xlfn.SINGLE(IF(B13&gt;='Travel Time Cost Savings'!$L$26,TREND($L$23:$L$24,$K$23:$K$24,B13)*$L$18+TREND($L$23:$L$24,$K$23:$K$24,B13)*$L$19,0))</f>
        <v>0</v>
      </c>
      <c r="D13" s="132" cm="1">
        <f t="array" ref="D13">_xlfn.SINGLE(IF(B13&gt;='Travel Time Cost Savings'!$L$26,TREND($M$23:$M$24,$K$23:$K$24,B13)*$L$18,0))</f>
        <v>0</v>
      </c>
      <c r="E13" s="134">
        <f t="shared" si="0"/>
        <v>0</v>
      </c>
      <c r="F13" s="134">
        <f t="shared" si="1"/>
        <v>0</v>
      </c>
      <c r="G13" s="135">
        <f t="shared" si="2"/>
        <v>0</v>
      </c>
      <c r="H13" s="134">
        <f>G13*(1+0.07)^-(B13-Assumptions!$D$4)</f>
        <v>0</v>
      </c>
      <c r="I13" s="253"/>
      <c r="K13" s="260" t="s">
        <v>160</v>
      </c>
      <c r="L13" s="260"/>
      <c r="M13" s="261"/>
      <c r="P13" s="17"/>
      <c r="Q13" s="17"/>
      <c r="R13" s="282"/>
      <c r="S13" s="282"/>
      <c r="T13" s="282"/>
      <c r="U13" s="282"/>
      <c r="V13" s="282"/>
      <c r="W13" s="282"/>
      <c r="X13" s="282"/>
    </row>
    <row r="14" spans="1:24" x14ac:dyDescent="0.25">
      <c r="B14" s="2">
        <f t="shared" si="3"/>
        <v>2030</v>
      </c>
      <c r="C14" s="132" cm="1">
        <f t="array" ref="C14">_xlfn.SINGLE(IF(B14&gt;='Travel Time Cost Savings'!$L$26,TREND($L$23:$L$24,$K$23:$K$24,B14)*$L$18+TREND($L$23:$L$24,$K$23:$K$24,B14)*$L$19,0))</f>
        <v>736231.34773031133</v>
      </c>
      <c r="D14" s="132" cm="1">
        <f t="array" ref="D14">_xlfn.SINGLE(IF(B14&gt;='Travel Time Cost Savings'!$L$26,TREND($M$23:$M$24,$K$23:$K$24,B14)*$L$18,0))</f>
        <v>600790.7106093741</v>
      </c>
      <c r="E14" s="134">
        <f t="shared" si="0"/>
        <v>349341.7744980327</v>
      </c>
      <c r="F14" s="134">
        <f t="shared" si="1"/>
        <v>285075.19218414801</v>
      </c>
      <c r="G14" s="135">
        <f t="shared" si="2"/>
        <v>64266.58231388469</v>
      </c>
      <c r="H14" s="134">
        <f>G14*(1+0.07)^-(B14-Assumptions!$D$4)</f>
        <v>32669.871627180855</v>
      </c>
      <c r="I14" s="253"/>
      <c r="K14" s="68" t="s">
        <v>24</v>
      </c>
      <c r="L14" s="67">
        <f>1-L15</f>
        <v>0.95</v>
      </c>
      <c r="M14" s="261"/>
      <c r="P14" s="17"/>
      <c r="Q14" s="17"/>
      <c r="R14" s="282"/>
      <c r="S14" s="282"/>
      <c r="T14" s="282"/>
      <c r="U14" s="282"/>
      <c r="V14" s="282"/>
      <c r="W14" s="282"/>
      <c r="X14" s="282"/>
    </row>
    <row r="15" spans="1:24" x14ac:dyDescent="0.25">
      <c r="B15" s="2">
        <f t="shared" si="3"/>
        <v>2031</v>
      </c>
      <c r="C15" s="132" cm="1">
        <f t="array" ref="C15">_xlfn.SINGLE(IF(B15&gt;='Travel Time Cost Savings'!$L$26,TREND($L$23:$L$24,$K$23:$K$24,B15)*$L$18+TREND($L$23:$L$24,$K$23:$K$24,B15)*$L$19,0))</f>
        <v>739882.08168599941</v>
      </c>
      <c r="D15" s="132" cm="1">
        <f t="array" ref="D15">_xlfn.SINGLE(IF(B15&gt;='Travel Time Cost Savings'!$L$26,TREND($M$23:$M$24,$K$23:$K$24,B15)*$L$18,0))</f>
        <v>603769.83809999947</v>
      </c>
      <c r="E15" s="134">
        <f t="shared" si="0"/>
        <v>351074.04776000668</v>
      </c>
      <c r="F15" s="134">
        <f t="shared" si="1"/>
        <v>286488.78817844973</v>
      </c>
      <c r="G15" s="135">
        <f t="shared" ref="G15:G27" si="4">(E15-F15)</f>
        <v>64585.259581556951</v>
      </c>
      <c r="H15" s="134">
        <f>G15*(1+0.07)^-(B15-Assumptions!$D$4)</f>
        <v>30683.991580020069</v>
      </c>
      <c r="I15" s="253"/>
      <c r="K15" s="68" t="s">
        <v>25</v>
      </c>
      <c r="L15" s="67">
        <f>Assumptions!D15</f>
        <v>0.05</v>
      </c>
      <c r="M15" s="261"/>
      <c r="P15" s="17"/>
      <c r="Q15" s="17"/>
      <c r="R15" s="282"/>
      <c r="S15" s="282"/>
      <c r="T15" s="282"/>
      <c r="U15" s="282"/>
      <c r="V15" s="282"/>
      <c r="W15" s="282"/>
      <c r="X15" s="282"/>
    </row>
    <row r="16" spans="1:24" x14ac:dyDescent="0.25">
      <c r="B16" s="2">
        <f t="shared" si="3"/>
        <v>2032</v>
      </c>
      <c r="C16" s="132" cm="1">
        <f t="array" ref="C16">_xlfn.SINGLE(IF(B16&gt;='Travel Time Cost Savings'!$L$26,TREND($L$23:$L$24,$K$23:$K$24,B16)*$L$18+TREND($L$23:$L$24,$K$23:$K$24,B16)*$L$19,0))</f>
        <v>743532.8156416862</v>
      </c>
      <c r="D16" s="132" cm="1">
        <f t="array" ref="D16">_xlfn.SINGLE(IF(B16&gt;='Travel Time Cost Savings'!$L$26,TREND($M$23:$M$24,$K$23:$K$24,B16)*$L$18,0))</f>
        <v>606748.96559062391</v>
      </c>
      <c r="E16" s="134">
        <f t="shared" si="0"/>
        <v>352806.32102198008</v>
      </c>
      <c r="F16" s="134">
        <f t="shared" si="1"/>
        <v>287902.38417275104</v>
      </c>
      <c r="G16" s="135">
        <f t="shared" si="4"/>
        <v>64903.936849229038</v>
      </c>
      <c r="H16" s="134">
        <f>G16*(1+0.07)^-(B16-Assumptions!$D$4)</f>
        <v>28818.12416286314</v>
      </c>
      <c r="I16" s="253"/>
      <c r="K16" s="54"/>
      <c r="L16" s="57"/>
      <c r="M16" s="261"/>
      <c r="P16" s="17"/>
      <c r="Q16" s="17"/>
      <c r="R16" s="282"/>
      <c r="S16" s="282"/>
      <c r="T16" s="282"/>
      <c r="U16" s="282"/>
      <c r="V16" s="282"/>
      <c r="W16" s="282"/>
      <c r="X16" s="282"/>
    </row>
    <row r="17" spans="1:43" x14ac:dyDescent="0.25">
      <c r="B17" s="2">
        <f t="shared" si="3"/>
        <v>2033</v>
      </c>
      <c r="C17" s="132" cm="1">
        <f t="array" ref="C17">_xlfn.SINGLE(IF(B17&gt;='Travel Time Cost Savings'!$L$26,TREND($L$23:$L$24,$K$23:$K$24,B17)*$L$18+TREND($L$23:$L$24,$K$23:$K$24,B17)*$L$19,0))</f>
        <v>747183.54959737416</v>
      </c>
      <c r="D17" s="132" cm="1">
        <f t="array" ref="D17">_xlfn.SINGLE(IF(B17&gt;='Travel Time Cost Savings'!$L$26,TREND($M$23:$M$24,$K$23:$K$24,B17)*$L$18,0))</f>
        <v>609728.09308124927</v>
      </c>
      <c r="E17" s="134">
        <f t="shared" si="0"/>
        <v>354538.59428395401</v>
      </c>
      <c r="F17" s="134">
        <f t="shared" si="1"/>
        <v>289315.98016705277</v>
      </c>
      <c r="G17" s="135">
        <f t="shared" si="4"/>
        <v>65222.614116901241</v>
      </c>
      <c r="H17" s="134">
        <f>G17*(1+0.07)^-(B17-Assumptions!$D$4)</f>
        <v>27065.066056867061</v>
      </c>
      <c r="I17" s="253"/>
      <c r="K17" s="260" t="s">
        <v>161</v>
      </c>
      <c r="L17" s="48"/>
      <c r="M17" s="261"/>
      <c r="P17" s="17"/>
      <c r="Q17" s="17"/>
      <c r="R17" s="282"/>
      <c r="S17" s="282"/>
      <c r="T17" s="282"/>
      <c r="U17" s="282"/>
      <c r="V17" s="282"/>
      <c r="W17" s="282"/>
      <c r="X17" s="282"/>
    </row>
    <row r="18" spans="1:43" x14ac:dyDescent="0.25">
      <c r="B18" s="2">
        <f t="shared" si="3"/>
        <v>2034</v>
      </c>
      <c r="C18" s="132" cm="1">
        <f t="array" ref="C18">_xlfn.SINGLE(IF(B18&gt;='Travel Time Cost Savings'!$L$26,TREND($L$23:$L$24,$K$23:$K$24,B18)*$L$18+TREND($L$23:$L$24,$K$23:$K$24,B18)*$L$19,0))</f>
        <v>750834.28355306201</v>
      </c>
      <c r="D18" s="132" cm="1">
        <f t="array" ref="D18">_xlfn.SINGLE(IF(B18&gt;='Travel Time Cost Savings'!$L$26,TREND($M$23:$M$24,$K$23:$K$24,B18)*$L$18,0))</f>
        <v>612707.22057187464</v>
      </c>
      <c r="E18" s="134">
        <f t="shared" si="0"/>
        <v>356270.86754592793</v>
      </c>
      <c r="F18" s="134">
        <f t="shared" si="1"/>
        <v>290729.57616135449</v>
      </c>
      <c r="G18" s="135">
        <f t="shared" si="4"/>
        <v>65541.291384573444</v>
      </c>
      <c r="H18" s="134">
        <f>G18*(1+0.07)^-(B18-Assumptions!$D$4)</f>
        <v>25418.042797477839</v>
      </c>
      <c r="I18" s="253"/>
      <c r="K18" s="47" t="s">
        <v>26</v>
      </c>
      <c r="L18" s="130">
        <f>Assumptions!$D$26</f>
        <v>0.47449999999999998</v>
      </c>
      <c r="M18" s="261"/>
      <c r="P18" s="17"/>
      <c r="Q18" s="17"/>
      <c r="R18" s="282"/>
      <c r="S18" s="282"/>
      <c r="T18" s="282"/>
      <c r="U18" s="282"/>
      <c r="V18" s="282"/>
      <c r="W18" s="282"/>
      <c r="X18" s="282"/>
    </row>
    <row r="19" spans="1:43" x14ac:dyDescent="0.25">
      <c r="B19" s="2">
        <f t="shared" si="3"/>
        <v>2035</v>
      </c>
      <c r="C19" s="132" cm="1">
        <f t="array" ref="C19">_xlfn.SINGLE(IF(B19&gt;='Travel Time Cost Savings'!$L$26,TREND($L$23:$L$24,$K$23:$K$24,B19)*$L$18+TREND($L$23:$L$24,$K$23:$K$24,B19)*$L$19,0))</f>
        <v>754485.01750874892</v>
      </c>
      <c r="D19" s="132" cm="1">
        <f t="array" ref="D19">_xlfn.SINGLE(IF(B19&gt;='Travel Time Cost Savings'!$L$26,TREND($M$23:$M$24,$K$23:$K$24,B19)*$L$18,0))</f>
        <v>615686.34806249908</v>
      </c>
      <c r="E19" s="134">
        <f t="shared" si="0"/>
        <v>358003.14080790133</v>
      </c>
      <c r="F19" s="134">
        <f t="shared" si="1"/>
        <v>292143.1721556558</v>
      </c>
      <c r="G19" s="135">
        <f t="shared" si="4"/>
        <v>65859.96865224553</v>
      </c>
      <c r="H19" s="134">
        <f>G19*(1+0.07)^-(B19-Assumptions!$D$4)</f>
        <v>23870.683491776977</v>
      </c>
      <c r="I19" s="253"/>
      <c r="K19" s="47" t="s">
        <v>172</v>
      </c>
      <c r="L19" s="130">
        <f>L10*L14+L11*L15</f>
        <v>0.10697</v>
      </c>
      <c r="P19" s="17"/>
      <c r="Q19" s="17"/>
      <c r="R19" s="282"/>
      <c r="S19" s="282"/>
      <c r="T19" s="282"/>
      <c r="U19" s="282"/>
      <c r="V19" s="282"/>
      <c r="W19" s="282"/>
      <c r="X19" s="282"/>
    </row>
    <row r="20" spans="1:43" ht="14.25" customHeight="1" x14ac:dyDescent="0.25">
      <c r="B20" s="2">
        <f t="shared" si="3"/>
        <v>2036</v>
      </c>
      <c r="C20" s="132" cm="1">
        <f t="array" ref="C20">_xlfn.SINGLE(IF(B20&gt;='Travel Time Cost Savings'!$L$26,TREND($L$23:$L$24,$K$23:$K$24,B20)*$L$18+TREND($L$23:$L$24,$K$23:$K$24,B20)*$L$19,0))</f>
        <v>758135.75146443676</v>
      </c>
      <c r="D20" s="132" cm="1">
        <f t="array" ref="D20">_xlfn.SINGLE(IF(B20&gt;='Travel Time Cost Savings'!$L$26,TREND($M$23:$M$24,$K$23:$K$24,B20)*$L$18,0))</f>
        <v>618665.47555312444</v>
      </c>
      <c r="E20" s="134">
        <f t="shared" si="0"/>
        <v>359735.4140698752</v>
      </c>
      <c r="F20" s="134">
        <f t="shared" si="1"/>
        <v>293556.76814995753</v>
      </c>
      <c r="G20" s="135">
        <f t="shared" si="4"/>
        <v>66178.645919917675</v>
      </c>
      <c r="H20" s="134">
        <f>G20*(1+0.07)^-(B20-Assumptions!$D$4)</f>
        <v>22416.997008406775</v>
      </c>
      <c r="I20" s="253"/>
      <c r="P20" s="17"/>
      <c r="Q20" s="17"/>
      <c r="R20" s="282"/>
      <c r="S20" s="282"/>
      <c r="T20" s="282"/>
      <c r="U20" s="282"/>
      <c r="V20" s="282"/>
      <c r="W20" s="282"/>
      <c r="X20" s="282"/>
    </row>
    <row r="21" spans="1:43" x14ac:dyDescent="0.25">
      <c r="B21" s="2">
        <f t="shared" si="3"/>
        <v>2037</v>
      </c>
      <c r="C21" s="132" cm="1">
        <f t="array" ref="C21">_xlfn.SINGLE(IF(B21&gt;='Travel Time Cost Savings'!$L$26,TREND($L$23:$L$24,$K$23:$K$24,B21)*$L$18+TREND($L$23:$L$24,$K$23:$K$24,B21)*$L$19,0))</f>
        <v>761786.48542012367</v>
      </c>
      <c r="D21" s="132" cm="1">
        <f t="array" ref="D21">_xlfn.SINGLE(IF(B21&gt;='Travel Time Cost Savings'!$L$26,TREND($M$23:$M$24,$K$23:$K$24,B21)*$L$18,0))</f>
        <v>621644.60304374888</v>
      </c>
      <c r="E21" s="134">
        <f t="shared" si="0"/>
        <v>361467.68733184866</v>
      </c>
      <c r="F21" s="134">
        <f t="shared" si="1"/>
        <v>294970.36414425884</v>
      </c>
      <c r="G21" s="135">
        <f t="shared" si="4"/>
        <v>66497.32318758982</v>
      </c>
      <c r="H21" s="134">
        <f>G21*(1+0.07)^-(B21-Assumptions!$D$4)</f>
        <v>21051.349555606186</v>
      </c>
      <c r="I21" s="253"/>
      <c r="K21" s="18" t="s">
        <v>162</v>
      </c>
      <c r="L21" s="17"/>
      <c r="M21" s="17"/>
      <c r="P21" s="17"/>
      <c r="Q21" s="17"/>
      <c r="R21" s="282"/>
      <c r="S21" s="282"/>
      <c r="T21" s="282"/>
      <c r="U21" s="282"/>
      <c r="V21" s="282"/>
      <c r="W21" s="282"/>
      <c r="X21" s="282"/>
    </row>
    <row r="22" spans="1:43" s="250" customFormat="1" x14ac:dyDescent="0.25">
      <c r="B22" s="2">
        <f t="shared" si="3"/>
        <v>2038</v>
      </c>
      <c r="C22" s="132" cm="1">
        <f t="array" ref="C22">_xlfn.SINGLE(IF(B22&gt;='Travel Time Cost Savings'!$L$26,TREND($L$23:$L$24,$K$23:$K$24,B22)*$L$18+TREND($L$23:$L$24,$K$23:$K$24,B22)*$L$19,0))</f>
        <v>765437.21937581152</v>
      </c>
      <c r="D22" s="132" cm="1">
        <f t="array" ref="D22">_xlfn.SINGLE(IF(B22&gt;='Travel Time Cost Savings'!$L$26,TREND($M$23:$M$24,$K$23:$K$24,B22)*$L$18,0))</f>
        <v>624623.73053437425</v>
      </c>
      <c r="E22" s="134">
        <f t="shared" si="0"/>
        <v>363199.96059382253</v>
      </c>
      <c r="F22" s="134">
        <f t="shared" si="1"/>
        <v>296383.96013856056</v>
      </c>
      <c r="G22" s="135">
        <f t="shared" si="4"/>
        <v>66816.000455261965</v>
      </c>
      <c r="H22" s="134">
        <f>G22*(1+0.07)^-(B22-Assumptions!$D$4)</f>
        <v>19768.443567639497</v>
      </c>
      <c r="I22" s="253"/>
      <c r="K22" s="256" t="s">
        <v>64</v>
      </c>
      <c r="L22" s="174" t="s">
        <v>138</v>
      </c>
      <c r="M22" s="174" t="s">
        <v>18</v>
      </c>
      <c r="P22" s="17"/>
      <c r="Q22" s="17"/>
      <c r="R22" s="282"/>
      <c r="S22" s="282"/>
      <c r="T22" s="282"/>
      <c r="U22" s="282"/>
      <c r="V22" s="282"/>
      <c r="W22" s="282"/>
      <c r="X22" s="282"/>
      <c r="Y22"/>
      <c r="Z22"/>
      <c r="AA22"/>
      <c r="AB22"/>
      <c r="AC22"/>
      <c r="AD22"/>
      <c r="AE22"/>
      <c r="AF22"/>
      <c r="AG22"/>
      <c r="AH22"/>
      <c r="AI22"/>
      <c r="AJ22"/>
      <c r="AK22"/>
      <c r="AL22"/>
      <c r="AM22"/>
      <c r="AN22"/>
      <c r="AO22"/>
      <c r="AP22"/>
      <c r="AQ22"/>
    </row>
    <row r="23" spans="1:43" s="250" customFormat="1" x14ac:dyDescent="0.25">
      <c r="B23" s="2">
        <f t="shared" si="3"/>
        <v>2039</v>
      </c>
      <c r="C23" s="132" cm="1">
        <f t="array" ref="C23">_xlfn.SINGLE(IF(B23&gt;='Travel Time Cost Savings'!$L$26,TREND($L$23:$L$24,$K$23:$K$24,B23)*$L$18+TREND($L$23:$L$24,$K$23:$K$24,B23)*$L$19,0))</f>
        <v>769087.95333149959</v>
      </c>
      <c r="D23" s="132" cm="1">
        <f t="array" ref="D23">_xlfn.SINGLE(IF(B23&gt;='Travel Time Cost Savings'!$L$26,TREND($M$23:$M$24,$K$23:$K$24,B23)*$L$18,0))</f>
        <v>627602.85802499962</v>
      </c>
      <c r="E23" s="134">
        <f t="shared" si="0"/>
        <v>364932.23385579651</v>
      </c>
      <c r="F23" s="134">
        <f t="shared" si="1"/>
        <v>297797.55613286229</v>
      </c>
      <c r="G23" s="135">
        <f t="shared" si="4"/>
        <v>67134.677722934226</v>
      </c>
      <c r="H23" s="134">
        <f>G23*(1+0.07)^-(B23-Assumptions!$D$4)</f>
        <v>18563.297824388483</v>
      </c>
      <c r="I23" s="253"/>
      <c r="K23" s="257">
        <f>'Travel Time Cost Savings'!K22</f>
        <v>2019</v>
      </c>
      <c r="L23" s="286">
        <f>Travel!B5</f>
        <v>1197092.325</v>
      </c>
      <c r="M23" s="286">
        <f>Travel!B5</f>
        <v>1197092.325</v>
      </c>
      <c r="P23" s="282"/>
      <c r="Q23" s="282"/>
      <c r="R23" s="282"/>
      <c r="S23" s="282"/>
      <c r="T23" s="282"/>
      <c r="U23" s="282"/>
      <c r="V23" s="282"/>
      <c r="W23" s="282"/>
      <c r="X23" s="282"/>
      <c r="Y23"/>
      <c r="Z23"/>
      <c r="AA23"/>
      <c r="AB23"/>
      <c r="AC23"/>
      <c r="AD23"/>
      <c r="AE23"/>
      <c r="AF23"/>
      <c r="AG23"/>
      <c r="AH23"/>
      <c r="AI23"/>
      <c r="AJ23"/>
      <c r="AK23"/>
      <c r="AL23"/>
      <c r="AM23"/>
      <c r="AN23"/>
      <c r="AO23"/>
      <c r="AP23"/>
      <c r="AQ23"/>
    </row>
    <row r="24" spans="1:43" s="250" customFormat="1" x14ac:dyDescent="0.25">
      <c r="B24" s="2">
        <f t="shared" si="3"/>
        <v>2040</v>
      </c>
      <c r="C24" s="132" cm="1">
        <f t="array" ref="C24">_xlfn.SINGLE(IF(B24&gt;='Travel Time Cost Savings'!$L$26,TREND($L$23:$L$24,$K$23:$K$24,B24)*$L$18+TREND($L$23:$L$24,$K$23:$K$24,B24)*$L$19,0))</f>
        <v>772738.68728718639</v>
      </c>
      <c r="D24" s="132" cm="1">
        <f t="array" ref="D24">_xlfn.SINGLE(IF(B24&gt;='Travel Time Cost Savings'!$L$26,TREND($M$23:$M$24,$K$23:$K$24,B24)*$L$18,0))</f>
        <v>630581.98551562405</v>
      </c>
      <c r="E24" s="134">
        <f t="shared" si="0"/>
        <v>366664.50711776991</v>
      </c>
      <c r="F24" s="134">
        <f t="shared" si="1"/>
        <v>299211.1521271636</v>
      </c>
      <c r="G24" s="135">
        <f t="shared" si="4"/>
        <v>67453.354990606313</v>
      </c>
      <c r="H24" s="134">
        <f>G24*(1+0.07)^-(B24-Assumptions!$D$4)</f>
        <v>17431.228733122378</v>
      </c>
      <c r="I24" s="253"/>
      <c r="K24" s="257">
        <f>'Travel Time Cost Savings'!K23</f>
        <v>2039</v>
      </c>
      <c r="L24" s="286">
        <f>Travel!B6</f>
        <v>1322661.45</v>
      </c>
      <c r="M24" s="286">
        <f>Travel!B6</f>
        <v>1322661.45</v>
      </c>
      <c r="P24" s="282"/>
      <c r="Q24" s="282"/>
      <c r="R24" s="282"/>
      <c r="S24" s="282"/>
      <c r="T24" s="282"/>
      <c r="U24" s="282"/>
      <c r="V24" s="282"/>
      <c r="W24" s="282"/>
      <c r="X24" s="282"/>
      <c r="Y24"/>
      <c r="Z24"/>
      <c r="AA24"/>
      <c r="AB24"/>
      <c r="AC24"/>
      <c r="AD24"/>
      <c r="AE24"/>
      <c r="AF24"/>
      <c r="AG24"/>
      <c r="AH24"/>
      <c r="AI24"/>
      <c r="AJ24"/>
      <c r="AK24"/>
      <c r="AL24"/>
      <c r="AM24"/>
      <c r="AN24"/>
      <c r="AO24"/>
      <c r="AP24"/>
      <c r="AQ24"/>
    </row>
    <row r="25" spans="1:43" x14ac:dyDescent="0.25">
      <c r="B25" s="2">
        <f t="shared" si="3"/>
        <v>2041</v>
      </c>
      <c r="C25" s="132" cm="1">
        <f t="array" ref="C25">_xlfn.SINGLE(IF(B25&gt;='Travel Time Cost Savings'!$L$26,TREND($L$23:$L$24,$K$23:$K$24,B25)*$L$18+TREND($L$23:$L$24,$K$23:$K$24,B25)*$L$19,0))</f>
        <v>776389.42124287435</v>
      </c>
      <c r="D25" s="132" cm="1">
        <f t="array" ref="D25">_xlfn.SINGLE(IF(B25&gt;='Travel Time Cost Savings'!$L$26,TREND($M$23:$M$24,$K$23:$K$24,B25)*$L$18,0))</f>
        <v>633561.11300624942</v>
      </c>
      <c r="E25" s="134">
        <f t="shared" si="0"/>
        <v>368396.78037974384</v>
      </c>
      <c r="F25" s="134">
        <f t="shared" si="1"/>
        <v>300624.74812146532</v>
      </c>
      <c r="G25" s="135">
        <f t="shared" si="4"/>
        <v>67772.032258278516</v>
      </c>
      <c r="H25" s="134">
        <f>G25*(1+0.07)^-(B25-Assumptions!$D$4)</f>
        <v>16367.832705470726</v>
      </c>
      <c r="I25" s="253"/>
      <c r="K25" s="261"/>
      <c r="L25" s="248"/>
      <c r="M25" s="248" t="s">
        <v>148</v>
      </c>
      <c r="P25" s="282"/>
      <c r="Q25" s="282"/>
      <c r="R25" s="282"/>
      <c r="S25" s="282"/>
      <c r="T25" s="282"/>
      <c r="U25" s="282"/>
      <c r="V25" s="282"/>
      <c r="W25" s="282"/>
      <c r="X25" s="282"/>
    </row>
    <row r="26" spans="1:43" x14ac:dyDescent="0.25">
      <c r="B26" s="2">
        <f t="shared" si="3"/>
        <v>2042</v>
      </c>
      <c r="C26" s="132" cm="1">
        <f t="array" ref="C26">_xlfn.SINGLE(IF(B26&gt;='Travel Time Cost Savings'!$L$26,TREND($L$23:$L$24,$K$23:$K$24,B26)*$L$18+TREND($L$23:$L$24,$K$23:$K$24,B26)*$L$19,0))</f>
        <v>780040.15519856114</v>
      </c>
      <c r="D26" s="132" cm="1">
        <f t="array" ref="D26">_xlfn.SINGLE(IF(B26&gt;='Travel Time Cost Savings'!$L$26,TREND($M$23:$M$24,$K$23:$K$24,B26)*$L$18,0))</f>
        <v>636540.24049687386</v>
      </c>
      <c r="E26" s="134">
        <f t="shared" si="0"/>
        <v>370129.05364171724</v>
      </c>
      <c r="F26" s="134">
        <f t="shared" si="1"/>
        <v>302038.34411576664</v>
      </c>
      <c r="G26" s="135">
        <f t="shared" si="4"/>
        <v>68090.709525950602</v>
      </c>
      <c r="H26" s="134">
        <f>G26*(1+0.07)^-(B26-Assumptions!$D$4)</f>
        <v>15368.969566411866</v>
      </c>
      <c r="I26" s="253"/>
      <c r="P26" s="282"/>
      <c r="Q26" s="282"/>
      <c r="R26" s="282"/>
      <c r="S26" s="282"/>
      <c r="T26" s="282"/>
      <c r="U26" s="282"/>
      <c r="V26" s="282"/>
      <c r="W26" s="282"/>
      <c r="X26" s="282"/>
    </row>
    <row r="27" spans="1:43" ht="15.75" thickBot="1" x14ac:dyDescent="0.3">
      <c r="B27" s="3">
        <f t="shared" si="3"/>
        <v>2043</v>
      </c>
      <c r="C27" s="162" cm="1">
        <f t="array" ref="C27">_xlfn.SINGLE(IF(B27&gt;='Travel Time Cost Savings'!$L$26,TREND($L$23:$L$24,$K$23:$K$24,B27)*$L$18+TREND($L$23:$L$24,$K$23:$K$24,B27)*$L$19,0))</f>
        <v>783690.8891542491</v>
      </c>
      <c r="D27" s="162" cm="1">
        <f t="array" ref="D27">_xlfn.SINGLE(IF(B27&gt;='Travel Time Cost Savings'!$L$26,TREND($M$23:$M$24,$K$23:$K$24,B27)*$L$18,0))</f>
        <v>639519.36798749922</v>
      </c>
      <c r="E27" s="167">
        <f t="shared" si="0"/>
        <v>371861.32690369117</v>
      </c>
      <c r="F27" s="167">
        <f t="shared" si="1"/>
        <v>303451.94011006836</v>
      </c>
      <c r="G27" s="168">
        <f t="shared" si="4"/>
        <v>68409.386793622805</v>
      </c>
      <c r="H27" s="167">
        <f>G27*(1+0.07)^-(B27-Assumptions!$D$4)</f>
        <v>14430.746935671843</v>
      </c>
      <c r="I27" s="253"/>
      <c r="P27" s="282"/>
      <c r="Q27" s="282"/>
      <c r="R27" s="282"/>
      <c r="S27" s="282"/>
      <c r="T27" s="282"/>
      <c r="U27" s="282"/>
      <c r="V27" s="282"/>
      <c r="W27" s="282"/>
      <c r="X27" s="282"/>
    </row>
    <row r="28" spans="1:43" ht="15" customHeight="1" thickBot="1" x14ac:dyDescent="0.3">
      <c r="B28" s="4"/>
      <c r="C28" s="52"/>
      <c r="D28" s="52"/>
      <c r="E28" s="52"/>
      <c r="F28" s="52"/>
      <c r="G28" s="69" t="s">
        <v>2</v>
      </c>
      <c r="H28" s="123">
        <f>SUM(H6:H27)</f>
        <v>313924.64561290375</v>
      </c>
      <c r="I28" s="95"/>
      <c r="P28" s="282"/>
      <c r="Q28" s="282"/>
      <c r="R28" s="282"/>
      <c r="S28" s="282"/>
      <c r="T28" s="282"/>
      <c r="U28" s="282"/>
      <c r="V28" s="282"/>
      <c r="W28" s="282"/>
      <c r="X28" s="282"/>
    </row>
    <row r="29" spans="1:43" x14ac:dyDescent="0.25">
      <c r="G29" s="125"/>
      <c r="H29" s="125"/>
      <c r="I29" s="161"/>
      <c r="J29" s="24"/>
      <c r="P29" s="282"/>
      <c r="Q29" s="282"/>
      <c r="R29" s="282"/>
      <c r="S29" s="282"/>
      <c r="T29" s="282"/>
      <c r="U29" s="282"/>
      <c r="V29" s="282"/>
      <c r="W29" s="282"/>
      <c r="X29" s="282"/>
    </row>
    <row r="30" spans="1:43" x14ac:dyDescent="0.25">
      <c r="A30" s="17"/>
      <c r="B30" s="18" t="s">
        <v>3</v>
      </c>
      <c r="C30" s="17"/>
      <c r="D30" s="17"/>
      <c r="E30" s="17"/>
      <c r="F30" s="17"/>
      <c r="J30" s="21"/>
      <c r="K30" s="28"/>
      <c r="P30" s="282"/>
      <c r="Q30" s="282"/>
      <c r="R30" s="282"/>
      <c r="S30" s="282"/>
      <c r="T30" s="282"/>
      <c r="U30" s="282"/>
      <c r="V30" s="355"/>
      <c r="W30" s="282"/>
      <c r="X30" s="282"/>
    </row>
    <row r="31" spans="1:43" ht="15" customHeight="1" x14ac:dyDescent="0.25">
      <c r="A31" s="63" t="s">
        <v>12</v>
      </c>
      <c r="B31" s="344" t="s">
        <v>185</v>
      </c>
      <c r="C31" s="344"/>
      <c r="D31" s="344"/>
      <c r="E31" s="344"/>
      <c r="F31" s="344"/>
      <c r="G31" s="344"/>
      <c r="H31" s="344"/>
      <c r="J31" s="21"/>
      <c r="K31" s="36"/>
      <c r="P31" s="282"/>
      <c r="Q31" s="282"/>
      <c r="R31" s="282"/>
      <c r="S31" s="282"/>
      <c r="T31" s="282"/>
      <c r="U31" s="282"/>
      <c r="V31" s="355"/>
      <c r="W31" s="282"/>
      <c r="X31" s="282"/>
    </row>
    <row r="32" spans="1:43" x14ac:dyDescent="0.25">
      <c r="A32" s="17"/>
      <c r="B32" s="344"/>
      <c r="C32" s="344"/>
      <c r="D32" s="344"/>
      <c r="E32" s="344"/>
      <c r="F32" s="344"/>
      <c r="G32" s="344"/>
      <c r="H32" s="344"/>
      <c r="I32" s="17"/>
      <c r="J32" s="35"/>
      <c r="K32" s="35"/>
      <c r="P32" s="282"/>
      <c r="Q32" s="282"/>
      <c r="R32" s="282"/>
      <c r="S32" s="282"/>
      <c r="T32" s="282"/>
      <c r="U32" s="282"/>
      <c r="V32" s="282"/>
      <c r="W32" s="282"/>
      <c r="X32" s="282"/>
    </row>
    <row r="33" spans="1:24" x14ac:dyDescent="0.25">
      <c r="A33" s="17"/>
      <c r="B33" s="344"/>
      <c r="C33" s="344"/>
      <c r="D33" s="344"/>
      <c r="E33" s="344"/>
      <c r="F33" s="344"/>
      <c r="G33" s="344"/>
      <c r="H33" s="344"/>
      <c r="I33" s="17"/>
      <c r="J33" s="35"/>
      <c r="K33" s="35"/>
      <c r="P33" s="282"/>
      <c r="Q33" s="282"/>
      <c r="R33" s="282"/>
      <c r="S33" s="282"/>
      <c r="T33" s="282"/>
      <c r="U33" s="282"/>
      <c r="V33" s="282"/>
      <c r="W33" s="282"/>
      <c r="X33" s="282"/>
    </row>
    <row r="34" spans="1:24" x14ac:dyDescent="0.25">
      <c r="A34" s="17"/>
      <c r="B34" s="344"/>
      <c r="C34" s="344"/>
      <c r="D34" s="344"/>
      <c r="E34" s="344"/>
      <c r="F34" s="344"/>
      <c r="G34" s="344"/>
      <c r="H34" s="344"/>
      <c r="I34" s="17"/>
      <c r="J34" s="35"/>
      <c r="K34" s="35"/>
      <c r="P34" s="282"/>
      <c r="Q34" s="282"/>
      <c r="R34" s="282"/>
      <c r="S34" s="282"/>
      <c r="T34" s="282"/>
      <c r="U34" s="282"/>
      <c r="V34" s="282"/>
      <c r="W34" s="282"/>
      <c r="X34" s="282"/>
    </row>
    <row r="35" spans="1:24" ht="15" customHeight="1" x14ac:dyDescent="0.25">
      <c r="A35" s="63" t="s">
        <v>11</v>
      </c>
      <c r="B35" s="344" t="s">
        <v>130</v>
      </c>
      <c r="C35" s="344"/>
      <c r="D35" s="344"/>
      <c r="E35" s="344"/>
      <c r="F35" s="344"/>
      <c r="G35" s="344"/>
      <c r="H35" s="344"/>
      <c r="I35" s="17"/>
      <c r="J35" s="35"/>
      <c r="K35" s="35"/>
      <c r="P35" s="282"/>
      <c r="Q35" s="282"/>
      <c r="R35" s="282"/>
      <c r="S35" s="282"/>
      <c r="T35" s="282"/>
      <c r="U35" s="282"/>
      <c r="V35" s="282"/>
      <c r="W35" s="282"/>
      <c r="X35" s="282"/>
    </row>
    <row r="36" spans="1:24" ht="15" customHeight="1" x14ac:dyDescent="0.25">
      <c r="A36" s="63"/>
      <c r="B36" s="344"/>
      <c r="C36" s="344"/>
      <c r="D36" s="344"/>
      <c r="E36" s="344"/>
      <c r="F36" s="344"/>
      <c r="G36" s="344"/>
      <c r="H36" s="344"/>
      <c r="I36" s="17"/>
      <c r="J36" s="35"/>
      <c r="K36" s="35"/>
      <c r="P36" s="282"/>
      <c r="Q36" s="282"/>
      <c r="R36" s="282"/>
      <c r="S36" s="282"/>
      <c r="T36" s="282"/>
      <c r="U36" s="282"/>
      <c r="V36" s="282"/>
      <c r="W36" s="282"/>
      <c r="X36" s="282"/>
    </row>
    <row r="37" spans="1:24" ht="15" customHeight="1" x14ac:dyDescent="0.25">
      <c r="A37" s="17"/>
      <c r="B37" s="74"/>
      <c r="C37" s="74"/>
      <c r="D37" s="74"/>
      <c r="E37" s="74"/>
      <c r="F37" s="74"/>
      <c r="G37" s="74"/>
      <c r="H37" s="17"/>
      <c r="I37" s="17"/>
      <c r="J37" s="35"/>
      <c r="K37" s="22"/>
      <c r="P37" s="282"/>
      <c r="Q37" s="282"/>
      <c r="R37" s="282"/>
      <c r="S37" s="282"/>
      <c r="T37" s="282"/>
      <c r="U37" s="282"/>
      <c r="V37" s="282"/>
      <c r="W37" s="282"/>
      <c r="X37" s="282"/>
    </row>
    <row r="38" spans="1:24" ht="15.75" customHeight="1" x14ac:dyDescent="0.25">
      <c r="A38" s="63" t="s">
        <v>13</v>
      </c>
      <c r="B38" s="344" t="s">
        <v>135</v>
      </c>
      <c r="C38" s="344"/>
      <c r="D38" s="344"/>
      <c r="E38" s="344"/>
      <c r="F38" s="344"/>
      <c r="G38" s="344"/>
      <c r="H38" s="344"/>
      <c r="K38" s="22"/>
      <c r="P38" s="282"/>
      <c r="Q38" s="282"/>
      <c r="R38" s="282"/>
      <c r="S38" s="282"/>
      <c r="T38" s="282"/>
      <c r="U38" s="282"/>
      <c r="V38" s="282"/>
      <c r="W38" s="282"/>
      <c r="X38" s="282"/>
    </row>
    <row r="39" spans="1:24" x14ac:dyDescent="0.25">
      <c r="A39" s="17"/>
      <c r="B39" s="344"/>
      <c r="C39" s="344"/>
      <c r="D39" s="344"/>
      <c r="E39" s="344"/>
      <c r="F39" s="344"/>
      <c r="G39" s="344"/>
      <c r="H39" s="344"/>
      <c r="K39" s="22"/>
      <c r="P39" s="282"/>
      <c r="Q39" s="282"/>
      <c r="R39" s="282"/>
      <c r="S39" s="282"/>
      <c r="T39" s="282"/>
      <c r="U39" s="282"/>
      <c r="V39" s="282"/>
      <c r="W39" s="282"/>
      <c r="X39" s="282"/>
    </row>
    <row r="40" spans="1:24" x14ac:dyDescent="0.25">
      <c r="A40" s="17"/>
      <c r="B40" s="344"/>
      <c r="C40" s="344"/>
      <c r="D40" s="344"/>
      <c r="E40" s="344"/>
      <c r="F40" s="344"/>
      <c r="G40" s="344"/>
      <c r="H40" s="344"/>
      <c r="K40" s="22"/>
      <c r="P40" s="282"/>
      <c r="Q40" s="282"/>
      <c r="R40" s="282"/>
      <c r="S40" s="282"/>
      <c r="T40" s="282"/>
      <c r="U40" s="282"/>
      <c r="V40" s="282"/>
      <c r="W40" s="282"/>
      <c r="X40" s="282"/>
    </row>
    <row r="41" spans="1:24" ht="15" customHeight="1" x14ac:dyDescent="0.25">
      <c r="A41" s="17"/>
      <c r="B41" s="344"/>
      <c r="C41" s="344"/>
      <c r="D41" s="344"/>
      <c r="E41" s="344"/>
      <c r="F41" s="344"/>
      <c r="G41" s="344"/>
      <c r="H41" s="344"/>
      <c r="L41" s="22"/>
    </row>
    <row r="42" spans="1:24" ht="15" customHeight="1" x14ac:dyDescent="0.25"/>
    <row r="43" spans="1:24" ht="15" customHeight="1" x14ac:dyDescent="0.25">
      <c r="A43" s="63" t="s">
        <v>14</v>
      </c>
      <c r="B43" s="51" t="s">
        <v>136</v>
      </c>
      <c r="C43" s="51"/>
      <c r="D43" s="51"/>
      <c r="E43" s="51"/>
      <c r="F43" s="51"/>
      <c r="G43" s="51"/>
      <c r="H43" s="51"/>
    </row>
    <row r="44" spans="1:24" ht="15" customHeight="1" x14ac:dyDescent="0.25">
      <c r="B44" s="51"/>
      <c r="C44" s="51"/>
      <c r="D44" s="51"/>
      <c r="E44" s="51"/>
      <c r="F44" s="51"/>
      <c r="G44" s="51"/>
      <c r="H44" s="51"/>
    </row>
    <row r="45" spans="1:24" ht="15" customHeight="1" x14ac:dyDescent="0.25">
      <c r="A45" s="353" t="s">
        <v>58</v>
      </c>
      <c r="B45" s="354" t="s">
        <v>175</v>
      </c>
      <c r="C45" s="354"/>
      <c r="D45" s="354"/>
      <c r="E45" s="354"/>
      <c r="F45" s="354"/>
      <c r="G45" s="354"/>
      <c r="H45" s="354"/>
    </row>
    <row r="46" spans="1:24" ht="15" customHeight="1" x14ac:dyDescent="0.25">
      <c r="A46" s="353"/>
      <c r="B46" s="354"/>
      <c r="C46" s="354"/>
      <c r="D46" s="354"/>
      <c r="E46" s="354"/>
      <c r="F46" s="354"/>
      <c r="G46" s="354"/>
      <c r="H46" s="354"/>
    </row>
    <row r="47" spans="1:24" x14ac:dyDescent="0.25">
      <c r="A47" s="353"/>
      <c r="B47" s="354"/>
      <c r="C47" s="354"/>
      <c r="D47" s="354"/>
      <c r="E47" s="354"/>
      <c r="F47" s="354"/>
      <c r="G47" s="354"/>
      <c r="H47" s="354"/>
    </row>
    <row r="48" spans="1:24" x14ac:dyDescent="0.25">
      <c r="A48" s="353"/>
      <c r="B48" s="10"/>
      <c r="C48" s="10"/>
      <c r="D48" s="10"/>
      <c r="E48" s="10"/>
      <c r="F48" s="10"/>
      <c r="G48" s="10"/>
      <c r="H48" s="10"/>
    </row>
    <row r="49" spans="1:9" ht="15" customHeight="1" x14ac:dyDescent="0.25">
      <c r="A49"/>
      <c r="B49"/>
      <c r="C49"/>
      <c r="D49"/>
      <c r="E49"/>
      <c r="F49"/>
      <c r="G49"/>
      <c r="H49"/>
      <c r="I49" s="17"/>
    </row>
    <row r="50" spans="1:9" x14ac:dyDescent="0.25">
      <c r="A50" s="17"/>
      <c r="B50" s="74"/>
      <c r="C50" s="74"/>
      <c r="D50" s="74"/>
      <c r="E50" s="74"/>
      <c r="F50" s="74"/>
      <c r="G50" s="74"/>
      <c r="H50" s="17"/>
      <c r="I50" s="17"/>
    </row>
    <row r="51" spans="1:9" x14ac:dyDescent="0.25">
      <c r="A51" s="17"/>
      <c r="B51" s="74"/>
      <c r="C51" s="74"/>
      <c r="D51" s="74"/>
      <c r="E51" s="74"/>
      <c r="F51" s="74"/>
      <c r="G51" s="74"/>
      <c r="H51" s="17"/>
      <c r="I51" s="17"/>
    </row>
    <row r="52" spans="1:9" x14ac:dyDescent="0.25">
      <c r="A52" s="17"/>
      <c r="B52" s="74"/>
      <c r="C52" s="74"/>
      <c r="D52" s="74"/>
      <c r="E52" s="74"/>
      <c r="F52" s="74"/>
      <c r="G52" s="153"/>
    </row>
    <row r="53" spans="1:9" x14ac:dyDescent="0.25">
      <c r="A53" s="7"/>
      <c r="B53" s="74"/>
      <c r="C53" s="74"/>
      <c r="D53" s="74"/>
      <c r="E53" s="74"/>
      <c r="F53" s="74"/>
      <c r="G53" s="74"/>
    </row>
    <row r="54" spans="1:9" x14ac:dyDescent="0.25">
      <c r="B54" s="74"/>
      <c r="C54" s="74"/>
      <c r="D54" s="74"/>
      <c r="E54" s="74"/>
      <c r="F54" s="74"/>
      <c r="G54" s="74"/>
    </row>
    <row r="55" spans="1:9" x14ac:dyDescent="0.25">
      <c r="B55" s="74"/>
      <c r="C55" s="74"/>
      <c r="D55" s="74"/>
      <c r="E55" s="74"/>
      <c r="F55" s="74"/>
      <c r="G55" s="74"/>
    </row>
    <row r="56" spans="1:9" x14ac:dyDescent="0.25">
      <c r="B56" s="74"/>
      <c r="C56" s="74"/>
      <c r="D56" s="74"/>
      <c r="E56" s="74"/>
      <c r="F56" s="74"/>
      <c r="G56" s="74"/>
    </row>
    <row r="57" spans="1:9" x14ac:dyDescent="0.25">
      <c r="B57" s="74"/>
      <c r="C57" s="74"/>
      <c r="D57" s="74"/>
    </row>
    <row r="58" spans="1:9" x14ac:dyDescent="0.25">
      <c r="B58" s="74"/>
      <c r="C58" s="74"/>
      <c r="D58" s="74"/>
    </row>
    <row r="59" spans="1:9" x14ac:dyDescent="0.25">
      <c r="B59" s="74"/>
      <c r="C59" s="74"/>
      <c r="D59" s="74"/>
    </row>
  </sheetData>
  <mergeCells count="15">
    <mergeCell ref="A45:A48"/>
    <mergeCell ref="B45:H47"/>
    <mergeCell ref="V30:V31"/>
    <mergeCell ref="K5:L5"/>
    <mergeCell ref="G4:G5"/>
    <mergeCell ref="B4:B5"/>
    <mergeCell ref="C4:C5"/>
    <mergeCell ref="D4:D5"/>
    <mergeCell ref="E4:E5"/>
    <mergeCell ref="F4:F5"/>
    <mergeCell ref="K9:L9"/>
    <mergeCell ref="B38:H41"/>
    <mergeCell ref="B35:H36"/>
    <mergeCell ref="H4:H5"/>
    <mergeCell ref="B31:H34"/>
  </mergeCells>
  <printOptions horizontalCentered="1"/>
  <pageMargins left="0.7" right="0.7" top="0.75" bottom="0.75" header="0.3" footer="0.3"/>
  <pageSetup scale="52" orientation="landscape" r:id="rId1"/>
  <headerFooter scaleWithDoc="0" alignWithMargins="0">
    <oddFooter>&amp;C&amp;A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C9B6-CB80-42AA-AE42-D0A4814D166D}">
  <sheetPr>
    <tabColor rgb="FF00B050"/>
    <pageSetUpPr fitToPage="1"/>
  </sheetPr>
  <dimension ref="A1:AN79"/>
  <sheetViews>
    <sheetView topLeftCell="P1" zoomScale="70" zoomScaleNormal="70" zoomScaleSheetLayoutView="85" workbookViewId="0">
      <selection activeCell="V3" sqref="V3:AL19"/>
    </sheetView>
  </sheetViews>
  <sheetFormatPr defaultColWidth="9.140625" defaultRowHeight="15" x14ac:dyDescent="0.25"/>
  <cols>
    <col min="1" max="1" width="3.7109375" style="127" customWidth="1"/>
    <col min="2" max="8" width="20.7109375" style="127" customWidth="1"/>
    <col min="9" max="10" width="5.7109375" style="127" customWidth="1"/>
    <col min="11" max="11" width="44" style="127" customWidth="1"/>
    <col min="12" max="12" width="21.85546875" style="127" customWidth="1"/>
    <col min="13" max="14" width="10.85546875" style="127" customWidth="1"/>
    <col min="15" max="15" width="12.5703125" style="127" customWidth="1"/>
    <col min="16" max="16" width="18" style="127" bestFit="1" customWidth="1"/>
    <col min="17" max="17" width="22.7109375" style="127" bestFit="1" customWidth="1"/>
    <col min="18" max="18" width="34.140625" style="127" bestFit="1" customWidth="1"/>
    <col min="19" max="22" width="9.140625" style="127"/>
    <col min="23" max="23" width="21.7109375" style="127" customWidth="1"/>
    <col min="24" max="24" width="14.85546875" style="127" customWidth="1"/>
    <col min="25" max="34" width="9.140625" style="127"/>
    <col min="35" max="35" width="10.85546875" style="127" bestFit="1" customWidth="1"/>
    <col min="36" max="36" width="27.28515625" style="127" customWidth="1"/>
    <col min="37" max="37" width="11" style="127" bestFit="1" customWidth="1"/>
    <col min="38" max="38" width="11.5703125" style="127" bestFit="1" customWidth="1"/>
    <col min="39" max="16384" width="9.140625" style="127"/>
  </cols>
  <sheetData>
    <row r="1" spans="1:40" x14ac:dyDescent="0.25">
      <c r="A1" s="17"/>
      <c r="B1" s="128">
        <v>1</v>
      </c>
      <c r="C1" s="128">
        <v>2</v>
      </c>
      <c r="D1" s="128">
        <v>3</v>
      </c>
      <c r="E1" s="128">
        <v>4</v>
      </c>
      <c r="F1" s="128">
        <v>5</v>
      </c>
      <c r="G1" s="128">
        <v>6</v>
      </c>
      <c r="H1" s="128">
        <v>7</v>
      </c>
    </row>
    <row r="2" spans="1:40" x14ac:dyDescent="0.25">
      <c r="B2" s="6" t="s">
        <v>106</v>
      </c>
      <c r="S2" s="41"/>
      <c r="T2" s="41"/>
      <c r="U2" s="41"/>
      <c r="V2" s="41"/>
      <c r="W2" s="41"/>
      <c r="X2" s="41"/>
      <c r="Y2" s="41"/>
      <c r="Z2" s="41"/>
      <c r="AA2" s="41"/>
      <c r="AB2" s="41"/>
      <c r="AC2" s="41"/>
      <c r="AD2" s="41"/>
      <c r="AE2" s="41"/>
      <c r="AF2" s="41"/>
      <c r="AG2" s="41"/>
      <c r="AH2" s="41"/>
      <c r="AI2" s="41"/>
      <c r="AJ2" s="41"/>
      <c r="AK2" s="41"/>
      <c r="AL2" s="41"/>
      <c r="AM2" s="41"/>
    </row>
    <row r="3" spans="1:40" ht="15.75" customHeight="1" thickBot="1" x14ac:dyDescent="0.3">
      <c r="K3" s="59"/>
      <c r="S3" s="41"/>
      <c r="T3" s="41"/>
      <c r="U3" s="41"/>
      <c r="V3" s="359" t="s">
        <v>66</v>
      </c>
      <c r="W3" s="359" t="s">
        <v>67</v>
      </c>
      <c r="X3" s="357" t="s">
        <v>68</v>
      </c>
      <c r="Y3" s="358" t="s">
        <v>69</v>
      </c>
      <c r="Z3" s="358"/>
      <c r="AA3" s="358"/>
      <c r="AB3" s="358"/>
      <c r="AC3" s="358"/>
      <c r="AD3" s="102"/>
      <c r="AE3" s="358" t="s">
        <v>70</v>
      </c>
      <c r="AF3" s="358"/>
      <c r="AG3" s="358"/>
      <c r="AH3" s="358"/>
      <c r="AI3" s="358"/>
      <c r="AJ3" s="159" t="s">
        <v>71</v>
      </c>
      <c r="AK3" s="357" t="s">
        <v>72</v>
      </c>
      <c r="AL3" s="357"/>
      <c r="AM3" s="41"/>
    </row>
    <row r="4" spans="1:40" ht="35.1" customHeight="1" x14ac:dyDescent="0.25">
      <c r="B4" s="347" t="s">
        <v>0</v>
      </c>
      <c r="C4" s="347" t="s">
        <v>89</v>
      </c>
      <c r="D4" s="349" t="s">
        <v>65</v>
      </c>
      <c r="E4" s="347" t="s">
        <v>91</v>
      </c>
      <c r="F4" s="347" t="s">
        <v>90</v>
      </c>
      <c r="G4" s="345" t="s">
        <v>92</v>
      </c>
      <c r="H4" s="351" t="s">
        <v>1</v>
      </c>
      <c r="K4" s="65"/>
      <c r="L4" s="17"/>
      <c r="M4" s="17"/>
      <c r="N4" s="17"/>
      <c r="S4" s="41"/>
      <c r="T4" s="41"/>
      <c r="U4" s="41"/>
      <c r="V4" s="359"/>
      <c r="W4" s="359"/>
      <c r="X4" s="357"/>
      <c r="Y4" s="358" t="s">
        <v>73</v>
      </c>
      <c r="Z4" s="358"/>
      <c r="AA4" s="358"/>
      <c r="AB4" s="358"/>
      <c r="AC4" s="358"/>
      <c r="AD4" s="102"/>
      <c r="AE4" s="358" t="s">
        <v>73</v>
      </c>
      <c r="AF4" s="358"/>
      <c r="AG4" s="358"/>
      <c r="AH4" s="358"/>
      <c r="AI4" s="358"/>
      <c r="AJ4" s="160" t="s">
        <v>74</v>
      </c>
      <c r="AK4" s="160" t="s">
        <v>74</v>
      </c>
      <c r="AL4" s="160" t="s">
        <v>75</v>
      </c>
      <c r="AM4" s="41"/>
    </row>
    <row r="5" spans="1:40" ht="43.5" customHeight="1" thickBot="1" x14ac:dyDescent="0.3">
      <c r="B5" s="348"/>
      <c r="C5" s="348"/>
      <c r="D5" s="350"/>
      <c r="E5" s="348"/>
      <c r="F5" s="348"/>
      <c r="G5" s="346"/>
      <c r="H5" s="352"/>
      <c r="K5" s="164" t="s">
        <v>97</v>
      </c>
      <c r="L5" s="38"/>
      <c r="M5" s="17"/>
      <c r="N5" s="17"/>
      <c r="S5" s="41"/>
      <c r="T5" s="41"/>
      <c r="U5" s="41"/>
      <c r="V5" s="359"/>
      <c r="W5" s="359"/>
      <c r="X5" s="357"/>
      <c r="Y5" s="97">
        <v>2</v>
      </c>
      <c r="Z5" s="97">
        <v>3</v>
      </c>
      <c r="AA5" s="97">
        <v>4</v>
      </c>
      <c r="AB5" s="97">
        <v>5</v>
      </c>
      <c r="AC5" s="97">
        <v>6</v>
      </c>
      <c r="AD5" s="102"/>
      <c r="AE5" s="97">
        <v>2</v>
      </c>
      <c r="AF5" s="97">
        <v>3</v>
      </c>
      <c r="AG5" s="97">
        <v>4</v>
      </c>
      <c r="AH5" s="97">
        <v>5</v>
      </c>
      <c r="AI5" s="97">
        <v>6</v>
      </c>
      <c r="AJ5" s="160">
        <v>6</v>
      </c>
      <c r="AK5" s="160"/>
      <c r="AL5" s="160"/>
      <c r="AM5" s="41"/>
    </row>
    <row r="6" spans="1:40" x14ac:dyDescent="0.25">
      <c r="B6" s="1">
        <v>2022</v>
      </c>
      <c r="C6" s="140"/>
      <c r="D6" s="141"/>
      <c r="E6" s="142" t="e">
        <f>C6*$L$15</f>
        <v>#REF!</v>
      </c>
      <c r="F6" s="142" t="e">
        <f>D6*#REF!</f>
        <v>#REF!</v>
      </c>
      <c r="G6" s="143" t="e">
        <f>(E6-F6)</f>
        <v>#REF!</v>
      </c>
      <c r="H6" s="142" t="e">
        <f>G6*(1+0.07)^-(B6-Assumptions!$D$4)</f>
        <v>#REF!</v>
      </c>
      <c r="I6" s="17"/>
      <c r="K6" s="68" t="s">
        <v>94</v>
      </c>
      <c r="L6" s="129">
        <f>AL11</f>
        <v>0.10799999999999997</v>
      </c>
      <c r="M6" s="17"/>
      <c r="N6" s="17"/>
      <c r="S6" s="41"/>
      <c r="T6" s="41"/>
      <c r="U6" s="41"/>
      <c r="V6" s="360">
        <v>35</v>
      </c>
      <c r="W6" s="104" t="s">
        <v>76</v>
      </c>
      <c r="X6" s="104">
        <v>14</v>
      </c>
      <c r="Y6" s="98">
        <v>1.02</v>
      </c>
      <c r="Z6" s="98">
        <v>1.04</v>
      </c>
      <c r="AA6" s="98">
        <v>1.08</v>
      </c>
      <c r="AB6" s="98">
        <v>1.1499999999999999</v>
      </c>
      <c r="AC6" s="98">
        <v>1.22</v>
      </c>
      <c r="AD6" s="102"/>
      <c r="AE6" s="115">
        <f t="shared" ref="AE6:AI10" si="0">$X6*Y6</f>
        <v>14.280000000000001</v>
      </c>
      <c r="AF6" s="115">
        <f t="shared" si="0"/>
        <v>14.56</v>
      </c>
      <c r="AG6" s="272">
        <f t="shared" si="0"/>
        <v>15.120000000000001</v>
      </c>
      <c r="AH6" s="272">
        <f t="shared" si="0"/>
        <v>16.099999999999998</v>
      </c>
      <c r="AI6" s="116">
        <f t="shared" si="0"/>
        <v>17.079999999999998</v>
      </c>
      <c r="AJ6" s="117">
        <f>AI6</f>
        <v>17.079999999999998</v>
      </c>
      <c r="AK6" s="117">
        <f>AJ6-X6</f>
        <v>3.0799999999999983</v>
      </c>
      <c r="AL6" s="118">
        <f>AK6/100</f>
        <v>3.0799999999999984E-2</v>
      </c>
      <c r="AM6" s="41"/>
    </row>
    <row r="7" spans="1:40" x14ac:dyDescent="0.25">
      <c r="B7" s="2">
        <f t="shared" ref="B7:B27" si="1">B6+1</f>
        <v>2023</v>
      </c>
      <c r="C7" s="132"/>
      <c r="D7" s="133"/>
      <c r="E7" s="134" t="e">
        <f>C7*$L$15</f>
        <v>#REF!</v>
      </c>
      <c r="F7" s="134" t="e">
        <f>D7*#REF!</f>
        <v>#REF!</v>
      </c>
      <c r="G7" s="135" t="e">
        <f t="shared" ref="G7:G27" si="2">(E7-F7)</f>
        <v>#REF!</v>
      </c>
      <c r="H7" s="134" t="e">
        <f>G7*(1+0.07)^-(B7-Assumptions!$D$4)</f>
        <v>#REF!</v>
      </c>
      <c r="I7" s="17"/>
      <c r="K7" s="68" t="s">
        <v>95</v>
      </c>
      <c r="L7" s="129">
        <f>AL12</f>
        <v>0.17859999999999998</v>
      </c>
      <c r="M7" s="17"/>
      <c r="N7" s="17"/>
      <c r="S7" s="41"/>
      <c r="T7" s="41"/>
      <c r="U7" s="41"/>
      <c r="V7" s="360"/>
      <c r="W7" s="104" t="s">
        <v>77</v>
      </c>
      <c r="X7" s="104">
        <v>16.100000000000001</v>
      </c>
      <c r="Y7" s="98">
        <v>1.01</v>
      </c>
      <c r="Z7" s="98">
        <v>1.02</v>
      </c>
      <c r="AA7" s="98">
        <v>1.05</v>
      </c>
      <c r="AB7" s="98">
        <v>1.1100000000000001</v>
      </c>
      <c r="AC7" s="98">
        <v>1.18</v>
      </c>
      <c r="AD7" s="102"/>
      <c r="AE7" s="115">
        <f t="shared" si="0"/>
        <v>16.261000000000003</v>
      </c>
      <c r="AF7" s="115">
        <f t="shared" si="0"/>
        <v>16.422000000000001</v>
      </c>
      <c r="AG7" s="272">
        <f t="shared" si="0"/>
        <v>16.905000000000001</v>
      </c>
      <c r="AH7" s="272">
        <f t="shared" si="0"/>
        <v>17.871000000000002</v>
      </c>
      <c r="AI7" s="116">
        <f t="shared" si="0"/>
        <v>18.998000000000001</v>
      </c>
      <c r="AJ7" s="117">
        <f t="shared" ref="AJ7:AJ12" si="3">AI7</f>
        <v>18.998000000000001</v>
      </c>
      <c r="AK7" s="117">
        <f>AJ7-X7</f>
        <v>2.8979999999999997</v>
      </c>
      <c r="AL7" s="118">
        <f>AK7/100</f>
        <v>2.8979999999999995E-2</v>
      </c>
      <c r="AM7" s="41"/>
    </row>
    <row r="8" spans="1:40" x14ac:dyDescent="0.25">
      <c r="B8" s="2">
        <f t="shared" si="1"/>
        <v>2024</v>
      </c>
      <c r="C8" s="132"/>
      <c r="D8" s="133"/>
      <c r="E8" s="134" t="e">
        <f>C8*#REF!</f>
        <v>#REF!</v>
      </c>
      <c r="F8" s="134" t="e">
        <f>D8*#REF!</f>
        <v>#REF!</v>
      </c>
      <c r="G8" s="135" t="e">
        <f t="shared" si="2"/>
        <v>#REF!</v>
      </c>
      <c r="H8" s="134" t="e">
        <f>G8*(1+0.07)^-(B8-Assumptions!$D$4)</f>
        <v>#REF!</v>
      </c>
      <c r="J8" s="64"/>
      <c r="K8" s="54" t="s">
        <v>117</v>
      </c>
      <c r="L8" s="66"/>
      <c r="M8" s="17"/>
      <c r="N8" s="17"/>
      <c r="S8" s="41"/>
      <c r="T8" s="41"/>
      <c r="U8" s="41"/>
      <c r="V8" s="360"/>
      <c r="W8" s="104" t="s">
        <v>78</v>
      </c>
      <c r="X8" s="104">
        <v>16.3</v>
      </c>
      <c r="Y8" s="98">
        <v>1.02</v>
      </c>
      <c r="Z8" s="98">
        <v>1.03</v>
      </c>
      <c r="AA8" s="98">
        <v>1.0900000000000001</v>
      </c>
      <c r="AB8" s="98">
        <v>1.2</v>
      </c>
      <c r="AC8" s="98">
        <v>1.34</v>
      </c>
      <c r="AD8" s="102"/>
      <c r="AE8" s="115">
        <f t="shared" si="0"/>
        <v>16.626000000000001</v>
      </c>
      <c r="AF8" s="115">
        <f t="shared" si="0"/>
        <v>16.789000000000001</v>
      </c>
      <c r="AG8" s="272">
        <f t="shared" si="0"/>
        <v>17.767000000000003</v>
      </c>
      <c r="AH8" s="272">
        <f t="shared" si="0"/>
        <v>19.559999999999999</v>
      </c>
      <c r="AI8" s="116">
        <f t="shared" si="0"/>
        <v>21.842000000000002</v>
      </c>
      <c r="AJ8" s="117">
        <f t="shared" si="3"/>
        <v>21.842000000000002</v>
      </c>
      <c r="AK8" s="117">
        <f>AJ8-X8</f>
        <v>5.5420000000000016</v>
      </c>
      <c r="AL8" s="118">
        <f>AK8/100</f>
        <v>5.5420000000000018E-2</v>
      </c>
      <c r="AM8" s="41"/>
    </row>
    <row r="9" spans="1:40" ht="14.25" customHeight="1" x14ac:dyDescent="0.25">
      <c r="B9" s="2">
        <f t="shared" si="1"/>
        <v>2025</v>
      </c>
      <c r="C9" s="132"/>
      <c r="D9" s="133"/>
      <c r="E9" s="134" t="e">
        <f>C9*#REF!</f>
        <v>#REF!</v>
      </c>
      <c r="F9" s="134" t="e">
        <f>D9*#REF!</f>
        <v>#REF!</v>
      </c>
      <c r="G9" s="135" t="e">
        <f t="shared" si="2"/>
        <v>#REF!</v>
      </c>
      <c r="H9" s="134" t="e">
        <f>G9*(1+0.07)^-(B9-Assumptions!$D$4)</f>
        <v>#REF!</v>
      </c>
      <c r="J9" s="64"/>
      <c r="K9" s="54"/>
      <c r="L9" s="66"/>
      <c r="M9" s="17"/>
      <c r="N9" s="17"/>
      <c r="S9" s="41"/>
      <c r="T9" s="41"/>
      <c r="U9" s="41"/>
      <c r="V9" s="360"/>
      <c r="W9" s="104" t="s">
        <v>79</v>
      </c>
      <c r="X9" s="104">
        <v>23.9</v>
      </c>
      <c r="Y9" s="98">
        <v>1.01</v>
      </c>
      <c r="Z9" s="98">
        <v>1.02</v>
      </c>
      <c r="AA9" s="98">
        <v>1.06</v>
      </c>
      <c r="AB9" s="98">
        <v>1.1299999999999999</v>
      </c>
      <c r="AC9" s="98">
        <v>1.22</v>
      </c>
      <c r="AD9" s="102"/>
      <c r="AE9" s="115">
        <f t="shared" si="0"/>
        <v>24.138999999999999</v>
      </c>
      <c r="AF9" s="115">
        <f t="shared" si="0"/>
        <v>24.378</v>
      </c>
      <c r="AG9" s="272">
        <f t="shared" si="0"/>
        <v>25.334</v>
      </c>
      <c r="AH9" s="272">
        <f t="shared" si="0"/>
        <v>27.006999999999994</v>
      </c>
      <c r="AI9" s="116">
        <f t="shared" si="0"/>
        <v>29.157999999999998</v>
      </c>
      <c r="AJ9" s="117">
        <f t="shared" si="3"/>
        <v>29.157999999999998</v>
      </c>
      <c r="AK9" s="117">
        <f>AJ9-X9</f>
        <v>5.2579999999999991</v>
      </c>
      <c r="AL9" s="118">
        <f>AK9/100</f>
        <v>5.2579999999999988E-2</v>
      </c>
      <c r="AM9" s="41"/>
    </row>
    <row r="10" spans="1:40" ht="15.75" thickBot="1" x14ac:dyDescent="0.3">
      <c r="B10" s="2">
        <f t="shared" si="1"/>
        <v>2026</v>
      </c>
      <c r="C10" s="132"/>
      <c r="D10" s="133"/>
      <c r="E10" s="134" t="e">
        <f>C10*#REF!</f>
        <v>#REF!</v>
      </c>
      <c r="F10" s="134" t="e">
        <f>D10*#REF!</f>
        <v>#REF!</v>
      </c>
      <c r="G10" s="135" t="e">
        <f t="shared" si="2"/>
        <v>#REF!</v>
      </c>
      <c r="H10" s="134" t="e">
        <f>G10*(1+0.07)^-(B10-Assumptions!$D$4)</f>
        <v>#REF!</v>
      </c>
      <c r="K10" s="356" t="s">
        <v>101</v>
      </c>
      <c r="L10" s="356"/>
      <c r="M10" s="17"/>
      <c r="N10" s="17"/>
      <c r="S10" s="41"/>
      <c r="T10" s="41"/>
      <c r="U10" s="41"/>
      <c r="V10" s="360"/>
      <c r="W10" s="172" t="s">
        <v>80</v>
      </c>
      <c r="X10" s="172">
        <v>57.7</v>
      </c>
      <c r="Y10" s="213">
        <v>1.02</v>
      </c>
      <c r="Z10" s="213">
        <v>1.03</v>
      </c>
      <c r="AA10" s="213">
        <v>1.04</v>
      </c>
      <c r="AB10" s="213">
        <v>1.1299999999999999</v>
      </c>
      <c r="AC10" s="213">
        <v>1.19</v>
      </c>
      <c r="AD10" s="102"/>
      <c r="AE10" s="214">
        <f t="shared" si="0"/>
        <v>58.854000000000006</v>
      </c>
      <c r="AF10" s="214">
        <f t="shared" si="0"/>
        <v>59.431000000000004</v>
      </c>
      <c r="AG10" s="273">
        <f t="shared" si="0"/>
        <v>60.008000000000003</v>
      </c>
      <c r="AH10" s="273">
        <f t="shared" si="0"/>
        <v>65.200999999999993</v>
      </c>
      <c r="AI10" s="215">
        <f t="shared" si="0"/>
        <v>68.662999999999997</v>
      </c>
      <c r="AJ10" s="117">
        <f t="shared" si="3"/>
        <v>68.662999999999997</v>
      </c>
      <c r="AK10" s="216">
        <f>AJ10-X10</f>
        <v>10.962999999999994</v>
      </c>
      <c r="AL10" s="217">
        <f>AK10/100</f>
        <v>0.10962999999999994</v>
      </c>
      <c r="AM10" s="41"/>
    </row>
    <row r="11" spans="1:40" x14ac:dyDescent="0.25">
      <c r="B11" s="2">
        <f t="shared" si="1"/>
        <v>2027</v>
      </c>
      <c r="C11" s="132"/>
      <c r="D11" s="146"/>
      <c r="E11" s="147" t="e">
        <f>C11*#REF!</f>
        <v>#REF!</v>
      </c>
      <c r="F11" s="147" t="e">
        <f>D11*#REF!</f>
        <v>#REF!</v>
      </c>
      <c r="G11" s="148" t="e">
        <f t="shared" si="2"/>
        <v>#REF!</v>
      </c>
      <c r="H11" s="147" t="e">
        <f>G11*(1+0.07)^-(B11-Assumptions!$D$4)</f>
        <v>#REF!</v>
      </c>
      <c r="K11" s="68" t="s">
        <v>24</v>
      </c>
      <c r="L11" s="67" t="e">
        <f>1-L26</f>
        <v>#REF!</v>
      </c>
      <c r="M11" s="17"/>
      <c r="N11" s="17"/>
      <c r="S11" s="41"/>
      <c r="T11" s="41"/>
      <c r="U11" s="211"/>
      <c r="V11" s="212"/>
      <c r="W11" s="218" t="s">
        <v>119</v>
      </c>
      <c r="X11" s="219">
        <f>'Operating Cost Savings'!L6*100</f>
        <v>45</v>
      </c>
      <c r="Y11" s="220">
        <f>AVERAGE(Y6:Y9)</f>
        <v>1.0150000000000001</v>
      </c>
      <c r="Z11" s="220">
        <f t="shared" ref="Z11:AC11" si="4">AVERAGE(Z6:Z9)</f>
        <v>1.0274999999999999</v>
      </c>
      <c r="AA11" s="220">
        <f t="shared" si="4"/>
        <v>1.0699999999999998</v>
      </c>
      <c r="AB11" s="220">
        <f t="shared" si="4"/>
        <v>1.1475</v>
      </c>
      <c r="AC11" s="220">
        <f t="shared" si="4"/>
        <v>1.24</v>
      </c>
      <c r="AD11" s="221"/>
      <c r="AE11" s="222">
        <f t="shared" ref="AE11:AE12" si="5">$X11*Y11</f>
        <v>45.675000000000004</v>
      </c>
      <c r="AF11" s="222">
        <f t="shared" ref="AF11:AF12" si="6">$X11*Z11</f>
        <v>46.237499999999997</v>
      </c>
      <c r="AG11" s="274">
        <f t="shared" ref="AG11:AG12" si="7">$X11*AA11</f>
        <v>48.149999999999991</v>
      </c>
      <c r="AH11" s="274">
        <f t="shared" ref="AH11:AH12" si="8">$X11*AB11</f>
        <v>51.637499999999996</v>
      </c>
      <c r="AI11" s="223">
        <f t="shared" ref="AI11:AI12" si="9">$X11*AC11</f>
        <v>55.8</v>
      </c>
      <c r="AJ11" s="224">
        <f t="shared" si="3"/>
        <v>55.8</v>
      </c>
      <c r="AK11" s="224">
        <f t="shared" ref="AK11:AK12" si="10">AJ11-X11</f>
        <v>10.799999999999997</v>
      </c>
      <c r="AL11" s="232">
        <f t="shared" ref="AL11:AL12" si="11">AK11/100</f>
        <v>0.10799999999999997</v>
      </c>
      <c r="AM11" s="211"/>
      <c r="AN11" s="211"/>
    </row>
    <row r="12" spans="1:40" ht="15.75" thickBot="1" x14ac:dyDescent="0.3">
      <c r="B12" s="2">
        <f t="shared" si="1"/>
        <v>2028</v>
      </c>
      <c r="C12" s="132"/>
      <c r="D12" s="149"/>
      <c r="E12" s="147" t="e">
        <f>C12*#REF!</f>
        <v>#REF!</v>
      </c>
      <c r="F12" s="147" t="e">
        <f>D12*#REF!</f>
        <v>#REF!</v>
      </c>
      <c r="G12" s="148" t="e">
        <f t="shared" si="2"/>
        <v>#REF!</v>
      </c>
      <c r="H12" s="147" t="e">
        <f>G12*(1+0.07)^-(B12-Assumptions!$D$4)</f>
        <v>#REF!</v>
      </c>
      <c r="K12" s="68" t="s">
        <v>25</v>
      </c>
      <c r="L12" s="67" t="e">
        <f>L26</f>
        <v>#REF!</v>
      </c>
      <c r="M12" s="17"/>
      <c r="N12" s="17"/>
      <c r="S12" s="41"/>
      <c r="T12" s="41"/>
      <c r="U12" s="211"/>
      <c r="V12" s="212"/>
      <c r="W12" s="225" t="s">
        <v>118</v>
      </c>
      <c r="X12" s="226">
        <f>'Operating Cost Savings'!L7*100</f>
        <v>94</v>
      </c>
      <c r="Y12" s="227">
        <f>Y10</f>
        <v>1.02</v>
      </c>
      <c r="Z12" s="227">
        <f t="shared" ref="Z12:AC12" si="12">Z10</f>
        <v>1.03</v>
      </c>
      <c r="AA12" s="227">
        <f t="shared" si="12"/>
        <v>1.04</v>
      </c>
      <c r="AB12" s="227">
        <f t="shared" si="12"/>
        <v>1.1299999999999999</v>
      </c>
      <c r="AC12" s="227">
        <f t="shared" si="12"/>
        <v>1.19</v>
      </c>
      <c r="AD12" s="228"/>
      <c r="AE12" s="229">
        <f t="shared" si="5"/>
        <v>95.88</v>
      </c>
      <c r="AF12" s="229">
        <f t="shared" si="6"/>
        <v>96.820000000000007</v>
      </c>
      <c r="AG12" s="275">
        <f t="shared" si="7"/>
        <v>97.76</v>
      </c>
      <c r="AH12" s="275">
        <f t="shared" si="8"/>
        <v>106.21999999999998</v>
      </c>
      <c r="AI12" s="230">
        <f t="shared" si="9"/>
        <v>111.86</v>
      </c>
      <c r="AJ12" s="231">
        <f t="shared" si="3"/>
        <v>111.86</v>
      </c>
      <c r="AK12" s="231">
        <f t="shared" si="10"/>
        <v>17.86</v>
      </c>
      <c r="AL12" s="233">
        <f t="shared" si="11"/>
        <v>0.17859999999999998</v>
      </c>
      <c r="AM12" s="211"/>
      <c r="AN12" s="211"/>
    </row>
    <row r="13" spans="1:40" ht="15" customHeight="1" x14ac:dyDescent="0.25">
      <c r="B13" s="2">
        <f t="shared" si="1"/>
        <v>2029</v>
      </c>
      <c r="C13" s="132"/>
      <c r="D13" s="149"/>
      <c r="E13" s="147" t="e">
        <f>C13*#REF!</f>
        <v>#REF!</v>
      </c>
      <c r="F13" s="147" t="e">
        <f>D13*#REF!</f>
        <v>#REF!</v>
      </c>
      <c r="G13" s="148" t="e">
        <f t="shared" si="2"/>
        <v>#REF!</v>
      </c>
      <c r="H13" s="147" t="e">
        <f>G13*(1+0.07)^-(B13-Assumptions!$D$4)</f>
        <v>#REF!</v>
      </c>
      <c r="K13" s="54"/>
      <c r="L13" s="57"/>
      <c r="M13" s="17"/>
      <c r="N13" s="17"/>
      <c r="S13" s="41"/>
      <c r="T13" s="41"/>
      <c r="U13" s="41"/>
      <c r="V13" s="41"/>
      <c r="W13" s="41"/>
      <c r="X13" s="41"/>
      <c r="Y13" s="41"/>
      <c r="Z13" s="41"/>
      <c r="AA13" s="41"/>
      <c r="AB13" s="41"/>
      <c r="AC13" s="41"/>
      <c r="AD13" s="41"/>
      <c r="AE13" s="41"/>
      <c r="AF13" s="41"/>
      <c r="AG13" s="41"/>
      <c r="AH13" s="41"/>
      <c r="AI13" s="41"/>
      <c r="AJ13" s="41"/>
      <c r="AK13" s="41"/>
      <c r="AL13" s="41"/>
      <c r="AM13" s="41"/>
    </row>
    <row r="14" spans="1:40" x14ac:dyDescent="0.25">
      <c r="B14" s="2">
        <f t="shared" si="1"/>
        <v>2030</v>
      </c>
      <c r="C14" s="132"/>
      <c r="D14" s="149"/>
      <c r="E14" s="147" t="e">
        <f>C14*#REF!</f>
        <v>#REF!</v>
      </c>
      <c r="F14" s="147" t="e">
        <f>D14*#REF!</f>
        <v>#REF!</v>
      </c>
      <c r="G14" s="148" t="e">
        <f t="shared" si="2"/>
        <v>#REF!</v>
      </c>
      <c r="H14" s="147" t="e">
        <f>G14*(1+0.07)^-(B14-Assumptions!$D$4)</f>
        <v>#REF!</v>
      </c>
      <c r="K14" s="154" t="s">
        <v>102</v>
      </c>
      <c r="L14" s="48"/>
      <c r="M14" s="17"/>
      <c r="N14" s="17"/>
      <c r="S14" s="41"/>
      <c r="T14" s="41"/>
      <c r="U14" s="41"/>
      <c r="V14" s="41"/>
      <c r="W14" s="102" t="s">
        <v>81</v>
      </c>
      <c r="X14" s="102">
        <v>63.4</v>
      </c>
      <c r="Y14" s="102" t="s">
        <v>82</v>
      </c>
      <c r="Z14" s="102"/>
      <c r="AA14" s="102"/>
      <c r="AB14" s="102"/>
      <c r="AC14" s="102"/>
      <c r="AD14" s="102"/>
      <c r="AE14" s="102"/>
      <c r="AF14" s="102"/>
      <c r="AG14" s="102"/>
      <c r="AH14" s="41"/>
      <c r="AI14" s="41"/>
      <c r="AJ14" s="41"/>
      <c r="AK14" s="41"/>
      <c r="AL14" s="41"/>
      <c r="AM14" s="41"/>
    </row>
    <row r="15" spans="1:40" x14ac:dyDescent="0.25">
      <c r="B15" s="2">
        <f t="shared" si="1"/>
        <v>2031</v>
      </c>
      <c r="C15" s="132"/>
      <c r="D15" s="149"/>
      <c r="E15" s="147" t="e">
        <f>C15*#REF!</f>
        <v>#REF!</v>
      </c>
      <c r="F15" s="147" t="e">
        <f>D15*#REF!</f>
        <v>#REF!</v>
      </c>
      <c r="G15" s="148" t="e">
        <f t="shared" si="2"/>
        <v>#REF!</v>
      </c>
      <c r="H15" s="147" t="e">
        <f>G15*(1+0.07)^-(B15-Assumptions!$D$4)</f>
        <v>#REF!</v>
      </c>
      <c r="K15" s="163" t="s">
        <v>96</v>
      </c>
      <c r="L15" s="173" t="e">
        <f>(#REF!*#REF!)+(#REF!*#REF!)</f>
        <v>#REF!</v>
      </c>
      <c r="M15" s="17"/>
      <c r="N15" s="17"/>
      <c r="S15" s="41"/>
      <c r="T15" s="41"/>
      <c r="U15" s="41"/>
      <c r="V15" s="41"/>
      <c r="W15" s="102" t="s">
        <v>83</v>
      </c>
      <c r="X15" s="102">
        <f>X14*3</f>
        <v>190.2</v>
      </c>
      <c r="Y15" s="102" t="s">
        <v>82</v>
      </c>
      <c r="Z15" s="102" t="s">
        <v>84</v>
      </c>
      <c r="AA15" s="102"/>
      <c r="AB15" s="102"/>
      <c r="AC15" s="102"/>
      <c r="AD15" s="102"/>
      <c r="AE15" s="102"/>
      <c r="AF15" s="102"/>
      <c r="AG15" s="102"/>
      <c r="AH15" s="41"/>
      <c r="AI15" s="41"/>
      <c r="AJ15" s="41"/>
      <c r="AK15" s="41"/>
      <c r="AL15" s="41"/>
      <c r="AM15" s="41"/>
    </row>
    <row r="16" spans="1:40" x14ac:dyDescent="0.25">
      <c r="B16" s="2">
        <f t="shared" si="1"/>
        <v>2032</v>
      </c>
      <c r="C16" s="132"/>
      <c r="D16" s="149"/>
      <c r="E16" s="147" t="e">
        <f>C16*#REF!</f>
        <v>#REF!</v>
      </c>
      <c r="F16" s="147" t="e">
        <f>D16*#REF!</f>
        <v>#REF!</v>
      </c>
      <c r="G16" s="148" t="e">
        <f t="shared" si="2"/>
        <v>#REF!</v>
      </c>
      <c r="H16" s="147" t="e">
        <f>G16*(1+0.07)^-(B16-Assumptions!$D$4)</f>
        <v>#REF!</v>
      </c>
      <c r="K16" s="54"/>
      <c r="L16" s="57"/>
      <c r="M16" s="17"/>
      <c r="N16" s="17"/>
      <c r="S16" s="41"/>
      <c r="T16" s="41"/>
      <c r="U16" s="41"/>
      <c r="V16" s="41"/>
      <c r="W16" s="102" t="s">
        <v>85</v>
      </c>
      <c r="X16" s="102">
        <f>X14*4</f>
        <v>253.6</v>
      </c>
      <c r="Y16" s="102" t="s">
        <v>82</v>
      </c>
      <c r="Z16" s="102" t="s">
        <v>86</v>
      </c>
      <c r="AA16" s="102"/>
      <c r="AB16" s="102"/>
      <c r="AC16" s="102"/>
      <c r="AD16" s="102"/>
      <c r="AE16" s="102"/>
      <c r="AF16" s="102"/>
      <c r="AG16" s="102"/>
      <c r="AH16" s="41"/>
      <c r="AI16" s="41"/>
      <c r="AJ16" s="41"/>
      <c r="AK16" s="41"/>
      <c r="AL16" s="41"/>
      <c r="AM16" s="41"/>
    </row>
    <row r="17" spans="1:39" x14ac:dyDescent="0.25">
      <c r="B17" s="2">
        <f t="shared" si="1"/>
        <v>2033</v>
      </c>
      <c r="C17" s="132"/>
      <c r="D17" s="149"/>
      <c r="E17" s="147" t="e">
        <f>C17*#REF!</f>
        <v>#REF!</v>
      </c>
      <c r="F17" s="147" t="e">
        <f>D17*#REF!</f>
        <v>#REF!</v>
      </c>
      <c r="G17" s="148" t="e">
        <f t="shared" si="2"/>
        <v>#REF!</v>
      </c>
      <c r="H17" s="147" t="e">
        <f>G17*(1+0.07)^-(B17-Assumptions!$D$4)</f>
        <v>#REF!</v>
      </c>
      <c r="K17" s="158" t="s">
        <v>123</v>
      </c>
      <c r="L17" s="57"/>
      <c r="M17" s="17"/>
      <c r="N17" s="17"/>
      <c r="S17" s="41"/>
      <c r="T17" s="41"/>
      <c r="U17" s="41"/>
      <c r="V17" s="41"/>
      <c r="W17" s="41"/>
      <c r="X17" s="41"/>
      <c r="Y17" s="41"/>
      <c r="Z17" s="41"/>
      <c r="AA17" s="41"/>
      <c r="AB17" s="41"/>
      <c r="AC17" s="41"/>
      <c r="AD17" s="41"/>
      <c r="AE17" s="41"/>
      <c r="AF17" s="41"/>
      <c r="AG17" s="41"/>
      <c r="AH17" s="41"/>
      <c r="AI17" s="41"/>
      <c r="AJ17" s="41"/>
      <c r="AK17" s="41"/>
      <c r="AL17" s="41"/>
      <c r="AM17" s="41"/>
    </row>
    <row r="18" spans="1:39" x14ac:dyDescent="0.25">
      <c r="B18" s="2">
        <f t="shared" si="1"/>
        <v>2034</v>
      </c>
      <c r="C18" s="132"/>
      <c r="D18" s="149"/>
      <c r="E18" s="147" t="e">
        <f>C18*#REF!</f>
        <v>#REF!</v>
      </c>
      <c r="F18" s="147" t="e">
        <f>D18*#REF!</f>
        <v>#REF!</v>
      </c>
      <c r="G18" s="148" t="e">
        <f t="shared" si="2"/>
        <v>#REF!</v>
      </c>
      <c r="H18" s="147" t="e">
        <f>G18*(1+0.07)^-(B18-Assumptions!$D$4)</f>
        <v>#REF!</v>
      </c>
      <c r="K18" s="37" t="s">
        <v>88</v>
      </c>
      <c r="L18" s="37">
        <v>2019</v>
      </c>
      <c r="M18" s="17"/>
      <c r="N18" s="17"/>
      <c r="S18" s="41"/>
      <c r="T18" s="41"/>
      <c r="U18" s="41"/>
      <c r="V18" s="41"/>
      <c r="W18" s="41"/>
      <c r="X18" s="41"/>
      <c r="Y18" s="41"/>
      <c r="Z18" s="41"/>
      <c r="AA18" s="41"/>
      <c r="AB18" s="41"/>
      <c r="AC18" s="41"/>
      <c r="AD18" s="41"/>
      <c r="AE18" s="41"/>
      <c r="AF18" s="41"/>
      <c r="AG18" s="102"/>
      <c r="AH18" s="119"/>
      <c r="AI18" s="102"/>
      <c r="AJ18" s="102"/>
      <c r="AK18" s="41"/>
      <c r="AL18" s="41"/>
      <c r="AM18" s="41"/>
    </row>
    <row r="19" spans="1:39" x14ac:dyDescent="0.25">
      <c r="B19" s="2">
        <f t="shared" si="1"/>
        <v>2035</v>
      </c>
      <c r="C19" s="132"/>
      <c r="D19" s="149"/>
      <c r="E19" s="147" t="e">
        <f>C19*#REF!</f>
        <v>#REF!</v>
      </c>
      <c r="F19" s="147" t="e">
        <f>D19*#REF!</f>
        <v>#REF!</v>
      </c>
      <c r="G19" s="148" t="e">
        <f t="shared" si="2"/>
        <v>#REF!</v>
      </c>
      <c r="H19" s="147" t="e">
        <f>G19*(1+0.07)^-(B19-Assumptions!$D$4)</f>
        <v>#REF!</v>
      </c>
      <c r="K19" s="37" t="s">
        <v>64</v>
      </c>
      <c r="L19" s="37" t="s">
        <v>104</v>
      </c>
      <c r="M19" s="17"/>
      <c r="N19" s="17"/>
      <c r="S19" s="41"/>
      <c r="T19" s="41"/>
      <c r="U19" s="41"/>
      <c r="V19" s="41"/>
      <c r="W19" s="102" t="s">
        <v>109</v>
      </c>
      <c r="X19" s="41"/>
      <c r="Y19" s="41"/>
      <c r="Z19" s="41"/>
      <c r="AA19" s="41"/>
      <c r="AB19" s="41"/>
      <c r="AC19" s="41"/>
      <c r="AD19" s="41"/>
      <c r="AE19" s="41"/>
      <c r="AF19" s="41"/>
      <c r="AG19" s="102"/>
      <c r="AH19" s="119"/>
      <c r="AI19" s="102"/>
      <c r="AJ19" s="102"/>
      <c r="AK19" s="41"/>
      <c r="AL19" s="41"/>
      <c r="AM19" s="41"/>
    </row>
    <row r="20" spans="1:39" ht="14.25" customHeight="1" x14ac:dyDescent="0.25">
      <c r="B20" s="2">
        <f t="shared" si="1"/>
        <v>2036</v>
      </c>
      <c r="C20" s="132"/>
      <c r="D20" s="149"/>
      <c r="E20" s="147" t="e">
        <f>C20*#REF!</f>
        <v>#REF!</v>
      </c>
      <c r="F20" s="147" t="e">
        <f>D20*#REF!</f>
        <v>#REF!</v>
      </c>
      <c r="G20" s="148" t="e">
        <f t="shared" si="2"/>
        <v>#REF!</v>
      </c>
      <c r="H20" s="147" t="e">
        <f>G20*(1+0.07)^-(B20-Assumptions!$D$4)</f>
        <v>#REF!</v>
      </c>
      <c r="K20" s="37">
        <v>2020</v>
      </c>
      <c r="L20" s="170" t="e">
        <f>#REF!</f>
        <v>#REF!</v>
      </c>
      <c r="M20" s="157"/>
      <c r="N20" s="157"/>
      <c r="S20" s="41"/>
      <c r="T20" s="41"/>
      <c r="U20" s="41"/>
      <c r="V20" s="41"/>
      <c r="W20" s="102"/>
      <c r="X20" s="41"/>
      <c r="Y20" s="41"/>
      <c r="Z20" s="41"/>
      <c r="AA20" s="41"/>
      <c r="AB20" s="41"/>
      <c r="AC20" s="41"/>
      <c r="AD20" s="41"/>
      <c r="AE20" s="41"/>
      <c r="AF20" s="41"/>
      <c r="AG20" s="102"/>
      <c r="AH20" s="102"/>
      <c r="AI20" s="102"/>
      <c r="AJ20" s="102"/>
      <c r="AK20" s="41"/>
      <c r="AL20" s="41"/>
      <c r="AM20" s="41"/>
    </row>
    <row r="21" spans="1:39" x14ac:dyDescent="0.25">
      <c r="B21" s="2">
        <f t="shared" si="1"/>
        <v>2037</v>
      </c>
      <c r="C21" s="132"/>
      <c r="D21" s="149"/>
      <c r="E21" s="147" t="e">
        <f>C21*#REF!</f>
        <v>#REF!</v>
      </c>
      <c r="F21" s="147" t="e">
        <f>D21*#REF!</f>
        <v>#REF!</v>
      </c>
      <c r="G21" s="148" t="e">
        <f t="shared" si="2"/>
        <v>#REF!</v>
      </c>
      <c r="H21" s="147" t="e">
        <f>G21*(1+0.07)^-(B21-Assumptions!$D$4)</f>
        <v>#REF!</v>
      </c>
      <c r="K21" s="37">
        <v>2040</v>
      </c>
      <c r="L21" s="170" t="e">
        <f>#REF!</f>
        <v>#REF!</v>
      </c>
      <c r="M21" s="157"/>
      <c r="N21" s="157"/>
      <c r="S21" s="41"/>
      <c r="T21" s="41"/>
      <c r="U21" s="41"/>
      <c r="V21" s="41"/>
      <c r="W21" s="41"/>
      <c r="X21" s="41"/>
      <c r="Y21" s="41"/>
      <c r="Z21" s="41"/>
      <c r="AA21" s="41"/>
      <c r="AB21" s="41"/>
      <c r="AC21" s="41"/>
      <c r="AD21" s="41"/>
      <c r="AE21" s="41"/>
      <c r="AF21" s="41"/>
      <c r="AG21" s="102"/>
      <c r="AH21" s="120"/>
      <c r="AI21" s="121"/>
      <c r="AJ21" s="121"/>
      <c r="AK21" s="41"/>
      <c r="AL21" s="41"/>
      <c r="AM21" s="41"/>
    </row>
    <row r="22" spans="1:39" x14ac:dyDescent="0.25">
      <c r="B22" s="2">
        <f t="shared" si="1"/>
        <v>2038</v>
      </c>
      <c r="C22" s="132"/>
      <c r="D22" s="149"/>
      <c r="E22" s="147" t="e">
        <f>C22*#REF!</f>
        <v>#REF!</v>
      </c>
      <c r="F22" s="147" t="e">
        <f>D22*#REF!</f>
        <v>#REF!</v>
      </c>
      <c r="G22" s="148" t="e">
        <f t="shared" si="2"/>
        <v>#REF!</v>
      </c>
      <c r="H22" s="147" t="e">
        <f>G22*(1+0.07)^-(B22-Assumptions!$D$4)</f>
        <v>#REF!</v>
      </c>
      <c r="K22" s="37" t="s">
        <v>125</v>
      </c>
      <c r="L22" s="170" t="e">
        <f>SUM(#REF!)</f>
        <v>#REF!</v>
      </c>
      <c r="M22" s="157"/>
      <c r="N22" s="157"/>
      <c r="S22" s="41"/>
      <c r="T22" s="41"/>
      <c r="U22" s="41"/>
      <c r="V22" s="41"/>
      <c r="W22" s="41"/>
      <c r="X22" s="41"/>
      <c r="Y22" s="41"/>
      <c r="Z22" s="41"/>
      <c r="AA22" s="41"/>
      <c r="AB22" s="41"/>
      <c r="AC22" s="41"/>
      <c r="AD22" s="41"/>
      <c r="AE22" s="41"/>
      <c r="AF22" s="41"/>
      <c r="AG22" s="102"/>
      <c r="AH22" s="120"/>
      <c r="AI22" s="122"/>
      <c r="AJ22" s="122"/>
      <c r="AK22" s="41"/>
      <c r="AL22" s="41"/>
      <c r="AM22" s="41"/>
    </row>
    <row r="23" spans="1:39" s="255" customFormat="1" x14ac:dyDescent="0.25">
      <c r="B23" s="2">
        <f t="shared" si="1"/>
        <v>2039</v>
      </c>
      <c r="C23" s="132"/>
      <c r="D23" s="149"/>
      <c r="E23" s="147" t="e">
        <f>C23*#REF!</f>
        <v>#REF!</v>
      </c>
      <c r="F23" s="147" t="e">
        <f>D23*#REF!</f>
        <v>#REF!</v>
      </c>
      <c r="G23" s="148" t="e">
        <f t="shared" ref="G23:G25" si="13">(E23-F23)</f>
        <v>#REF!</v>
      </c>
      <c r="H23" s="147" t="e">
        <f>G23*(1+0.07)^-(B23-Assumptions!$D$4)</f>
        <v>#REF!</v>
      </c>
      <c r="K23" s="254"/>
      <c r="L23" s="170"/>
      <c r="AH23" s="120"/>
      <c r="AI23" s="122"/>
      <c r="AJ23" s="122"/>
    </row>
    <row r="24" spans="1:39" s="255" customFormat="1" x14ac:dyDescent="0.25">
      <c r="B24" s="2">
        <f t="shared" si="1"/>
        <v>2040</v>
      </c>
      <c r="C24" s="132"/>
      <c r="D24" s="149"/>
      <c r="E24" s="147" t="e">
        <f>C24*#REF!</f>
        <v>#REF!</v>
      </c>
      <c r="F24" s="147" t="e">
        <f>D24*#REF!</f>
        <v>#REF!</v>
      </c>
      <c r="G24" s="148" t="e">
        <f t="shared" si="13"/>
        <v>#REF!</v>
      </c>
      <c r="H24" s="147" t="e">
        <f>G24*(1+0.07)^-(B24-Assumptions!$D$4)</f>
        <v>#REF!</v>
      </c>
      <c r="K24" s="254"/>
      <c r="L24" s="170"/>
      <c r="AH24" s="120"/>
      <c r="AI24" s="122"/>
      <c r="AJ24" s="122"/>
    </row>
    <row r="25" spans="1:39" x14ac:dyDescent="0.25">
      <c r="B25" s="2">
        <f t="shared" si="1"/>
        <v>2041</v>
      </c>
      <c r="C25" s="132"/>
      <c r="D25" s="149"/>
      <c r="E25" s="147" t="e">
        <f>C25*#REF!</f>
        <v>#REF!</v>
      </c>
      <c r="F25" s="147" t="e">
        <f>D25*#REF!</f>
        <v>#REF!</v>
      </c>
      <c r="G25" s="148" t="e">
        <f t="shared" si="13"/>
        <v>#REF!</v>
      </c>
      <c r="H25" s="147" t="e">
        <f>G25*(1+0.07)^-(B25-Assumptions!$D$4)</f>
        <v>#REF!</v>
      </c>
      <c r="K25" s="37" t="s">
        <v>87</v>
      </c>
      <c r="L25" s="171" t="e">
        <f>(L21-L20)/(L20*20)</f>
        <v>#REF!</v>
      </c>
      <c r="M25" s="157"/>
      <c r="N25" s="157"/>
      <c r="S25" s="41"/>
      <c r="T25" s="41"/>
      <c r="U25" s="41"/>
      <c r="V25" s="41"/>
      <c r="W25" s="41"/>
      <c r="X25" s="41"/>
      <c r="Y25" s="41"/>
      <c r="Z25" s="41"/>
      <c r="AA25" s="41"/>
      <c r="AB25" s="41"/>
      <c r="AC25" s="41"/>
      <c r="AD25" s="41"/>
      <c r="AE25" s="41"/>
      <c r="AF25" s="41"/>
      <c r="AG25" s="102"/>
      <c r="AH25" s="120"/>
      <c r="AI25" s="122"/>
      <c r="AJ25" s="122"/>
      <c r="AK25" s="41"/>
      <c r="AL25" s="41"/>
      <c r="AM25" s="41"/>
    </row>
    <row r="26" spans="1:39" x14ac:dyDescent="0.25">
      <c r="B26" s="2">
        <f t="shared" si="1"/>
        <v>2042</v>
      </c>
      <c r="C26" s="132"/>
      <c r="D26" s="149"/>
      <c r="E26" s="147" t="e">
        <f>C26*#REF!</f>
        <v>#REF!</v>
      </c>
      <c r="F26" s="147" t="e">
        <f>D26*#REF!</f>
        <v>#REF!</v>
      </c>
      <c r="G26" s="148" t="e">
        <f t="shared" si="2"/>
        <v>#REF!</v>
      </c>
      <c r="H26" s="147" t="e">
        <f>G26*(1+0.07)^-(B26-Assumptions!$D$4)</f>
        <v>#REF!</v>
      </c>
      <c r="K26" s="37" t="s">
        <v>93</v>
      </c>
      <c r="L26" s="171" t="e">
        <f>#REF!</f>
        <v>#REF!</v>
      </c>
      <c r="M26" s="157"/>
      <c r="N26" s="157"/>
      <c r="S26" s="41"/>
      <c r="T26" s="41"/>
      <c r="U26" s="41"/>
      <c r="V26" s="41"/>
      <c r="W26" s="41"/>
      <c r="X26" s="41"/>
      <c r="Y26" s="41"/>
      <c r="Z26" s="41"/>
      <c r="AA26" s="41"/>
      <c r="AB26" s="41"/>
      <c r="AC26" s="41"/>
      <c r="AD26" s="41"/>
      <c r="AE26" s="41"/>
      <c r="AF26" s="41"/>
      <c r="AG26" s="41"/>
      <c r="AH26" s="41"/>
      <c r="AI26" s="41"/>
      <c r="AJ26" s="41"/>
      <c r="AK26" s="41"/>
      <c r="AL26" s="41"/>
      <c r="AM26" s="41"/>
    </row>
    <row r="27" spans="1:39" ht="15" customHeight="1" thickBot="1" x14ac:dyDescent="0.3">
      <c r="B27" s="3">
        <f t="shared" si="1"/>
        <v>2043</v>
      </c>
      <c r="C27" s="162"/>
      <c r="D27" s="150"/>
      <c r="E27" s="151" t="e">
        <f>C27*#REF!</f>
        <v>#REF!</v>
      </c>
      <c r="F27" s="151" t="e">
        <f>D27*#REF!</f>
        <v>#REF!</v>
      </c>
      <c r="G27" s="152" t="e">
        <f t="shared" si="2"/>
        <v>#REF!</v>
      </c>
      <c r="H27" s="151" t="e">
        <f>G27*(1+0.07)^-(B27-Assumptions!$D$4)</f>
        <v>#REF!</v>
      </c>
      <c r="K27" s="37" t="s">
        <v>64</v>
      </c>
      <c r="L27" s="160" t="s">
        <v>105</v>
      </c>
      <c r="M27" s="157"/>
      <c r="N27" s="157"/>
      <c r="S27" s="355"/>
      <c r="T27" s="41"/>
      <c r="U27" s="41"/>
      <c r="V27" s="41"/>
      <c r="W27" s="41"/>
      <c r="X27" s="41"/>
      <c r="Y27" s="41"/>
      <c r="Z27" s="41"/>
      <c r="AA27" s="41"/>
      <c r="AB27" s="41"/>
      <c r="AC27" s="41"/>
      <c r="AD27" s="41"/>
      <c r="AE27" s="41"/>
      <c r="AF27" s="41"/>
      <c r="AG27" s="41"/>
      <c r="AH27" s="41"/>
      <c r="AI27" s="41"/>
      <c r="AJ27" s="41"/>
      <c r="AK27" s="41"/>
      <c r="AL27" s="41"/>
      <c r="AM27" s="41"/>
    </row>
    <row r="28" spans="1:39" ht="15" customHeight="1" thickBot="1" x14ac:dyDescent="0.3">
      <c r="B28" s="4"/>
      <c r="C28" s="52"/>
      <c r="D28" s="52"/>
      <c r="E28" s="52"/>
      <c r="F28" s="52"/>
      <c r="G28" s="69" t="s">
        <v>2</v>
      </c>
      <c r="H28" s="123" t="e">
        <f>SUM(H6:H27)</f>
        <v>#REF!</v>
      </c>
      <c r="K28" s="37">
        <v>2020</v>
      </c>
      <c r="L28" s="131" t="e">
        <f>L20/2*L22*365</f>
        <v>#REF!</v>
      </c>
      <c r="M28" s="157"/>
      <c r="N28" s="157"/>
      <c r="S28" s="355"/>
      <c r="T28" s="41"/>
      <c r="U28" s="41"/>
      <c r="V28" s="41"/>
      <c r="W28" s="41"/>
      <c r="X28" s="41"/>
      <c r="Y28" s="41"/>
      <c r="Z28" s="41"/>
      <c r="AA28" s="41"/>
      <c r="AB28" s="41"/>
      <c r="AC28" s="41"/>
      <c r="AD28" s="41"/>
      <c r="AE28" s="41"/>
      <c r="AF28" s="41"/>
      <c r="AG28" s="41"/>
      <c r="AH28" s="41"/>
      <c r="AI28" s="41"/>
      <c r="AJ28" s="41"/>
      <c r="AK28" s="41"/>
      <c r="AL28" s="41"/>
      <c r="AM28" s="41"/>
    </row>
    <row r="29" spans="1:39" x14ac:dyDescent="0.25">
      <c r="G29" s="128"/>
      <c r="H29" s="128"/>
      <c r="I29" s="24"/>
      <c r="K29" s="37">
        <v>2040</v>
      </c>
      <c r="L29" s="131" t="e">
        <f>L21/2*L22*365</f>
        <v>#REF!</v>
      </c>
      <c r="M29" s="157"/>
      <c r="N29" s="157"/>
      <c r="S29" s="41"/>
      <c r="T29" s="41"/>
      <c r="U29" s="41"/>
      <c r="V29" s="41"/>
      <c r="W29" s="41"/>
      <c r="X29" s="41"/>
      <c r="Y29" s="41"/>
      <c r="Z29" s="41"/>
      <c r="AA29" s="41"/>
      <c r="AB29" s="41"/>
      <c r="AC29" s="41"/>
      <c r="AD29" s="41"/>
      <c r="AE29" s="41"/>
      <c r="AF29" s="41"/>
      <c r="AG29" s="41"/>
      <c r="AH29" s="41"/>
      <c r="AI29" s="41"/>
      <c r="AJ29" s="41"/>
      <c r="AK29" s="41"/>
      <c r="AL29" s="41"/>
      <c r="AM29" s="41"/>
    </row>
    <row r="30" spans="1:39" x14ac:dyDescent="0.25">
      <c r="A30" s="17"/>
      <c r="B30" s="18" t="s">
        <v>3</v>
      </c>
      <c r="C30" s="17"/>
      <c r="D30" s="17"/>
      <c r="E30" s="17"/>
      <c r="F30" s="17"/>
      <c r="G30" s="17"/>
      <c r="I30" s="21"/>
      <c r="J30" s="21"/>
      <c r="K30" s="19"/>
      <c r="L30" s="153"/>
      <c r="M30" s="157"/>
      <c r="N30" s="157"/>
      <c r="S30" s="41"/>
      <c r="T30" s="41"/>
      <c r="U30" s="41"/>
      <c r="V30" s="41"/>
      <c r="W30" s="41"/>
      <c r="X30" s="41"/>
      <c r="Y30" s="41"/>
      <c r="Z30" s="41"/>
      <c r="AA30" s="41"/>
      <c r="AB30" s="41"/>
      <c r="AC30" s="41"/>
      <c r="AD30" s="41"/>
      <c r="AE30" s="41"/>
      <c r="AF30" s="41"/>
      <c r="AG30" s="41"/>
      <c r="AH30" s="41"/>
      <c r="AI30" s="41"/>
      <c r="AJ30" s="41"/>
      <c r="AK30" s="41"/>
      <c r="AL30" s="41"/>
      <c r="AM30" s="41"/>
    </row>
    <row r="31" spans="1:39" ht="15" customHeight="1" x14ac:dyDescent="0.25">
      <c r="A31" s="63" t="s">
        <v>12</v>
      </c>
      <c r="B31" s="344" t="s">
        <v>120</v>
      </c>
      <c r="C31" s="344"/>
      <c r="D31" s="344"/>
      <c r="E31" s="344"/>
      <c r="F31" s="344"/>
      <c r="G31" s="344"/>
      <c r="I31" s="21"/>
      <c r="J31" s="21"/>
      <c r="K31" s="235" t="s">
        <v>124</v>
      </c>
      <c r="L31" s="57"/>
      <c r="M31" s="157"/>
      <c r="N31" s="157"/>
      <c r="S31" s="41"/>
      <c r="T31" s="41"/>
      <c r="U31" s="41"/>
      <c r="V31" s="41"/>
      <c r="W31" s="41"/>
      <c r="X31" s="41"/>
      <c r="Y31" s="41"/>
      <c r="Z31" s="41"/>
      <c r="AA31" s="41"/>
      <c r="AB31" s="41"/>
      <c r="AC31" s="41"/>
      <c r="AD31" s="41"/>
      <c r="AE31" s="41"/>
      <c r="AF31" s="41"/>
      <c r="AG31" s="41"/>
      <c r="AH31" s="41"/>
      <c r="AI31" s="41"/>
      <c r="AJ31" s="41"/>
      <c r="AK31" s="41"/>
      <c r="AL31" s="41"/>
      <c r="AM31" s="41"/>
    </row>
    <row r="32" spans="1:39" x14ac:dyDescent="0.25">
      <c r="A32" s="17"/>
      <c r="B32" s="344"/>
      <c r="C32" s="344"/>
      <c r="D32" s="344"/>
      <c r="E32" s="344"/>
      <c r="F32" s="344"/>
      <c r="G32" s="344"/>
      <c r="H32" s="17"/>
      <c r="I32" s="35"/>
      <c r="J32" s="28"/>
      <c r="K32" s="234" t="s">
        <v>88</v>
      </c>
      <c r="L32" s="234">
        <v>2020</v>
      </c>
      <c r="M32" s="157"/>
      <c r="N32" s="157"/>
      <c r="S32" s="41"/>
      <c r="T32" s="41"/>
      <c r="U32" s="41"/>
      <c r="V32" s="102"/>
      <c r="W32" s="114"/>
      <c r="X32" s="41"/>
      <c r="Y32" s="41"/>
      <c r="Z32" s="41"/>
      <c r="AA32" s="41"/>
      <c r="AB32" s="41"/>
      <c r="AC32" s="41"/>
      <c r="AD32" s="41"/>
      <c r="AE32" s="41"/>
      <c r="AF32" s="41"/>
      <c r="AG32" s="41"/>
      <c r="AH32" s="41"/>
      <c r="AI32" s="41"/>
      <c r="AJ32" s="41"/>
      <c r="AK32" s="41"/>
      <c r="AL32" s="41"/>
      <c r="AM32" s="41"/>
    </row>
    <row r="33" spans="1:39" x14ac:dyDescent="0.25">
      <c r="A33" s="17"/>
      <c r="B33" s="344"/>
      <c r="C33" s="344"/>
      <c r="D33" s="344"/>
      <c r="E33" s="344"/>
      <c r="F33" s="344"/>
      <c r="G33" s="344"/>
      <c r="H33" s="17"/>
      <c r="I33" s="35"/>
      <c r="J33" s="36"/>
      <c r="K33" s="234" t="s">
        <v>64</v>
      </c>
      <c r="L33" s="234" t="s">
        <v>104</v>
      </c>
      <c r="M33" s="157"/>
      <c r="N33" s="157"/>
      <c r="S33" s="41"/>
      <c r="T33" s="41"/>
      <c r="U33" s="41"/>
      <c r="V33" s="41"/>
      <c r="W33" s="41"/>
      <c r="X33" s="41"/>
      <c r="Y33" s="41"/>
      <c r="Z33" s="41"/>
      <c r="AA33" s="41"/>
      <c r="AB33" s="41"/>
      <c r="AC33" s="41"/>
      <c r="AD33" s="41"/>
      <c r="AE33" s="41"/>
      <c r="AF33" s="41"/>
      <c r="AG33" s="41"/>
      <c r="AH33" s="41"/>
      <c r="AI33" s="41"/>
      <c r="AJ33" s="41"/>
      <c r="AK33" s="41"/>
      <c r="AL33" s="41"/>
      <c r="AM33" s="41"/>
    </row>
    <row r="34" spans="1:39" x14ac:dyDescent="0.25">
      <c r="A34" s="17"/>
      <c r="B34" s="344"/>
      <c r="C34" s="344"/>
      <c r="D34" s="344"/>
      <c r="E34" s="344"/>
      <c r="F34" s="344"/>
      <c r="G34" s="344"/>
      <c r="H34" s="17"/>
      <c r="J34" s="35"/>
      <c r="K34" s="234">
        <v>2020</v>
      </c>
      <c r="L34" s="170" t="e">
        <f>#REF!</f>
        <v>#REF!</v>
      </c>
      <c r="M34" s="157"/>
      <c r="N34" s="157"/>
      <c r="S34" s="53"/>
      <c r="T34" s="53"/>
      <c r="U34" s="41"/>
      <c r="V34" s="41"/>
      <c r="W34" s="41"/>
      <c r="X34" s="41"/>
      <c r="Y34" s="41"/>
      <c r="Z34" s="41"/>
      <c r="AA34" s="41"/>
      <c r="AB34" s="41"/>
      <c r="AC34" s="41"/>
      <c r="AD34" s="41"/>
      <c r="AE34" s="41"/>
      <c r="AF34" s="41"/>
      <c r="AG34" s="41"/>
      <c r="AH34" s="41"/>
      <c r="AI34" s="41"/>
      <c r="AJ34" s="41"/>
      <c r="AK34" s="41"/>
      <c r="AL34" s="41"/>
      <c r="AM34" s="41"/>
    </row>
    <row r="35" spans="1:39" ht="15" customHeight="1" x14ac:dyDescent="0.25">
      <c r="A35" s="17"/>
      <c r="B35" s="74"/>
      <c r="C35" s="74"/>
      <c r="D35" s="74"/>
      <c r="E35" s="74"/>
      <c r="F35" s="74"/>
      <c r="G35" s="17"/>
      <c r="J35" s="35"/>
      <c r="K35" s="234">
        <v>2040</v>
      </c>
      <c r="L35" s="170" t="e">
        <f>#REF!</f>
        <v>#REF!</v>
      </c>
      <c r="M35" s="157"/>
      <c r="N35" s="157"/>
      <c r="S35" s="53"/>
      <c r="T35" s="53"/>
      <c r="U35" s="41"/>
      <c r="V35" s="41"/>
      <c r="W35" s="41"/>
      <c r="X35" s="41"/>
      <c r="Y35" s="41"/>
      <c r="Z35" s="41"/>
      <c r="AA35" s="41"/>
      <c r="AB35" s="41"/>
      <c r="AC35" s="41"/>
      <c r="AD35" s="41"/>
      <c r="AE35" s="41"/>
      <c r="AF35" s="41"/>
      <c r="AG35" s="41"/>
      <c r="AH35" s="41"/>
      <c r="AI35" s="41"/>
      <c r="AJ35" s="41"/>
      <c r="AK35" s="41"/>
      <c r="AL35" s="41"/>
      <c r="AM35" s="41"/>
    </row>
    <row r="36" spans="1:39" ht="15" customHeight="1" x14ac:dyDescent="0.25">
      <c r="A36" s="63" t="s">
        <v>11</v>
      </c>
      <c r="B36" s="344" t="s">
        <v>98</v>
      </c>
      <c r="C36" s="344"/>
      <c r="D36" s="344"/>
      <c r="E36" s="344"/>
      <c r="F36" s="344"/>
      <c r="G36" s="344"/>
      <c r="J36" s="35"/>
      <c r="K36" s="234" t="s">
        <v>125</v>
      </c>
      <c r="L36" s="170" t="e">
        <f>L22+#REF!</f>
        <v>#REF!</v>
      </c>
      <c r="M36" s="157"/>
      <c r="N36" s="157"/>
      <c r="S36" s="41"/>
      <c r="T36" s="41"/>
      <c r="U36" s="53"/>
      <c r="V36" s="53"/>
      <c r="W36" s="53"/>
      <c r="X36" s="53"/>
      <c r="Y36" s="53"/>
      <c r="Z36" s="53"/>
      <c r="AA36" s="53"/>
      <c r="AB36" s="53"/>
      <c r="AC36" s="53"/>
      <c r="AD36" s="53"/>
      <c r="AE36" s="53"/>
      <c r="AF36" s="53"/>
      <c r="AG36" s="53"/>
      <c r="AH36" s="53"/>
      <c r="AI36" s="53"/>
      <c r="AJ36" s="53"/>
      <c r="AK36" s="53"/>
      <c r="AL36" s="53"/>
      <c r="AM36" s="53"/>
    </row>
    <row r="37" spans="1:39" ht="15" customHeight="1" x14ac:dyDescent="0.25">
      <c r="A37" s="63"/>
      <c r="B37" s="344"/>
      <c r="C37" s="344"/>
      <c r="D37" s="344"/>
      <c r="E37" s="344"/>
      <c r="F37" s="344"/>
      <c r="G37" s="344"/>
      <c r="J37" s="35"/>
      <c r="K37" s="234" t="s">
        <v>87</v>
      </c>
      <c r="L37" s="171" t="e">
        <f>(L35-L34)/(L34*20)</f>
        <v>#REF!</v>
      </c>
      <c r="M37" s="157"/>
      <c r="N37" s="157"/>
      <c r="S37" s="102"/>
      <c r="T37" s="102"/>
      <c r="U37" s="53"/>
      <c r="V37" s="53"/>
      <c r="W37" s="53"/>
      <c r="X37" s="53"/>
      <c r="Y37" s="53"/>
      <c r="Z37" s="53"/>
      <c r="AA37" s="53"/>
      <c r="AB37" s="53"/>
      <c r="AC37" s="53"/>
      <c r="AD37" s="53"/>
      <c r="AE37" s="53"/>
      <c r="AF37" s="53"/>
      <c r="AG37" s="53"/>
      <c r="AH37" s="53"/>
      <c r="AI37" s="53"/>
      <c r="AJ37" s="53"/>
      <c r="AK37" s="53"/>
      <c r="AL37" s="53"/>
      <c r="AM37" s="53"/>
    </row>
    <row r="38" spans="1:39" ht="15" customHeight="1" x14ac:dyDescent="0.25">
      <c r="A38" s="63"/>
      <c r="B38" s="156"/>
      <c r="C38" s="156"/>
      <c r="D38" s="156"/>
      <c r="E38" s="156"/>
      <c r="F38" s="156"/>
      <c r="G38" s="156"/>
      <c r="J38" s="35"/>
      <c r="K38" s="234" t="s">
        <v>93</v>
      </c>
      <c r="L38" s="171" t="e">
        <f>#REF!</f>
        <v>#REF!</v>
      </c>
      <c r="M38" s="157"/>
      <c r="N38" s="157"/>
      <c r="S38" s="41"/>
      <c r="T38" s="41"/>
      <c r="U38" s="41"/>
      <c r="V38" s="41"/>
      <c r="W38" s="41"/>
      <c r="X38" s="41"/>
      <c r="Y38" s="41"/>
      <c r="Z38" s="41"/>
      <c r="AA38" s="41"/>
      <c r="AB38" s="41"/>
      <c r="AC38" s="41"/>
      <c r="AD38" s="41"/>
      <c r="AE38" s="41"/>
      <c r="AF38" s="41"/>
      <c r="AG38" s="41"/>
      <c r="AH38" s="41"/>
      <c r="AI38" s="41"/>
      <c r="AJ38" s="41"/>
      <c r="AK38" s="41"/>
      <c r="AL38" s="41"/>
      <c r="AM38" s="41"/>
    </row>
    <row r="39" spans="1:39" x14ac:dyDescent="0.25">
      <c r="A39" s="63" t="s">
        <v>13</v>
      </c>
      <c r="B39" s="344" t="s">
        <v>99</v>
      </c>
      <c r="C39" s="344"/>
      <c r="D39" s="344"/>
      <c r="E39" s="344"/>
      <c r="F39" s="344"/>
      <c r="G39" s="344"/>
      <c r="J39" s="22"/>
      <c r="K39" s="234" t="s">
        <v>64</v>
      </c>
      <c r="L39" s="237" t="s">
        <v>105</v>
      </c>
      <c r="M39" s="157"/>
      <c r="N39" s="157"/>
      <c r="S39" s="41"/>
      <c r="T39" s="41"/>
      <c r="U39" s="102"/>
      <c r="V39" s="102"/>
      <c r="W39" s="102"/>
      <c r="X39" s="102"/>
      <c r="Y39" s="102"/>
      <c r="Z39" s="102"/>
      <c r="AA39" s="102"/>
      <c r="AB39" s="102"/>
      <c r="AC39" s="102"/>
      <c r="AD39" s="102"/>
      <c r="AE39" s="102"/>
      <c r="AF39" s="102"/>
      <c r="AG39" s="102"/>
      <c r="AH39" s="102"/>
      <c r="AI39" s="102"/>
      <c r="AJ39" s="102"/>
      <c r="AK39" s="102"/>
      <c r="AL39" s="102"/>
      <c r="AM39" s="102"/>
    </row>
    <row r="40" spans="1:39" x14ac:dyDescent="0.25">
      <c r="A40" s="17"/>
      <c r="B40" s="344"/>
      <c r="C40" s="344"/>
      <c r="D40" s="344"/>
      <c r="E40" s="344"/>
      <c r="F40" s="344"/>
      <c r="G40" s="344"/>
      <c r="J40" s="22"/>
      <c r="K40" s="234">
        <v>2020</v>
      </c>
      <c r="L40" s="131" t="e">
        <f>L34/2*L36*365</f>
        <v>#REF!</v>
      </c>
      <c r="M40" s="157"/>
      <c r="N40" s="157"/>
      <c r="S40" s="41"/>
      <c r="T40" s="41"/>
      <c r="U40" s="41"/>
      <c r="V40" s="41"/>
      <c r="W40" s="41"/>
      <c r="X40" s="41"/>
      <c r="Y40" s="41"/>
      <c r="Z40" s="41"/>
      <c r="AA40" s="41"/>
      <c r="AB40" s="41"/>
      <c r="AC40" s="41"/>
      <c r="AD40" s="41"/>
      <c r="AE40" s="41"/>
      <c r="AF40" s="41"/>
      <c r="AG40" s="41"/>
      <c r="AH40" s="41"/>
      <c r="AI40" s="41"/>
      <c r="AJ40" s="41"/>
      <c r="AK40" s="41"/>
      <c r="AL40" s="41"/>
      <c r="AM40" s="41"/>
    </row>
    <row r="41" spans="1:39" ht="15" customHeight="1" x14ac:dyDescent="0.25">
      <c r="A41" s="17"/>
      <c r="B41" s="344"/>
      <c r="C41" s="344"/>
      <c r="D41" s="344"/>
      <c r="E41" s="344"/>
      <c r="F41" s="344"/>
      <c r="G41" s="344"/>
      <c r="I41" s="17"/>
      <c r="J41" s="22"/>
      <c r="K41" s="234">
        <v>2040</v>
      </c>
      <c r="L41" s="131" t="e">
        <f>L35/2*L36*365</f>
        <v>#REF!</v>
      </c>
      <c r="M41" s="157"/>
      <c r="N41" s="157"/>
      <c r="S41" s="41"/>
      <c r="T41" s="41"/>
      <c r="U41" s="41"/>
      <c r="V41" s="41"/>
      <c r="W41" s="41"/>
      <c r="X41" s="41"/>
      <c r="Y41" s="41"/>
      <c r="Z41" s="41"/>
      <c r="AA41" s="41"/>
      <c r="AB41" s="41"/>
      <c r="AC41" s="41"/>
      <c r="AD41" s="41"/>
      <c r="AE41" s="41"/>
      <c r="AF41" s="41"/>
      <c r="AG41" s="41"/>
      <c r="AH41" s="41"/>
      <c r="AI41" s="41"/>
      <c r="AJ41" s="41"/>
      <c r="AK41" s="41"/>
      <c r="AL41" s="41"/>
      <c r="AM41" s="41"/>
    </row>
    <row r="42" spans="1:39" ht="15" customHeight="1" x14ac:dyDescent="0.25">
      <c r="A42" s="17"/>
      <c r="B42" s="344"/>
      <c r="C42" s="344"/>
      <c r="D42" s="344"/>
      <c r="E42" s="344"/>
      <c r="F42" s="344"/>
      <c r="G42" s="344"/>
      <c r="K42" s="112"/>
      <c r="L42" s="113"/>
      <c r="M42" s="157"/>
      <c r="N42" s="157"/>
      <c r="S42" s="41"/>
      <c r="T42" s="41"/>
      <c r="U42" s="41"/>
      <c r="V42" s="41"/>
      <c r="W42" s="41"/>
      <c r="X42" s="41"/>
      <c r="Y42" s="41"/>
      <c r="Z42" s="41"/>
      <c r="AA42" s="41"/>
      <c r="AB42" s="41"/>
      <c r="AC42" s="41"/>
      <c r="AD42" s="41"/>
      <c r="AE42" s="41"/>
      <c r="AF42" s="41"/>
      <c r="AG42" s="41"/>
      <c r="AH42" s="41"/>
      <c r="AI42" s="41"/>
      <c r="AJ42" s="41"/>
      <c r="AK42" s="41"/>
      <c r="AL42" s="41"/>
      <c r="AM42" s="41"/>
    </row>
    <row r="43" spans="1:39" ht="15" customHeight="1" x14ac:dyDescent="0.25">
      <c r="A43" s="17"/>
      <c r="B43" s="74"/>
      <c r="C43" s="74"/>
      <c r="D43" s="74"/>
      <c r="E43" s="74"/>
      <c r="F43" s="74"/>
      <c r="G43" s="17"/>
      <c r="K43" s="158" t="s">
        <v>107</v>
      </c>
      <c r="L43" s="57"/>
      <c r="M43" s="157"/>
      <c r="N43" s="157"/>
      <c r="S43" s="41"/>
      <c r="T43" s="41"/>
      <c r="U43" s="41"/>
      <c r="V43" s="41"/>
      <c r="W43" s="41"/>
      <c r="X43" s="41"/>
      <c r="Y43" s="41"/>
      <c r="Z43" s="41"/>
      <c r="AA43" s="41"/>
      <c r="AB43" s="41"/>
      <c r="AC43" s="41"/>
      <c r="AD43" s="41"/>
      <c r="AE43" s="41"/>
      <c r="AF43" s="41"/>
      <c r="AG43" s="41"/>
      <c r="AH43" s="41"/>
      <c r="AI43" s="41"/>
      <c r="AJ43" s="41"/>
      <c r="AK43" s="41"/>
      <c r="AL43" s="41"/>
      <c r="AM43" s="41"/>
    </row>
    <row r="44" spans="1:39" ht="15" customHeight="1" x14ac:dyDescent="0.25">
      <c r="A44" s="63" t="s">
        <v>14</v>
      </c>
      <c r="B44" s="344" t="s">
        <v>108</v>
      </c>
      <c r="C44" s="344"/>
      <c r="D44" s="344"/>
      <c r="E44" s="344"/>
      <c r="F44" s="344"/>
      <c r="G44" s="344"/>
      <c r="K44" s="37" t="s">
        <v>88</v>
      </c>
      <c r="L44" s="37">
        <v>2020</v>
      </c>
      <c r="M44" s="157"/>
      <c r="N44" s="157"/>
      <c r="S44" s="41"/>
      <c r="T44" s="41"/>
      <c r="U44" s="41"/>
      <c r="V44" s="41"/>
      <c r="W44" s="41"/>
      <c r="X44" s="41"/>
      <c r="Y44" s="41"/>
      <c r="Z44" s="41"/>
      <c r="AA44" s="41"/>
      <c r="AB44" s="41"/>
      <c r="AC44" s="41"/>
      <c r="AD44" s="41"/>
      <c r="AE44" s="41"/>
      <c r="AF44" s="41"/>
      <c r="AG44" s="41"/>
      <c r="AH44" s="41"/>
      <c r="AI44" s="41"/>
      <c r="AJ44" s="41"/>
      <c r="AK44" s="41"/>
      <c r="AL44" s="41"/>
      <c r="AM44" s="41"/>
    </row>
    <row r="45" spans="1:39" x14ac:dyDescent="0.25">
      <c r="A45" s="17"/>
      <c r="B45" s="344"/>
      <c r="C45" s="344"/>
      <c r="D45" s="344"/>
      <c r="E45" s="344"/>
      <c r="F45" s="344"/>
      <c r="G45" s="344"/>
      <c r="K45" s="37" t="s">
        <v>64</v>
      </c>
      <c r="L45" s="37" t="s">
        <v>104</v>
      </c>
      <c r="M45" s="157"/>
      <c r="N45" s="157"/>
      <c r="S45" s="41"/>
      <c r="T45" s="41"/>
      <c r="U45" s="41"/>
      <c r="V45" s="41"/>
      <c r="W45" s="41"/>
      <c r="X45" s="41"/>
      <c r="Y45" s="41"/>
      <c r="Z45" s="41"/>
      <c r="AA45" s="41"/>
      <c r="AB45" s="41"/>
      <c r="AC45" s="41"/>
      <c r="AD45" s="41"/>
      <c r="AE45" s="41"/>
      <c r="AF45" s="41"/>
      <c r="AG45" s="41"/>
      <c r="AH45" s="41"/>
      <c r="AI45" s="41"/>
      <c r="AJ45" s="41"/>
      <c r="AK45" s="41"/>
      <c r="AL45" s="41"/>
      <c r="AM45" s="41"/>
    </row>
    <row r="46" spans="1:39" x14ac:dyDescent="0.25">
      <c r="A46" s="17"/>
      <c r="B46" s="344"/>
      <c r="C46" s="344"/>
      <c r="D46" s="344"/>
      <c r="E46" s="344"/>
      <c r="F46" s="344"/>
      <c r="G46" s="344"/>
      <c r="K46" s="37">
        <v>2020</v>
      </c>
      <c r="L46" s="170" t="e">
        <f>#REF!</f>
        <v>#REF!</v>
      </c>
      <c r="M46" s="157"/>
      <c r="N46" s="157"/>
      <c r="S46" s="41"/>
      <c r="T46" s="41"/>
      <c r="U46" s="41"/>
      <c r="V46" s="41"/>
      <c r="W46" s="41"/>
      <c r="X46" s="41"/>
      <c r="Y46" s="41"/>
      <c r="Z46" s="41"/>
      <c r="AA46" s="41"/>
      <c r="AB46" s="41"/>
      <c r="AC46" s="41"/>
      <c r="AD46" s="41"/>
      <c r="AE46" s="41"/>
      <c r="AF46" s="41"/>
      <c r="AG46" s="41"/>
      <c r="AH46" s="41"/>
      <c r="AI46" s="41"/>
      <c r="AJ46" s="41"/>
      <c r="AK46" s="41"/>
      <c r="AL46" s="41"/>
      <c r="AM46" s="41"/>
    </row>
    <row r="47" spans="1:39" x14ac:dyDescent="0.25">
      <c r="A47" s="17"/>
      <c r="B47" s="74"/>
      <c r="C47" s="74"/>
      <c r="D47" s="74"/>
      <c r="E47" s="74"/>
      <c r="F47" s="74"/>
      <c r="G47" s="74"/>
      <c r="H47" s="17"/>
      <c r="K47" s="37">
        <v>2040</v>
      </c>
      <c r="L47" s="170" t="e">
        <f>#REF!</f>
        <v>#REF!</v>
      </c>
      <c r="M47" s="157"/>
      <c r="N47" s="157"/>
      <c r="S47" s="41"/>
      <c r="T47" s="41"/>
      <c r="U47" s="41"/>
      <c r="V47" s="41"/>
      <c r="W47" s="41"/>
      <c r="X47" s="41"/>
      <c r="Y47" s="41"/>
      <c r="Z47" s="41"/>
      <c r="AA47" s="41"/>
      <c r="AB47" s="41"/>
      <c r="AC47" s="41"/>
      <c r="AD47" s="41"/>
      <c r="AE47" s="41"/>
      <c r="AF47" s="41"/>
      <c r="AG47" s="41"/>
      <c r="AH47" s="41"/>
      <c r="AI47" s="41"/>
      <c r="AJ47" s="41"/>
      <c r="AK47" s="41"/>
      <c r="AL47" s="41"/>
      <c r="AM47" s="41"/>
    </row>
    <row r="48" spans="1:39" ht="15" customHeight="1" x14ac:dyDescent="0.25">
      <c r="A48" s="63" t="s">
        <v>58</v>
      </c>
      <c r="B48" s="362" t="s">
        <v>121</v>
      </c>
      <c r="C48" s="362"/>
      <c r="D48" s="362"/>
      <c r="E48" s="362"/>
      <c r="F48" s="362"/>
      <c r="G48" s="362"/>
      <c r="H48" s="17"/>
      <c r="K48" s="234" t="s">
        <v>125</v>
      </c>
      <c r="L48" s="170" t="e">
        <f>L36+#REF!-(5.6+2.6)</f>
        <v>#REF!</v>
      </c>
      <c r="M48" s="17"/>
      <c r="N48" s="17"/>
      <c r="S48" s="41"/>
      <c r="T48" s="41"/>
      <c r="U48" s="41"/>
      <c r="V48" s="41"/>
      <c r="W48" s="41"/>
      <c r="X48" s="41"/>
      <c r="Y48" s="41"/>
      <c r="Z48" s="41"/>
      <c r="AA48" s="41"/>
      <c r="AB48" s="41"/>
      <c r="AC48" s="41"/>
      <c r="AD48" s="41"/>
      <c r="AE48" s="41"/>
      <c r="AF48" s="41"/>
      <c r="AG48" s="41"/>
      <c r="AH48" s="41"/>
      <c r="AI48" s="41"/>
      <c r="AJ48" s="41"/>
      <c r="AK48" s="41"/>
      <c r="AL48" s="41"/>
      <c r="AM48" s="41"/>
    </row>
    <row r="49" spans="1:39" x14ac:dyDescent="0.25">
      <c r="A49" s="17"/>
      <c r="B49" s="362"/>
      <c r="C49" s="362"/>
      <c r="D49" s="362"/>
      <c r="E49" s="362"/>
      <c r="F49" s="362"/>
      <c r="G49" s="362"/>
      <c r="H49" s="17"/>
      <c r="I49" s="157"/>
      <c r="J49" s="157"/>
      <c r="K49" s="37" t="s">
        <v>87</v>
      </c>
      <c r="L49" s="171" t="e">
        <f>(L47-L46)/(L46*20)</f>
        <v>#REF!</v>
      </c>
      <c r="M49" s="17"/>
      <c r="N49" s="17"/>
      <c r="S49" s="41"/>
      <c r="T49" s="41"/>
      <c r="U49" s="41"/>
      <c r="V49" s="41"/>
      <c r="W49" s="41"/>
      <c r="X49" s="41"/>
      <c r="Y49" s="41"/>
      <c r="Z49" s="41"/>
      <c r="AA49" s="41"/>
      <c r="AB49" s="41"/>
      <c r="AC49" s="41"/>
      <c r="AD49" s="41"/>
      <c r="AE49" s="41"/>
      <c r="AF49" s="41"/>
      <c r="AG49" s="41"/>
      <c r="AH49" s="41"/>
      <c r="AI49" s="41"/>
      <c r="AJ49" s="41"/>
      <c r="AK49" s="41"/>
      <c r="AL49" s="41"/>
      <c r="AM49" s="41"/>
    </row>
    <row r="50" spans="1:39" ht="15" customHeight="1" x14ac:dyDescent="0.25">
      <c r="A50" s="17"/>
      <c r="B50" s="362"/>
      <c r="C50" s="362"/>
      <c r="D50" s="362"/>
      <c r="E50" s="362"/>
      <c r="F50" s="362"/>
      <c r="G50" s="362"/>
      <c r="I50" s="157"/>
      <c r="J50" s="157"/>
      <c r="K50" s="37" t="s">
        <v>93</v>
      </c>
      <c r="L50" s="171" t="e">
        <f>#REF!</f>
        <v>#REF!</v>
      </c>
      <c r="M50" s="17"/>
      <c r="N50" s="17"/>
      <c r="S50" s="41"/>
      <c r="T50" s="41"/>
      <c r="U50" s="41"/>
      <c r="V50" s="41"/>
      <c r="W50" s="6"/>
      <c r="X50" s="41"/>
      <c r="Y50" s="41"/>
      <c r="Z50" s="41"/>
      <c r="AA50" s="41"/>
      <c r="AB50" s="41"/>
      <c r="AC50" s="41"/>
      <c r="AD50" s="41"/>
      <c r="AE50" s="41"/>
      <c r="AF50" s="41"/>
      <c r="AG50" s="41"/>
      <c r="AH50" s="41"/>
      <c r="AI50" s="41"/>
      <c r="AJ50" s="41"/>
      <c r="AK50" s="41"/>
      <c r="AL50" s="41"/>
      <c r="AM50" s="41"/>
    </row>
    <row r="51" spans="1:39" x14ac:dyDescent="0.25">
      <c r="A51" s="63"/>
      <c r="B51" s="362"/>
      <c r="C51" s="362"/>
      <c r="D51" s="362"/>
      <c r="E51" s="362"/>
      <c r="F51" s="362"/>
      <c r="G51" s="362"/>
      <c r="I51" s="157"/>
      <c r="J51" s="157"/>
      <c r="K51" s="37" t="s">
        <v>64</v>
      </c>
      <c r="L51" s="160" t="s">
        <v>105</v>
      </c>
      <c r="S51" s="41"/>
      <c r="T51" s="41"/>
      <c r="U51" s="41"/>
      <c r="V51" s="41"/>
      <c r="W51" s="6"/>
      <c r="X51" s="41"/>
      <c r="Y51" s="41"/>
      <c r="Z51" s="41"/>
      <c r="AA51" s="41"/>
      <c r="AB51" s="41"/>
      <c r="AC51" s="41"/>
      <c r="AD51" s="41"/>
      <c r="AE51" s="41"/>
      <c r="AF51" s="41"/>
      <c r="AG51" s="41"/>
      <c r="AH51" s="41"/>
      <c r="AI51" s="41"/>
      <c r="AJ51" s="41"/>
      <c r="AK51" s="41"/>
      <c r="AL51" s="41"/>
      <c r="AM51" s="41"/>
    </row>
    <row r="52" spans="1:39" x14ac:dyDescent="0.25">
      <c r="A52" s="17"/>
      <c r="B52" s="74"/>
      <c r="C52" s="74"/>
      <c r="D52" s="74"/>
      <c r="E52" s="74"/>
      <c r="F52" s="74"/>
      <c r="G52" s="74"/>
      <c r="I52" s="157"/>
      <c r="J52" s="157"/>
      <c r="K52" s="37">
        <v>2020</v>
      </c>
      <c r="L52" s="131" t="e">
        <f>L46/2*L48*365</f>
        <v>#REF!</v>
      </c>
      <c r="O52" s="10"/>
      <c r="P52" s="10"/>
      <c r="Q52" s="10"/>
      <c r="R52" s="10"/>
      <c r="S52" s="41"/>
      <c r="T52" s="41"/>
      <c r="U52" s="41"/>
      <c r="V52" s="41"/>
      <c r="W52" s="41"/>
      <c r="X52" s="41"/>
      <c r="Y52" s="41"/>
      <c r="Z52" s="41"/>
      <c r="AA52" s="41"/>
      <c r="AB52" s="41"/>
      <c r="AC52" s="41"/>
      <c r="AD52" s="41"/>
      <c r="AE52" s="41"/>
      <c r="AF52" s="41"/>
      <c r="AG52" s="41"/>
      <c r="AH52" s="41"/>
      <c r="AI52" s="41"/>
      <c r="AJ52" s="41"/>
      <c r="AK52" s="41"/>
      <c r="AL52" s="41"/>
      <c r="AM52" s="41"/>
    </row>
    <row r="53" spans="1:39" x14ac:dyDescent="0.25">
      <c r="A53" s="127" t="s">
        <v>59</v>
      </c>
      <c r="B53" s="344" t="s">
        <v>122</v>
      </c>
      <c r="C53" s="344"/>
      <c r="D53" s="344"/>
      <c r="E53" s="344"/>
      <c r="F53" s="344"/>
      <c r="G53" s="344"/>
      <c r="I53" s="157"/>
      <c r="J53" s="157"/>
      <c r="K53" s="37">
        <v>2040</v>
      </c>
      <c r="L53" s="131" t="e">
        <f>L47/2*L48*365</f>
        <v>#REF!</v>
      </c>
      <c r="O53" s="10"/>
      <c r="P53" s="10"/>
      <c r="Q53" s="10"/>
      <c r="R53" s="10"/>
      <c r="S53" s="41"/>
      <c r="T53" s="41"/>
      <c r="U53" s="41"/>
      <c r="V53" s="41"/>
      <c r="W53" s="41"/>
      <c r="X53" s="41"/>
      <c r="Y53" s="41"/>
      <c r="Z53" s="41"/>
      <c r="AA53" s="41"/>
      <c r="AB53" s="41"/>
      <c r="AC53" s="41"/>
      <c r="AD53" s="41"/>
      <c r="AE53" s="41"/>
      <c r="AF53" s="41"/>
      <c r="AG53" s="41"/>
      <c r="AH53" s="41"/>
      <c r="AI53" s="41"/>
      <c r="AJ53" s="41"/>
      <c r="AK53" s="41"/>
      <c r="AL53" s="41"/>
      <c r="AM53" s="41"/>
    </row>
    <row r="54" spans="1:39" x14ac:dyDescent="0.25">
      <c r="B54" s="344"/>
      <c r="C54" s="344"/>
      <c r="D54" s="344"/>
      <c r="E54" s="344"/>
      <c r="F54" s="344"/>
      <c r="G54" s="344"/>
      <c r="I54" s="157"/>
      <c r="J54" s="157"/>
      <c r="O54" s="10"/>
      <c r="P54" s="10"/>
      <c r="Q54" s="10"/>
      <c r="R54" s="10"/>
      <c r="S54" s="41"/>
      <c r="T54" s="41"/>
      <c r="U54" s="41"/>
      <c r="V54" s="41"/>
      <c r="W54" s="41"/>
      <c r="Y54" s="41"/>
      <c r="Z54" s="41"/>
      <c r="AA54" s="41"/>
      <c r="AB54" s="41"/>
      <c r="AC54" s="41"/>
      <c r="AD54" s="41"/>
      <c r="AE54" s="41"/>
      <c r="AF54" s="41"/>
      <c r="AG54" s="41"/>
      <c r="AH54" s="41"/>
      <c r="AI54" s="41"/>
      <c r="AJ54" s="41"/>
      <c r="AK54" s="41"/>
      <c r="AL54" s="41"/>
      <c r="AM54" s="41"/>
    </row>
    <row r="55" spans="1:39" x14ac:dyDescent="0.25">
      <c r="B55" s="74"/>
      <c r="C55" s="74"/>
      <c r="D55" s="74"/>
      <c r="I55" s="157"/>
      <c r="J55" s="157"/>
      <c r="K55" s="19"/>
      <c r="L55" s="157"/>
      <c r="O55" s="10"/>
      <c r="P55" s="10"/>
      <c r="Q55" s="10"/>
      <c r="R55" s="10"/>
      <c r="S55" s="41"/>
      <c r="T55" s="41"/>
      <c r="U55" s="41"/>
      <c r="V55" s="41"/>
      <c r="W55" s="41"/>
      <c r="Y55" s="41"/>
      <c r="Z55" s="41"/>
      <c r="AA55" s="41"/>
      <c r="AB55" s="41"/>
      <c r="AC55" s="41"/>
      <c r="AD55" s="41"/>
      <c r="AE55" s="41"/>
      <c r="AF55" s="41"/>
      <c r="AG55" s="41"/>
      <c r="AH55" s="41"/>
      <c r="AI55" s="41"/>
      <c r="AJ55" s="41"/>
      <c r="AK55" s="41"/>
      <c r="AL55" s="41"/>
      <c r="AM55" s="41"/>
    </row>
    <row r="56" spans="1:39" x14ac:dyDescent="0.25">
      <c r="B56" s="74"/>
      <c r="C56" s="74"/>
      <c r="D56" s="74"/>
      <c r="I56" s="157"/>
      <c r="J56" s="157"/>
      <c r="K56" s="112"/>
      <c r="L56" s="113"/>
      <c r="O56" s="10"/>
      <c r="P56" s="10"/>
      <c r="Q56" s="10"/>
      <c r="R56" s="10"/>
      <c r="S56" s="41"/>
      <c r="T56" s="41"/>
      <c r="U56" s="41"/>
      <c r="V56" s="41"/>
      <c r="W56" s="41"/>
      <c r="X56" s="41"/>
      <c r="Y56" s="41"/>
      <c r="Z56" s="41"/>
      <c r="AA56" s="41"/>
      <c r="AB56" s="41"/>
      <c r="AC56" s="41"/>
      <c r="AD56" s="41"/>
      <c r="AE56" s="41"/>
      <c r="AF56" s="41"/>
      <c r="AG56" s="41"/>
      <c r="AH56" s="41"/>
      <c r="AI56" s="41"/>
      <c r="AJ56" s="41"/>
      <c r="AK56" s="41"/>
      <c r="AL56" s="41"/>
      <c r="AM56" s="41"/>
    </row>
    <row r="57" spans="1:39" x14ac:dyDescent="0.25">
      <c r="B57" s="74"/>
      <c r="C57" s="74"/>
      <c r="D57" s="74"/>
      <c r="I57" s="157"/>
      <c r="J57" s="157"/>
      <c r="O57" s="10"/>
      <c r="P57" s="10"/>
      <c r="Q57" s="10"/>
      <c r="R57" s="10"/>
      <c r="S57" s="41"/>
      <c r="T57" s="41"/>
      <c r="U57" s="41"/>
      <c r="V57" s="41"/>
      <c r="W57" s="41"/>
      <c r="X57" s="41"/>
      <c r="Y57" s="41"/>
      <c r="Z57" s="41"/>
      <c r="AA57" s="41"/>
      <c r="AB57" s="41"/>
      <c r="AC57" s="41"/>
      <c r="AD57" s="41"/>
      <c r="AE57" s="41"/>
      <c r="AF57" s="41"/>
      <c r="AG57" s="41"/>
      <c r="AH57" s="41"/>
      <c r="AI57" s="41"/>
      <c r="AJ57" s="41"/>
      <c r="AK57" s="41"/>
      <c r="AL57" s="41"/>
      <c r="AM57" s="41"/>
    </row>
    <row r="58" spans="1:39" x14ac:dyDescent="0.25">
      <c r="I58" s="157"/>
      <c r="J58" s="157"/>
      <c r="O58" s="10"/>
      <c r="P58" s="10"/>
      <c r="Q58" s="10"/>
      <c r="R58" s="10"/>
      <c r="S58" s="41"/>
      <c r="T58" s="41"/>
      <c r="U58" s="41"/>
      <c r="V58" s="41"/>
      <c r="W58" s="41"/>
      <c r="X58" s="41"/>
      <c r="Y58" s="41"/>
      <c r="Z58" s="41"/>
      <c r="AA58" s="41"/>
      <c r="AB58" s="41"/>
      <c r="AC58" s="41"/>
      <c r="AD58" s="41"/>
      <c r="AE58" s="41"/>
      <c r="AF58" s="41"/>
      <c r="AG58" s="41"/>
      <c r="AH58" s="41"/>
      <c r="AI58" s="41"/>
      <c r="AJ58" s="41"/>
      <c r="AK58" s="41"/>
      <c r="AL58" s="41"/>
      <c r="AM58" s="41"/>
    </row>
    <row r="59" spans="1:39" x14ac:dyDescent="0.25">
      <c r="I59" s="157"/>
      <c r="J59" s="157"/>
      <c r="O59" s="10"/>
      <c r="P59" s="10"/>
      <c r="Q59" s="10"/>
      <c r="R59" s="10"/>
      <c r="S59" s="41"/>
      <c r="T59" s="41"/>
      <c r="U59" s="41"/>
      <c r="V59" s="41"/>
      <c r="W59" s="41"/>
      <c r="X59" s="41"/>
      <c r="Y59" s="41"/>
      <c r="Z59" s="41"/>
      <c r="AA59" s="41"/>
      <c r="AB59" s="41"/>
      <c r="AC59" s="41"/>
      <c r="AD59" s="41"/>
      <c r="AE59" s="41"/>
      <c r="AF59" s="41"/>
      <c r="AG59" s="41"/>
      <c r="AH59" s="41"/>
      <c r="AI59" s="41"/>
      <c r="AJ59" s="41"/>
      <c r="AK59" s="41"/>
      <c r="AL59" s="41"/>
      <c r="AM59" s="41"/>
    </row>
    <row r="60" spans="1:39" x14ac:dyDescent="0.25">
      <c r="I60" s="157"/>
      <c r="J60" s="157"/>
      <c r="O60" s="10"/>
      <c r="P60" s="10"/>
      <c r="Q60" s="10"/>
      <c r="R60" s="10"/>
      <c r="S60" s="41"/>
      <c r="T60" s="41"/>
      <c r="U60" s="41"/>
      <c r="V60" s="41"/>
      <c r="W60" s="41"/>
      <c r="X60" s="41"/>
      <c r="Y60" s="41"/>
      <c r="Z60" s="41"/>
      <c r="AA60" s="41"/>
      <c r="AB60" s="41"/>
      <c r="AC60" s="41"/>
      <c r="AD60" s="41"/>
      <c r="AE60" s="41"/>
      <c r="AF60" s="41"/>
      <c r="AG60" s="41"/>
      <c r="AH60" s="41"/>
      <c r="AI60" s="41"/>
      <c r="AJ60" s="41"/>
      <c r="AK60" s="41"/>
      <c r="AL60" s="41"/>
      <c r="AM60" s="41"/>
    </row>
    <row r="61" spans="1:39" x14ac:dyDescent="0.25">
      <c r="I61" s="157"/>
      <c r="J61" s="157"/>
      <c r="K61" s="157"/>
      <c r="L61" s="157"/>
      <c r="O61" s="10"/>
      <c r="P61" s="10"/>
      <c r="Q61" s="10"/>
      <c r="R61" s="10"/>
      <c r="S61" s="41"/>
      <c r="T61" s="41"/>
      <c r="U61" s="41"/>
      <c r="V61" s="41"/>
      <c r="W61" s="41"/>
      <c r="X61" s="41"/>
      <c r="Y61" s="41"/>
      <c r="Z61" s="41"/>
      <c r="AA61" s="41"/>
      <c r="AB61" s="41"/>
      <c r="AC61" s="41"/>
      <c r="AD61" s="41"/>
      <c r="AE61" s="41"/>
      <c r="AF61" s="41"/>
      <c r="AG61" s="41"/>
      <c r="AH61" s="41"/>
      <c r="AI61" s="41"/>
      <c r="AJ61" s="41"/>
      <c r="AK61" s="41"/>
      <c r="AL61" s="41"/>
      <c r="AM61" s="41"/>
    </row>
    <row r="62" spans="1:39" x14ac:dyDescent="0.25">
      <c r="I62" s="157"/>
      <c r="J62" s="157"/>
      <c r="K62" s="157"/>
      <c r="L62" s="157"/>
      <c r="O62" s="10"/>
      <c r="P62" s="10"/>
      <c r="Q62" s="10"/>
      <c r="R62" s="10"/>
      <c r="S62" s="41"/>
      <c r="T62" s="41"/>
      <c r="U62" s="41"/>
      <c r="V62" s="41"/>
      <c r="W62" s="41"/>
      <c r="X62" s="41"/>
      <c r="Y62" s="41"/>
      <c r="Z62" s="41"/>
      <c r="AA62" s="41"/>
      <c r="AB62" s="41"/>
      <c r="AC62" s="41"/>
      <c r="AD62" s="41"/>
      <c r="AE62" s="41"/>
      <c r="AF62" s="41"/>
      <c r="AG62" s="41"/>
      <c r="AH62" s="41"/>
      <c r="AI62" s="41"/>
      <c r="AJ62" s="41"/>
      <c r="AK62" s="41"/>
      <c r="AL62" s="41"/>
      <c r="AM62" s="41"/>
    </row>
    <row r="63" spans="1:39" x14ac:dyDescent="0.25">
      <c r="I63" s="157"/>
      <c r="J63" s="157"/>
      <c r="K63" s="157"/>
      <c r="L63" s="157"/>
      <c r="O63" s="10"/>
      <c r="P63" s="10"/>
      <c r="Q63" s="10"/>
      <c r="R63" s="10"/>
      <c r="S63" s="41"/>
      <c r="T63" s="41"/>
      <c r="U63" s="41"/>
      <c r="V63" s="41"/>
      <c r="W63" s="41"/>
      <c r="X63" s="41"/>
      <c r="Y63" s="41"/>
      <c r="Z63" s="41"/>
      <c r="AA63" s="41"/>
      <c r="AB63" s="41"/>
      <c r="AC63" s="41"/>
      <c r="AD63" s="41"/>
      <c r="AE63" s="41"/>
      <c r="AF63" s="41"/>
      <c r="AG63" s="41"/>
      <c r="AH63" s="41"/>
      <c r="AI63" s="41"/>
      <c r="AJ63" s="41"/>
      <c r="AK63" s="41"/>
      <c r="AL63" s="41"/>
      <c r="AM63" s="41"/>
    </row>
    <row r="64" spans="1:39" x14ac:dyDescent="0.25">
      <c r="I64" s="157"/>
      <c r="J64" s="157"/>
      <c r="K64" s="157"/>
      <c r="L64" s="157"/>
      <c r="O64" s="10"/>
      <c r="P64" s="10"/>
      <c r="Q64" s="10"/>
      <c r="R64" s="10"/>
      <c r="S64" s="41"/>
      <c r="T64" s="41"/>
      <c r="U64" s="41"/>
      <c r="V64" s="41"/>
      <c r="W64" s="41"/>
      <c r="X64" s="41"/>
      <c r="Y64" s="41"/>
      <c r="Z64" s="41"/>
      <c r="AA64" s="41"/>
      <c r="AB64" s="41"/>
      <c r="AC64" s="41"/>
      <c r="AD64" s="41"/>
      <c r="AE64" s="41"/>
      <c r="AF64" s="41"/>
      <c r="AG64" s="41"/>
      <c r="AH64" s="41"/>
      <c r="AI64" s="41"/>
      <c r="AJ64" s="41"/>
      <c r="AK64" s="41"/>
      <c r="AL64" s="41"/>
      <c r="AM64" s="41"/>
    </row>
    <row r="65" spans="9:39" x14ac:dyDescent="0.25">
      <c r="I65" s="157"/>
      <c r="J65" s="157"/>
      <c r="K65" s="157"/>
      <c r="L65" s="157"/>
      <c r="O65" s="10"/>
      <c r="P65" s="10"/>
      <c r="Q65" s="10"/>
      <c r="R65" s="10"/>
      <c r="S65" s="41"/>
      <c r="T65" s="41"/>
      <c r="U65" s="41"/>
      <c r="V65" s="41"/>
      <c r="W65" s="41"/>
      <c r="X65" s="41"/>
      <c r="Y65" s="41"/>
      <c r="Z65" s="41"/>
      <c r="AA65" s="41"/>
      <c r="AB65" s="41"/>
      <c r="AC65" s="41"/>
      <c r="AD65" s="41"/>
      <c r="AE65" s="41"/>
      <c r="AF65" s="41"/>
      <c r="AG65" s="41"/>
      <c r="AH65" s="41"/>
      <c r="AI65" s="41"/>
      <c r="AJ65" s="41"/>
      <c r="AK65" s="41"/>
      <c r="AL65" s="41"/>
      <c r="AM65" s="41"/>
    </row>
    <row r="66" spans="9:39" x14ac:dyDescent="0.25">
      <c r="I66" s="157"/>
      <c r="J66" s="157"/>
      <c r="K66" s="361"/>
      <c r="L66" s="361"/>
      <c r="O66" s="10"/>
      <c r="P66" s="10"/>
      <c r="Q66" s="10"/>
      <c r="R66" s="10"/>
      <c r="S66" s="41"/>
      <c r="T66" s="41"/>
      <c r="U66" s="41"/>
      <c r="V66" s="41"/>
      <c r="W66" s="41"/>
      <c r="X66" s="41"/>
      <c r="Y66" s="41"/>
      <c r="Z66" s="41"/>
      <c r="AA66" s="41"/>
      <c r="AB66" s="41"/>
      <c r="AC66" s="41"/>
      <c r="AD66" s="41"/>
      <c r="AE66" s="41"/>
      <c r="AF66" s="41"/>
      <c r="AG66" s="41"/>
      <c r="AH66" s="41"/>
      <c r="AI66" s="41"/>
      <c r="AJ66" s="41"/>
      <c r="AK66" s="41"/>
      <c r="AL66" s="41"/>
      <c r="AM66" s="41"/>
    </row>
    <row r="67" spans="9:39" x14ac:dyDescent="0.25">
      <c r="I67" s="157"/>
      <c r="J67" s="157"/>
      <c r="K67" s="157"/>
      <c r="L67" s="157"/>
      <c r="O67" s="10"/>
      <c r="P67" s="10"/>
      <c r="Q67" s="10"/>
      <c r="R67" s="10"/>
      <c r="S67" s="41"/>
      <c r="T67" s="41"/>
      <c r="U67" s="41"/>
      <c r="V67" s="41"/>
      <c r="W67" s="41"/>
      <c r="X67" s="41"/>
      <c r="Y67" s="41"/>
      <c r="Z67" s="41"/>
      <c r="AA67" s="41"/>
      <c r="AB67" s="41"/>
      <c r="AC67" s="41"/>
      <c r="AD67" s="41"/>
      <c r="AE67" s="41"/>
      <c r="AF67" s="41"/>
      <c r="AG67" s="41"/>
      <c r="AH67" s="41"/>
      <c r="AI67" s="41"/>
      <c r="AJ67" s="41"/>
      <c r="AK67" s="41"/>
      <c r="AL67" s="41"/>
      <c r="AM67" s="41"/>
    </row>
    <row r="68" spans="9:39" x14ac:dyDescent="0.25">
      <c r="K68" s="157"/>
      <c r="L68" s="157"/>
      <c r="O68" s="10"/>
      <c r="P68" s="10"/>
      <c r="Q68" s="10"/>
      <c r="R68" s="10"/>
      <c r="U68" s="41"/>
      <c r="V68" s="41"/>
      <c r="W68" s="41"/>
      <c r="X68" s="41"/>
      <c r="Y68" s="41"/>
      <c r="Z68" s="41"/>
      <c r="AA68" s="41"/>
      <c r="AB68" s="41"/>
      <c r="AC68" s="41"/>
      <c r="AD68" s="41"/>
      <c r="AE68" s="41"/>
      <c r="AF68" s="41"/>
      <c r="AG68" s="41"/>
      <c r="AH68" s="41"/>
      <c r="AI68" s="41"/>
      <c r="AJ68" s="41"/>
      <c r="AK68" s="41"/>
      <c r="AL68" s="41"/>
      <c r="AM68" s="41"/>
    </row>
    <row r="69" spans="9:39" x14ac:dyDescent="0.25">
      <c r="K69" s="157"/>
      <c r="L69" s="157"/>
      <c r="O69" s="10"/>
      <c r="P69" s="10"/>
      <c r="Q69" s="10"/>
      <c r="R69" s="10"/>
      <c r="U69" s="41"/>
      <c r="V69" s="41"/>
      <c r="W69" s="41"/>
      <c r="X69" s="41"/>
      <c r="Y69" s="41"/>
      <c r="Z69" s="41"/>
      <c r="AA69" s="41"/>
      <c r="AB69" s="41"/>
      <c r="AC69" s="41"/>
      <c r="AD69" s="41"/>
      <c r="AE69" s="41"/>
      <c r="AF69" s="41"/>
      <c r="AG69" s="41"/>
      <c r="AH69" s="41"/>
      <c r="AI69" s="41"/>
      <c r="AJ69" s="41"/>
      <c r="AK69" s="41"/>
      <c r="AL69" s="41"/>
      <c r="AM69" s="41"/>
    </row>
    <row r="70" spans="9:39" x14ac:dyDescent="0.25">
      <c r="K70" s="157"/>
      <c r="L70" s="157"/>
      <c r="O70" s="10"/>
      <c r="P70" s="10"/>
      <c r="Q70" s="10"/>
      <c r="R70" s="10"/>
    </row>
    <row r="71" spans="9:39" x14ac:dyDescent="0.25">
      <c r="K71" s="157"/>
      <c r="L71" s="157"/>
      <c r="O71" s="10"/>
      <c r="P71" s="10"/>
      <c r="Q71" s="10"/>
      <c r="R71" s="10"/>
    </row>
    <row r="72" spans="9:39" x14ac:dyDescent="0.25">
      <c r="K72" s="157"/>
      <c r="L72" s="157"/>
      <c r="O72" s="10"/>
      <c r="P72" s="10"/>
      <c r="Q72" s="10"/>
      <c r="R72" s="10"/>
    </row>
    <row r="73" spans="9:39" x14ac:dyDescent="0.25">
      <c r="K73" s="157"/>
      <c r="L73" s="157"/>
      <c r="O73" s="10"/>
      <c r="P73" s="10"/>
      <c r="Q73" s="10"/>
      <c r="R73" s="10"/>
    </row>
    <row r="74" spans="9:39" x14ac:dyDescent="0.25">
      <c r="K74" s="157"/>
      <c r="L74" s="157"/>
      <c r="O74" s="10"/>
      <c r="P74" s="10"/>
      <c r="Q74" s="10"/>
      <c r="R74" s="10"/>
    </row>
    <row r="75" spans="9:39" x14ac:dyDescent="0.25">
      <c r="K75" s="157"/>
      <c r="L75" s="157"/>
    </row>
    <row r="76" spans="9:39" x14ac:dyDescent="0.25">
      <c r="K76" s="157"/>
      <c r="L76" s="157"/>
    </row>
    <row r="77" spans="9:39" x14ac:dyDescent="0.25">
      <c r="K77" s="157"/>
      <c r="L77" s="157"/>
    </row>
    <row r="78" spans="9:39" x14ac:dyDescent="0.25">
      <c r="K78" s="157"/>
      <c r="L78" s="157"/>
    </row>
    <row r="79" spans="9:39" x14ac:dyDescent="0.25">
      <c r="K79" s="157"/>
      <c r="L79" s="157"/>
    </row>
  </sheetData>
  <mergeCells count="25">
    <mergeCell ref="K10:L10"/>
    <mergeCell ref="K66:L66"/>
    <mergeCell ref="B4:B5"/>
    <mergeCell ref="C4:C5"/>
    <mergeCell ref="D4:D5"/>
    <mergeCell ref="E4:E5"/>
    <mergeCell ref="F4:F5"/>
    <mergeCell ref="G4:G5"/>
    <mergeCell ref="B44:G46"/>
    <mergeCell ref="B36:G37"/>
    <mergeCell ref="B39:G42"/>
    <mergeCell ref="H4:H5"/>
    <mergeCell ref="B31:G34"/>
    <mergeCell ref="B48:G51"/>
    <mergeCell ref="B53:G54"/>
    <mergeCell ref="S27:S28"/>
    <mergeCell ref="AK3:AL3"/>
    <mergeCell ref="Y4:AC4"/>
    <mergeCell ref="AE4:AI4"/>
    <mergeCell ref="V3:V5"/>
    <mergeCell ref="V6:V10"/>
    <mergeCell ref="W3:W5"/>
    <mergeCell ref="X3:X5"/>
    <mergeCell ref="Y3:AC3"/>
    <mergeCell ref="AE3:AI3"/>
  </mergeCells>
  <pageMargins left="0.25" right="0.25" top="0.75" bottom="0.75" header="0.3" footer="0.3"/>
  <pageSetup scale="4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2:L43"/>
  <sheetViews>
    <sheetView view="pageBreakPreview" zoomScaleNormal="55" zoomScaleSheetLayoutView="100" workbookViewId="0">
      <selection activeCell="F10" sqref="F10"/>
    </sheetView>
  </sheetViews>
  <sheetFormatPr defaultColWidth="9.140625" defaultRowHeight="15" x14ac:dyDescent="0.25"/>
  <cols>
    <col min="1" max="1" width="3.7109375" style="53" customWidth="1"/>
    <col min="2" max="2" width="15.7109375" style="53" customWidth="1"/>
    <col min="3" max="6" width="15.5703125" style="53" customWidth="1"/>
    <col min="7" max="8" width="9.140625" style="53"/>
    <col min="9" max="9" width="18.5703125" style="53" customWidth="1"/>
    <col min="10" max="11" width="15.140625" style="161" customWidth="1"/>
    <col min="12" max="16384" width="9.140625" style="53"/>
  </cols>
  <sheetData>
    <row r="2" spans="1:12" x14ac:dyDescent="0.25">
      <c r="B2" s="6" t="s">
        <v>35</v>
      </c>
    </row>
    <row r="3" spans="1:12" ht="15.75" thickBot="1" x14ac:dyDescent="0.3"/>
    <row r="4" spans="1:12" ht="35.1" customHeight="1" thickBot="1" x14ac:dyDescent="0.3">
      <c r="C4" s="367" t="s">
        <v>53</v>
      </c>
      <c r="D4" s="368"/>
      <c r="I4"/>
      <c r="J4" s="364" t="s">
        <v>165</v>
      </c>
      <c r="K4" s="364"/>
    </row>
    <row r="5" spans="1:12" ht="44.25" customHeight="1" x14ac:dyDescent="0.25">
      <c r="B5" s="347" t="s">
        <v>0</v>
      </c>
      <c r="C5" s="347" t="s">
        <v>17</v>
      </c>
      <c r="D5" s="347" t="s">
        <v>18</v>
      </c>
      <c r="E5" s="347" t="s">
        <v>52</v>
      </c>
      <c r="F5" s="365" t="s">
        <v>1</v>
      </c>
      <c r="I5"/>
      <c r="J5" s="7" t="s">
        <v>138</v>
      </c>
      <c r="K5" s="7" t="s">
        <v>18</v>
      </c>
    </row>
    <row r="6" spans="1:12" ht="15.75" thickBot="1" x14ac:dyDescent="0.3">
      <c r="B6" s="348"/>
      <c r="C6" s="348"/>
      <c r="D6" s="348"/>
      <c r="E6" s="348"/>
      <c r="F6" s="366"/>
      <c r="I6" t="s">
        <v>163</v>
      </c>
      <c r="J6" s="258">
        <v>10000</v>
      </c>
      <c r="K6" s="258">
        <v>0</v>
      </c>
    </row>
    <row r="7" spans="1:12" x14ac:dyDescent="0.25">
      <c r="A7" s="236"/>
      <c r="B7" s="284">
        <v>2022</v>
      </c>
      <c r="C7" s="71">
        <f t="shared" ref="C7:C28" si="0">IF(B7=YearOfFailure,$J$9,SUM($J$6:$J$7))</f>
        <v>22000</v>
      </c>
      <c r="D7" s="71">
        <f>(($B9-$B$8)*$K$4+1)*($J$6+$J$7)</f>
        <v>22000</v>
      </c>
      <c r="E7" s="71">
        <v>0</v>
      </c>
      <c r="F7" s="71">
        <v>0</v>
      </c>
      <c r="I7" t="s">
        <v>164</v>
      </c>
      <c r="J7" s="258">
        <f>2.5*8*5*4*30</f>
        <v>12000</v>
      </c>
      <c r="K7" s="262">
        <f>J7/3</f>
        <v>4000</v>
      </c>
      <c r="L7" s="53" t="s">
        <v>144</v>
      </c>
    </row>
    <row r="8" spans="1:12" x14ac:dyDescent="0.25">
      <c r="A8" s="236"/>
      <c r="B8" s="99">
        <f t="shared" ref="B8:B28" si="1">B7+1</f>
        <v>2023</v>
      </c>
      <c r="C8" s="71">
        <f t="shared" si="0"/>
        <v>22000</v>
      </c>
      <c r="D8" s="71">
        <f>(($B10-$B$8)*$K$4+1)*($J$6+$J$7)</f>
        <v>22000</v>
      </c>
      <c r="E8" s="71">
        <v>0</v>
      </c>
      <c r="F8" s="71">
        <v>0</v>
      </c>
      <c r="I8"/>
    </row>
    <row r="9" spans="1:12" x14ac:dyDescent="0.25">
      <c r="B9" s="99">
        <f t="shared" si="1"/>
        <v>2024</v>
      </c>
      <c r="C9" s="71">
        <f t="shared" si="0"/>
        <v>22000</v>
      </c>
      <c r="D9" s="71">
        <f t="shared" ref="D9:D28" si="2">(($B9-$B$8)*$K$4+1)*($K$6+$K$7)</f>
        <v>4000</v>
      </c>
      <c r="E9" s="71">
        <f>C9-D9</f>
        <v>18000</v>
      </c>
      <c r="F9" s="71">
        <f>$E9*(1+0.07)^-(B9-Assumptions!$D$4)</f>
        <v>13732.113816855453</v>
      </c>
      <c r="I9" t="s">
        <v>166</v>
      </c>
      <c r="J9" s="258">
        <v>400000</v>
      </c>
      <c r="K9" s="276"/>
    </row>
    <row r="10" spans="1:12" x14ac:dyDescent="0.25">
      <c r="B10" s="99">
        <f t="shared" si="1"/>
        <v>2025</v>
      </c>
      <c r="C10" s="71">
        <f t="shared" si="0"/>
        <v>22000</v>
      </c>
      <c r="D10" s="71">
        <f t="shared" si="2"/>
        <v>4000</v>
      </c>
      <c r="E10" s="71">
        <f t="shared" ref="E10:E28" si="3">C10-D10</f>
        <v>18000</v>
      </c>
      <c r="F10" s="71">
        <f>$E10*(1+0.07)^-(B10-Assumptions!$D$4)</f>
        <v>12833.751230706031</v>
      </c>
      <c r="I10"/>
    </row>
    <row r="11" spans="1:12" x14ac:dyDescent="0.25">
      <c r="B11" s="99">
        <f t="shared" si="1"/>
        <v>2026</v>
      </c>
      <c r="C11" s="71">
        <f t="shared" si="0"/>
        <v>22000</v>
      </c>
      <c r="D11" s="71">
        <f t="shared" si="2"/>
        <v>4000</v>
      </c>
      <c r="E11" s="71">
        <f t="shared" si="3"/>
        <v>18000</v>
      </c>
      <c r="F11" s="71">
        <f>$E11*(1+0.07)^-(B11-Assumptions!$D$4)</f>
        <v>11994.160028697226</v>
      </c>
    </row>
    <row r="12" spans="1:12" x14ac:dyDescent="0.25">
      <c r="B12" s="99">
        <f t="shared" si="1"/>
        <v>2027</v>
      </c>
      <c r="C12" s="71">
        <f t="shared" si="0"/>
        <v>22000</v>
      </c>
      <c r="D12" s="71">
        <f t="shared" si="2"/>
        <v>4000</v>
      </c>
      <c r="E12" s="71">
        <f t="shared" si="3"/>
        <v>18000</v>
      </c>
      <c r="F12" s="71">
        <f>$E12*(1+0.07)^-(B12-Assumptions!$D$4)</f>
        <v>11209.495353922639</v>
      </c>
      <c r="I12"/>
    </row>
    <row r="13" spans="1:12" x14ac:dyDescent="0.25">
      <c r="B13" s="99">
        <f t="shared" si="1"/>
        <v>2028</v>
      </c>
      <c r="C13" s="71">
        <f t="shared" si="0"/>
        <v>22000</v>
      </c>
      <c r="D13" s="71">
        <f t="shared" si="2"/>
        <v>4000</v>
      </c>
      <c r="E13" s="71">
        <f t="shared" si="3"/>
        <v>18000</v>
      </c>
      <c r="F13" s="71">
        <f>$E13*(1+0.07)^-(B13-Assumptions!$D$4)</f>
        <v>10476.163882170691</v>
      </c>
    </row>
    <row r="14" spans="1:12" x14ac:dyDescent="0.25">
      <c r="B14" s="99">
        <f t="shared" si="1"/>
        <v>2029</v>
      </c>
      <c r="C14" s="71">
        <f t="shared" si="0"/>
        <v>22000</v>
      </c>
      <c r="D14" s="71">
        <f t="shared" si="2"/>
        <v>4000</v>
      </c>
      <c r="E14" s="71">
        <f t="shared" si="3"/>
        <v>18000</v>
      </c>
      <c r="F14" s="71">
        <f>$E14*(1+0.07)^-(B14-Assumptions!$D$4)</f>
        <v>9790.8073665146658</v>
      </c>
    </row>
    <row r="15" spans="1:12" x14ac:dyDescent="0.25">
      <c r="B15" s="99">
        <f t="shared" si="1"/>
        <v>2030</v>
      </c>
      <c r="C15" s="71">
        <f t="shared" si="0"/>
        <v>400000</v>
      </c>
      <c r="D15" s="71">
        <f t="shared" si="2"/>
        <v>4000</v>
      </c>
      <c r="E15" s="71">
        <f t="shared" si="3"/>
        <v>396000</v>
      </c>
      <c r="F15" s="71">
        <f>$E15*(1+0.07)^-(B15-Assumptions!$D$4)</f>
        <v>201306.31968534825</v>
      </c>
    </row>
    <row r="16" spans="1:12" x14ac:dyDescent="0.25">
      <c r="B16" s="99">
        <f t="shared" si="1"/>
        <v>2031</v>
      </c>
      <c r="C16" s="71">
        <f t="shared" si="0"/>
        <v>22000</v>
      </c>
      <c r="D16" s="71">
        <f t="shared" si="2"/>
        <v>4000</v>
      </c>
      <c r="E16" s="71">
        <f t="shared" si="3"/>
        <v>18000</v>
      </c>
      <c r="F16" s="71">
        <f>$E16*(1+0.07)^-(B16-Assumptions!$D$4)</f>
        <v>8551.6703349765594</v>
      </c>
    </row>
    <row r="17" spans="1:6" x14ac:dyDescent="0.25">
      <c r="B17" s="99">
        <f t="shared" si="1"/>
        <v>2032</v>
      </c>
      <c r="C17" s="71">
        <f t="shared" si="0"/>
        <v>22000</v>
      </c>
      <c r="D17" s="71">
        <f t="shared" si="2"/>
        <v>4000</v>
      </c>
      <c r="E17" s="71">
        <f t="shared" si="3"/>
        <v>18000</v>
      </c>
      <c r="F17" s="71">
        <f>$E17*(1+0.07)^-(B17-Assumptions!$D$4)</f>
        <v>7992.2152663332354</v>
      </c>
    </row>
    <row r="18" spans="1:6" x14ac:dyDescent="0.25">
      <c r="B18" s="99">
        <f t="shared" si="1"/>
        <v>2033</v>
      </c>
      <c r="C18" s="71">
        <f t="shared" si="0"/>
        <v>22000</v>
      </c>
      <c r="D18" s="71">
        <f t="shared" si="2"/>
        <v>4000</v>
      </c>
      <c r="E18" s="71">
        <f t="shared" si="3"/>
        <v>18000</v>
      </c>
      <c r="F18" s="71">
        <f>$E18*(1+0.07)^-(B18-Assumptions!$D$4)</f>
        <v>7469.3600619936769</v>
      </c>
    </row>
    <row r="19" spans="1:6" x14ac:dyDescent="0.25">
      <c r="B19" s="99">
        <f t="shared" si="1"/>
        <v>2034</v>
      </c>
      <c r="C19" s="71">
        <f t="shared" si="0"/>
        <v>22000</v>
      </c>
      <c r="D19" s="71">
        <f t="shared" si="2"/>
        <v>4000</v>
      </c>
      <c r="E19" s="71">
        <f t="shared" si="3"/>
        <v>18000</v>
      </c>
      <c r="F19" s="71">
        <f>$E19*(1+0.07)^-(B19-Assumptions!$D$4)</f>
        <v>6980.7103383118483</v>
      </c>
    </row>
    <row r="20" spans="1:6" x14ac:dyDescent="0.25">
      <c r="B20" s="99">
        <f t="shared" si="1"/>
        <v>2035</v>
      </c>
      <c r="C20" s="71">
        <f t="shared" si="0"/>
        <v>22000</v>
      </c>
      <c r="D20" s="71">
        <f t="shared" si="2"/>
        <v>4000</v>
      </c>
      <c r="E20" s="71">
        <f t="shared" si="3"/>
        <v>18000</v>
      </c>
      <c r="F20" s="71">
        <f>$E20*(1+0.07)^-(B20-Assumptions!$D$4)</f>
        <v>6524.028353562474</v>
      </c>
    </row>
    <row r="21" spans="1:6" x14ac:dyDescent="0.25">
      <c r="B21" s="99">
        <f t="shared" si="1"/>
        <v>2036</v>
      </c>
      <c r="C21" s="71">
        <f t="shared" si="0"/>
        <v>22000</v>
      </c>
      <c r="D21" s="71">
        <f t="shared" si="2"/>
        <v>4000</v>
      </c>
      <c r="E21" s="71">
        <f t="shared" si="3"/>
        <v>18000</v>
      </c>
      <c r="F21" s="71">
        <f>$E21*(1+0.07)^-(B21-Assumptions!$D$4)</f>
        <v>6097.2227603387619</v>
      </c>
    </row>
    <row r="22" spans="1:6" x14ac:dyDescent="0.25">
      <c r="B22" s="99">
        <f t="shared" si="1"/>
        <v>2037</v>
      </c>
      <c r="C22" s="71">
        <f t="shared" si="0"/>
        <v>22000</v>
      </c>
      <c r="D22" s="71">
        <f t="shared" si="2"/>
        <v>4000</v>
      </c>
      <c r="E22" s="71">
        <f t="shared" si="3"/>
        <v>18000</v>
      </c>
      <c r="F22" s="71">
        <f>$E22*(1+0.07)^-(B22-Assumptions!$D$4)</f>
        <v>5698.3390283539829</v>
      </c>
    </row>
    <row r="23" spans="1:6" x14ac:dyDescent="0.25">
      <c r="B23" s="99">
        <f t="shared" si="1"/>
        <v>2038</v>
      </c>
      <c r="C23" s="71">
        <f t="shared" si="0"/>
        <v>22000</v>
      </c>
      <c r="D23" s="71">
        <f t="shared" si="2"/>
        <v>4000</v>
      </c>
      <c r="E23" s="71">
        <f t="shared" si="3"/>
        <v>18000</v>
      </c>
      <c r="F23" s="71">
        <f>$E23*(1+0.07)^-(B23-Assumptions!$D$4)</f>
        <v>5325.5504937887681</v>
      </c>
    </row>
    <row r="24" spans="1:6" x14ac:dyDescent="0.25">
      <c r="B24" s="99">
        <f t="shared" si="1"/>
        <v>2039</v>
      </c>
      <c r="C24" s="71">
        <f t="shared" si="0"/>
        <v>22000</v>
      </c>
      <c r="D24" s="71">
        <f t="shared" si="2"/>
        <v>4000</v>
      </c>
      <c r="E24" s="71">
        <f t="shared" si="3"/>
        <v>18000</v>
      </c>
      <c r="F24" s="71">
        <f>$E24*(1+0.07)^-(B24-Assumptions!$D$4)</f>
        <v>4977.1499941951106</v>
      </c>
    </row>
    <row r="25" spans="1:6" x14ac:dyDescent="0.25">
      <c r="B25" s="99">
        <f t="shared" si="1"/>
        <v>2040</v>
      </c>
      <c r="C25" s="71">
        <f t="shared" si="0"/>
        <v>22000</v>
      </c>
      <c r="D25" s="71">
        <f t="shared" si="2"/>
        <v>4000</v>
      </c>
      <c r="E25" s="71">
        <f t="shared" si="3"/>
        <v>18000</v>
      </c>
      <c r="F25" s="71">
        <f>$E25*(1+0.07)^-(B25-Assumptions!$D$4)</f>
        <v>4651.5420506496366</v>
      </c>
    </row>
    <row r="26" spans="1:6" x14ac:dyDescent="0.25">
      <c r="B26" s="99">
        <f t="shared" si="1"/>
        <v>2041</v>
      </c>
      <c r="C26" s="71">
        <f t="shared" si="0"/>
        <v>22000</v>
      </c>
      <c r="D26" s="71">
        <f t="shared" si="2"/>
        <v>4000</v>
      </c>
      <c r="E26" s="71">
        <f t="shared" si="3"/>
        <v>18000</v>
      </c>
      <c r="F26" s="71">
        <f>$E26*(1+0.07)^-(B26-Assumptions!$D$4)</f>
        <v>4347.2355613548007</v>
      </c>
    </row>
    <row r="27" spans="1:6" x14ac:dyDescent="0.25">
      <c r="B27" s="99">
        <f t="shared" si="1"/>
        <v>2042</v>
      </c>
      <c r="C27" s="71">
        <f t="shared" si="0"/>
        <v>22000</v>
      </c>
      <c r="D27" s="71">
        <f t="shared" si="2"/>
        <v>4000</v>
      </c>
      <c r="E27" s="71">
        <f t="shared" si="3"/>
        <v>18000</v>
      </c>
      <c r="F27" s="71">
        <f>$E27*(1+0.07)^-(B27-Assumptions!$D$4)</f>
        <v>4062.8369732287856</v>
      </c>
    </row>
    <row r="28" spans="1:6" ht="15.75" thickBot="1" x14ac:dyDescent="0.3">
      <c r="B28" s="313">
        <f t="shared" si="1"/>
        <v>2043</v>
      </c>
      <c r="C28" s="314">
        <f t="shared" si="0"/>
        <v>22000</v>
      </c>
      <c r="D28" s="314">
        <f t="shared" si="2"/>
        <v>4000</v>
      </c>
      <c r="E28" s="314">
        <f t="shared" si="3"/>
        <v>18000</v>
      </c>
      <c r="F28" s="314">
        <f>$E28*(1+0.07)^-(B28-Assumptions!$D$4)</f>
        <v>3797.0439002138178</v>
      </c>
    </row>
    <row r="29" spans="1:6" ht="15" customHeight="1" x14ac:dyDescent="0.25">
      <c r="B29" s="4"/>
      <c r="C29" s="95"/>
      <c r="D29" s="101" t="s">
        <v>178</v>
      </c>
      <c r="E29" s="100">
        <f>SUM(E7:E28)</f>
        <v>738000</v>
      </c>
      <c r="F29" s="100">
        <f>SUM(F7:F28)</f>
        <v>347817.71648151649</v>
      </c>
    </row>
    <row r="30" spans="1:6" x14ac:dyDescent="0.25">
      <c r="B30" s="4"/>
      <c r="C30" s="95"/>
    </row>
    <row r="31" spans="1:6" x14ac:dyDescent="0.25">
      <c r="B31" s="6" t="s">
        <v>3</v>
      </c>
    </row>
    <row r="32" spans="1:6" ht="15" customHeight="1" x14ac:dyDescent="0.25">
      <c r="A32" s="7" t="s">
        <v>12</v>
      </c>
      <c r="B32" s="344" t="s">
        <v>173</v>
      </c>
      <c r="C32" s="344"/>
      <c r="D32" s="344"/>
      <c r="E32" s="344"/>
      <c r="F32" s="344"/>
    </row>
    <row r="33" spans="1:6" x14ac:dyDescent="0.25">
      <c r="B33" s="344"/>
      <c r="C33" s="344"/>
      <c r="D33" s="344"/>
      <c r="E33" s="344"/>
      <c r="F33" s="344"/>
    </row>
    <row r="34" spans="1:6" x14ac:dyDescent="0.25">
      <c r="B34" s="344"/>
      <c r="C34" s="344"/>
      <c r="D34" s="344"/>
      <c r="E34" s="344"/>
      <c r="F34" s="344"/>
    </row>
    <row r="35" spans="1:6" x14ac:dyDescent="0.25">
      <c r="B35" s="344"/>
      <c r="C35" s="344"/>
      <c r="D35" s="344"/>
      <c r="E35" s="344"/>
      <c r="F35" s="344"/>
    </row>
    <row r="36" spans="1:6" x14ac:dyDescent="0.25">
      <c r="B36" s="344"/>
      <c r="C36" s="344"/>
      <c r="D36" s="344"/>
      <c r="E36" s="344"/>
      <c r="F36" s="344"/>
    </row>
    <row r="37" spans="1:6" x14ac:dyDescent="0.25">
      <c r="B37" s="344"/>
      <c r="C37" s="344"/>
      <c r="D37" s="344"/>
      <c r="E37" s="344"/>
      <c r="F37" s="344"/>
    </row>
    <row r="38" spans="1:6" x14ac:dyDescent="0.25">
      <c r="B38" s="74"/>
      <c r="C38" s="74"/>
      <c r="D38" s="74"/>
      <c r="E38" s="74"/>
      <c r="F38" s="74"/>
    </row>
    <row r="39" spans="1:6" ht="15" customHeight="1" x14ac:dyDescent="0.25">
      <c r="A39" s="7" t="s">
        <v>11</v>
      </c>
      <c r="B39" s="363" t="s">
        <v>174</v>
      </c>
      <c r="C39" s="363"/>
      <c r="D39" s="363"/>
      <c r="E39" s="363"/>
      <c r="F39" s="363"/>
    </row>
    <row r="40" spans="1:6" ht="15" customHeight="1" x14ac:dyDescent="0.25">
      <c r="B40" s="363"/>
      <c r="C40" s="363"/>
      <c r="D40" s="363"/>
      <c r="E40" s="363"/>
      <c r="F40" s="363"/>
    </row>
    <row r="41" spans="1:6" ht="15" customHeight="1" x14ac:dyDescent="0.25">
      <c r="B41" s="363"/>
      <c r="C41" s="363"/>
      <c r="D41" s="363"/>
      <c r="E41" s="363"/>
      <c r="F41" s="363"/>
    </row>
    <row r="42" spans="1:6" ht="15" customHeight="1" x14ac:dyDescent="0.25">
      <c r="B42" s="363"/>
      <c r="C42" s="363"/>
      <c r="D42" s="363"/>
      <c r="E42" s="363"/>
      <c r="F42" s="363"/>
    </row>
    <row r="43" spans="1:6" x14ac:dyDescent="0.25">
      <c r="B43" s="363"/>
      <c r="C43" s="363"/>
      <c r="D43" s="363"/>
      <c r="E43" s="363"/>
      <c r="F43" s="363"/>
    </row>
  </sheetData>
  <mergeCells count="9">
    <mergeCell ref="B39:F43"/>
    <mergeCell ref="J4:K4"/>
    <mergeCell ref="B32:F37"/>
    <mergeCell ref="F5:F6"/>
    <mergeCell ref="C4:D4"/>
    <mergeCell ref="B5:B6"/>
    <mergeCell ref="C5:C6"/>
    <mergeCell ref="D5:D6"/>
    <mergeCell ref="E5:E6"/>
  </mergeCells>
  <phoneticPr fontId="28" type="noConversion"/>
  <printOptions horizontalCentered="1"/>
  <pageMargins left="0.7" right="0.7" top="0.75" bottom="0.75" header="0.3" footer="0.3"/>
  <pageSetup scale="76" orientation="landscape" r:id="rId1"/>
  <headerFooter scaleWithDoc="0" alignWithMargins="0">
    <oddFooter>&amp;C&amp;A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0000"/>
    <pageSetUpPr fitToPage="1"/>
  </sheetPr>
  <dimension ref="A1:W41"/>
  <sheetViews>
    <sheetView zoomScale="85" zoomScaleNormal="85" zoomScaleSheetLayoutView="70" workbookViewId="0">
      <selection activeCell="F10" sqref="F10"/>
    </sheetView>
  </sheetViews>
  <sheetFormatPr defaultRowHeight="15" x14ac:dyDescent="0.25"/>
  <cols>
    <col min="1" max="1" width="3.5703125" customWidth="1"/>
    <col min="2" max="5" width="15.7109375" customWidth="1"/>
    <col min="6" max="6" width="15.7109375" style="166" customWidth="1"/>
    <col min="7" max="8" width="4.7109375" customWidth="1"/>
    <col min="9" max="9" width="32.42578125" bestFit="1" customWidth="1"/>
    <col min="10" max="10" width="16.85546875" customWidth="1"/>
    <col min="11" max="12" width="16.85546875" style="53" customWidth="1"/>
    <col min="13" max="13" width="6.7109375" style="53" bestFit="1" customWidth="1"/>
    <col min="14" max="14" width="16.42578125" customWidth="1"/>
    <col min="15" max="22" width="14.85546875" customWidth="1"/>
  </cols>
  <sheetData>
    <row r="1" spans="1:23" x14ac:dyDescent="0.25">
      <c r="A1" s="17"/>
      <c r="D1" s="166"/>
      <c r="E1" s="166"/>
    </row>
    <row r="2" spans="1:23" x14ac:dyDescent="0.25">
      <c r="B2" s="6" t="s">
        <v>16</v>
      </c>
      <c r="J2" s="53"/>
      <c r="N2" s="53"/>
    </row>
    <row r="3" spans="1:23" ht="15.75" thickBot="1" x14ac:dyDescent="0.3">
      <c r="B3" s="6"/>
      <c r="J3" s="53"/>
    </row>
    <row r="4" spans="1:23" ht="15.75" thickBot="1" x14ac:dyDescent="0.3">
      <c r="C4" s="369" t="s">
        <v>126</v>
      </c>
      <c r="D4" s="370"/>
      <c r="E4" s="317" t="s">
        <v>113</v>
      </c>
      <c r="F4" s="77" t="s">
        <v>112</v>
      </c>
      <c r="H4" s="53"/>
      <c r="I4" s="53"/>
      <c r="J4" s="53"/>
      <c r="N4" s="10"/>
      <c r="O4" s="10"/>
      <c r="P4" s="10"/>
      <c r="Q4" s="10"/>
      <c r="R4" s="10"/>
      <c r="S4" s="10"/>
      <c r="T4" s="10"/>
      <c r="U4" s="10"/>
      <c r="V4" s="10"/>
    </row>
    <row r="5" spans="1:23" x14ac:dyDescent="0.25">
      <c r="B5" s="347" t="s">
        <v>0</v>
      </c>
      <c r="C5" s="371" t="s">
        <v>15</v>
      </c>
      <c r="D5" s="373" t="s">
        <v>112</v>
      </c>
      <c r="E5" s="349" t="s">
        <v>1</v>
      </c>
      <c r="F5" s="349" t="s">
        <v>1</v>
      </c>
      <c r="H5" s="53"/>
      <c r="I5" s="6" t="s">
        <v>139</v>
      </c>
      <c r="J5" s="53"/>
      <c r="L5" s="20"/>
      <c r="M5"/>
      <c r="N5" s="10"/>
      <c r="O5" s="10"/>
      <c r="P5" s="10"/>
      <c r="Q5" s="10"/>
      <c r="R5" s="10"/>
      <c r="S5" s="10"/>
      <c r="T5" s="10"/>
      <c r="U5" s="10"/>
      <c r="V5" s="10"/>
    </row>
    <row r="6" spans="1:23" ht="15.75" customHeight="1" thickBot="1" x14ac:dyDescent="0.3">
      <c r="B6" s="348"/>
      <c r="C6" s="372"/>
      <c r="D6" s="374"/>
      <c r="E6" s="350"/>
      <c r="F6" s="350"/>
      <c r="H6" s="53"/>
      <c r="I6" s="259" t="s">
        <v>50</v>
      </c>
      <c r="J6" s="191" t="s">
        <v>60</v>
      </c>
      <c r="K6" s="191" t="s">
        <v>114</v>
      </c>
      <c r="L6" s="195" t="s">
        <v>115</v>
      </c>
      <c r="M6" s="191" t="s">
        <v>112</v>
      </c>
      <c r="N6" s="102"/>
      <c r="O6" s="10"/>
      <c r="P6" s="10"/>
      <c r="Q6" s="10"/>
      <c r="R6" s="10"/>
      <c r="S6" s="10"/>
      <c r="T6" s="10"/>
      <c r="U6" s="10"/>
      <c r="V6" s="10"/>
      <c r="W6" s="10"/>
    </row>
    <row r="7" spans="1:23" ht="15.75" customHeight="1" x14ac:dyDescent="0.25">
      <c r="B7" s="110">
        <v>2022</v>
      </c>
      <c r="C7" s="323"/>
      <c r="D7" s="324">
        <f>IF($B7=Assumptions!$D$9,$M$7,0)</f>
        <v>0</v>
      </c>
      <c r="E7" s="321">
        <f>SUM(C7)*(1+0.07)^-($B7-Assumptions!$D$4)</f>
        <v>0</v>
      </c>
      <c r="F7" s="264">
        <f>SUM(D7)*(1+0.07)^-($B7-Assumptions!$D$4)</f>
        <v>0</v>
      </c>
      <c r="H7" s="53"/>
      <c r="I7" s="192" t="s">
        <v>127</v>
      </c>
      <c r="J7" s="319">
        <f>J14*J15</f>
        <v>2181494.8543812362</v>
      </c>
      <c r="K7" s="320">
        <v>20</v>
      </c>
      <c r="L7" s="194">
        <f>(YearOfConstruction+K7-Assumptions!D9)/K7</f>
        <v>0</v>
      </c>
      <c r="M7" s="193">
        <f>J7*L7</f>
        <v>0</v>
      </c>
      <c r="N7" s="102"/>
      <c r="O7" s="10"/>
      <c r="P7" s="10"/>
      <c r="Q7" s="10"/>
      <c r="R7" s="10"/>
      <c r="S7" s="10"/>
      <c r="T7" s="10"/>
      <c r="U7" s="10"/>
      <c r="V7" s="10"/>
      <c r="W7" s="10"/>
    </row>
    <row r="8" spans="1:23" ht="15.75" customHeight="1" x14ac:dyDescent="0.25">
      <c r="B8" s="110">
        <f t="shared" ref="B8:B28" si="0">B7+1</f>
        <v>2023</v>
      </c>
      <c r="C8" s="198">
        <f>J7</f>
        <v>2181494.8543812362</v>
      </c>
      <c r="D8" s="324">
        <f>IF($B8=Assumptions!$D$9,$M$7,0)</f>
        <v>0</v>
      </c>
      <c r="E8" s="321">
        <f>SUM(C8)*(1+0.07)^-($B8-Assumptions!$D$4)</f>
        <v>1780749.6180797212</v>
      </c>
      <c r="F8" s="264">
        <f>SUM(D8)*(1+0.07)^-($B8-Assumptions!$D$4)</f>
        <v>0</v>
      </c>
      <c r="H8" s="53"/>
      <c r="I8" s="53"/>
      <c r="J8" s="53"/>
      <c r="M8" s="196"/>
      <c r="N8" s="102"/>
      <c r="O8" s="10"/>
      <c r="P8" s="10"/>
      <c r="Q8" s="10"/>
      <c r="R8" s="10"/>
      <c r="S8" s="10"/>
      <c r="T8" s="10"/>
      <c r="U8" s="10"/>
      <c r="V8" s="10"/>
      <c r="W8" s="10"/>
    </row>
    <row r="9" spans="1:23" ht="15.75" customHeight="1" x14ac:dyDescent="0.25">
      <c r="B9" s="110">
        <f t="shared" si="0"/>
        <v>2024</v>
      </c>
      <c r="C9" s="187"/>
      <c r="D9" s="324">
        <f>IF($B9=Assumptions!$D$9,$M$7,0)</f>
        <v>0</v>
      </c>
      <c r="E9" s="321">
        <f>SUM(C9)*(1+0.07)^-($B9-Assumptions!$D$4)</f>
        <v>0</v>
      </c>
      <c r="F9" s="264">
        <f>SUM(D9)*(1+0.07)^-($B9-Assumptions!$D$4)</f>
        <v>0</v>
      </c>
      <c r="H9" s="53"/>
      <c r="I9" s="6" t="s">
        <v>145</v>
      </c>
      <c r="J9" s="53"/>
      <c r="K9" s="157"/>
      <c r="L9" s="157"/>
      <c r="M9" s="157"/>
      <c r="N9" s="111"/>
      <c r="O9" s="10"/>
      <c r="P9" s="10"/>
      <c r="Q9" s="10"/>
      <c r="R9" s="10"/>
      <c r="S9" s="10"/>
      <c r="T9" s="10"/>
      <c r="U9" s="10"/>
      <c r="V9" s="10"/>
      <c r="W9" s="10"/>
    </row>
    <row r="10" spans="1:23" ht="15.75" customHeight="1" x14ac:dyDescent="0.25">
      <c r="B10" s="39">
        <f t="shared" si="0"/>
        <v>2025</v>
      </c>
      <c r="C10" s="180"/>
      <c r="D10" s="324">
        <f>IF($B10=Assumptions!$D$9,$M$7,0)</f>
        <v>0</v>
      </c>
      <c r="E10" s="321">
        <f>SUM(C10)*(1+0.07)^-($B10-Assumptions!$D$4)</f>
        <v>0</v>
      </c>
      <c r="F10" s="264">
        <f>SUM(D10)*(1+0.07)^-($B10-Assumptions!$D$4)</f>
        <v>0</v>
      </c>
      <c r="H10" s="53"/>
      <c r="I10" s="259" t="s">
        <v>140</v>
      </c>
      <c r="J10" s="97" t="s">
        <v>141</v>
      </c>
      <c r="K10" s="157"/>
      <c r="L10" s="157"/>
      <c r="M10" s="157"/>
      <c r="N10" s="10"/>
      <c r="O10" s="10"/>
      <c r="P10" s="10"/>
      <c r="Q10" s="10"/>
      <c r="R10" s="10"/>
      <c r="S10" s="10"/>
      <c r="T10" s="10"/>
      <c r="U10" s="10"/>
      <c r="V10" s="10"/>
    </row>
    <row r="11" spans="1:23" ht="15.75" customHeight="1" x14ac:dyDescent="0.25">
      <c r="B11" s="110">
        <f t="shared" si="0"/>
        <v>2026</v>
      </c>
      <c r="C11" s="187"/>
      <c r="D11" s="324">
        <f>IF($B11=Assumptions!$D$9,$M$7,0)</f>
        <v>0</v>
      </c>
      <c r="E11" s="321">
        <f>SUM(C11)*(1+0.07)^-($B11-Assumptions!$D$4)</f>
        <v>0</v>
      </c>
      <c r="F11" s="264">
        <f>SUM(D11)*(1+0.07)^-($B11-Assumptions!$D$4)</f>
        <v>0</v>
      </c>
      <c r="H11" s="53"/>
      <c r="I11" s="192" t="s">
        <v>127</v>
      </c>
      <c r="J11" s="98">
        <v>4.5869999999999997</v>
      </c>
      <c r="K11" s="157"/>
      <c r="L11" s="157"/>
      <c r="M11" s="157"/>
      <c r="N11" s="10"/>
      <c r="O11" s="10"/>
      <c r="P11" s="10"/>
      <c r="Q11" s="10"/>
      <c r="R11" s="10"/>
      <c r="S11" s="10"/>
      <c r="T11" s="10"/>
      <c r="U11" s="10"/>
      <c r="V11" s="10"/>
    </row>
    <row r="12" spans="1:23" ht="15.75" customHeight="1" x14ac:dyDescent="0.25">
      <c r="A12" s="53"/>
      <c r="B12" s="110">
        <f t="shared" si="0"/>
        <v>2027</v>
      </c>
      <c r="C12" s="187"/>
      <c r="D12" s="324">
        <f>IF($B12=Assumptions!$D$9,$M$7,0)</f>
        <v>0</v>
      </c>
      <c r="E12" s="321">
        <f>SUM(C12)*(1+0.07)^-($B12-Assumptions!$D$4)</f>
        <v>0</v>
      </c>
      <c r="F12" s="264">
        <f>SUM(D12)*(1+0.07)^-($B12-Assumptions!$D$4)</f>
        <v>0</v>
      </c>
      <c r="G12" s="53"/>
      <c r="H12" s="53"/>
      <c r="K12" s="157"/>
      <c r="L12" s="157"/>
      <c r="M12" s="157"/>
      <c r="N12" s="10"/>
      <c r="O12" s="10"/>
      <c r="P12" s="10"/>
      <c r="Q12" s="10"/>
      <c r="R12" s="10"/>
      <c r="S12" s="10"/>
      <c r="T12" s="10"/>
      <c r="U12" s="10"/>
      <c r="V12" s="10"/>
    </row>
    <row r="13" spans="1:23" ht="15.75" customHeight="1" x14ac:dyDescent="0.25">
      <c r="A13" s="53"/>
      <c r="B13" s="110">
        <f t="shared" si="0"/>
        <v>2028</v>
      </c>
      <c r="C13" s="187"/>
      <c r="D13" s="324">
        <f>IF($B13=Assumptions!$D$9,$M$7,0)</f>
        <v>0</v>
      </c>
      <c r="E13" s="321">
        <f>SUM(C13)*(1+0.07)^-($B13-Assumptions!$D$4)</f>
        <v>0</v>
      </c>
      <c r="F13" s="264">
        <f>SUM(D13)*(1+0.07)^-($B13-Assumptions!$D$4)</f>
        <v>0</v>
      </c>
      <c r="G13" s="53"/>
      <c r="H13" s="53"/>
      <c r="I13" s="6" t="s">
        <v>180</v>
      </c>
      <c r="K13" s="157"/>
      <c r="L13" s="157"/>
      <c r="M13" s="157"/>
      <c r="N13" s="10"/>
      <c r="O13" s="10"/>
      <c r="P13" s="10"/>
      <c r="Q13" s="10"/>
      <c r="R13" s="10"/>
      <c r="S13" s="10"/>
      <c r="T13" s="10"/>
      <c r="U13" s="10"/>
      <c r="V13" s="10"/>
    </row>
    <row r="14" spans="1:23" ht="15.75" customHeight="1" x14ac:dyDescent="0.25">
      <c r="A14" s="53"/>
      <c r="B14" s="110">
        <f t="shared" si="0"/>
        <v>2029</v>
      </c>
      <c r="C14" s="187"/>
      <c r="D14" s="324">
        <f>IF($B14=Assumptions!$D$9,$M$7,0)</f>
        <v>0</v>
      </c>
      <c r="E14" s="321">
        <f>SUM(C14)*(1+0.07)^-($B14-Assumptions!$D$4)</f>
        <v>0</v>
      </c>
      <c r="F14" s="264">
        <f>SUM(D14)*(1+0.07)^-($B14-Assumptions!$D$4)</f>
        <v>0</v>
      </c>
      <c r="G14" s="53"/>
      <c r="H14" s="53"/>
      <c r="I14" s="315" t="s">
        <v>184</v>
      </c>
      <c r="J14" s="319">
        <v>2271885</v>
      </c>
      <c r="K14" s="157"/>
      <c r="L14" s="157"/>
      <c r="M14" s="157"/>
      <c r="N14" s="10"/>
      <c r="O14" s="10"/>
      <c r="P14" s="10"/>
      <c r="Q14" s="10"/>
      <c r="R14" s="10"/>
      <c r="S14" s="10"/>
      <c r="T14" s="10"/>
      <c r="U14" s="10"/>
      <c r="V14" s="10"/>
    </row>
    <row r="15" spans="1:23" ht="15.75" customHeight="1" x14ac:dyDescent="0.25">
      <c r="A15" s="53"/>
      <c r="B15" s="110">
        <f t="shared" si="0"/>
        <v>2030</v>
      </c>
      <c r="C15" s="187"/>
      <c r="D15" s="324">
        <f>IF($B15=Assumptions!$D$9,$M$7,0)</f>
        <v>0</v>
      </c>
      <c r="E15" s="321">
        <f>SUM(C15)*(1+0.07)^-($B15-Assumptions!$D$4)</f>
        <v>0</v>
      </c>
      <c r="F15" s="264">
        <f>SUM(D15)*(1+0.07)^-($B15-Assumptions!$D$4)</f>
        <v>0</v>
      </c>
      <c r="G15" s="53"/>
      <c r="H15" s="53"/>
      <c r="I15" s="315" t="s">
        <v>179</v>
      </c>
      <c r="J15" s="316">
        <v>0.96021359108459992</v>
      </c>
      <c r="L15" s="105"/>
      <c r="M15" s="106"/>
      <c r="N15" s="10"/>
      <c r="O15" s="10"/>
      <c r="P15" s="10"/>
      <c r="Q15" s="10"/>
      <c r="R15" s="10"/>
      <c r="S15" s="10"/>
      <c r="T15" s="10"/>
      <c r="U15" s="10"/>
      <c r="V15" s="10"/>
    </row>
    <row r="16" spans="1:23" ht="15.75" customHeight="1" x14ac:dyDescent="0.25">
      <c r="A16" s="53"/>
      <c r="B16" s="110">
        <f t="shared" si="0"/>
        <v>2031</v>
      </c>
      <c r="C16" s="187"/>
      <c r="D16" s="324">
        <f>IF($B16=Assumptions!$D$9,$M$7,0)</f>
        <v>0</v>
      </c>
      <c r="E16" s="321">
        <f>SUM(C16)*(1+0.07)^-($B16-Assumptions!$D$4)</f>
        <v>0</v>
      </c>
      <c r="F16" s="264">
        <f>SUM(D16)*(1+0.07)^-($B16-Assumptions!$D$4)</f>
        <v>0</v>
      </c>
      <c r="G16" s="53"/>
      <c r="H16" s="53"/>
      <c r="I16" s="19"/>
      <c r="J16" s="303"/>
      <c r="L16" s="105"/>
      <c r="M16" s="106"/>
      <c r="N16" s="10"/>
      <c r="O16" s="10"/>
      <c r="P16" s="10"/>
      <c r="Q16" s="10"/>
      <c r="R16" s="10"/>
      <c r="S16" s="10"/>
      <c r="T16" s="10"/>
      <c r="U16" s="10"/>
      <c r="V16" s="10"/>
    </row>
    <row r="17" spans="1:22" ht="15.75" customHeight="1" x14ac:dyDescent="0.25">
      <c r="A17" s="53"/>
      <c r="B17" s="110">
        <f t="shared" si="0"/>
        <v>2032</v>
      </c>
      <c r="C17" s="187"/>
      <c r="D17" s="324">
        <f>IF($B17=Assumptions!$D$9,$M$7,0)</f>
        <v>0</v>
      </c>
      <c r="E17" s="321">
        <f>SUM(C17)*(1+0.07)^-($B17-Assumptions!$D$4)</f>
        <v>0</v>
      </c>
      <c r="F17" s="264">
        <f>SUM(D17)*(1+0.07)^-($B17-Assumptions!$D$4)</f>
        <v>0</v>
      </c>
      <c r="G17" s="53"/>
      <c r="H17" s="53"/>
      <c r="I17" s="53"/>
      <c r="J17" s="53"/>
      <c r="L17" s="107"/>
      <c r="M17" s="21"/>
      <c r="N17" s="10"/>
      <c r="O17" s="10"/>
      <c r="P17" s="10"/>
      <c r="Q17" s="10"/>
      <c r="R17" s="10"/>
      <c r="S17" s="10"/>
      <c r="T17" s="10"/>
      <c r="U17" s="10"/>
      <c r="V17" s="10"/>
    </row>
    <row r="18" spans="1:22" ht="15.75" customHeight="1" x14ac:dyDescent="0.25">
      <c r="A18" s="53"/>
      <c r="B18" s="110">
        <f t="shared" si="0"/>
        <v>2033</v>
      </c>
      <c r="C18" s="187"/>
      <c r="D18" s="324">
        <f>IF($B18=Assumptions!$D$9,$M$7,0)</f>
        <v>0</v>
      </c>
      <c r="E18" s="321">
        <f>SUM(C18)*(1+0.07)^-($B18-Assumptions!$D$4)</f>
        <v>0</v>
      </c>
      <c r="F18" s="264">
        <f>SUM(D18)*(1+0.07)^-($B18-Assumptions!$D$4)</f>
        <v>0</v>
      </c>
      <c r="G18" s="53"/>
      <c r="H18" s="53"/>
      <c r="I18" s="285"/>
      <c r="J18" s="285"/>
      <c r="K18" s="285"/>
      <c r="L18" s="285"/>
      <c r="M18" s="285"/>
      <c r="N18" s="10"/>
      <c r="O18" s="10"/>
      <c r="P18" s="10"/>
      <c r="Q18" s="10"/>
      <c r="R18" s="10"/>
      <c r="S18" s="10"/>
      <c r="T18" s="10"/>
      <c r="U18" s="10"/>
      <c r="V18" s="10"/>
    </row>
    <row r="19" spans="1:22" ht="15.75" customHeight="1" x14ac:dyDescent="0.25">
      <c r="A19" s="53"/>
      <c r="B19" s="110">
        <f t="shared" si="0"/>
        <v>2034</v>
      </c>
      <c r="C19" s="187"/>
      <c r="D19" s="324">
        <f>IF($B19=Assumptions!$D$9,$M$7,0)</f>
        <v>0</v>
      </c>
      <c r="E19" s="321">
        <f>SUM(C19)*(1+0.07)^-($B19-Assumptions!$D$4)</f>
        <v>0</v>
      </c>
      <c r="F19" s="264">
        <f>SUM(D19)*(1+0.07)^-($B19-Assumptions!$D$4)</f>
        <v>0</v>
      </c>
      <c r="G19" s="53"/>
      <c r="H19" s="53"/>
      <c r="I19" s="285"/>
      <c r="J19" s="285"/>
      <c r="K19" s="285"/>
      <c r="L19" s="285"/>
      <c r="M19" s="285"/>
      <c r="N19" s="10"/>
      <c r="O19" s="10"/>
      <c r="P19" s="10"/>
      <c r="Q19" s="10"/>
      <c r="R19" s="10"/>
      <c r="S19" s="10"/>
      <c r="T19" s="10"/>
      <c r="U19" s="10"/>
      <c r="V19" s="10"/>
    </row>
    <row r="20" spans="1:22" ht="15.75" customHeight="1" x14ac:dyDescent="0.25">
      <c r="A20" s="53"/>
      <c r="B20" s="110">
        <f t="shared" si="0"/>
        <v>2035</v>
      </c>
      <c r="C20" s="187"/>
      <c r="D20" s="324">
        <f>IF($B20=Assumptions!$D$9,$M$7,0)</f>
        <v>0</v>
      </c>
      <c r="E20" s="321">
        <f>SUM(C20)*(1+0.07)^-($B20-Assumptions!$D$4)</f>
        <v>0</v>
      </c>
      <c r="F20" s="264">
        <f>SUM(D20)*(1+0.07)^-($B20-Assumptions!$D$4)</f>
        <v>0</v>
      </c>
      <c r="G20" s="53"/>
      <c r="H20" s="53"/>
      <c r="I20" s="285"/>
      <c r="J20" s="285"/>
      <c r="K20" s="285"/>
      <c r="L20" s="285"/>
      <c r="M20" s="285"/>
      <c r="N20" s="10"/>
      <c r="O20" s="10"/>
      <c r="P20" s="10"/>
      <c r="Q20" s="10"/>
      <c r="R20" s="10"/>
      <c r="S20" s="10"/>
      <c r="T20" s="10"/>
      <c r="U20" s="10"/>
      <c r="V20" s="10"/>
    </row>
    <row r="21" spans="1:22" ht="15.75" customHeight="1" x14ac:dyDescent="0.25">
      <c r="A21" s="53"/>
      <c r="B21" s="110">
        <f t="shared" si="0"/>
        <v>2036</v>
      </c>
      <c r="C21" s="187"/>
      <c r="D21" s="324">
        <f>IF($B21=Assumptions!$D$9,$M$7,0)</f>
        <v>0</v>
      </c>
      <c r="E21" s="321">
        <f>SUM(C21)*(1+0.07)^-($B21-Assumptions!$D$4)</f>
        <v>0</v>
      </c>
      <c r="F21" s="264">
        <f>SUM(D21)*(1+0.07)^-($B21-Assumptions!$D$4)</f>
        <v>0</v>
      </c>
      <c r="G21" s="53"/>
      <c r="H21" s="53"/>
      <c r="I21" s="285"/>
      <c r="J21" s="285"/>
      <c r="K21" s="285"/>
      <c r="L21" s="285"/>
      <c r="M21" s="285"/>
      <c r="N21" s="10"/>
      <c r="O21" s="10"/>
      <c r="P21" s="10"/>
      <c r="Q21" s="10"/>
      <c r="R21" s="10"/>
      <c r="S21" s="10"/>
      <c r="T21" s="10"/>
      <c r="U21" s="10"/>
      <c r="V21" s="10"/>
    </row>
    <row r="22" spans="1:22" ht="15.75" customHeight="1" x14ac:dyDescent="0.25">
      <c r="A22" s="53"/>
      <c r="B22" s="110">
        <f t="shared" si="0"/>
        <v>2037</v>
      </c>
      <c r="C22" s="187"/>
      <c r="D22" s="324">
        <f>IF($B22=Assumptions!$D$9,$M$7,0)</f>
        <v>0</v>
      </c>
      <c r="E22" s="321">
        <f>SUM(C22)*(1+0.07)^-($B22-Assumptions!$D$4)</f>
        <v>0</v>
      </c>
      <c r="F22" s="264">
        <f>SUM(D22)*(1+0.07)^-($B22-Assumptions!$D$4)</f>
        <v>0</v>
      </c>
      <c r="G22" s="53"/>
      <c r="H22" s="53"/>
      <c r="I22" s="285"/>
      <c r="J22" s="285"/>
      <c r="K22" s="285"/>
      <c r="L22" s="285"/>
      <c r="M22" s="285"/>
      <c r="N22" s="10"/>
      <c r="O22" s="10"/>
      <c r="P22" s="10"/>
      <c r="Q22" s="10"/>
      <c r="R22" s="10"/>
      <c r="S22" s="10"/>
      <c r="T22" s="10"/>
      <c r="U22" s="10"/>
      <c r="V22" s="10"/>
    </row>
    <row r="23" spans="1:22" ht="15.75" customHeight="1" x14ac:dyDescent="0.25">
      <c r="A23" s="53"/>
      <c r="B23" s="110">
        <f t="shared" si="0"/>
        <v>2038</v>
      </c>
      <c r="C23" s="187"/>
      <c r="D23" s="324">
        <f>IF($B23=Assumptions!$D$9,$M$7,0)</f>
        <v>0</v>
      </c>
      <c r="E23" s="321">
        <f>SUM(C23)*(1+0.07)^-($B23-Assumptions!$D$4)</f>
        <v>0</v>
      </c>
      <c r="F23" s="264">
        <f>SUM(D23)*(1+0.07)^-($B23-Assumptions!$D$4)</f>
        <v>0</v>
      </c>
      <c r="G23" s="53"/>
      <c r="H23" s="53"/>
      <c r="I23" s="285"/>
      <c r="J23" s="285"/>
      <c r="K23" s="285"/>
      <c r="L23" s="285"/>
      <c r="M23" s="285"/>
      <c r="N23" s="10"/>
      <c r="O23" s="10"/>
      <c r="P23" s="10"/>
      <c r="Q23" s="10"/>
      <c r="R23" s="10"/>
      <c r="S23" s="10"/>
      <c r="T23" s="10"/>
      <c r="U23" s="10"/>
      <c r="V23" s="10"/>
    </row>
    <row r="24" spans="1:22" ht="15.75" customHeight="1" x14ac:dyDescent="0.25">
      <c r="A24" s="53"/>
      <c r="B24" s="110">
        <f t="shared" si="0"/>
        <v>2039</v>
      </c>
      <c r="C24" s="187"/>
      <c r="D24" s="324">
        <f>IF($B24=Assumptions!$D$9,$M$7,0)</f>
        <v>0</v>
      </c>
      <c r="E24" s="321">
        <f>SUM(C24)*(1+0.07)^-($B24-Assumptions!$D$4)</f>
        <v>0</v>
      </c>
      <c r="F24" s="264">
        <f>SUM(D24)*(1+0.07)^-($B24-Assumptions!$D$4)</f>
        <v>0</v>
      </c>
      <c r="G24" s="53"/>
      <c r="H24" s="53"/>
      <c r="I24" s="285"/>
      <c r="J24" s="285"/>
      <c r="K24" s="285"/>
      <c r="L24" s="285"/>
      <c r="M24" s="285"/>
      <c r="N24" s="10"/>
      <c r="O24" s="10"/>
      <c r="P24" s="10"/>
      <c r="Q24" s="10"/>
      <c r="R24" s="10"/>
      <c r="S24" s="10"/>
      <c r="T24" s="10"/>
      <c r="U24" s="10"/>
      <c r="V24" s="10"/>
    </row>
    <row r="25" spans="1:22" ht="15.75" customHeight="1" x14ac:dyDescent="0.25">
      <c r="A25" s="53"/>
      <c r="B25" s="110">
        <f t="shared" si="0"/>
        <v>2040</v>
      </c>
      <c r="C25" s="187"/>
      <c r="D25" s="324">
        <f>IF($B25=Assumptions!$D$9,$M$7,0)</f>
        <v>0</v>
      </c>
      <c r="E25" s="321">
        <f>SUM(C25)*(1+0.07)^-($B25-Assumptions!$D$4)</f>
        <v>0</v>
      </c>
      <c r="F25" s="264">
        <f>SUM(D25)*(1+0.07)^-($B25-Assumptions!$D$4)</f>
        <v>0</v>
      </c>
      <c r="G25" s="53"/>
      <c r="H25" s="53"/>
      <c r="I25" s="285"/>
      <c r="J25" s="285"/>
      <c r="K25" s="285"/>
      <c r="L25" s="285"/>
      <c r="M25" s="285"/>
      <c r="N25" s="10"/>
      <c r="O25" s="10"/>
      <c r="P25" s="10"/>
      <c r="Q25" s="10"/>
      <c r="R25" s="10"/>
      <c r="S25" s="10"/>
      <c r="T25" s="10"/>
      <c r="U25" s="10"/>
      <c r="V25" s="10"/>
    </row>
    <row r="26" spans="1:22" ht="15.75" customHeight="1" x14ac:dyDescent="0.25">
      <c r="A26" s="53"/>
      <c r="B26" s="110">
        <f t="shared" si="0"/>
        <v>2041</v>
      </c>
      <c r="C26" s="187"/>
      <c r="D26" s="324">
        <f>IF($B26=Assumptions!$D$9,$M$7,0)</f>
        <v>0</v>
      </c>
      <c r="E26" s="321">
        <f>SUM(C26)*(1+0.07)^-($B26-Assumptions!$D$4)</f>
        <v>0</v>
      </c>
      <c r="F26" s="264">
        <f>SUM(D26)*(1+0.07)^-($B26-Assumptions!$D$4)</f>
        <v>0</v>
      </c>
      <c r="G26" s="53"/>
      <c r="H26" s="53"/>
      <c r="I26" s="53"/>
      <c r="J26" s="53"/>
      <c r="L26" s="108"/>
      <c r="M26" s="109"/>
      <c r="N26" s="10"/>
      <c r="O26" s="10"/>
      <c r="P26" s="10"/>
      <c r="Q26" s="10"/>
      <c r="R26" s="10"/>
      <c r="S26" s="10"/>
      <c r="T26" s="10"/>
      <c r="U26" s="10"/>
      <c r="V26" s="10"/>
    </row>
    <row r="27" spans="1:22" ht="15.75" customHeight="1" x14ac:dyDescent="0.25">
      <c r="A27" s="53"/>
      <c r="B27" s="110">
        <f t="shared" si="0"/>
        <v>2042</v>
      </c>
      <c r="C27" s="187"/>
      <c r="D27" s="324">
        <f>IF($B27=Assumptions!$D$9,$M$7,0)</f>
        <v>0</v>
      </c>
      <c r="E27" s="321">
        <f>SUM(C27)*(1+0.07)^-($B27-Assumptions!$D$4)</f>
        <v>0</v>
      </c>
      <c r="F27" s="264">
        <f>SUM(D27)*(1+0.07)^-($B27-Assumptions!$D$4)</f>
        <v>0</v>
      </c>
      <c r="G27" s="53"/>
      <c r="H27" s="53"/>
      <c r="I27" s="53"/>
      <c r="L27" s="108"/>
      <c r="M27" s="109"/>
      <c r="N27" s="10"/>
      <c r="O27" s="10"/>
      <c r="P27" s="10"/>
      <c r="Q27" s="10"/>
      <c r="R27" s="10"/>
      <c r="S27" s="10"/>
      <c r="T27" s="10"/>
      <c r="U27" s="10"/>
      <c r="V27" s="10"/>
    </row>
    <row r="28" spans="1:22" ht="15.75" customHeight="1" thickBot="1" x14ac:dyDescent="0.3">
      <c r="A28" s="53"/>
      <c r="B28" s="126">
        <f t="shared" si="0"/>
        <v>2043</v>
      </c>
      <c r="C28" s="292"/>
      <c r="D28" s="325">
        <f>IF($B28=Assumptions!$D$9,$M$7,0)</f>
        <v>0</v>
      </c>
      <c r="E28" s="322">
        <f>SUM(C28)*(1+0.07)^-($B28-Assumptions!$D$4)</f>
        <v>0</v>
      </c>
      <c r="F28" s="265">
        <f>SUM(D28)*(1+0.07)^-($B28-Assumptions!$D$4)</f>
        <v>0</v>
      </c>
      <c r="G28" s="53"/>
      <c r="H28" s="53"/>
      <c r="I28" s="53"/>
      <c r="L28" s="108"/>
      <c r="M28" s="109"/>
      <c r="N28" s="10"/>
      <c r="O28" s="10"/>
      <c r="P28" s="10"/>
      <c r="Q28" s="10"/>
      <c r="R28" s="10"/>
      <c r="S28" s="10"/>
      <c r="T28" s="10"/>
      <c r="U28" s="10"/>
      <c r="V28" s="10"/>
    </row>
    <row r="29" spans="1:22" x14ac:dyDescent="0.25">
      <c r="A29" s="44"/>
      <c r="D29" s="8"/>
      <c r="E29" s="263">
        <f>SUM(E7:E28)</f>
        <v>1780749.6180797212</v>
      </c>
      <c r="F29" s="263">
        <f>SUM(F7:F28)</f>
        <v>0</v>
      </c>
      <c r="G29" s="74"/>
      <c r="H29" s="53"/>
      <c r="I29" s="238"/>
      <c r="J29" s="53"/>
    </row>
    <row r="30" spans="1:22" x14ac:dyDescent="0.25">
      <c r="A30" s="45"/>
      <c r="B30" s="4"/>
      <c r="C30" s="5"/>
      <c r="G30" s="74"/>
      <c r="H30" s="53"/>
      <c r="I30" s="238"/>
      <c r="J30" s="53"/>
    </row>
    <row r="31" spans="1:22" ht="15" customHeight="1" x14ac:dyDescent="0.25">
      <c r="A31" s="45"/>
      <c r="B31" s="4"/>
      <c r="C31" s="4"/>
      <c r="D31" s="8"/>
      <c r="E31" s="9"/>
      <c r="F31" s="9"/>
      <c r="G31" s="74"/>
      <c r="H31" s="74"/>
      <c r="I31" s="74"/>
    </row>
    <row r="32" spans="1:22" x14ac:dyDescent="0.25">
      <c r="A32" s="44"/>
      <c r="B32" s="18" t="s">
        <v>3</v>
      </c>
      <c r="C32" s="17"/>
      <c r="D32" s="17"/>
      <c r="E32" s="17"/>
      <c r="F32" s="17"/>
      <c r="G32" s="74"/>
      <c r="H32" s="74"/>
      <c r="I32" s="238"/>
    </row>
    <row r="33" spans="1:9" ht="15" customHeight="1" x14ac:dyDescent="0.25">
      <c r="A33" s="7" t="s">
        <v>12</v>
      </c>
      <c r="B33" s="73" t="s">
        <v>142</v>
      </c>
      <c r="C33" s="74"/>
      <c r="D33" s="74"/>
      <c r="E33" s="74"/>
      <c r="F33" s="74"/>
      <c r="G33" s="74"/>
      <c r="H33" s="74"/>
      <c r="I33" s="238"/>
    </row>
    <row r="34" spans="1:9" ht="15" customHeight="1" x14ac:dyDescent="0.25">
      <c r="B34" s="74"/>
      <c r="C34" s="74"/>
      <c r="D34" s="74"/>
      <c r="E34" s="74"/>
      <c r="F34" s="74"/>
      <c r="G34" s="74"/>
      <c r="H34" s="238"/>
      <c r="I34" s="238"/>
    </row>
    <row r="35" spans="1:9" s="285" customFormat="1" ht="15" customHeight="1" x14ac:dyDescent="0.25">
      <c r="A35" s="7" t="s">
        <v>11</v>
      </c>
      <c r="B35" s="73" t="s">
        <v>183</v>
      </c>
      <c r="C35" s="74"/>
      <c r="D35" s="74"/>
      <c r="E35" s="74"/>
      <c r="F35" s="74"/>
      <c r="G35" s="74"/>
      <c r="H35" s="74"/>
      <c r="I35" s="283"/>
    </row>
    <row r="36" spans="1:9" x14ac:dyDescent="0.25">
      <c r="G36" s="74"/>
    </row>
    <row r="41" spans="1:9" x14ac:dyDescent="0.25">
      <c r="A41" s="7"/>
    </row>
  </sheetData>
  <mergeCells count="6">
    <mergeCell ref="C4:D4"/>
    <mergeCell ref="F5:F6"/>
    <mergeCell ref="B5:B6"/>
    <mergeCell ref="C5:C6"/>
    <mergeCell ref="D5:D6"/>
    <mergeCell ref="E5:E6"/>
  </mergeCells>
  <printOptions horizontalCentered="1"/>
  <pageMargins left="0.7" right="0.7" top="0.75" bottom="0.75" header="0.3" footer="0.3"/>
  <pageSetup scale="67" orientation="landscape" r:id="rId1"/>
  <headerFooter scaleWithDoc="0"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266A-9112-4C96-B851-D927893513A3}">
  <dimension ref="A1:E8"/>
  <sheetViews>
    <sheetView workbookViewId="0">
      <selection activeCell="B29" sqref="B29"/>
    </sheetView>
  </sheetViews>
  <sheetFormatPr defaultRowHeight="15" x14ac:dyDescent="0.25"/>
  <cols>
    <col min="1" max="1" width="14.28515625" customWidth="1"/>
    <col min="2" max="2" width="16.85546875" style="161" customWidth="1"/>
    <col min="3" max="4" width="12.28515625" style="161" customWidth="1"/>
    <col min="5" max="5" width="16.5703125" bestFit="1" customWidth="1"/>
  </cols>
  <sheetData>
    <row r="1" spans="1:5" s="261" customFormat="1" x14ac:dyDescent="0.25">
      <c r="A1">
        <f>'Capital Costs and RCV Calc'!J11</f>
        <v>4.5869999999999997</v>
      </c>
      <c r="B1" s="10" t="s">
        <v>155</v>
      </c>
      <c r="C1" s="10"/>
      <c r="D1" s="10"/>
    </row>
    <row r="2" spans="1:5" x14ac:dyDescent="0.25">
      <c r="A2" t="s">
        <v>153</v>
      </c>
      <c r="B2" s="161">
        <v>55</v>
      </c>
      <c r="C2" s="161">
        <v>35</v>
      </c>
      <c r="D2" s="161">
        <v>25</v>
      </c>
    </row>
    <row r="3" spans="1:5" x14ac:dyDescent="0.25">
      <c r="A3" t="s">
        <v>154</v>
      </c>
      <c r="B3" s="266">
        <f>$A$1*60/B2</f>
        <v>5.0039999999999996</v>
      </c>
      <c r="C3" s="266">
        <f>$A$1*60/C2</f>
        <v>7.863428571428571</v>
      </c>
      <c r="D3" s="266">
        <f>$A$1*60/D2</f>
        <v>11.008799999999999</v>
      </c>
    </row>
    <row r="5" spans="1:5" x14ac:dyDescent="0.25">
      <c r="A5">
        <f>Assumptions!G4</f>
        <v>2019</v>
      </c>
      <c r="B5" s="268">
        <f>$A$1*ADTCurrent*365</f>
        <v>1197092.325</v>
      </c>
      <c r="C5" s="268">
        <f>$A$1*ADTCurrent*365</f>
        <v>1197092.325</v>
      </c>
      <c r="D5" s="268">
        <f>$A$1*ADTCurrent*365</f>
        <v>1197092.325</v>
      </c>
      <c r="E5" t="s">
        <v>150</v>
      </c>
    </row>
    <row r="6" spans="1:5" x14ac:dyDescent="0.25">
      <c r="A6">
        <f>Assumptions!G5</f>
        <v>2039</v>
      </c>
      <c r="B6" s="268">
        <f>$A$1*ADTFuture*365</f>
        <v>1322661.45</v>
      </c>
      <c r="C6" s="268">
        <f>$A$1*ADTFuture*365</f>
        <v>1322661.45</v>
      </c>
      <c r="D6" s="268">
        <f>$A$1*ADTFuture*365</f>
        <v>1322661.45</v>
      </c>
      <c r="E6" t="s">
        <v>151</v>
      </c>
    </row>
    <row r="7" spans="1:5" x14ac:dyDescent="0.25">
      <c r="A7" s="261">
        <f>Assumptions!G4</f>
        <v>2019</v>
      </c>
      <c r="B7" s="269">
        <f>B5/B2</f>
        <v>21765.314999999999</v>
      </c>
      <c r="C7" s="269">
        <f>C5/C2</f>
        <v>34202.637857142858</v>
      </c>
      <c r="D7" s="269">
        <f>D5/D2</f>
        <v>47883.692999999999</v>
      </c>
      <c r="E7" t="s">
        <v>149</v>
      </c>
    </row>
    <row r="8" spans="1:5" x14ac:dyDescent="0.25">
      <c r="A8" s="261">
        <f>Assumptions!G5</f>
        <v>2039</v>
      </c>
      <c r="B8" s="269">
        <f>B6/B2</f>
        <v>24048.39</v>
      </c>
      <c r="C8" s="269">
        <f>C6/C2</f>
        <v>37790.327142857139</v>
      </c>
      <c r="D8" s="269">
        <f>D6/D2</f>
        <v>52906.457999999999</v>
      </c>
      <c r="E8" s="261" t="s">
        <v>152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Assumptions</vt:lpstr>
      <vt:lpstr>BCA Summary</vt:lpstr>
      <vt:lpstr>Travel Time Cost - Construction</vt:lpstr>
      <vt:lpstr>Travel Time Cost Savings</vt:lpstr>
      <vt:lpstr>Operating Cost Savings</vt:lpstr>
      <vt:lpstr>Operating Cost-Roughness</vt:lpstr>
      <vt:lpstr>Operation and Maintenance</vt:lpstr>
      <vt:lpstr>Capital Costs and RCV Calc</vt:lpstr>
      <vt:lpstr>Travel</vt:lpstr>
      <vt:lpstr>ADTCurrent</vt:lpstr>
      <vt:lpstr>ADTFuture</vt:lpstr>
      <vt:lpstr>Assumptions!Print_Area</vt:lpstr>
      <vt:lpstr>'BCA Summary'!Print_Area</vt:lpstr>
      <vt:lpstr>'Capital Costs and RCV Calc'!Print_Area</vt:lpstr>
      <vt:lpstr>'Operating Cost Savings'!Print_Area</vt:lpstr>
      <vt:lpstr>'Operating Cost-Roughness'!Print_Area</vt:lpstr>
      <vt:lpstr>'Operation and Maintenance'!Print_Area</vt:lpstr>
      <vt:lpstr>'Travel Time Cost - Construction'!Print_Area</vt:lpstr>
      <vt:lpstr>'Travel Time Cost Savings'!Print_Area</vt:lpstr>
      <vt:lpstr>projectlength</vt:lpstr>
      <vt:lpstr>YearOfConstruction</vt:lpstr>
      <vt:lpstr>YearOfFailure</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Jeff Knudson</cp:lastModifiedBy>
  <cp:lastPrinted>2022-04-11T20:25:43Z</cp:lastPrinted>
  <dcterms:created xsi:type="dcterms:W3CDTF">2013-05-17T20:57:43Z</dcterms:created>
  <dcterms:modified xsi:type="dcterms:W3CDTF">2022-04-11T20:28:52Z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m_Crash_Cost" linkTarget="Prop_Dam_Crash_Cost">
    <vt:r8>0</vt:r8>
  </property>
</Properties>
</file>