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codeName="ThisWorkbook" defaultThemeVersion="124226"/>
  <mc:AlternateContent xmlns:mc="http://schemas.openxmlformats.org/markup-compatibility/2006">
    <mc:Choice Requires="x15">
      <x15ac:absPath xmlns:x15ac="http://schemas.microsoft.com/office/spreadsheetml/2010/11/ac" url="K:\Trans\Grant Applications\2023 Grants\RAISE\Standing Rock Sioux Tribe\BCA\"/>
    </mc:Choice>
  </mc:AlternateContent>
  <xr:revisionPtr revIDLastSave="0" documentId="13_ncr:1_{B794B8B9-7349-4F7A-85F3-F9D86630FC74}" xr6:coauthVersionLast="47" xr6:coauthVersionMax="47" xr10:uidLastSave="{00000000-0000-0000-0000-000000000000}"/>
  <bookViews>
    <workbookView xWindow="-120" yWindow="-120" windowWidth="29040" windowHeight="15840" tabRatio="868" xr2:uid="{00000000-000D-0000-FFFF-FFFF00000000}"/>
  </bookViews>
  <sheets>
    <sheet name="Assumptions" sheetId="28" r:id="rId1"/>
    <sheet name="BCA Summary " sheetId="46" r:id="rId2"/>
    <sheet name="Operations Calculations" sheetId="77" r:id="rId3"/>
    <sheet name="VOC Savings" sheetId="78" r:id="rId4"/>
    <sheet name="Travel Time Savings" sheetId="76" r:id="rId5"/>
    <sheet name="Safety Improvements" sheetId="30" r:id="rId6"/>
    <sheet name="Safety Impacts of Alt Routes" sheetId="80" r:id="rId7"/>
    <sheet name="Air Quality" sheetId="79" r:id="rId8"/>
    <sheet name="Gravel Road VOC Impacts" sheetId="83" r:id="rId9"/>
    <sheet name="Construction Travel Time Impact" sheetId="90" r:id="rId10"/>
    <sheet name="Capital Cost + RCV" sheetId="42" r:id="rId11"/>
    <sheet name="O&amp;M + Rehab" sheetId="75" r:id="rId12"/>
    <sheet name="Traffic Patterns" sheetId="81" r:id="rId13"/>
    <sheet name="Existing BIA 6 AADT Data" sheetId="84" r:id="rId14"/>
    <sheet name="Gravel Road VOC Citation" sheetId="85" r:id="rId15"/>
    <sheet name="VMT &amp; Crash Data by Route" sheetId="89" r:id="rId16"/>
  </sheets>
  <externalReferences>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s>
  <definedNames>
    <definedName name="\A" localSheetId="7">#REF!</definedName>
    <definedName name="\A" localSheetId="11">#REF!</definedName>
    <definedName name="\A">#REF!</definedName>
    <definedName name="\B" localSheetId="7">#REF!</definedName>
    <definedName name="\B" localSheetId="11">#REF!</definedName>
    <definedName name="\B">#REF!</definedName>
    <definedName name="\p" localSheetId="7">#REF!</definedName>
    <definedName name="\p" localSheetId="11">#REF!</definedName>
    <definedName name="\p">#REF!</definedName>
    <definedName name="\S">#REF!</definedName>
    <definedName name="_____________________________ALL2">'[1]A-11a Balance Sheet Recons'!$B$11:$J$42</definedName>
    <definedName name="____________________________ALL2">'[1]A-11a Balance Sheet Recons'!$B$11:$J$42</definedName>
    <definedName name="___________________________ALL2">'[1]A-11a Balance Sheet Recons'!$B$11:$J$42</definedName>
    <definedName name="__________________________ALL2">'[1]A-11a Balance Sheet Recons'!$B$11:$J$42</definedName>
    <definedName name="_________________________ALL2">'[1]A-11a Balance Sheet Recons'!$B$11:$J$42</definedName>
    <definedName name="________________________ALL2">'[1]A-11a Balance Sheet Recons'!$B$11:$J$42</definedName>
    <definedName name="_______________________ALL2">'[1]A-11a Balance Sheet Recons'!$B$11:$J$42</definedName>
    <definedName name="______________________ALL2">'[1]A-11a Balance Sheet Recons'!$B$11:$J$42</definedName>
    <definedName name="_____________________ALL2">'[1]A-11a Balance Sheet Recons'!$B$11:$J$42</definedName>
    <definedName name="____________________ALL2">'[1]A-11a Balance Sheet Recons'!$B$11:$J$42</definedName>
    <definedName name="___________________ALL2">'[1]A-11a Balance Sheet Recons'!$B$11:$J$42</definedName>
    <definedName name="__________________ALL2">'[1]A-11a Balance Sheet Recons'!$B$11:$J$42</definedName>
    <definedName name="_________________ALL2">'[1]A-11a Balance Sheet Recons'!$B$11:$J$42</definedName>
    <definedName name="________________ALL2">'[1]A-11a Balance Sheet Recons'!$B$11:$J$42</definedName>
    <definedName name="_______________ALL2">'[1]A-11a Balance Sheet Recons'!$B$11:$J$42</definedName>
    <definedName name="______________ALL2">'[1]A-11a Balance Sheet Recons'!$B$11:$J$42</definedName>
    <definedName name="_____________ALL2">'[1]A-11a Balance Sheet Recons'!$B$11:$J$42</definedName>
    <definedName name="____________ALL2">'[1]A-11a Balance Sheet Recons'!$B$11:$J$42</definedName>
    <definedName name="____________RG1">#REF!</definedName>
    <definedName name="____________RG2">#REF!</definedName>
    <definedName name="____________RG3">#REF!</definedName>
    <definedName name="____________RG4">#REF!</definedName>
    <definedName name="___________ALL2">'[1]A-11a Balance Sheet Recons'!$B$11:$J$42</definedName>
    <definedName name="___________RG1">#REF!</definedName>
    <definedName name="___________RG2">#REF!</definedName>
    <definedName name="___________RG3">#REF!</definedName>
    <definedName name="___________RG4">#REF!</definedName>
    <definedName name="__________ALL2">'[1]A-11a Balance Sheet Recons'!$B$11:$J$42</definedName>
    <definedName name="__________RG1">#REF!</definedName>
    <definedName name="__________RG2">#REF!</definedName>
    <definedName name="__________RG3">#REF!</definedName>
    <definedName name="__________RG4">#REF!</definedName>
    <definedName name="_________ALL2">'[1]A-11a Balance Sheet Recons'!$B$11:$J$42</definedName>
    <definedName name="_________RG1">#REF!</definedName>
    <definedName name="_________RG2">#REF!</definedName>
    <definedName name="_________RG3">#REF!</definedName>
    <definedName name="_________RG4">#REF!</definedName>
    <definedName name="________ALL2">'[1]A-11a Balance Sheet Recons'!$B$11:$J$42</definedName>
    <definedName name="________RG1">#REF!</definedName>
    <definedName name="________RG2">#REF!</definedName>
    <definedName name="________RG3">#REF!</definedName>
    <definedName name="________RG4">#REF!</definedName>
    <definedName name="_______ALL2">'[1]A-11a Balance Sheet Recons'!$B$11:$J$42</definedName>
    <definedName name="_______RG1">#REF!</definedName>
    <definedName name="_______RG2">#REF!</definedName>
    <definedName name="_______RG3">#REF!</definedName>
    <definedName name="_______RG4">#REF!</definedName>
    <definedName name="______ALL2">'[1]A-11a Balance Sheet Recons'!$B$11:$J$42</definedName>
    <definedName name="______RG1">#REF!</definedName>
    <definedName name="______RG2">#REF!</definedName>
    <definedName name="______RG3">#REF!</definedName>
    <definedName name="______RG4">#REF!</definedName>
    <definedName name="_____ALL2">'[1]A-11a Balance Sheet Recons'!$B$11:$J$42</definedName>
    <definedName name="_____RG1">#REF!</definedName>
    <definedName name="_____RG2">#REF!</definedName>
    <definedName name="_____RG3">#REF!</definedName>
    <definedName name="_____RG4">#REF!</definedName>
    <definedName name="____ALL2">'[1]A-11a Balance Sheet Recons'!$B$11:$J$42</definedName>
    <definedName name="____RG1">#REF!</definedName>
    <definedName name="____RG2">#REF!</definedName>
    <definedName name="____RG3">#REF!</definedName>
    <definedName name="____RG4">#REF!</definedName>
    <definedName name="___ALL2">'[1]A-11a Balance Sheet Recons'!$B$11:$J$42</definedName>
    <definedName name="___RG1">#REF!</definedName>
    <definedName name="___RG2">#REF!</definedName>
    <definedName name="___RG3">#REF!</definedName>
    <definedName name="___RG4">#REF!</definedName>
    <definedName name="__ALL2">'[1]A-11a Balance Sheet Recons'!$B$11:$J$42</definedName>
    <definedName name="__RG1">#REF!</definedName>
    <definedName name="__RG2">#REF!</definedName>
    <definedName name="__RG3">#REF!</definedName>
    <definedName name="__RG4">#REF!</definedName>
    <definedName name="_12_MONTHS">#REF!</definedName>
    <definedName name="_12_PAGE_25MO">#REF!</definedName>
    <definedName name="_ALL2">'[1]A-11a Balance Sheet Recons'!$B$11:$J$42</definedName>
    <definedName name="_COW1">#REF!</definedName>
    <definedName name="_COW2">#REF!</definedName>
    <definedName name="_Fill" hidden="1">#REF!</definedName>
    <definedName name="_Key1" localSheetId="7" hidden="1">'[2]Journal Entry'!#REF!</definedName>
    <definedName name="_Key1" localSheetId="11" hidden="1">'[2]Journal Entry'!#REF!</definedName>
    <definedName name="_Key1" hidden="1">'[2]Journal Entry'!#REF!</definedName>
    <definedName name="_Key2" localSheetId="7" hidden="1">'[2]Journal Entry'!#REF!</definedName>
    <definedName name="_Key2" localSheetId="11" hidden="1">'[2]Journal Entry'!#REF!</definedName>
    <definedName name="_Key2" hidden="1">'[2]Journal Entry'!#REF!</definedName>
    <definedName name="_Order1" hidden="1">255</definedName>
    <definedName name="_Order2" hidden="1">255</definedName>
    <definedName name="_ppp1" localSheetId="7">#REF!</definedName>
    <definedName name="_ppp1" localSheetId="11">#REF!</definedName>
    <definedName name="_ppp1">#REF!</definedName>
    <definedName name="_ppp2" localSheetId="7">#REF!</definedName>
    <definedName name="_ppp2" localSheetId="11">#REF!</definedName>
    <definedName name="_ppp2">#REF!</definedName>
    <definedName name="_ppp3" localSheetId="7">#REF!</definedName>
    <definedName name="_ppp3" localSheetId="11">#REF!</definedName>
    <definedName name="_ppp3">#REF!</definedName>
    <definedName name="_RG1">#REF!</definedName>
    <definedName name="_RG2">#REF!</definedName>
    <definedName name="_RG3">#REF!</definedName>
    <definedName name="_RG4">#REF!</definedName>
    <definedName name="_ST1">#REF!</definedName>
    <definedName name="_ST2">#REF!</definedName>
    <definedName name="_SUB1">#REF!</definedName>
    <definedName name="_SUB2">#REF!</definedName>
    <definedName name="_SUB3">#REF!</definedName>
    <definedName name="_SUB4">#REF!</definedName>
    <definedName name="_SUB5">#REF!</definedName>
    <definedName name="_SUB6">#REF!</definedName>
    <definedName name="_SUB8">#REF!</definedName>
    <definedName name="_SW1">#REF!</definedName>
    <definedName name="_SW2">#REF!</definedName>
    <definedName name="AADTGrowth">[3]Assumptions!$C$3</definedName>
    <definedName name="ABBREV_DATE" localSheetId="7">#REF!</definedName>
    <definedName name="ABBREV_DATE" localSheetId="11">#REF!</definedName>
    <definedName name="ABBREV_DATE">#REF!</definedName>
    <definedName name="Adds" localSheetId="7">#REF!</definedName>
    <definedName name="Adds" localSheetId="11">#REF!</definedName>
    <definedName name="Adds">#REF!</definedName>
    <definedName name="AnalysisPeriod">Assumptions!$K$41</definedName>
    <definedName name="ASSIGN" localSheetId="7">#REF!</definedName>
    <definedName name="ASSIGN" localSheetId="11">#REF!</definedName>
    <definedName name="ASSIGN">#REF!</definedName>
    <definedName name="AutoCost">Assumptions!$K$63</definedName>
    <definedName name="B_4" localSheetId="7">#REF!</definedName>
    <definedName name="B_4" localSheetId="11">#REF!</definedName>
    <definedName name="B_4">#REF!</definedName>
    <definedName name="B_5" localSheetId="7">#REF!</definedName>
    <definedName name="B_5" localSheetId="11">#REF!</definedName>
    <definedName name="B_5">#REF!</definedName>
    <definedName name="BCAnalysisPeriod" localSheetId="7">[4]Assumptions!#REF!</definedName>
    <definedName name="BCAnalysisPeriod" localSheetId="10">[5]Assumptions!#REF!</definedName>
    <definedName name="BCAnalysisPeriod" localSheetId="11">[5]Assumptions!#REF!</definedName>
    <definedName name="BCAnalysisPeriod">Assumptions!#REF!</definedName>
    <definedName name="BEGINNING" localSheetId="7">#REF!</definedName>
    <definedName name="BEGINNING" localSheetId="11">#REF!</definedName>
    <definedName name="BEGINNING">#REF!</definedName>
    <definedName name="BEx3O85IKWARA6NCJOLRBRJFMEWW" localSheetId="7" hidden="1">'[6]Q2 09 Rail BS Leads'!#REF!</definedName>
    <definedName name="BEx3O85IKWARA6NCJOLRBRJFMEWW" localSheetId="11" hidden="1">'[6]Q2 09 Rail BS Leads'!#REF!</definedName>
    <definedName name="BEx3O85IKWARA6NCJOLRBRJFMEWW" hidden="1">'[6]Q2 09 Rail BS Leads'!#REF!</definedName>
    <definedName name="BEx5MLQZM68YQSKARVWTTPINFQ2C" localSheetId="7" hidden="1">'[6]Q2 09 Rail BS Leads'!#REF!</definedName>
    <definedName name="BEx5MLQZM68YQSKARVWTTPINFQ2C" localSheetId="11" hidden="1">'[6]Q2 09 Rail BS Leads'!#REF!</definedName>
    <definedName name="BEx5MLQZM68YQSKARVWTTPINFQ2C" hidden="1">'[6]Q2 09 Rail BS Leads'!#REF!</definedName>
    <definedName name="BExERWCEBKQRYWRQLYJ4UCMMKTHG" localSheetId="11" hidden="1">'[6]Q2 09 Rail BS Leads'!#REF!</definedName>
    <definedName name="BExERWCEBKQRYWRQLYJ4UCMMKTHG" hidden="1">'[6]Q2 09 Rail BS Leads'!#REF!</definedName>
    <definedName name="BExMBYPQDG9AYDQ5E8IECVFREPO6" localSheetId="11" hidden="1">'[6]Q2 09 Rail BS Leads'!#REF!</definedName>
    <definedName name="BExMBYPQDG9AYDQ5E8IECVFREPO6" hidden="1">'[6]Q2 09 Rail BS Leads'!#REF!</definedName>
    <definedName name="BExQ9ZLYHWABXAA9NJDW8ZS0UQ9P" hidden="1">'[6]Q2 09 Rail BS Leads'!#REF!</definedName>
    <definedName name="BExTUY9WNSJ91GV8CP0SKJTEIV82" hidden="1">'[6]Q2 09 Rail BS Leads'!#REF!</definedName>
    <definedName name="BS_98" localSheetId="7">#REF!</definedName>
    <definedName name="BS_98" localSheetId="11">#REF!</definedName>
    <definedName name="BS_98">#REF!</definedName>
    <definedName name="BS_99" localSheetId="7">#REF!</definedName>
    <definedName name="BS_99" localSheetId="11">#REF!</definedName>
    <definedName name="BS_99">#REF!</definedName>
    <definedName name="BS_SUM_25MO" localSheetId="7">#REF!</definedName>
    <definedName name="BS_SUM_25MO" localSheetId="11">#REF!</definedName>
    <definedName name="BS_SUM_25MO">#REF!</definedName>
    <definedName name="BS_SUM_98">#REF!</definedName>
    <definedName name="BS_SUM_99">#REF!</definedName>
    <definedName name="CBS">#REF!</definedName>
    <definedName name="COLE">#REF!</definedName>
    <definedName name="CompositeCost">Assumptions!$K$65</definedName>
    <definedName name="_xlnm.Criteria" localSheetId="7">#REF!</definedName>
    <definedName name="_xlnm.Criteria" localSheetId="11">#REF!</definedName>
    <definedName name="_xlnm.Criteria">#REF!</definedName>
    <definedName name="CURRENT_DATE" localSheetId="7">#REF!</definedName>
    <definedName name="CURRENT_DATE" localSheetId="11">#REF!</definedName>
    <definedName name="CURRENT_DATE">#REF!</definedName>
    <definedName name="DATA" localSheetId="7">#REF!</definedName>
    <definedName name="DATA" localSheetId="11">#REF!</definedName>
    <definedName name="DATA">#REF!</definedName>
    <definedName name="_xlnm.Database">#REF!</definedName>
    <definedName name="Daysinyr">Assumptions!$K$59</definedName>
    <definedName name="DecComICC" localSheetId="7">#REF!</definedName>
    <definedName name="DecComICC" localSheetId="11">#REF!</definedName>
    <definedName name="DecComICC">#REF!</definedName>
    <definedName name="DecComInstall" localSheetId="7">#REF!</definedName>
    <definedName name="DecComInstall" localSheetId="11">#REF!</definedName>
    <definedName name="DecComInstall">#REF!</definedName>
    <definedName name="Detail" localSheetId="7">#REF!</definedName>
    <definedName name="Detail" localSheetId="11">#REF!</definedName>
    <definedName name="Detail">#REF!</definedName>
    <definedName name="DISC_RATE">[3]Assumptions!$C$5</definedName>
    <definedName name="DiscountRate">Assumptions!$K$60</definedName>
    <definedName name="ENDING" localSheetId="7">#REF!</definedName>
    <definedName name="ENDING" localSheetId="11">#REF!</definedName>
    <definedName name="ENDING">#REF!</definedName>
    <definedName name="EndYear">Assumptions!$K$44</definedName>
    <definedName name="EPR" localSheetId="7">#REF!</definedName>
    <definedName name="EPR" localSheetId="11">#REF!</definedName>
    <definedName name="EPR">#REF!</definedName>
    <definedName name="_xlnm.Extract" localSheetId="7">#REF!</definedName>
    <definedName name="_xlnm.Extract" localSheetId="11">#REF!</definedName>
    <definedName name="_xlnm.Extract">#REF!</definedName>
    <definedName name="formula" localSheetId="7">#REF!</definedName>
    <definedName name="formula" localSheetId="11">#REF!</definedName>
    <definedName name="formula">#REF!</definedName>
    <definedName name="furbase">#REF!</definedName>
    <definedName name="FURN">#REF!</definedName>
    <definedName name="furnish">#REF!</definedName>
    <definedName name="furnmat">#REF!</definedName>
    <definedName name="GENERAL">#REF!</definedName>
    <definedName name="ICCConv">'[7]ICC Conversion'!$A$1:$B$191</definedName>
    <definedName name="IMPORT" localSheetId="7">#REF!</definedName>
    <definedName name="IMPORT" localSheetId="11">#REF!</definedName>
    <definedName name="IMPORT">#REF!</definedName>
    <definedName name="infor" localSheetId="7">#REF!</definedName>
    <definedName name="infor" localSheetId="11">#REF!</definedName>
    <definedName name="infor">#REF!</definedName>
    <definedName name="item" localSheetId="7">#REF!</definedName>
    <definedName name="item" localSheetId="11">#REF!</definedName>
    <definedName name="item">#REF!</definedName>
    <definedName name="k7.">#REF!</definedName>
    <definedName name="LEADS">#REF!</definedName>
    <definedName name="LEADS_25MO">#REF!</definedName>
    <definedName name="LEADS_98">#REF!</definedName>
    <definedName name="LEADS_99">#REF!</definedName>
    <definedName name="LOLD">1</definedName>
    <definedName name="LOLD_Table">7</definedName>
    <definedName name="MainFolder">[8]SETUP!$B$3</definedName>
    <definedName name="mike" localSheetId="7">#REF!</definedName>
    <definedName name="mike" localSheetId="11">#REF!</definedName>
    <definedName name="mike">#REF!</definedName>
    <definedName name="mobil1" localSheetId="7">#REF!</definedName>
    <definedName name="mobil1" localSheetId="11">#REF!</definedName>
    <definedName name="mobil1">#REF!</definedName>
    <definedName name="NEXT" localSheetId="7">#REF!</definedName>
    <definedName name="NEXT" localSheetId="11">#REF!</definedName>
    <definedName name="NEXT">#REF!</definedName>
    <definedName name="Normal">#REF!</definedName>
    <definedName name="number">#REF!</definedName>
    <definedName name="OPER1">#REF!</definedName>
    <definedName name="OPER2">#REF!</definedName>
    <definedName name="PAGE_33">#REF!</definedName>
    <definedName name="PAGE1">#REF!</definedName>
    <definedName name="PAGE2">#REF!</definedName>
    <definedName name="PAGE32">#REF!</definedName>
    <definedName name="PAGE37">#REF!</definedName>
    <definedName name="PART_B">#REF!</definedName>
    <definedName name="PARTA">#REF!</definedName>
    <definedName name="PeakLngthE">Assumptions!$K$15</definedName>
    <definedName name="PercentAutoW">Assumptions!$L$46</definedName>
    <definedName name="PercentAutoWO">Assumptions!$K$46</definedName>
    <definedName name="PercentTrucksW">Assumptions!$L$48</definedName>
    <definedName name="PercentTrucksWO">Assumptions!$K$48</definedName>
    <definedName name="PercTruckW">Assumptions!$L$48</definedName>
    <definedName name="PerTruckE">Assumptions!$K$48</definedName>
    <definedName name="PerTruckN">Assumptions!$L$48</definedName>
    <definedName name="PISNU" localSheetId="7">#REF!</definedName>
    <definedName name="PISNU" localSheetId="11">#REF!</definedName>
    <definedName name="PISNU">#REF!</definedName>
    <definedName name="PosnPnt_0925" localSheetId="7">#REF!</definedName>
    <definedName name="PosnPnt_0925">#REF!</definedName>
    <definedName name="ppp" localSheetId="7">#REF!</definedName>
    <definedName name="ppp" localSheetId="11">#REF!</definedName>
    <definedName name="ppp">#REF!</definedName>
    <definedName name="price">#REF!</definedName>
    <definedName name="PRINT_ALL">#REF!</definedName>
    <definedName name="_xlnm.Print_Area" localSheetId="7">'Air Quality'!$A$2:$AH$64</definedName>
    <definedName name="_xlnm.Print_Area" localSheetId="0">Assumptions!$B$2:$J$65</definedName>
    <definedName name="_xlnm.Print_Area" localSheetId="1">'BCA Summary '!$B$2:$Q$129</definedName>
    <definedName name="_xlnm.Print_Area" localSheetId="10">'Capital Cost + RCV'!$A$2:$O$64</definedName>
    <definedName name="_xlnm.Print_Area" localSheetId="9">'Construction Travel Time Impact'!$A$2:$X$60</definedName>
    <definedName name="_xlnm.Print_Area" localSheetId="13">'Existing BIA 6 AADT Data'!$B$2:$AF$64</definedName>
    <definedName name="_xlnm.Print_Area" localSheetId="8">'Gravel Road VOC Impacts'!$A$2:$AD$60</definedName>
    <definedName name="_xlnm.Print_Area" localSheetId="11">'O&amp;M + Rehab'!$A$2:$W$61</definedName>
    <definedName name="_xlnm.Print_Area" localSheetId="2">'Operations Calculations'!$B$2:$U$212</definedName>
    <definedName name="_xlnm.Print_Area" localSheetId="6">'Safety Impacts of Alt Routes'!$A$2:$AK$79</definedName>
    <definedName name="_xlnm.Print_Area" localSheetId="5">'Safety Improvements'!$A$2:$AI$74</definedName>
    <definedName name="_xlnm.Print_Area" localSheetId="12">'Traffic Patterns'!$B$2:$S$88</definedName>
    <definedName name="_xlnm.Print_Area" localSheetId="4">'Travel Time Savings'!$A$2:$AD$65</definedName>
    <definedName name="_xlnm.Print_Area" localSheetId="3">'VOC Savings'!$A$2:$AD$65</definedName>
    <definedName name="_xlnm.Print_Area">#REF!</definedName>
    <definedName name="PRINT_AREA_MI" localSheetId="7">#REF!</definedName>
    <definedName name="PRINT_AREA_MI" localSheetId="11">#REF!</definedName>
    <definedName name="PRINT_AREA_MI">#REF!</definedName>
    <definedName name="PRINT_CF_9899" localSheetId="7">#REF!</definedName>
    <definedName name="PRINT_CF_9899" localSheetId="11">#REF!</definedName>
    <definedName name="PRINT_CF_9899">#REF!</definedName>
    <definedName name="PRINT_DIFF">#REF!</definedName>
    <definedName name="_xlnm.Print_Titles">#N/A</definedName>
    <definedName name="Print_Titles_MI">'[9]PA Run Off'!$A$1:$IV$10,'[9]PA Run Off'!$A$1:$A$16384</definedName>
    <definedName name="ProjLoc">Assumptions!$L$12</definedName>
    <definedName name="Projlocation">Assumptions!$I$14</definedName>
    <definedName name="ProjName" localSheetId="7">Assumptions!#REF!</definedName>
    <definedName name="ProjName" localSheetId="11">Assumptions!#REF!</definedName>
    <definedName name="ProjName">Assumptions!#REF!</definedName>
    <definedName name="PRT_12_PAGE_25M" localSheetId="7">#REF!</definedName>
    <definedName name="PRT_12_PAGE_25M" localSheetId="11">#REF!</definedName>
    <definedName name="PRT_12_PAGE_25M">#REF!</definedName>
    <definedName name="PRT_98_WCRECON" localSheetId="7">#REF!</definedName>
    <definedName name="PRT_98_WCRECON" localSheetId="11">#REF!</definedName>
    <definedName name="PRT_98_WCRECON">#REF!</definedName>
    <definedName name="PRT_99_WCRECON" localSheetId="7">#REF!</definedName>
    <definedName name="PRT_99_WCRECON" localSheetId="11">#REF!</definedName>
    <definedName name="PRT_99_WCRECON">#REF!</definedName>
    <definedName name="PRT_BS_98">#REF!</definedName>
    <definedName name="PRT_BS_99">#REF!</definedName>
    <definedName name="PRT_BS_SUM_25MO">#REF!</definedName>
    <definedName name="PRT_BSSUM_98">#REF!</definedName>
    <definedName name="PRT_BSSUM_99">#REF!</definedName>
    <definedName name="PRT_CF_1998">#REF!</definedName>
    <definedName name="PRT_CF_1999">#REF!</definedName>
    <definedName name="PRT_CURR_MO">#REF!</definedName>
    <definedName name="PRT_LEAD_25MO">#REF!</definedName>
    <definedName name="PRT_LEAD_ACT_98">#REF!</definedName>
    <definedName name="PRT_LEAD_PLN_99">#REF!</definedName>
    <definedName name="PRT_NCA_98">#REF!</definedName>
    <definedName name="PRT_NCA_99">#REF!</definedName>
    <definedName name="PRT_QUARTER">#REF!</definedName>
    <definedName name="Q1_VS_PLAN">#REF!</definedName>
    <definedName name="Q2_VS_PLAN">#REF!</definedName>
    <definedName name="Q3_VS_PLAN">#REF!</definedName>
    <definedName name="Q4_VS_PLAN">#REF!</definedName>
    <definedName name="qty">#REF!</definedName>
    <definedName name="Rate">[10]LocoRate!$L$2:$P$4</definedName>
    <definedName name="Rates">'[11]Rate file'!$A$6:$F$1250</definedName>
    <definedName name="RETIREMENTS" localSheetId="7">#REF!</definedName>
    <definedName name="RETIREMENTS" localSheetId="11">#REF!</definedName>
    <definedName name="RETIREMENTS">#REF!</definedName>
    <definedName name="Retires" localSheetId="7">#REF!</definedName>
    <definedName name="Retires" localSheetId="11">#REF!</definedName>
    <definedName name="Retires">#REF!</definedName>
    <definedName name="ROSNU">#REF!</definedName>
    <definedName name="SAPBEXhrIndnt" hidden="1">"Wide"</definedName>
    <definedName name="SAPsysID" hidden="1">"708C5W7SBKP804JT78WJ0JNKI"</definedName>
    <definedName name="SAPwbID" hidden="1">"ARS"</definedName>
    <definedName name="SB_5_B_">#REF!</definedName>
    <definedName name="SEC_12R1">#REF!</definedName>
    <definedName name="SEC_12R2">#REF!</definedName>
    <definedName name="SEC_12S">#REF!</definedName>
    <definedName name="SEC_13T1">#REF!</definedName>
    <definedName name="SEC_13T2">#REF!</definedName>
    <definedName name="SEC_13T2D">#REF!</definedName>
    <definedName name="SEC_5E">#REF!</definedName>
    <definedName name="SEC_5F">#REF!</definedName>
    <definedName name="SEC_5G">#REF!</definedName>
    <definedName name="SEC_6H">#REF!</definedName>
    <definedName name="SEC_6H7">#REF!</definedName>
    <definedName name="SEC_7I1">#REF!</definedName>
    <definedName name="SEC_7I2">#REF!</definedName>
    <definedName name="SEC_7I3">#REF!</definedName>
    <definedName name="SEC_7I4">#REF!</definedName>
    <definedName name="SEC_7I5">#REF!</definedName>
    <definedName name="SEC_7I6">#REF!</definedName>
    <definedName name="SEC_7I7">#REF!</definedName>
    <definedName name="SEC_7I8">#REF!</definedName>
    <definedName name="SEC_8J1">#REF!</definedName>
    <definedName name="SEC_8J2">#REF!</definedName>
    <definedName name="SEC_8K">#REF!</definedName>
    <definedName name="SEC_8L">#REF!</definedName>
    <definedName name="select">#REF!</definedName>
    <definedName name="SHEET_CHOICE">#REF!</definedName>
    <definedName name="SHEET1">#REF!</definedName>
    <definedName name="SHEET2">#REF!</definedName>
    <definedName name="SHEET3">#REF!</definedName>
    <definedName name="SHEET4">#REF!</definedName>
    <definedName name="SHEET5A">#REF!</definedName>
    <definedName name="SHEET5B">#REF!</definedName>
    <definedName name="SHEET5C">#REF!</definedName>
    <definedName name="SHEET5D">#REF!</definedName>
    <definedName name="SHEET6">#REF!</definedName>
    <definedName name="solver_typ" localSheetId="10" hidden="1">2</definedName>
    <definedName name="solver_typ" localSheetId="11" hidden="1">2</definedName>
    <definedName name="solver_ver" localSheetId="10" hidden="1">17</definedName>
    <definedName name="solver_ver" localSheetId="11" hidden="1">17</definedName>
    <definedName name="Spanner_Auto_File">"T:\139407\NDM\ROR\DRAWING\des_road.x2a"</definedName>
    <definedName name="Spanner_Auto_Select">#REF!</definedName>
    <definedName name="SRFProjectNum" localSheetId="7">Assumptions!#REF!</definedName>
    <definedName name="SRFProjectNum" localSheetId="11">Assumptions!#REF!</definedName>
    <definedName name="SRFProjectNum">Assumptions!#REF!</definedName>
    <definedName name="StartYear" localSheetId="7">Assumptions!#REF!</definedName>
    <definedName name="StartYear" localSheetId="11">Assumptions!#REF!</definedName>
    <definedName name="StartYear">Assumptions!#REF!</definedName>
    <definedName name="SUB7L" localSheetId="7">#REF!</definedName>
    <definedName name="SUB7L" localSheetId="11">#REF!</definedName>
    <definedName name="SUB7L">#REF!</definedName>
    <definedName name="supp" localSheetId="7">#REF!</definedName>
    <definedName name="supp" localSheetId="11">#REF!</definedName>
    <definedName name="supp">#REF!</definedName>
    <definedName name="suppbase" localSheetId="7">#REF!</definedName>
    <definedName name="suppbase" localSheetId="11">#REF!</definedName>
    <definedName name="suppbase">#REF!</definedName>
    <definedName name="SUPPL">#REF!</definedName>
    <definedName name="supplem">#REF!</definedName>
    <definedName name="TAccReductPer">Assumptions!$K$64</definedName>
    <definedName name="TAptFW">Assumptions!$K$59</definedName>
    <definedName name="TITLE" localSheetId="7">#REF!</definedName>
    <definedName name="TITLE" localSheetId="11">#REF!</definedName>
    <definedName name="TITLE">#REF!</definedName>
    <definedName name="TOTAL" localSheetId="7">#REF!</definedName>
    <definedName name="TOTAL" localSheetId="11">#REF!</definedName>
    <definedName name="TOTAL">#REF!</definedName>
    <definedName name="TPerHwy">Assumptions!$K$60</definedName>
    <definedName name="TruckCost" localSheetId="7">[4]Assumptions!#REF!</definedName>
    <definedName name="TruckCost" localSheetId="10">[5]Assumptions!#REF!</definedName>
    <definedName name="TruckCost" localSheetId="11">[5]Assumptions!#REF!</definedName>
    <definedName name="TruckCost">Assumptions!#REF!</definedName>
    <definedName name="TruckSpeed">Assumptions!$K$49</definedName>
    <definedName name="TVehMiBW">Assumptions!$L$61</definedName>
    <definedName name="TVehMiFW">Assumptions!$L$62</definedName>
    <definedName name="UPDATE" localSheetId="7">#REF!</definedName>
    <definedName name="UPDATE" localSheetId="11">#REF!</definedName>
    <definedName name="UPDATE">#REF!</definedName>
    <definedName name="VEH_OCC">[3]Assumptions!$C$6</definedName>
    <definedName name="Version" localSheetId="7">#REF!</definedName>
    <definedName name="Version" localSheetId="11">#REF!</definedName>
    <definedName name="Version">#REF!</definedName>
    <definedName name="x" localSheetId="7">[12]Assumptions!#REF!</definedName>
    <definedName name="x" localSheetId="11">[12]Assumptions!#REF!</definedName>
    <definedName name="x">[12]Assumptions!#REF!</definedName>
    <definedName name="yrofanalysis" localSheetId="7">Assumptions!#REF!</definedName>
    <definedName name="yrofanalysis" localSheetId="11">Assumptions!#REF!</definedName>
    <definedName name="yrofanalysis">Assumptions!#REF!</definedName>
    <definedName name="yrofcurrentdollars" localSheetId="7">Assumptions!#REF!</definedName>
    <definedName name="yrofcurrentdollars" localSheetId="11">Assumptions!#REF!</definedName>
    <definedName name="yrofcurrentdollars">Assumptions!#REF!</definedName>
    <definedName name="YTD" localSheetId="7">#REF!</definedName>
    <definedName name="YTD" localSheetId="11">#REF!</definedName>
    <definedName name="YTD">#REF!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18" i="42" l="1"/>
  <c r="J28" i="42" s="1"/>
  <c r="J13" i="42"/>
  <c r="J17" i="42" s="1"/>
  <c r="J27" i="42" s="1"/>
  <c r="K40" i="80" l="1"/>
  <c r="K39" i="80"/>
  <c r="K38" i="80"/>
  <c r="K37" i="80"/>
  <c r="K31" i="80"/>
  <c r="K29" i="80"/>
  <c r="K27" i="80"/>
  <c r="K25" i="80"/>
  <c r="H12" i="80"/>
  <c r="I11" i="80"/>
  <c r="H11" i="80"/>
  <c r="J37" i="80"/>
  <c r="N20" i="90"/>
  <c r="N19" i="90"/>
  <c r="M20" i="90"/>
  <c r="M19" i="90"/>
  <c r="R8" i="78" l="1"/>
  <c r="I29" i="75" l="1"/>
  <c r="Q6" i="75" l="1"/>
  <c r="Q5" i="75"/>
  <c r="I20" i="75"/>
  <c r="U6" i="75" s="1"/>
  <c r="I9" i="75"/>
  <c r="U17" i="75" s="1"/>
  <c r="I8" i="75"/>
  <c r="I7" i="75"/>
  <c r="Q7" i="75" s="1"/>
  <c r="R8" i="83"/>
  <c r="S8" i="83"/>
  <c r="T8" i="83"/>
  <c r="V8" i="83"/>
  <c r="W8" i="83"/>
  <c r="X8" i="83"/>
  <c r="Z8" i="83"/>
  <c r="AA8" i="83"/>
  <c r="AB8" i="83"/>
  <c r="AI19" i="80"/>
  <c r="AH19" i="80"/>
  <c r="AG19" i="80"/>
  <c r="AF19" i="80"/>
  <c r="AE19" i="80"/>
  <c r="AI18" i="80"/>
  <c r="AH18" i="80"/>
  <c r="AG18" i="80"/>
  <c r="AF18" i="80"/>
  <c r="AE18" i="80"/>
  <c r="AI17" i="80"/>
  <c r="AH17" i="80"/>
  <c r="AG17" i="80"/>
  <c r="AF17" i="80"/>
  <c r="AE17" i="80"/>
  <c r="AI16" i="80"/>
  <c r="AH16" i="80"/>
  <c r="AG16" i="80"/>
  <c r="AF16" i="80"/>
  <c r="AE16" i="80"/>
  <c r="AI15" i="80"/>
  <c r="AH15" i="80"/>
  <c r="AG15" i="80"/>
  <c r="AF15" i="80"/>
  <c r="AE15" i="80"/>
  <c r="AI14" i="80"/>
  <c r="AH14" i="80"/>
  <c r="AG14" i="80"/>
  <c r="AF14" i="80"/>
  <c r="AE14" i="80"/>
  <c r="AI13" i="80"/>
  <c r="AH13" i="80"/>
  <c r="AG13" i="80"/>
  <c r="AF13" i="80"/>
  <c r="AE13" i="80"/>
  <c r="AI12" i="80"/>
  <c r="AH12" i="80"/>
  <c r="AG12" i="80"/>
  <c r="AF12" i="80"/>
  <c r="AE12" i="80"/>
  <c r="AI11" i="80"/>
  <c r="AH11" i="80"/>
  <c r="AG11" i="80"/>
  <c r="AF11" i="80"/>
  <c r="AE11" i="80"/>
  <c r="AF10" i="80"/>
  <c r="AE10" i="80"/>
  <c r="AI10" i="80"/>
  <c r="AH10" i="80"/>
  <c r="AG10" i="80"/>
  <c r="Y10" i="80"/>
  <c r="AC19" i="80"/>
  <c r="AB19" i="80"/>
  <c r="AA19" i="80"/>
  <c r="Z19" i="80"/>
  <c r="Y19" i="80"/>
  <c r="AC18" i="80"/>
  <c r="AB18" i="80"/>
  <c r="AA18" i="80"/>
  <c r="Z18" i="80"/>
  <c r="Y18" i="80"/>
  <c r="AC17" i="80"/>
  <c r="AB17" i="80"/>
  <c r="AA17" i="80"/>
  <c r="Z17" i="80"/>
  <c r="Y17" i="80"/>
  <c r="AC16" i="80"/>
  <c r="AB16" i="80"/>
  <c r="AA16" i="80"/>
  <c r="Z16" i="80"/>
  <c r="Y16" i="80"/>
  <c r="AC15" i="80"/>
  <c r="AB15" i="80"/>
  <c r="AA15" i="80"/>
  <c r="Z15" i="80"/>
  <c r="Y15" i="80"/>
  <c r="AC14" i="80"/>
  <c r="AB14" i="80"/>
  <c r="AA14" i="80"/>
  <c r="Z14" i="80"/>
  <c r="Y14" i="80"/>
  <c r="AC13" i="80"/>
  <c r="AB13" i="80"/>
  <c r="AA13" i="80"/>
  <c r="Z13" i="80"/>
  <c r="Y13" i="80"/>
  <c r="AC12" i="80"/>
  <c r="AB12" i="80"/>
  <c r="AA12" i="80"/>
  <c r="Z12" i="80"/>
  <c r="Y12" i="80"/>
  <c r="AC11" i="80"/>
  <c r="AB11" i="80"/>
  <c r="AA11" i="80"/>
  <c r="Z11" i="80"/>
  <c r="Y11" i="80"/>
  <c r="AC10" i="80"/>
  <c r="AB10" i="80"/>
  <c r="AA10" i="80"/>
  <c r="Z10" i="80"/>
  <c r="W8" i="76"/>
  <c r="V8" i="76"/>
  <c r="S8" i="76"/>
  <c r="R8" i="76"/>
  <c r="W8" i="78"/>
  <c r="V8" i="78"/>
  <c r="S8" i="78"/>
  <c r="D13" i="77"/>
  <c r="D23" i="77"/>
  <c r="D24" i="77" s="1"/>
  <c r="E12" i="81"/>
  <c r="E19" i="77" s="1"/>
  <c r="D12" i="81"/>
  <c r="D19" i="77" s="1"/>
  <c r="J40" i="80"/>
  <c r="J39" i="80"/>
  <c r="J38" i="80"/>
  <c r="J31" i="80"/>
  <c r="J30" i="80"/>
  <c r="J29" i="80"/>
  <c r="J28" i="80"/>
  <c r="K28" i="80" s="1"/>
  <c r="J27" i="80"/>
  <c r="J26" i="80"/>
  <c r="K26" i="80" s="1"/>
  <c r="J25" i="80"/>
  <c r="J24" i="80"/>
  <c r="K24" i="80" s="1"/>
  <c r="P37" i="80"/>
  <c r="P40" i="80"/>
  <c r="O40" i="80"/>
  <c r="N40" i="80"/>
  <c r="M40" i="80"/>
  <c r="L40" i="80"/>
  <c r="P39" i="80"/>
  <c r="O39" i="80"/>
  <c r="N39" i="80"/>
  <c r="M39" i="80"/>
  <c r="L39" i="80"/>
  <c r="P38" i="80"/>
  <c r="O38" i="80"/>
  <c r="N38" i="80"/>
  <c r="M38" i="80"/>
  <c r="L38" i="80"/>
  <c r="O37" i="80"/>
  <c r="N37" i="80"/>
  <c r="M37" i="80"/>
  <c r="L37" i="80"/>
  <c r="L24" i="80"/>
  <c r="P31" i="80"/>
  <c r="O31" i="80"/>
  <c r="N31" i="80"/>
  <c r="M31" i="80"/>
  <c r="L31" i="80"/>
  <c r="P30" i="80"/>
  <c r="O30" i="80"/>
  <c r="N30" i="80"/>
  <c r="M30" i="80"/>
  <c r="L30" i="80"/>
  <c r="P29" i="80"/>
  <c r="O29" i="80"/>
  <c r="N29" i="80"/>
  <c r="M29" i="80"/>
  <c r="L29" i="80"/>
  <c r="P28" i="80"/>
  <c r="O28" i="80"/>
  <c r="N28" i="80"/>
  <c r="M28" i="80"/>
  <c r="L28" i="80"/>
  <c r="P27" i="80"/>
  <c r="O27" i="80"/>
  <c r="N27" i="80"/>
  <c r="M27" i="80"/>
  <c r="L27" i="80"/>
  <c r="P26" i="80"/>
  <c r="O26" i="80"/>
  <c r="N26" i="80"/>
  <c r="M26" i="80"/>
  <c r="L26" i="80"/>
  <c r="P25" i="80"/>
  <c r="O25" i="80"/>
  <c r="N25" i="80"/>
  <c r="M25" i="80"/>
  <c r="L25" i="80"/>
  <c r="P24" i="80"/>
  <c r="O24" i="80"/>
  <c r="N24" i="80"/>
  <c r="M24" i="80"/>
  <c r="O155" i="89"/>
  <c r="O156" i="89"/>
  <c r="O157" i="89"/>
  <c r="O158" i="89"/>
  <c r="O159" i="89"/>
  <c r="O160" i="89"/>
  <c r="O161" i="89"/>
  <c r="P162" i="89"/>
  <c r="P163" i="89"/>
  <c r="Q27" i="75" l="1"/>
  <c r="Q26" i="75"/>
  <c r="Q25" i="75"/>
  <c r="Q24" i="75"/>
  <c r="Q23" i="75"/>
  <c r="Q22" i="75"/>
  <c r="Q21" i="75"/>
  <c r="Q20" i="75"/>
  <c r="Q19" i="75"/>
  <c r="Q18" i="75"/>
  <c r="Q17" i="75"/>
  <c r="Q16" i="75"/>
  <c r="Q15" i="75"/>
  <c r="Q14" i="75"/>
  <c r="Q13" i="75"/>
  <c r="Q12" i="75"/>
  <c r="Q11" i="75"/>
  <c r="Q10" i="75"/>
  <c r="Q9" i="75"/>
  <c r="Q8" i="75"/>
  <c r="X8" i="76"/>
  <c r="D25" i="77"/>
  <c r="K23" i="83" l="1"/>
  <c r="M23" i="83"/>
  <c r="K24" i="83"/>
  <c r="M24" i="83"/>
  <c r="N30" i="83"/>
  <c r="D41" i="90"/>
  <c r="C41" i="90"/>
  <c r="D40" i="90"/>
  <c r="C40" i="90"/>
  <c r="D39" i="90"/>
  <c r="C39" i="90"/>
  <c r="D38" i="90"/>
  <c r="C38" i="90"/>
  <c r="D37" i="90"/>
  <c r="C37" i="90"/>
  <c r="D36" i="90"/>
  <c r="C36" i="90"/>
  <c r="D35" i="90"/>
  <c r="C35" i="90"/>
  <c r="D34" i="90"/>
  <c r="C34" i="90"/>
  <c r="D33" i="90"/>
  <c r="C33" i="90"/>
  <c r="D32" i="90"/>
  <c r="C32" i="90"/>
  <c r="D31" i="90"/>
  <c r="C31" i="90"/>
  <c r="D30" i="90"/>
  <c r="C30" i="90"/>
  <c r="D29" i="90"/>
  <c r="C29" i="90"/>
  <c r="D28" i="90"/>
  <c r="C28" i="90"/>
  <c r="D27" i="90"/>
  <c r="C27" i="90"/>
  <c r="D26" i="90"/>
  <c r="C26" i="90"/>
  <c r="D25" i="90"/>
  <c r="C25" i="90"/>
  <c r="D24" i="90"/>
  <c r="C24" i="90"/>
  <c r="D23" i="90"/>
  <c r="C23" i="90"/>
  <c r="D22" i="90"/>
  <c r="C22" i="90"/>
  <c r="D21" i="90"/>
  <c r="C21" i="90"/>
  <c r="D20" i="90"/>
  <c r="C20" i="90"/>
  <c r="D19" i="90"/>
  <c r="C19" i="90"/>
  <c r="D18" i="90"/>
  <c r="C18" i="90"/>
  <c r="D17" i="90"/>
  <c r="C17" i="90"/>
  <c r="D16" i="90"/>
  <c r="C16" i="90"/>
  <c r="D15" i="90"/>
  <c r="C15" i="90"/>
  <c r="D14" i="90"/>
  <c r="C14" i="90"/>
  <c r="D13" i="90"/>
  <c r="C13" i="90"/>
  <c r="D12" i="90"/>
  <c r="C12" i="90"/>
  <c r="D11" i="90"/>
  <c r="C11" i="90"/>
  <c r="D10" i="90"/>
  <c r="C10" i="90"/>
  <c r="D9" i="90"/>
  <c r="C9" i="90"/>
  <c r="D8" i="90"/>
  <c r="C8" i="90"/>
  <c r="E41" i="90"/>
  <c r="E40" i="90"/>
  <c r="E39" i="90"/>
  <c r="E38" i="90"/>
  <c r="E37" i="90"/>
  <c r="E36" i="90"/>
  <c r="E35" i="90"/>
  <c r="E34" i="90"/>
  <c r="E33" i="90"/>
  <c r="E32" i="90"/>
  <c r="E31" i="90"/>
  <c r="E30" i="90"/>
  <c r="E29" i="90"/>
  <c r="E28" i="90"/>
  <c r="E27" i="90"/>
  <c r="E26" i="90"/>
  <c r="E25" i="90"/>
  <c r="E24" i="90"/>
  <c r="E23" i="90"/>
  <c r="E22" i="90"/>
  <c r="E21" i="90"/>
  <c r="E20" i="90"/>
  <c r="E19" i="90"/>
  <c r="E18" i="90"/>
  <c r="E17" i="90"/>
  <c r="E16" i="90"/>
  <c r="E15" i="90"/>
  <c r="E14" i="90"/>
  <c r="E13" i="90"/>
  <c r="E12" i="90"/>
  <c r="E11" i="90"/>
  <c r="E10" i="90"/>
  <c r="E9" i="90"/>
  <c r="E8" i="90"/>
  <c r="F41" i="90"/>
  <c r="F40" i="90"/>
  <c r="F39" i="90"/>
  <c r="F38" i="90"/>
  <c r="F37" i="90"/>
  <c r="F36" i="90"/>
  <c r="F35" i="90"/>
  <c r="F34" i="90"/>
  <c r="F33" i="90"/>
  <c r="F32" i="90"/>
  <c r="F31" i="90"/>
  <c r="F30" i="90"/>
  <c r="F29" i="90"/>
  <c r="F28" i="90"/>
  <c r="F27" i="90"/>
  <c r="F26" i="90"/>
  <c r="F25" i="90"/>
  <c r="F24" i="90"/>
  <c r="F23" i="90"/>
  <c r="F22" i="90"/>
  <c r="F21" i="90"/>
  <c r="F20" i="90"/>
  <c r="F19" i="90"/>
  <c r="F18" i="90"/>
  <c r="F17" i="90"/>
  <c r="F16" i="90"/>
  <c r="F15" i="90"/>
  <c r="F14" i="90"/>
  <c r="F13" i="90"/>
  <c r="F12" i="90"/>
  <c r="F11" i="90"/>
  <c r="F10" i="90"/>
  <c r="F9" i="90"/>
  <c r="F8" i="90"/>
  <c r="L15" i="90"/>
  <c r="M25" i="90"/>
  <c r="L11" i="90"/>
  <c r="L7" i="90"/>
  <c r="L6" i="90"/>
  <c r="B7" i="90" l="1"/>
  <c r="B8" i="90" l="1"/>
  <c r="B9" i="90" l="1"/>
  <c r="G8" i="90"/>
  <c r="H8" i="90" l="1"/>
  <c r="B10" i="90"/>
  <c r="G9" i="90"/>
  <c r="H9" i="90" l="1"/>
  <c r="B11" i="90"/>
  <c r="G10" i="90"/>
  <c r="H10" i="90" l="1"/>
  <c r="B12" i="90"/>
  <c r="G11" i="90"/>
  <c r="H11" i="90" l="1"/>
  <c r="B13" i="90"/>
  <c r="G12" i="90"/>
  <c r="H12" i="90" l="1"/>
  <c r="B14" i="90"/>
  <c r="G13" i="90"/>
  <c r="H13" i="90" l="1"/>
  <c r="B15" i="90"/>
  <c r="G14" i="90"/>
  <c r="H14" i="90" l="1"/>
  <c r="B16" i="90"/>
  <c r="G15" i="90"/>
  <c r="H15" i="90" l="1"/>
  <c r="B17" i="90"/>
  <c r="G16" i="90"/>
  <c r="H16" i="90" l="1"/>
  <c r="B18" i="90"/>
  <c r="G17" i="90"/>
  <c r="H17" i="90" l="1"/>
  <c r="B19" i="90"/>
  <c r="G18" i="90"/>
  <c r="H18" i="90" l="1"/>
  <c r="B20" i="90"/>
  <c r="G19" i="90"/>
  <c r="H19" i="90" l="1"/>
  <c r="B21" i="90"/>
  <c r="G20" i="90"/>
  <c r="H20" i="90" l="1"/>
  <c r="B22" i="90"/>
  <c r="G21" i="90"/>
  <c r="H21" i="90" l="1"/>
  <c r="B23" i="90"/>
  <c r="G22" i="90"/>
  <c r="H22" i="90" l="1"/>
  <c r="B24" i="90"/>
  <c r="G23" i="90"/>
  <c r="H23" i="90" l="1"/>
  <c r="B25" i="90"/>
  <c r="G24" i="90"/>
  <c r="H24" i="90" l="1"/>
  <c r="B26" i="90"/>
  <c r="G25" i="90"/>
  <c r="H25" i="90" l="1"/>
  <c r="B27" i="90"/>
  <c r="G26" i="90"/>
  <c r="H26" i="90" l="1"/>
  <c r="B28" i="90"/>
  <c r="G27" i="90"/>
  <c r="H27" i="90" l="1"/>
  <c r="B29" i="90"/>
  <c r="G28" i="90"/>
  <c r="H28" i="90" l="1"/>
  <c r="B30" i="90"/>
  <c r="G29" i="90"/>
  <c r="H29" i="90" l="1"/>
  <c r="B31" i="90"/>
  <c r="G30" i="90"/>
  <c r="H30" i="90" l="1"/>
  <c r="B32" i="90"/>
  <c r="G31" i="90"/>
  <c r="H31" i="90" l="1"/>
  <c r="B33" i="90"/>
  <c r="G32" i="90"/>
  <c r="H32" i="90" l="1"/>
  <c r="B34" i="90"/>
  <c r="G33" i="90"/>
  <c r="H33" i="90" l="1"/>
  <c r="B35" i="90"/>
  <c r="G34" i="90"/>
  <c r="H34" i="90" l="1"/>
  <c r="B36" i="90"/>
  <c r="G35" i="90"/>
  <c r="H35" i="90" l="1"/>
  <c r="B37" i="90"/>
  <c r="G36" i="90"/>
  <c r="H36" i="90" l="1"/>
  <c r="B38" i="90"/>
  <c r="G37" i="90"/>
  <c r="H37" i="90" l="1"/>
  <c r="B39" i="90"/>
  <c r="G38" i="90"/>
  <c r="H38" i="90" l="1"/>
  <c r="B40" i="90"/>
  <c r="G39" i="90"/>
  <c r="H39" i="90" l="1"/>
  <c r="B41" i="90"/>
  <c r="G40" i="90"/>
  <c r="H40" i="90" l="1"/>
  <c r="G41" i="90"/>
  <c r="H41" i="90" l="1"/>
  <c r="D10" i="28" l="1"/>
  <c r="O58" i="89"/>
  <c r="O57" i="89"/>
  <c r="O56" i="89"/>
  <c r="O55" i="89"/>
  <c r="O54" i="89"/>
  <c r="O10" i="89"/>
  <c r="O9" i="89"/>
  <c r="O8" i="89"/>
  <c r="O7" i="89"/>
  <c r="O6" i="89"/>
  <c r="O113" i="89"/>
  <c r="O112" i="89"/>
  <c r="O111" i="89"/>
  <c r="O110" i="89"/>
  <c r="O109" i="89"/>
  <c r="O108" i="89"/>
  <c r="O107" i="89"/>
  <c r="O205" i="89"/>
  <c r="O204" i="89"/>
  <c r="R35" i="83" l="1"/>
  <c r="R36" i="83"/>
  <c r="R37" i="83"/>
  <c r="R38" i="83"/>
  <c r="R39" i="83"/>
  <c r="R40" i="83"/>
  <c r="R41" i="83"/>
  <c r="R42" i="83"/>
  <c r="R43" i="83"/>
  <c r="W43" i="83"/>
  <c r="V43" i="83"/>
  <c r="S43" i="83"/>
  <c r="AA43" i="83" s="1"/>
  <c r="W42" i="83"/>
  <c r="V42" i="83"/>
  <c r="S42" i="83"/>
  <c r="AA42" i="83" s="1"/>
  <c r="W37" i="83"/>
  <c r="V37" i="83"/>
  <c r="S37" i="83"/>
  <c r="AA37" i="83" s="1"/>
  <c r="W36" i="83"/>
  <c r="V36" i="83"/>
  <c r="S36" i="83"/>
  <c r="AA36" i="83" s="1"/>
  <c r="W35" i="83"/>
  <c r="V35" i="83"/>
  <c r="S35" i="83"/>
  <c r="AA35" i="83" s="1"/>
  <c r="W34" i="83"/>
  <c r="V34" i="83"/>
  <c r="S34" i="83"/>
  <c r="AA34" i="83" s="1"/>
  <c r="R34" i="83"/>
  <c r="W33" i="83"/>
  <c r="V33" i="83"/>
  <c r="S33" i="83"/>
  <c r="AA33" i="83" s="1"/>
  <c r="R33" i="83"/>
  <c r="W32" i="83"/>
  <c r="V32" i="83"/>
  <c r="S32" i="83"/>
  <c r="AA32" i="83" s="1"/>
  <c r="R32" i="83"/>
  <c r="W31" i="83"/>
  <c r="V31" i="83"/>
  <c r="S31" i="83"/>
  <c r="AA31" i="83" s="1"/>
  <c r="R31" i="83"/>
  <c r="W30" i="83"/>
  <c r="V30" i="83"/>
  <c r="S30" i="83"/>
  <c r="AA30" i="83" s="1"/>
  <c r="R30" i="83"/>
  <c r="W29" i="83"/>
  <c r="V29" i="83"/>
  <c r="S29" i="83"/>
  <c r="AA29" i="83" s="1"/>
  <c r="R29" i="83"/>
  <c r="W28" i="83"/>
  <c r="W27" i="83"/>
  <c r="W26" i="83"/>
  <c r="W25" i="83"/>
  <c r="W24" i="83"/>
  <c r="W23" i="83"/>
  <c r="W22" i="83"/>
  <c r="W21" i="83"/>
  <c r="W20" i="83"/>
  <c r="W19" i="83"/>
  <c r="W18" i="83"/>
  <c r="W17" i="83"/>
  <c r="W16" i="83"/>
  <c r="W15" i="83"/>
  <c r="W14" i="83"/>
  <c r="W13" i="83"/>
  <c r="W12" i="83"/>
  <c r="W11" i="83"/>
  <c r="W10" i="83"/>
  <c r="W9" i="83"/>
  <c r="AI54" i="80"/>
  <c r="AH54" i="80"/>
  <c r="AG54" i="80"/>
  <c r="AF54" i="80"/>
  <c r="AE54" i="80"/>
  <c r="AI53" i="80"/>
  <c r="AH53" i="80"/>
  <c r="AG53" i="80"/>
  <c r="AF53" i="80"/>
  <c r="AE53" i="80"/>
  <c r="AI52" i="80"/>
  <c r="AH52" i="80"/>
  <c r="AG52" i="80"/>
  <c r="AF52" i="80"/>
  <c r="AE52" i="80"/>
  <c r="AI51" i="80"/>
  <c r="AH51" i="80"/>
  <c r="AG51" i="80"/>
  <c r="AF51" i="80"/>
  <c r="AE51" i="80"/>
  <c r="AI50" i="80"/>
  <c r="AH50" i="80"/>
  <c r="AG50" i="80"/>
  <c r="AF50" i="80"/>
  <c r="AE50" i="80"/>
  <c r="AI49" i="80"/>
  <c r="AH49" i="80"/>
  <c r="AG49" i="80"/>
  <c r="AF49" i="80"/>
  <c r="AE49" i="80"/>
  <c r="AI48" i="80"/>
  <c r="AH48" i="80"/>
  <c r="AG48" i="80"/>
  <c r="AF48" i="80"/>
  <c r="AE48" i="80"/>
  <c r="AI47" i="80"/>
  <c r="AH47" i="80"/>
  <c r="AG47" i="80"/>
  <c r="AF47" i="80"/>
  <c r="AE47" i="80"/>
  <c r="AI46" i="80"/>
  <c r="AH46" i="80"/>
  <c r="AG46" i="80"/>
  <c r="AF46" i="80"/>
  <c r="AE46" i="80"/>
  <c r="AI45" i="80"/>
  <c r="AH45" i="80"/>
  <c r="AG45" i="80"/>
  <c r="AF45" i="80"/>
  <c r="AE45" i="80"/>
  <c r="AI44" i="80"/>
  <c r="AH44" i="80"/>
  <c r="AG44" i="80"/>
  <c r="AF44" i="80"/>
  <c r="AE44" i="80"/>
  <c r="AI43" i="80"/>
  <c r="AH43" i="80"/>
  <c r="AG43" i="80"/>
  <c r="AF43" i="80"/>
  <c r="AE43" i="80"/>
  <c r="AI42" i="80"/>
  <c r="AH42" i="80"/>
  <c r="AG42" i="80"/>
  <c r="AF42" i="80"/>
  <c r="AE42" i="80"/>
  <c r="AI41" i="80"/>
  <c r="AH41" i="80"/>
  <c r="AG41" i="80"/>
  <c r="AF41" i="80"/>
  <c r="AE41" i="80"/>
  <c r="AI40" i="80"/>
  <c r="AH40" i="80"/>
  <c r="AG40" i="80"/>
  <c r="AF40" i="80"/>
  <c r="AE40" i="80"/>
  <c r="AC54" i="80"/>
  <c r="AB54" i="80"/>
  <c r="AA54" i="80"/>
  <c r="Z54" i="80"/>
  <c r="Y54" i="80"/>
  <c r="AC53" i="80"/>
  <c r="AB53" i="80"/>
  <c r="AA53" i="80"/>
  <c r="Z53" i="80"/>
  <c r="Y53" i="80"/>
  <c r="AC52" i="80"/>
  <c r="AB52" i="80"/>
  <c r="AA52" i="80"/>
  <c r="Z52" i="80"/>
  <c r="Y52" i="80"/>
  <c r="AC51" i="80"/>
  <c r="AB51" i="80"/>
  <c r="AA51" i="80"/>
  <c r="Z51" i="80"/>
  <c r="Y51" i="80"/>
  <c r="AC50" i="80"/>
  <c r="AB50" i="80"/>
  <c r="AA50" i="80"/>
  <c r="Z50" i="80"/>
  <c r="Y50" i="80"/>
  <c r="AC49" i="80"/>
  <c r="AB49" i="80"/>
  <c r="AA49" i="80"/>
  <c r="Z49" i="80"/>
  <c r="Y49" i="80"/>
  <c r="AC48" i="80"/>
  <c r="AB48" i="80"/>
  <c r="AA48" i="80"/>
  <c r="Z48" i="80"/>
  <c r="Y48" i="80"/>
  <c r="AC47" i="80"/>
  <c r="AB47" i="80"/>
  <c r="AA47" i="80"/>
  <c r="Z47" i="80"/>
  <c r="Y47" i="80"/>
  <c r="AC46" i="80"/>
  <c r="AB46" i="80"/>
  <c r="AA46" i="80"/>
  <c r="Z46" i="80"/>
  <c r="Y46" i="80"/>
  <c r="AC45" i="80"/>
  <c r="AB45" i="80"/>
  <c r="AA45" i="80"/>
  <c r="Z45" i="80"/>
  <c r="Y45" i="80"/>
  <c r="AC44" i="80"/>
  <c r="AB44" i="80"/>
  <c r="AA44" i="80"/>
  <c r="Z44" i="80"/>
  <c r="Y44" i="80"/>
  <c r="AC43" i="80"/>
  <c r="AB43" i="80"/>
  <c r="AA43" i="80"/>
  <c r="Z43" i="80"/>
  <c r="Y43" i="80"/>
  <c r="AC42" i="80"/>
  <c r="AB42" i="80"/>
  <c r="AA42" i="80"/>
  <c r="Z42" i="80"/>
  <c r="Y42" i="80"/>
  <c r="AC41" i="80"/>
  <c r="AB41" i="80"/>
  <c r="AA41" i="80"/>
  <c r="Z41" i="80"/>
  <c r="Y41" i="80"/>
  <c r="AC40" i="80"/>
  <c r="AB40" i="80"/>
  <c r="AA40" i="80"/>
  <c r="Z40" i="80"/>
  <c r="Y40" i="80"/>
  <c r="W43" i="76"/>
  <c r="V43" i="76"/>
  <c r="S43" i="76"/>
  <c r="AA43" i="76" s="1"/>
  <c r="R43" i="76"/>
  <c r="W42" i="76"/>
  <c r="V42" i="76"/>
  <c r="S42" i="76"/>
  <c r="AA42" i="76" s="1"/>
  <c r="R42" i="76"/>
  <c r="W41" i="76"/>
  <c r="V41" i="76"/>
  <c r="S41" i="76"/>
  <c r="AA41" i="76" s="1"/>
  <c r="R41" i="76"/>
  <c r="W40" i="76"/>
  <c r="V40" i="76"/>
  <c r="S40" i="76"/>
  <c r="AA40" i="76" s="1"/>
  <c r="R40" i="76"/>
  <c r="W39" i="76"/>
  <c r="V39" i="76"/>
  <c r="S39" i="76"/>
  <c r="AA39" i="76" s="1"/>
  <c r="R39" i="76"/>
  <c r="W38" i="76"/>
  <c r="V38" i="76"/>
  <c r="S38" i="76"/>
  <c r="AA38" i="76" s="1"/>
  <c r="R38" i="76"/>
  <c r="W37" i="76"/>
  <c r="V37" i="76"/>
  <c r="S37" i="76"/>
  <c r="AA37" i="76" s="1"/>
  <c r="R37" i="76"/>
  <c r="W36" i="76"/>
  <c r="V36" i="76"/>
  <c r="S36" i="76"/>
  <c r="AA36" i="76" s="1"/>
  <c r="R36" i="76"/>
  <c r="W35" i="76"/>
  <c r="V35" i="76"/>
  <c r="S35" i="76"/>
  <c r="AA35" i="76" s="1"/>
  <c r="R35" i="76"/>
  <c r="W34" i="76"/>
  <c r="V34" i="76"/>
  <c r="S34" i="76"/>
  <c r="AA34" i="76" s="1"/>
  <c r="R34" i="76"/>
  <c r="W33" i="76"/>
  <c r="V33" i="76"/>
  <c r="S33" i="76"/>
  <c r="AA33" i="76" s="1"/>
  <c r="R33" i="76"/>
  <c r="W32" i="76"/>
  <c r="V32" i="76"/>
  <c r="S32" i="76"/>
  <c r="AA32" i="76" s="1"/>
  <c r="R32" i="76"/>
  <c r="W31" i="76"/>
  <c r="V31" i="76"/>
  <c r="S31" i="76"/>
  <c r="AA31" i="76" s="1"/>
  <c r="R31" i="76"/>
  <c r="W30" i="76"/>
  <c r="V30" i="76"/>
  <c r="S30" i="76"/>
  <c r="AA30" i="76" s="1"/>
  <c r="R30" i="76"/>
  <c r="W29" i="76"/>
  <c r="V29" i="76"/>
  <c r="S29" i="76"/>
  <c r="AA29" i="76" s="1"/>
  <c r="R29" i="76"/>
  <c r="W43" i="78"/>
  <c r="V43" i="78"/>
  <c r="S43" i="78"/>
  <c r="AA43" i="78" s="1"/>
  <c r="R43" i="78"/>
  <c r="W42" i="78"/>
  <c r="V42" i="78"/>
  <c r="S42" i="78"/>
  <c r="AA42" i="78" s="1"/>
  <c r="R42" i="78"/>
  <c r="W41" i="78"/>
  <c r="V41" i="78"/>
  <c r="S41" i="78"/>
  <c r="AA41" i="78" s="1"/>
  <c r="R41" i="78"/>
  <c r="W40" i="78"/>
  <c r="V40" i="78"/>
  <c r="S40" i="78"/>
  <c r="AA40" i="78" s="1"/>
  <c r="R40" i="78"/>
  <c r="W39" i="78"/>
  <c r="V39" i="78"/>
  <c r="S39" i="78"/>
  <c r="AA39" i="78" s="1"/>
  <c r="R39" i="78"/>
  <c r="W38" i="78"/>
  <c r="V38" i="78"/>
  <c r="S38" i="78"/>
  <c r="AA38" i="78" s="1"/>
  <c r="R38" i="78"/>
  <c r="W37" i="78"/>
  <c r="V37" i="78"/>
  <c r="S37" i="78"/>
  <c r="AA37" i="78" s="1"/>
  <c r="R37" i="78"/>
  <c r="W36" i="78"/>
  <c r="V36" i="78"/>
  <c r="S36" i="78"/>
  <c r="AA36" i="78" s="1"/>
  <c r="R36" i="78"/>
  <c r="W35" i="78"/>
  <c r="V35" i="78"/>
  <c r="S35" i="78"/>
  <c r="AA35" i="78" s="1"/>
  <c r="R35" i="78"/>
  <c r="W34" i="78"/>
  <c r="V34" i="78"/>
  <c r="S34" i="78"/>
  <c r="AA34" i="78" s="1"/>
  <c r="R34" i="78"/>
  <c r="W33" i="78"/>
  <c r="V33" i="78"/>
  <c r="S33" i="78"/>
  <c r="AA33" i="78" s="1"/>
  <c r="R33" i="78"/>
  <c r="W32" i="78"/>
  <c r="V32" i="78"/>
  <c r="S32" i="78"/>
  <c r="AA32" i="78" s="1"/>
  <c r="R32" i="78"/>
  <c r="W31" i="78"/>
  <c r="V31" i="78"/>
  <c r="S31" i="78"/>
  <c r="AA31" i="78" s="1"/>
  <c r="R31" i="78"/>
  <c r="W30" i="78"/>
  <c r="V30" i="78"/>
  <c r="S30" i="78"/>
  <c r="AA30" i="78" s="1"/>
  <c r="R30" i="78"/>
  <c r="W29" i="78"/>
  <c r="V29" i="78"/>
  <c r="S29" i="78"/>
  <c r="AA29" i="78" s="1"/>
  <c r="R29" i="78"/>
  <c r="D26" i="77"/>
  <c r="Z29" i="78" l="1"/>
  <c r="AB29" i="78" s="1"/>
  <c r="T29" i="78"/>
  <c r="X29" i="78"/>
  <c r="Z30" i="78"/>
  <c r="AB30" i="78" s="1"/>
  <c r="T30" i="78"/>
  <c r="X30" i="78"/>
  <c r="Z31" i="78"/>
  <c r="AB31" i="78" s="1"/>
  <c r="T31" i="78"/>
  <c r="X31" i="78"/>
  <c r="Z32" i="78"/>
  <c r="AB32" i="78" s="1"/>
  <c r="T32" i="78"/>
  <c r="X32" i="78"/>
  <c r="Z33" i="78"/>
  <c r="AB33" i="78" s="1"/>
  <c r="T33" i="78"/>
  <c r="X33" i="78"/>
  <c r="Z34" i="78"/>
  <c r="AB34" i="78" s="1"/>
  <c r="T34" i="78"/>
  <c r="X34" i="78"/>
  <c r="Z35" i="78"/>
  <c r="AB35" i="78" s="1"/>
  <c r="T35" i="78"/>
  <c r="X35" i="78"/>
  <c r="Z36" i="78"/>
  <c r="AB36" i="78" s="1"/>
  <c r="T36" i="78"/>
  <c r="X36" i="78"/>
  <c r="Z37" i="78"/>
  <c r="AB37" i="78" s="1"/>
  <c r="T37" i="78"/>
  <c r="X37" i="78"/>
  <c r="Z38" i="78"/>
  <c r="AB38" i="78" s="1"/>
  <c r="T38" i="78"/>
  <c r="X38" i="78"/>
  <c r="Z39" i="78"/>
  <c r="AB39" i="78" s="1"/>
  <c r="T39" i="78"/>
  <c r="X39" i="78"/>
  <c r="Z40" i="78"/>
  <c r="AB40" i="78" s="1"/>
  <c r="T40" i="78"/>
  <c r="X40" i="78"/>
  <c r="Z41" i="78"/>
  <c r="AB41" i="78" s="1"/>
  <c r="T41" i="78"/>
  <c r="X41" i="78"/>
  <c r="Z42" i="78"/>
  <c r="AB42" i="78" s="1"/>
  <c r="T42" i="78"/>
  <c r="X42" i="78"/>
  <c r="Z43" i="78"/>
  <c r="AB43" i="78" s="1"/>
  <c r="T43" i="78"/>
  <c r="X43" i="78"/>
  <c r="Z29" i="76"/>
  <c r="T29" i="76"/>
  <c r="X29" i="76"/>
  <c r="Z30" i="76"/>
  <c r="T30" i="76"/>
  <c r="X30" i="76"/>
  <c r="Z31" i="76"/>
  <c r="T31" i="76"/>
  <c r="X31" i="76"/>
  <c r="Z32" i="76"/>
  <c r="T32" i="76"/>
  <c r="X32" i="76"/>
  <c r="Z33" i="76"/>
  <c r="T33" i="76"/>
  <c r="X33" i="76"/>
  <c r="Z34" i="76"/>
  <c r="T34" i="76"/>
  <c r="X34" i="76"/>
  <c r="Z35" i="76"/>
  <c r="T35" i="76"/>
  <c r="X35" i="76"/>
  <c r="Z36" i="76"/>
  <c r="T36" i="76"/>
  <c r="X36" i="76"/>
  <c r="Z37" i="76"/>
  <c r="T37" i="76"/>
  <c r="X37" i="76"/>
  <c r="Z38" i="76"/>
  <c r="T38" i="76"/>
  <c r="X38" i="76"/>
  <c r="Z39" i="76"/>
  <c r="T39" i="76"/>
  <c r="X39" i="76"/>
  <c r="Z40" i="76"/>
  <c r="T40" i="76"/>
  <c r="X40" i="76"/>
  <c r="Z41" i="76"/>
  <c r="T41" i="76"/>
  <c r="X41" i="76"/>
  <c r="Z42" i="76"/>
  <c r="T42" i="76"/>
  <c r="X42" i="76"/>
  <c r="Z43" i="76"/>
  <c r="T43" i="76"/>
  <c r="X43" i="76"/>
  <c r="Z29" i="83"/>
  <c r="AB29" i="83" s="1"/>
  <c r="T29" i="83"/>
  <c r="X29" i="83"/>
  <c r="Z30" i="83"/>
  <c r="AB30" i="83" s="1"/>
  <c r="T30" i="83"/>
  <c r="X30" i="83"/>
  <c r="Z31" i="83"/>
  <c r="AB31" i="83" s="1"/>
  <c r="T31" i="83"/>
  <c r="X31" i="83"/>
  <c r="Z32" i="83"/>
  <c r="AB32" i="83" s="1"/>
  <c r="T32" i="83"/>
  <c r="X32" i="83"/>
  <c r="Z33" i="83"/>
  <c r="AB33" i="83" s="1"/>
  <c r="T33" i="83"/>
  <c r="X33" i="83"/>
  <c r="Z34" i="83"/>
  <c r="AB34" i="83" s="1"/>
  <c r="T34" i="83"/>
  <c r="X34" i="83"/>
  <c r="Z35" i="83"/>
  <c r="AB35" i="83" s="1"/>
  <c r="T35" i="83"/>
  <c r="X35" i="83"/>
  <c r="Z36" i="83"/>
  <c r="AB36" i="83" s="1"/>
  <c r="T36" i="83"/>
  <c r="X36" i="83"/>
  <c r="Z37" i="83"/>
  <c r="AB37" i="83" s="1"/>
  <c r="T37" i="83"/>
  <c r="X37" i="83"/>
  <c r="Z42" i="83"/>
  <c r="AB42" i="83" s="1"/>
  <c r="T42" i="83"/>
  <c r="X42" i="83"/>
  <c r="Z43" i="83"/>
  <c r="AB43" i="83" s="1"/>
  <c r="T43" i="83"/>
  <c r="X43" i="83"/>
  <c r="J15" i="75"/>
  <c r="AB43" i="76" l="1"/>
  <c r="AB42" i="76"/>
  <c r="AB41" i="76"/>
  <c r="AB40" i="76"/>
  <c r="AB39" i="76"/>
  <c r="AB38" i="76"/>
  <c r="AB37" i="76"/>
  <c r="AB36" i="76"/>
  <c r="AB35" i="76"/>
  <c r="AB34" i="76"/>
  <c r="AB33" i="76"/>
  <c r="AB32" i="76"/>
  <c r="AB31" i="76"/>
  <c r="AB30" i="76"/>
  <c r="AB29" i="76"/>
  <c r="L15" i="75"/>
  <c r="J14" i="30"/>
  <c r="L11" i="83"/>
  <c r="I48" i="85"/>
  <c r="H48" i="85"/>
  <c r="G48" i="85"/>
  <c r="F48" i="85"/>
  <c r="E48" i="85"/>
  <c r="D48" i="85"/>
  <c r="I47" i="85"/>
  <c r="H47" i="85"/>
  <c r="G47" i="85"/>
  <c r="F47" i="85"/>
  <c r="E47" i="85"/>
  <c r="D47" i="85"/>
  <c r="O46" i="85"/>
  <c r="P46" i="85" s="1"/>
  <c r="Q46" i="85" s="1"/>
  <c r="R46" i="85" s="1"/>
  <c r="N46" i="85"/>
  <c r="M46" i="85"/>
  <c r="L46" i="85"/>
  <c r="K46" i="85"/>
  <c r="O45" i="85"/>
  <c r="P45" i="85" s="1"/>
  <c r="Q45" i="85" s="1"/>
  <c r="R45" i="85" s="1"/>
  <c r="N45" i="85"/>
  <c r="M45" i="85"/>
  <c r="L45" i="85"/>
  <c r="K45" i="85"/>
  <c r="O44" i="85"/>
  <c r="P44" i="85" s="1"/>
  <c r="Q44" i="85" s="1"/>
  <c r="R44" i="85" s="1"/>
  <c r="N44" i="85"/>
  <c r="M44" i="85"/>
  <c r="L44" i="85"/>
  <c r="K44" i="85"/>
  <c r="O43" i="85"/>
  <c r="P43" i="85" s="1"/>
  <c r="Q43" i="85" s="1"/>
  <c r="R43" i="85" s="1"/>
  <c r="N43" i="85"/>
  <c r="M43" i="85"/>
  <c r="L43" i="85"/>
  <c r="K43" i="85"/>
  <c r="O42" i="85"/>
  <c r="P42" i="85" s="1"/>
  <c r="Q42" i="85" s="1"/>
  <c r="R42" i="85" s="1"/>
  <c r="N42" i="85"/>
  <c r="M42" i="85"/>
  <c r="L42" i="85"/>
  <c r="K42" i="85"/>
  <c r="U26" i="75" l="1"/>
  <c r="U25" i="75"/>
  <c r="U24" i="75"/>
  <c r="U23" i="75"/>
  <c r="U22" i="75"/>
  <c r="U21" i="75"/>
  <c r="U20" i="75"/>
  <c r="U19" i="75"/>
  <c r="U18" i="75"/>
  <c r="U16" i="75"/>
  <c r="U15" i="75"/>
  <c r="U14" i="75"/>
  <c r="U13" i="75"/>
  <c r="U12" i="75"/>
  <c r="U11" i="75"/>
  <c r="U10" i="75"/>
  <c r="U9" i="75"/>
  <c r="U8" i="75"/>
  <c r="U7" i="75"/>
  <c r="O47" i="85"/>
  <c r="P47" i="85" s="1"/>
  <c r="Q47" i="85" s="1"/>
  <c r="R47" i="85" s="1"/>
  <c r="L6" i="83" s="1"/>
  <c r="N47" i="85"/>
  <c r="M47" i="85"/>
  <c r="L47" i="85"/>
  <c r="K47" i="85"/>
  <c r="O48" i="85"/>
  <c r="P48" i="85" s="1"/>
  <c r="Q48" i="85" s="1"/>
  <c r="R48" i="85" s="1"/>
  <c r="L7" i="83" s="1"/>
  <c r="N48" i="85"/>
  <c r="M48" i="85"/>
  <c r="L48" i="85"/>
  <c r="K48" i="85"/>
  <c r="U8" i="83" l="1"/>
  <c r="Y8" i="83"/>
  <c r="U29" i="83"/>
  <c r="Y29" i="83"/>
  <c r="U30" i="83"/>
  <c r="Y30" i="83"/>
  <c r="U31" i="83"/>
  <c r="Y31" i="83"/>
  <c r="U32" i="83"/>
  <c r="Y32" i="83"/>
  <c r="U33" i="83"/>
  <c r="Y33" i="83"/>
  <c r="U34" i="83"/>
  <c r="Y34" i="83"/>
  <c r="U35" i="83"/>
  <c r="Y35" i="83"/>
  <c r="U36" i="83"/>
  <c r="Y36" i="83"/>
  <c r="U37" i="83"/>
  <c r="Y37" i="83"/>
  <c r="U42" i="83"/>
  <c r="Y42" i="83"/>
  <c r="U43" i="83"/>
  <c r="Y43" i="83"/>
  <c r="C9" i="77"/>
  <c r="C8" i="77"/>
  <c r="D14" i="28"/>
  <c r="D8" i="77"/>
  <c r="F8" i="77" s="1"/>
  <c r="K16" i="83"/>
  <c r="M16" i="83"/>
  <c r="K17" i="83"/>
  <c r="M17" i="83"/>
  <c r="K30" i="83"/>
  <c r="M30" i="83"/>
  <c r="K31" i="83"/>
  <c r="M31" i="83"/>
  <c r="V28" i="83" l="1"/>
  <c r="V27" i="83"/>
  <c r="V26" i="83"/>
  <c r="V25" i="83"/>
  <c r="V24" i="83"/>
  <c r="V23" i="83"/>
  <c r="V22" i="83"/>
  <c r="V21" i="83"/>
  <c r="V20" i="83"/>
  <c r="V19" i="83"/>
  <c r="V18" i="83"/>
  <c r="V17" i="83"/>
  <c r="V16" i="83"/>
  <c r="V15" i="83"/>
  <c r="V14" i="83"/>
  <c r="V13" i="83"/>
  <c r="V12" i="83"/>
  <c r="V11" i="83"/>
  <c r="V10" i="83"/>
  <c r="V9" i="83"/>
  <c r="L10" i="90"/>
  <c r="D14" i="77"/>
  <c r="AC43" i="83"/>
  <c r="AC42" i="83"/>
  <c r="AC37" i="83"/>
  <c r="AC36" i="83"/>
  <c r="AC35" i="83"/>
  <c r="AC34" i="83"/>
  <c r="AC33" i="83"/>
  <c r="AC32" i="83"/>
  <c r="AC31" i="83"/>
  <c r="AC30" i="83"/>
  <c r="AC29" i="83"/>
  <c r="AC8" i="83"/>
  <c r="N72" i="77"/>
  <c r="H68" i="80"/>
  <c r="H74" i="80"/>
  <c r="O72" i="77"/>
  <c r="H69" i="80"/>
  <c r="H75" i="80"/>
  <c r="L10" i="83"/>
  <c r="N60" i="77"/>
  <c r="N73" i="77"/>
  <c r="N76" i="77"/>
  <c r="N75" i="77"/>
  <c r="N74" i="77"/>
  <c r="N67" i="77"/>
  <c r="N66" i="77"/>
  <c r="N65" i="77"/>
  <c r="N64" i="77"/>
  <c r="N63" i="77"/>
  <c r="N62" i="77"/>
  <c r="N61" i="77"/>
  <c r="E8" i="77"/>
  <c r="T59" i="77"/>
  <c r="R59" i="77"/>
  <c r="P59" i="77"/>
  <c r="N59" i="77"/>
  <c r="U59" i="77"/>
  <c r="S59" i="77"/>
  <c r="Q59" i="77"/>
  <c r="O59" i="77"/>
  <c r="B6" i="83"/>
  <c r="D34" i="28"/>
  <c r="I12" i="80" s="1"/>
  <c r="P19" i="90" l="1"/>
  <c r="L25" i="90" s="1"/>
  <c r="P20" i="90"/>
  <c r="X9" i="83"/>
  <c r="E6" i="83" s="1"/>
  <c r="Y9" i="83"/>
  <c r="F6" i="83" s="1"/>
  <c r="X10" i="83"/>
  <c r="Y10" i="83"/>
  <c r="X11" i="83"/>
  <c r="Y11" i="83"/>
  <c r="X12" i="83"/>
  <c r="Y12" i="83"/>
  <c r="X13" i="83"/>
  <c r="Y13" i="83"/>
  <c r="X14" i="83"/>
  <c r="Y14" i="83"/>
  <c r="X15" i="83"/>
  <c r="Y15" i="83"/>
  <c r="X16" i="83"/>
  <c r="Y16" i="83"/>
  <c r="X17" i="83"/>
  <c r="Y17" i="83"/>
  <c r="X18" i="83"/>
  <c r="Y18" i="83"/>
  <c r="X19" i="83"/>
  <c r="Y19" i="83"/>
  <c r="X20" i="83"/>
  <c r="Y20" i="83"/>
  <c r="X21" i="83"/>
  <c r="Y21" i="83"/>
  <c r="X22" i="83"/>
  <c r="Y22" i="83"/>
  <c r="X23" i="83"/>
  <c r="Y23" i="83"/>
  <c r="X24" i="83"/>
  <c r="Y24" i="83"/>
  <c r="X25" i="83"/>
  <c r="Y25" i="83"/>
  <c r="X26" i="83"/>
  <c r="Y26" i="83"/>
  <c r="X27" i="83"/>
  <c r="Y27" i="83"/>
  <c r="X28" i="83"/>
  <c r="Y28" i="83"/>
  <c r="J15" i="30"/>
  <c r="D9" i="77"/>
  <c r="F9" i="77" s="1"/>
  <c r="T62" i="77"/>
  <c r="R62" i="77"/>
  <c r="T64" i="77"/>
  <c r="P64" i="77"/>
  <c r="T66" i="77"/>
  <c r="P66" i="77"/>
  <c r="N77" i="77"/>
  <c r="T60" i="77"/>
  <c r="T68" i="77" s="1"/>
  <c r="I14" i="30" s="1"/>
  <c r="R60" i="77"/>
  <c r="R68" i="77" s="1"/>
  <c r="L23" i="83" s="1"/>
  <c r="N68" i="77"/>
  <c r="B7" i="83"/>
  <c r="N26" i="90" l="1"/>
  <c r="L26" i="90"/>
  <c r="N25" i="90"/>
  <c r="F7" i="83"/>
  <c r="E7" i="83"/>
  <c r="P68" i="77"/>
  <c r="L16" i="83" s="1"/>
  <c r="O76" i="77"/>
  <c r="O75" i="77"/>
  <c r="O74" i="77"/>
  <c r="O73" i="77"/>
  <c r="O77" i="77" s="1"/>
  <c r="O67" i="77"/>
  <c r="O66" i="77"/>
  <c r="O65" i="77"/>
  <c r="O64" i="77"/>
  <c r="O63" i="77"/>
  <c r="O62" i="77"/>
  <c r="O61" i="77"/>
  <c r="O60" i="77"/>
  <c r="E9" i="77"/>
  <c r="B8" i="83"/>
  <c r="M72" i="77"/>
  <c r="M59" i="77"/>
  <c r="F8" i="83" l="1"/>
  <c r="E8" i="83"/>
  <c r="M32" i="90"/>
  <c r="L32" i="90"/>
  <c r="Q32" i="90"/>
  <c r="P32" i="90"/>
  <c r="M31" i="90"/>
  <c r="L31" i="90"/>
  <c r="Q31" i="90"/>
  <c r="P31" i="90"/>
  <c r="L30" i="83"/>
  <c r="U60" i="77"/>
  <c r="O68" i="77"/>
  <c r="U62" i="77"/>
  <c r="U64" i="77"/>
  <c r="Q64" i="77"/>
  <c r="U66" i="77"/>
  <c r="Q66" i="77"/>
  <c r="B9" i="83"/>
  <c r="H15" i="30"/>
  <c r="H14" i="30"/>
  <c r="K29" i="78"/>
  <c r="K28" i="78"/>
  <c r="M29" i="78"/>
  <c r="M28" i="78"/>
  <c r="M23" i="78"/>
  <c r="M22" i="78"/>
  <c r="K23" i="78"/>
  <c r="K22" i="78"/>
  <c r="M17" i="78"/>
  <c r="M16" i="78"/>
  <c r="K17" i="78"/>
  <c r="K16" i="78"/>
  <c r="K27" i="76"/>
  <c r="K26" i="76"/>
  <c r="K33" i="76"/>
  <c r="K32" i="76"/>
  <c r="M33" i="76"/>
  <c r="M32" i="76"/>
  <c r="M27" i="76"/>
  <c r="M26" i="76"/>
  <c r="M21" i="76"/>
  <c r="M20" i="76"/>
  <c r="K21" i="76"/>
  <c r="K20" i="76"/>
  <c r="L74" i="77"/>
  <c r="K74" i="77"/>
  <c r="M74" i="77" s="1"/>
  <c r="J60" i="80" s="1"/>
  <c r="G54" i="77"/>
  <c r="G53" i="77"/>
  <c r="G52" i="77"/>
  <c r="G51" i="77"/>
  <c r="G44" i="77"/>
  <c r="G42" i="77"/>
  <c r="E64" i="77" s="1"/>
  <c r="G40" i="77"/>
  <c r="G38" i="77"/>
  <c r="S60" i="77" s="1"/>
  <c r="F9" i="83" l="1"/>
  <c r="E9" i="83"/>
  <c r="K60" i="80"/>
  <c r="L60" i="80"/>
  <c r="M60" i="80"/>
  <c r="N60" i="80"/>
  <c r="O60" i="80"/>
  <c r="S31" i="90"/>
  <c r="F6" i="90" s="1"/>
  <c r="R31" i="90"/>
  <c r="E6" i="90" s="1"/>
  <c r="O31" i="90"/>
  <c r="T31" i="90"/>
  <c r="N31" i="90"/>
  <c r="U31" i="90"/>
  <c r="R32" i="90"/>
  <c r="E7" i="90" s="1"/>
  <c r="S32" i="90"/>
  <c r="F7" i="90" s="1"/>
  <c r="O32" i="90"/>
  <c r="T32" i="90"/>
  <c r="N32" i="90"/>
  <c r="U32" i="90"/>
  <c r="J62" i="77"/>
  <c r="S62" i="77"/>
  <c r="Q68" i="77"/>
  <c r="L17" i="83" s="1"/>
  <c r="S68" i="77"/>
  <c r="L24" i="83" s="1"/>
  <c r="U68" i="77"/>
  <c r="I15" i="30" s="1"/>
  <c r="B10" i="83"/>
  <c r="Q7" i="30"/>
  <c r="J29" i="42"/>
  <c r="J74" i="77"/>
  <c r="I74" i="77"/>
  <c r="R7" i="30" l="1" a="1"/>
  <c r="R7" i="30" s="1"/>
  <c r="AG7" i="30"/>
  <c r="V7" i="30" a="1"/>
  <c r="V7" i="30" s="1"/>
  <c r="U7" i="30" a="1"/>
  <c r="U7" i="30" s="1"/>
  <c r="T7" i="30" a="1"/>
  <c r="T7" i="30" s="1"/>
  <c r="S7" i="30" a="1"/>
  <c r="S7" i="30" s="1"/>
  <c r="F10" i="83"/>
  <c r="E10" i="83"/>
  <c r="R28" i="83"/>
  <c r="Z28" i="83" s="1"/>
  <c r="R27" i="83"/>
  <c r="Z27" i="83" s="1"/>
  <c r="R26" i="83"/>
  <c r="Z26" i="83" s="1"/>
  <c r="R25" i="83"/>
  <c r="Z25" i="83" s="1"/>
  <c r="R24" i="83"/>
  <c r="Z24" i="83" s="1"/>
  <c r="R23" i="83"/>
  <c r="Z23" i="83" s="1"/>
  <c r="R22" i="83"/>
  <c r="Z22" i="83" s="1"/>
  <c r="R21" i="83"/>
  <c r="Z21" i="83" s="1"/>
  <c r="R20" i="83"/>
  <c r="Z20" i="83" s="1"/>
  <c r="R19" i="83"/>
  <c r="Z19" i="83" s="1"/>
  <c r="R18" i="83"/>
  <c r="Z18" i="83" s="1"/>
  <c r="R17" i="83"/>
  <c r="Z17" i="83" s="1"/>
  <c r="R16" i="83"/>
  <c r="Z16" i="83" s="1"/>
  <c r="R15" i="83"/>
  <c r="Z15" i="83" s="1"/>
  <c r="R14" i="83"/>
  <c r="Z14" i="83" s="1"/>
  <c r="R13" i="83"/>
  <c r="Z13" i="83" s="1"/>
  <c r="R12" i="83"/>
  <c r="Z12" i="83" s="1"/>
  <c r="R11" i="83"/>
  <c r="Z11" i="83" s="1"/>
  <c r="R10" i="83"/>
  <c r="Z10" i="83" s="1"/>
  <c r="R9" i="83"/>
  <c r="Z9" i="83" s="1"/>
  <c r="S28" i="83"/>
  <c r="S27" i="83"/>
  <c r="S26" i="83"/>
  <c r="S25" i="83"/>
  <c r="S24" i="83"/>
  <c r="S23" i="83"/>
  <c r="S22" i="83"/>
  <c r="S21" i="83"/>
  <c r="S20" i="83"/>
  <c r="S19" i="83"/>
  <c r="S18" i="83"/>
  <c r="S17" i="83"/>
  <c r="S16" i="83"/>
  <c r="S15" i="83"/>
  <c r="S14" i="83"/>
  <c r="S13" i="83"/>
  <c r="S12" i="83"/>
  <c r="S11" i="83"/>
  <c r="S10" i="83"/>
  <c r="S9" i="83"/>
  <c r="V32" i="90"/>
  <c r="C7" i="90"/>
  <c r="D7" i="90"/>
  <c r="G7" i="90" s="1"/>
  <c r="H7" i="90" s="1"/>
  <c r="W32" i="90"/>
  <c r="V31" i="90"/>
  <c r="C6" i="90"/>
  <c r="D6" i="90"/>
  <c r="W31" i="90"/>
  <c r="G6" i="90"/>
  <c r="B11" i="83"/>
  <c r="L72" i="77"/>
  <c r="K72" i="77"/>
  <c r="J72" i="77"/>
  <c r="I72" i="77"/>
  <c r="H72" i="77"/>
  <c r="G72" i="77"/>
  <c r="F72" i="77"/>
  <c r="E72" i="77"/>
  <c r="L59" i="77"/>
  <c r="K59" i="77"/>
  <c r="J59" i="77"/>
  <c r="I59" i="77"/>
  <c r="H59" i="77"/>
  <c r="G59" i="77"/>
  <c r="F59" i="77"/>
  <c r="E59" i="77"/>
  <c r="F11" i="83" l="1"/>
  <c r="E11" i="83"/>
  <c r="AA9" i="83"/>
  <c r="AB9" i="83" s="1"/>
  <c r="U9" i="83"/>
  <c r="T9" i="83"/>
  <c r="C6" i="83" s="1"/>
  <c r="AA10" i="83"/>
  <c r="AB10" i="83" s="1"/>
  <c r="U10" i="83"/>
  <c r="T10" i="83"/>
  <c r="C7" i="83" s="1"/>
  <c r="AA11" i="83"/>
  <c r="AB11" i="83" s="1"/>
  <c r="U11" i="83"/>
  <c r="T11" i="83"/>
  <c r="C8" i="83" s="1"/>
  <c r="AA12" i="83"/>
  <c r="AB12" i="83" s="1"/>
  <c r="U12" i="83"/>
  <c r="T12" i="83"/>
  <c r="C9" i="83" s="1"/>
  <c r="AA13" i="83"/>
  <c r="AB13" i="83" s="1"/>
  <c r="U13" i="83"/>
  <c r="T13" i="83"/>
  <c r="C10" i="83" s="1"/>
  <c r="AA14" i="83"/>
  <c r="AB14" i="83" s="1"/>
  <c r="U14" i="83"/>
  <c r="T14" i="83"/>
  <c r="C11" i="83" s="1"/>
  <c r="AA15" i="83"/>
  <c r="AB15" i="83" s="1"/>
  <c r="U15" i="83"/>
  <c r="T15" i="83"/>
  <c r="AA16" i="83"/>
  <c r="AB16" i="83" s="1"/>
  <c r="U16" i="83"/>
  <c r="T16" i="83"/>
  <c r="AA17" i="83"/>
  <c r="AB17" i="83" s="1"/>
  <c r="U17" i="83"/>
  <c r="T17" i="83"/>
  <c r="AA18" i="83"/>
  <c r="AB18" i="83" s="1"/>
  <c r="U18" i="83"/>
  <c r="T18" i="83"/>
  <c r="AA19" i="83"/>
  <c r="AB19" i="83" s="1"/>
  <c r="U19" i="83"/>
  <c r="T19" i="83"/>
  <c r="AA20" i="83"/>
  <c r="AB20" i="83" s="1"/>
  <c r="U20" i="83"/>
  <c r="T20" i="83"/>
  <c r="AA21" i="83"/>
  <c r="AB21" i="83" s="1"/>
  <c r="U21" i="83"/>
  <c r="T21" i="83"/>
  <c r="AA22" i="83"/>
  <c r="AB22" i="83" s="1"/>
  <c r="U22" i="83"/>
  <c r="T22" i="83"/>
  <c r="AA23" i="83"/>
  <c r="AB23" i="83" s="1"/>
  <c r="U23" i="83"/>
  <c r="T23" i="83"/>
  <c r="AA24" i="83"/>
  <c r="AB24" i="83" s="1"/>
  <c r="U24" i="83"/>
  <c r="T24" i="83"/>
  <c r="AA25" i="83"/>
  <c r="AB25" i="83" s="1"/>
  <c r="U25" i="83"/>
  <c r="T25" i="83"/>
  <c r="AA26" i="83"/>
  <c r="AB26" i="83" s="1"/>
  <c r="U26" i="83"/>
  <c r="T26" i="83"/>
  <c r="AA27" i="83"/>
  <c r="AB27" i="83" s="1"/>
  <c r="U27" i="83"/>
  <c r="T27" i="83"/>
  <c r="AA28" i="83"/>
  <c r="AB28" i="83" s="1"/>
  <c r="U28" i="83"/>
  <c r="T28" i="83"/>
  <c r="H6" i="90"/>
  <c r="H42" i="90" s="1"/>
  <c r="B12" i="83"/>
  <c r="F12" i="83" l="1"/>
  <c r="E12" i="83"/>
  <c r="C12" i="83"/>
  <c r="AC28" i="83"/>
  <c r="AC27" i="83"/>
  <c r="AC26" i="83"/>
  <c r="AC25" i="83"/>
  <c r="AC24" i="83"/>
  <c r="AC23" i="83"/>
  <c r="AC22" i="83"/>
  <c r="AC21" i="83"/>
  <c r="AC20" i="83"/>
  <c r="AC19" i="83"/>
  <c r="AC18" i="83"/>
  <c r="AC17" i="83"/>
  <c r="AC16" i="83"/>
  <c r="D12" i="83"/>
  <c r="G12" i="83" s="1"/>
  <c r="H12" i="83" s="1"/>
  <c r="AC15" i="83"/>
  <c r="D11" i="83"/>
  <c r="G11" i="83" s="1"/>
  <c r="H11" i="83" s="1"/>
  <c r="AC14" i="83"/>
  <c r="D10" i="83"/>
  <c r="G10" i="83" s="1"/>
  <c r="H10" i="83" s="1"/>
  <c r="AC13" i="83"/>
  <c r="D9" i="83"/>
  <c r="G9" i="83" s="1"/>
  <c r="H9" i="83" s="1"/>
  <c r="AC12" i="83"/>
  <c r="D8" i="83"/>
  <c r="G8" i="83" s="1"/>
  <c r="H8" i="83" s="1"/>
  <c r="AC11" i="83"/>
  <c r="D7" i="83"/>
  <c r="G7" i="83" s="1"/>
  <c r="H7" i="83" s="1"/>
  <c r="AC10" i="83"/>
  <c r="D6" i="83"/>
  <c r="G6" i="83" s="1"/>
  <c r="H6" i="83" s="1"/>
  <c r="AC9" i="83"/>
  <c r="B13" i="83"/>
  <c r="F64" i="77"/>
  <c r="G64" i="77"/>
  <c r="H64" i="77"/>
  <c r="H75" i="77"/>
  <c r="F75" i="77"/>
  <c r="G75" i="77"/>
  <c r="M75" i="77" s="1"/>
  <c r="J61" i="80" s="1"/>
  <c r="E75" i="77"/>
  <c r="H76" i="77"/>
  <c r="F76" i="77"/>
  <c r="H67" i="77"/>
  <c r="F67" i="77"/>
  <c r="H66" i="77"/>
  <c r="F66" i="77"/>
  <c r="G76" i="77"/>
  <c r="M76" i="77" s="1"/>
  <c r="J62" i="80" s="1"/>
  <c r="E76" i="77"/>
  <c r="G67" i="77"/>
  <c r="E67" i="77"/>
  <c r="G66" i="77"/>
  <c r="E66" i="77"/>
  <c r="L63" i="77"/>
  <c r="J63" i="77"/>
  <c r="L62" i="77"/>
  <c r="K63" i="77"/>
  <c r="I63" i="77"/>
  <c r="K62" i="77"/>
  <c r="I62" i="77"/>
  <c r="F65" i="77"/>
  <c r="H65" i="77"/>
  <c r="E65" i="77"/>
  <c r="G65" i="77"/>
  <c r="F13" i="83" l="1"/>
  <c r="E13" i="83"/>
  <c r="C13" i="83"/>
  <c r="D13" i="83"/>
  <c r="G13" i="83" s="1"/>
  <c r="H13" i="83" s="1"/>
  <c r="K62" i="80"/>
  <c r="L62" i="80"/>
  <c r="M62" i="80"/>
  <c r="N62" i="80"/>
  <c r="O62" i="80"/>
  <c r="K61" i="80"/>
  <c r="L61" i="80"/>
  <c r="M61" i="80"/>
  <c r="N61" i="80"/>
  <c r="O61" i="80"/>
  <c r="B14" i="83"/>
  <c r="M65" i="77"/>
  <c r="J51" i="80" s="1"/>
  <c r="M62" i="77"/>
  <c r="J48" i="80" s="1"/>
  <c r="M63" i="77"/>
  <c r="J49" i="80" s="1"/>
  <c r="M66" i="77"/>
  <c r="J52" i="80" s="1"/>
  <c r="M67" i="77"/>
  <c r="J53" i="80" s="1"/>
  <c r="M64" i="77"/>
  <c r="J50" i="80" s="1"/>
  <c r="G77" i="77"/>
  <c r="F77" i="77"/>
  <c r="H77" i="77"/>
  <c r="H68" i="77"/>
  <c r="G68" i="77"/>
  <c r="F68" i="77"/>
  <c r="E68" i="77"/>
  <c r="E77" i="77"/>
  <c r="F14" i="83" l="1"/>
  <c r="E14" i="83"/>
  <c r="C14" i="83"/>
  <c r="D14" i="83"/>
  <c r="G14" i="83" s="1"/>
  <c r="H14" i="83" s="1"/>
  <c r="O50" i="80"/>
  <c r="N50" i="80"/>
  <c r="M50" i="80"/>
  <c r="L50" i="80"/>
  <c r="K50" i="80"/>
  <c r="O53" i="80"/>
  <c r="N53" i="80"/>
  <c r="M53" i="80"/>
  <c r="L53" i="80"/>
  <c r="K53" i="80"/>
  <c r="O52" i="80"/>
  <c r="N52" i="80"/>
  <c r="M52" i="80"/>
  <c r="L52" i="80"/>
  <c r="K52" i="80"/>
  <c r="O49" i="80"/>
  <c r="N49" i="80"/>
  <c r="M49" i="80"/>
  <c r="L49" i="80"/>
  <c r="K49" i="80"/>
  <c r="O48" i="80"/>
  <c r="N48" i="80"/>
  <c r="M48" i="80"/>
  <c r="L48" i="80"/>
  <c r="K48" i="80"/>
  <c r="O51" i="80"/>
  <c r="N51" i="80"/>
  <c r="M51" i="80"/>
  <c r="L51" i="80"/>
  <c r="K51" i="80"/>
  <c r="B15" i="83"/>
  <c r="B6" i="79"/>
  <c r="Q6" i="79" s="1"/>
  <c r="AA7" i="30"/>
  <c r="AF7" i="30" l="1" a="1"/>
  <c r="AF7" i="30" s="1"/>
  <c r="AE7" i="30" a="1"/>
  <c r="AE7" i="30" s="1"/>
  <c r="AD7" i="30" a="1"/>
  <c r="AD7" i="30" s="1"/>
  <c r="AC7" i="30" a="1"/>
  <c r="AC7" i="30" s="1"/>
  <c r="AB7" i="30" a="1"/>
  <c r="AB7" i="30" s="1"/>
  <c r="F15" i="83"/>
  <c r="E15" i="83"/>
  <c r="C15" i="83"/>
  <c r="D15" i="83"/>
  <c r="G15" i="83" s="1"/>
  <c r="H15" i="83" s="1"/>
  <c r="B16" i="83"/>
  <c r="B6" i="80"/>
  <c r="B7" i="79"/>
  <c r="Q7" i="79" s="1"/>
  <c r="AE22" i="79"/>
  <c r="AD22" i="79"/>
  <c r="AC22" i="79"/>
  <c r="AB22" i="79"/>
  <c r="AE21" i="79"/>
  <c r="AD21" i="79"/>
  <c r="AC21" i="79"/>
  <c r="AB21" i="79"/>
  <c r="Y6" i="79"/>
  <c r="X6" i="79"/>
  <c r="W6" i="79"/>
  <c r="V6" i="79"/>
  <c r="Y5" i="79"/>
  <c r="X5" i="79"/>
  <c r="W5" i="79"/>
  <c r="V5" i="79"/>
  <c r="L7" i="78"/>
  <c r="L6" i="78"/>
  <c r="U8" i="78" l="1"/>
  <c r="U29" i="78"/>
  <c r="Y29" i="78"/>
  <c r="U30" i="78"/>
  <c r="Y30" i="78"/>
  <c r="U31" i="78"/>
  <c r="Y31" i="78"/>
  <c r="U32" i="78"/>
  <c r="Y32" i="78"/>
  <c r="U33" i="78"/>
  <c r="Y33" i="78"/>
  <c r="U34" i="78"/>
  <c r="Y34" i="78"/>
  <c r="U35" i="78"/>
  <c r="Y35" i="78"/>
  <c r="U36" i="78"/>
  <c r="Y36" i="78"/>
  <c r="U37" i="78"/>
  <c r="Y37" i="78"/>
  <c r="U38" i="78"/>
  <c r="Y38" i="78"/>
  <c r="U39" i="78"/>
  <c r="Y39" i="78"/>
  <c r="U40" i="78"/>
  <c r="Y40" i="78"/>
  <c r="U41" i="78"/>
  <c r="Y41" i="78"/>
  <c r="U42" i="78"/>
  <c r="Y42" i="78"/>
  <c r="U43" i="78"/>
  <c r="Y43" i="78"/>
  <c r="F16" i="83"/>
  <c r="E16" i="83"/>
  <c r="C16" i="83"/>
  <c r="D16" i="83"/>
  <c r="G16" i="83" s="1"/>
  <c r="H16" i="83" s="1"/>
  <c r="B17" i="83"/>
  <c r="B7" i="80"/>
  <c r="B8" i="79"/>
  <c r="Q8" i="79" s="1"/>
  <c r="F17" i="83" l="1"/>
  <c r="E17" i="83"/>
  <c r="C17" i="83"/>
  <c r="D17" i="83"/>
  <c r="G17" i="83" s="1"/>
  <c r="H17" i="83" s="1"/>
  <c r="AC43" i="78"/>
  <c r="AC42" i="78"/>
  <c r="AC41" i="78"/>
  <c r="AC40" i="78"/>
  <c r="AC39" i="78"/>
  <c r="AC38" i="78"/>
  <c r="AC37" i="78"/>
  <c r="AC36" i="78"/>
  <c r="AC35" i="78"/>
  <c r="AC34" i="78"/>
  <c r="AC33" i="78"/>
  <c r="AC32" i="78"/>
  <c r="AC31" i="78"/>
  <c r="AC30" i="78"/>
  <c r="AC29" i="78"/>
  <c r="B18" i="83"/>
  <c r="B8" i="80"/>
  <c r="B9" i="79"/>
  <c r="Q9" i="79" s="1"/>
  <c r="F18" i="83" l="1"/>
  <c r="E18" i="83"/>
  <c r="C18" i="83"/>
  <c r="D18" i="83"/>
  <c r="G18" i="83" s="1"/>
  <c r="H18" i="83" s="1"/>
  <c r="B19" i="83"/>
  <c r="B9" i="80"/>
  <c r="B10" i="79"/>
  <c r="Q10" i="79" s="1"/>
  <c r="F19" i="83" l="1"/>
  <c r="E19" i="83"/>
  <c r="C19" i="83"/>
  <c r="D19" i="83"/>
  <c r="G19" i="83" s="1"/>
  <c r="H19" i="83" s="1"/>
  <c r="B20" i="83"/>
  <c r="B10" i="80"/>
  <c r="B11" i="79"/>
  <c r="Q11" i="79" s="1"/>
  <c r="F20" i="83" l="1"/>
  <c r="E20" i="83"/>
  <c r="C20" i="83"/>
  <c r="D20" i="83"/>
  <c r="G20" i="83" s="1"/>
  <c r="H20" i="83" s="1"/>
  <c r="B21" i="83"/>
  <c r="B11" i="80"/>
  <c r="B12" i="79"/>
  <c r="Q12" i="79" s="1"/>
  <c r="F21" i="83" l="1"/>
  <c r="E21" i="83"/>
  <c r="C21" i="83"/>
  <c r="D21" i="83"/>
  <c r="G21" i="83" s="1"/>
  <c r="H21" i="83" s="1"/>
  <c r="B22" i="83"/>
  <c r="B12" i="80"/>
  <c r="B13" i="79"/>
  <c r="Q13" i="79" s="1"/>
  <c r="F22" i="83" l="1"/>
  <c r="E22" i="83"/>
  <c r="C22" i="83"/>
  <c r="D22" i="83"/>
  <c r="G22" i="83" s="1"/>
  <c r="H22" i="83" s="1"/>
  <c r="B23" i="83"/>
  <c r="B13" i="80"/>
  <c r="B14" i="79"/>
  <c r="Q14" i="79" s="1"/>
  <c r="F23" i="83" l="1"/>
  <c r="E23" i="83"/>
  <c r="C23" i="83"/>
  <c r="D23" i="83"/>
  <c r="G23" i="83" s="1"/>
  <c r="H23" i="83" s="1"/>
  <c r="B24" i="83"/>
  <c r="B14" i="80"/>
  <c r="B15" i="79"/>
  <c r="Q15" i="79" s="1"/>
  <c r="F24" i="83" l="1"/>
  <c r="E24" i="83"/>
  <c r="C24" i="83"/>
  <c r="D24" i="83"/>
  <c r="G24" i="83" s="1"/>
  <c r="H24" i="83" s="1"/>
  <c r="B25" i="83"/>
  <c r="B15" i="80"/>
  <c r="B16" i="79"/>
  <c r="Q16" i="79" s="1"/>
  <c r="F25" i="83" l="1"/>
  <c r="E25" i="83"/>
  <c r="C25" i="83"/>
  <c r="D25" i="83"/>
  <c r="G25" i="83" s="1"/>
  <c r="H25" i="83" s="1"/>
  <c r="B26" i="83"/>
  <c r="B16" i="80"/>
  <c r="B17" i="79"/>
  <c r="Q17" i="79" s="1"/>
  <c r="E26" i="83" l="1"/>
  <c r="C26" i="83"/>
  <c r="D26" i="83"/>
  <c r="F26" i="83"/>
  <c r="B27" i="83"/>
  <c r="B17" i="80"/>
  <c r="B18" i="79"/>
  <c r="Q18" i="79" s="1"/>
  <c r="E27" i="83" l="1"/>
  <c r="C27" i="83"/>
  <c r="D27" i="83"/>
  <c r="F27" i="83"/>
  <c r="G26" i="83"/>
  <c r="H26" i="83" s="1"/>
  <c r="B28" i="83"/>
  <c r="B18" i="80"/>
  <c r="B19" i="79"/>
  <c r="Q19" i="79" s="1"/>
  <c r="E28" i="83" l="1"/>
  <c r="C28" i="83"/>
  <c r="D28" i="83"/>
  <c r="F28" i="83"/>
  <c r="G27" i="83"/>
  <c r="H27" i="83" s="1"/>
  <c r="B29" i="83"/>
  <c r="B19" i="80"/>
  <c r="B20" i="79"/>
  <c r="Q20" i="79" s="1"/>
  <c r="E29" i="83" l="1"/>
  <c r="C29" i="83"/>
  <c r="D29" i="83"/>
  <c r="F29" i="83"/>
  <c r="G28" i="83"/>
  <c r="H28" i="83" s="1"/>
  <c r="B30" i="83"/>
  <c r="B20" i="80"/>
  <c r="B21" i="79"/>
  <c r="Q21" i="79" s="1"/>
  <c r="E30" i="83" l="1"/>
  <c r="C30" i="83"/>
  <c r="D30" i="83"/>
  <c r="F30" i="83"/>
  <c r="G29" i="83"/>
  <c r="H29" i="83" s="1"/>
  <c r="B31" i="83"/>
  <c r="B21" i="80"/>
  <c r="B22" i="79"/>
  <c r="Q22" i="79" s="1"/>
  <c r="E31" i="83" l="1"/>
  <c r="C31" i="83"/>
  <c r="D31" i="83"/>
  <c r="F31" i="83"/>
  <c r="G30" i="83"/>
  <c r="H30" i="83" s="1"/>
  <c r="B32" i="83"/>
  <c r="B22" i="80"/>
  <c r="B23" i="79"/>
  <c r="Q23" i="79" s="1"/>
  <c r="G31" i="83" l="1"/>
  <c r="H31" i="83" s="1"/>
  <c r="B33" i="83"/>
  <c r="B23" i="80"/>
  <c r="B24" i="79"/>
  <c r="Q24" i="79" s="1"/>
  <c r="B34" i="83" l="1"/>
  <c r="B24" i="80"/>
  <c r="B25" i="79"/>
  <c r="Q25" i="79" s="1"/>
  <c r="B35" i="83" l="1"/>
  <c r="B25" i="80"/>
  <c r="B26" i="79"/>
  <c r="Q26" i="79" s="1"/>
  <c r="S26" i="79" l="1"/>
  <c r="R26" i="79"/>
  <c r="B36" i="83"/>
  <c r="B26" i="80"/>
  <c r="B27" i="79"/>
  <c r="Q27" i="79" s="1"/>
  <c r="S27" i="79" l="1"/>
  <c r="R27" i="79"/>
  <c r="B37" i="83"/>
  <c r="B27" i="80"/>
  <c r="B28" i="79"/>
  <c r="Q28" i="79" s="1"/>
  <c r="S28" i="79" l="1"/>
  <c r="R28" i="79"/>
  <c r="B38" i="83"/>
  <c r="B28" i="80"/>
  <c r="B29" i="79"/>
  <c r="Q29" i="79" s="1"/>
  <c r="S29" i="79" l="1"/>
  <c r="R29" i="79"/>
  <c r="B39" i="83"/>
  <c r="B29" i="80"/>
  <c r="B30" i="79"/>
  <c r="Q30" i="79" s="1"/>
  <c r="S30" i="79" l="1"/>
  <c r="R30" i="79"/>
  <c r="B40" i="83"/>
  <c r="B30" i="80"/>
  <c r="B31" i="79"/>
  <c r="Q31" i="79" s="1"/>
  <c r="S31" i="79" l="1"/>
  <c r="R31" i="79"/>
  <c r="B41" i="83"/>
  <c r="B31" i="80"/>
  <c r="B32" i="79"/>
  <c r="Q32" i="79" s="1"/>
  <c r="S32" i="79" l="1"/>
  <c r="R32" i="79"/>
  <c r="B32" i="80"/>
  <c r="B33" i="79"/>
  <c r="Q33" i="79" s="1"/>
  <c r="S33" i="79" l="1"/>
  <c r="R33" i="79"/>
  <c r="B33" i="80"/>
  <c r="B34" i="79"/>
  <c r="Q34" i="79" s="1"/>
  <c r="S34" i="79" l="1"/>
  <c r="R34" i="79"/>
  <c r="B34" i="80"/>
  <c r="B35" i="79"/>
  <c r="Q35" i="79" s="1"/>
  <c r="S35" i="79" l="1"/>
  <c r="R35" i="79"/>
  <c r="B36" i="79"/>
  <c r="Q36" i="79" s="1"/>
  <c r="B35" i="80"/>
  <c r="B37" i="79"/>
  <c r="Q37" i="79" s="1"/>
  <c r="S37" i="79" l="1"/>
  <c r="R37" i="79"/>
  <c r="S36" i="79"/>
  <c r="R36" i="79"/>
  <c r="B38" i="79"/>
  <c r="Q38" i="79" s="1"/>
  <c r="S38" i="79" l="1"/>
  <c r="R38" i="79"/>
  <c r="B39" i="79"/>
  <c r="Q39" i="79" s="1"/>
  <c r="S39" i="79" l="1"/>
  <c r="R39" i="79"/>
  <c r="B40" i="79"/>
  <c r="Q40" i="79" s="1"/>
  <c r="L11" i="78"/>
  <c r="L10" i="78"/>
  <c r="B6" i="78"/>
  <c r="I60" i="77"/>
  <c r="J60" i="77"/>
  <c r="K60" i="77"/>
  <c r="L60" i="77"/>
  <c r="I61" i="77"/>
  <c r="J61" i="77"/>
  <c r="K61" i="77"/>
  <c r="L61" i="77"/>
  <c r="I73" i="77"/>
  <c r="I77" i="77" s="1"/>
  <c r="J73" i="77"/>
  <c r="J77" i="77" s="1"/>
  <c r="K73" i="77"/>
  <c r="L73" i="77"/>
  <c r="N26" i="76"/>
  <c r="L15" i="76"/>
  <c r="L11" i="76"/>
  <c r="L10" i="76"/>
  <c r="L6" i="76"/>
  <c r="L7" i="76"/>
  <c r="B6" i="76"/>
  <c r="B6" i="30"/>
  <c r="AA8" i="30"/>
  <c r="Q8" i="30"/>
  <c r="S40" i="79" l="1"/>
  <c r="R40" i="79"/>
  <c r="AG8" i="30"/>
  <c r="V8" i="30" a="1"/>
  <c r="V8" i="30" s="1"/>
  <c r="U8" i="30" a="1"/>
  <c r="U8" i="30" s="1"/>
  <c r="T8" i="30" a="1"/>
  <c r="T8" i="30" s="1"/>
  <c r="S8" i="30" a="1"/>
  <c r="S8" i="30" s="1"/>
  <c r="R8" i="30" a="1"/>
  <c r="R8" i="30" s="1"/>
  <c r="AF8" i="30" a="1"/>
  <c r="AF8" i="30" s="1"/>
  <c r="AE8" i="30" a="1"/>
  <c r="AE8" i="30" s="1"/>
  <c r="AD8" i="30" a="1"/>
  <c r="AD8" i="30" s="1"/>
  <c r="AC8" i="30" a="1"/>
  <c r="AC8" i="30" s="1"/>
  <c r="AB8" i="30" a="1"/>
  <c r="AB8" i="30" s="1"/>
  <c r="B7" i="76"/>
  <c r="U8" i="76"/>
  <c r="Y8" i="76"/>
  <c r="U29" i="76"/>
  <c r="Y29" i="76"/>
  <c r="U30" i="76"/>
  <c r="Y30" i="76"/>
  <c r="U31" i="76"/>
  <c r="Y31" i="76"/>
  <c r="U32" i="76"/>
  <c r="Y32" i="76"/>
  <c r="U33" i="76"/>
  <c r="Y33" i="76"/>
  <c r="U34" i="76"/>
  <c r="Y34" i="76"/>
  <c r="U35" i="76"/>
  <c r="Y35" i="76"/>
  <c r="U36" i="76"/>
  <c r="Y36" i="76"/>
  <c r="U37" i="76"/>
  <c r="Y37" i="76"/>
  <c r="U38" i="76"/>
  <c r="Y38" i="76"/>
  <c r="U39" i="76"/>
  <c r="Y39" i="76"/>
  <c r="U40" i="76"/>
  <c r="Y40" i="76"/>
  <c r="U41" i="76"/>
  <c r="Y41" i="76"/>
  <c r="U42" i="76"/>
  <c r="Y42" i="76"/>
  <c r="U43" i="76"/>
  <c r="Y43" i="76"/>
  <c r="M61" i="77"/>
  <c r="J47" i="80" s="1"/>
  <c r="M60" i="77"/>
  <c r="J46" i="80" s="1"/>
  <c r="L77" i="77"/>
  <c r="N31" i="83" s="1"/>
  <c r="K77" i="77"/>
  <c r="M73" i="77"/>
  <c r="J59" i="80" s="1"/>
  <c r="J68" i="77"/>
  <c r="L27" i="76" s="1"/>
  <c r="I68" i="77"/>
  <c r="L26" i="76" s="1"/>
  <c r="L68" i="77"/>
  <c r="L31" i="83" s="1"/>
  <c r="K68" i="77"/>
  <c r="N22" i="78"/>
  <c r="N17" i="78"/>
  <c r="L20" i="76"/>
  <c r="L23" i="78"/>
  <c r="N16" i="78"/>
  <c r="L17" i="78"/>
  <c r="L16" i="78"/>
  <c r="N20" i="76"/>
  <c r="N23" i="78"/>
  <c r="N29" i="78" s="1"/>
  <c r="L22" i="78"/>
  <c r="N27" i="76"/>
  <c r="L29" i="78"/>
  <c r="L28" i="78"/>
  <c r="L32" i="76"/>
  <c r="B7" i="78"/>
  <c r="AA9" i="30"/>
  <c r="Q9" i="30"/>
  <c r="AG9" i="30" l="1"/>
  <c r="V9" i="30" a="1"/>
  <c r="V9" i="30" s="1"/>
  <c r="U9" i="30" a="1"/>
  <c r="U9" i="30" s="1"/>
  <c r="T9" i="30" a="1"/>
  <c r="T9" i="30" s="1"/>
  <c r="S9" i="30" a="1"/>
  <c r="S9" i="30" s="1"/>
  <c r="R9" i="30" a="1"/>
  <c r="R9" i="30" s="1"/>
  <c r="AF9" i="30" a="1"/>
  <c r="AF9" i="30" s="1"/>
  <c r="AE9" i="30" a="1"/>
  <c r="AE9" i="30" s="1"/>
  <c r="AD9" i="30" a="1"/>
  <c r="AD9" i="30" s="1"/>
  <c r="AC9" i="30" a="1"/>
  <c r="AC9" i="30" s="1"/>
  <c r="AB9" i="30" a="1"/>
  <c r="AB9" i="30" s="1"/>
  <c r="AC43" i="76"/>
  <c r="AC42" i="76"/>
  <c r="AC41" i="76"/>
  <c r="AC40" i="76"/>
  <c r="AC39" i="76"/>
  <c r="AC38" i="76"/>
  <c r="AC37" i="76"/>
  <c r="AC36" i="76"/>
  <c r="AC35" i="76"/>
  <c r="AC34" i="76"/>
  <c r="AC33" i="76"/>
  <c r="AC32" i="76"/>
  <c r="AC31" i="76"/>
  <c r="AC30" i="76"/>
  <c r="AC29" i="76"/>
  <c r="B8" i="76"/>
  <c r="W28" i="76"/>
  <c r="W27" i="76"/>
  <c r="W26" i="76"/>
  <c r="W25" i="76"/>
  <c r="W24" i="76"/>
  <c r="W23" i="76"/>
  <c r="W22" i="76"/>
  <c r="W21" i="76"/>
  <c r="W20" i="76"/>
  <c r="W19" i="76"/>
  <c r="W18" i="76"/>
  <c r="W17" i="76"/>
  <c r="W16" i="76"/>
  <c r="W15" i="76"/>
  <c r="W14" i="76"/>
  <c r="W13" i="76"/>
  <c r="W12" i="76"/>
  <c r="W11" i="76"/>
  <c r="W10" i="76"/>
  <c r="W9" i="76"/>
  <c r="S28" i="78"/>
  <c r="S27" i="78"/>
  <c r="S26" i="78"/>
  <c r="S25" i="78"/>
  <c r="S24" i="78"/>
  <c r="S23" i="78"/>
  <c r="S22" i="78"/>
  <c r="S21" i="78"/>
  <c r="S20" i="78"/>
  <c r="S19" i="78"/>
  <c r="S18" i="78"/>
  <c r="S17" i="78"/>
  <c r="S16" i="78"/>
  <c r="S15" i="78"/>
  <c r="S14" i="78"/>
  <c r="S13" i="78"/>
  <c r="S12" i="78"/>
  <c r="S11" i="78"/>
  <c r="S10" i="78"/>
  <c r="S9" i="78"/>
  <c r="R28" i="78"/>
  <c r="R27" i="78"/>
  <c r="R26" i="78"/>
  <c r="R25" i="78"/>
  <c r="R24" i="78"/>
  <c r="R23" i="78"/>
  <c r="R22" i="78"/>
  <c r="R21" i="78"/>
  <c r="R20" i="78"/>
  <c r="R19" i="78"/>
  <c r="R18" i="78"/>
  <c r="R17" i="78"/>
  <c r="R16" i="78"/>
  <c r="R15" i="78"/>
  <c r="R14" i="78"/>
  <c r="R13" i="78"/>
  <c r="R12" i="78"/>
  <c r="R11" i="78"/>
  <c r="R10" i="78"/>
  <c r="R9" i="78"/>
  <c r="V28" i="78"/>
  <c r="V27" i="78"/>
  <c r="V26" i="78"/>
  <c r="V25" i="78"/>
  <c r="V24" i="78"/>
  <c r="V23" i="78"/>
  <c r="V22" i="78"/>
  <c r="V21" i="78"/>
  <c r="V20" i="78"/>
  <c r="V19" i="78"/>
  <c r="V18" i="78"/>
  <c r="V17" i="78"/>
  <c r="V16" i="78"/>
  <c r="V15" i="78"/>
  <c r="V14" i="78"/>
  <c r="V13" i="78"/>
  <c r="V12" i="78"/>
  <c r="V11" i="78"/>
  <c r="V10" i="78"/>
  <c r="V9" i="78"/>
  <c r="W28" i="78"/>
  <c r="W27" i="78"/>
  <c r="W26" i="78"/>
  <c r="W25" i="78"/>
  <c r="W24" i="78"/>
  <c r="W23" i="78"/>
  <c r="W22" i="78"/>
  <c r="W21" i="78"/>
  <c r="W20" i="78"/>
  <c r="W19" i="78"/>
  <c r="W18" i="78"/>
  <c r="W17" i="78"/>
  <c r="W16" i="78"/>
  <c r="W15" i="78"/>
  <c r="W14" i="78"/>
  <c r="W13" i="78"/>
  <c r="W12" i="78"/>
  <c r="W11" i="78"/>
  <c r="W10" i="78"/>
  <c r="W9" i="78"/>
  <c r="S28" i="76"/>
  <c r="AA28" i="76" s="1"/>
  <c r="S27" i="76"/>
  <c r="AA27" i="76" s="1"/>
  <c r="S26" i="76"/>
  <c r="AA26" i="76" s="1"/>
  <c r="S25" i="76"/>
  <c r="AA25" i="76" s="1"/>
  <c r="S24" i="76"/>
  <c r="AA24" i="76" s="1"/>
  <c r="S23" i="76"/>
  <c r="AA23" i="76" s="1"/>
  <c r="S22" i="76"/>
  <c r="AA22" i="76" s="1"/>
  <c r="S21" i="76"/>
  <c r="AA21" i="76" s="1"/>
  <c r="S20" i="76"/>
  <c r="AA20" i="76" s="1"/>
  <c r="S19" i="76"/>
  <c r="AA19" i="76" s="1"/>
  <c r="S18" i="76"/>
  <c r="AA18" i="76" s="1"/>
  <c r="S17" i="76"/>
  <c r="AA17" i="76" s="1"/>
  <c r="S16" i="76"/>
  <c r="AA16" i="76" s="1"/>
  <c r="S15" i="76"/>
  <c r="AA15" i="76" s="1"/>
  <c r="S14" i="76"/>
  <c r="AA14" i="76" s="1"/>
  <c r="S13" i="76"/>
  <c r="AA13" i="76" s="1"/>
  <c r="S12" i="76"/>
  <c r="AA12" i="76" s="1"/>
  <c r="S11" i="76"/>
  <c r="AA11" i="76" s="1"/>
  <c r="S10" i="76"/>
  <c r="AA10" i="76" s="1"/>
  <c r="S9" i="76"/>
  <c r="AA9" i="76" s="1"/>
  <c r="N28" i="78"/>
  <c r="O59" i="80"/>
  <c r="K59" i="80"/>
  <c r="L59" i="80"/>
  <c r="M59" i="80"/>
  <c r="N59" i="80"/>
  <c r="O46" i="80"/>
  <c r="N46" i="80"/>
  <c r="M46" i="80"/>
  <c r="L46" i="80"/>
  <c r="K46" i="80"/>
  <c r="O47" i="80"/>
  <c r="N47" i="80"/>
  <c r="M47" i="80"/>
  <c r="L47" i="80"/>
  <c r="K47" i="80"/>
  <c r="K63" i="80"/>
  <c r="I74" i="80" s="1"/>
  <c r="L63" i="80"/>
  <c r="J74" i="80" s="1"/>
  <c r="M63" i="80"/>
  <c r="K74" i="80" s="1"/>
  <c r="N63" i="80"/>
  <c r="L74" i="80" s="1"/>
  <c r="O63" i="80"/>
  <c r="M74" i="80" s="1"/>
  <c r="M68" i="77"/>
  <c r="M77" i="77"/>
  <c r="AA8" i="76"/>
  <c r="N32" i="76"/>
  <c r="N21" i="76"/>
  <c r="L21" i="76"/>
  <c r="B8" i="78"/>
  <c r="AA10" i="30"/>
  <c r="Q10" i="30"/>
  <c r="AG10" i="30" l="1"/>
  <c r="V10" i="30" a="1"/>
  <c r="V10" i="30" s="1"/>
  <c r="U10" i="30" a="1"/>
  <c r="U10" i="30" s="1"/>
  <c r="T10" i="30" a="1"/>
  <c r="T10" i="30" s="1"/>
  <c r="S10" i="30" a="1"/>
  <c r="S10" i="30" s="1"/>
  <c r="R10" i="30" a="1"/>
  <c r="R10" i="30" s="1"/>
  <c r="AF10" i="30" a="1"/>
  <c r="AF10" i="30" s="1"/>
  <c r="AE10" i="30" a="1"/>
  <c r="AE10" i="30" s="1"/>
  <c r="AD10" i="30" a="1"/>
  <c r="AD10" i="30" s="1"/>
  <c r="AC10" i="30" a="1"/>
  <c r="AC10" i="30" s="1"/>
  <c r="AB10" i="30" a="1"/>
  <c r="AB10" i="30" s="1"/>
  <c r="B9" i="76"/>
  <c r="V28" i="76"/>
  <c r="V27" i="76"/>
  <c r="V26" i="76"/>
  <c r="V25" i="76"/>
  <c r="V24" i="76"/>
  <c r="V23" i="76"/>
  <c r="V22" i="76"/>
  <c r="V21" i="76"/>
  <c r="V20" i="76"/>
  <c r="V19" i="76"/>
  <c r="V18" i="76"/>
  <c r="V17" i="76"/>
  <c r="V16" i="76"/>
  <c r="V15" i="76"/>
  <c r="V14" i="76"/>
  <c r="V13" i="76"/>
  <c r="V12" i="76"/>
  <c r="V11" i="76"/>
  <c r="V10" i="76"/>
  <c r="V9" i="76"/>
  <c r="Y9" i="78"/>
  <c r="F6" i="78" s="1"/>
  <c r="X9" i="78"/>
  <c r="E6" i="78" s="1"/>
  <c r="Y10" i="78"/>
  <c r="F7" i="78" s="1"/>
  <c r="X10" i="78"/>
  <c r="E7" i="78" s="1"/>
  <c r="Y11" i="78"/>
  <c r="F8" i="78" s="1"/>
  <c r="X11" i="78"/>
  <c r="E8" i="78" s="1"/>
  <c r="Y12" i="78"/>
  <c r="X12" i="78"/>
  <c r="Y13" i="78"/>
  <c r="X13" i="78"/>
  <c r="Y14" i="78"/>
  <c r="X14" i="78"/>
  <c r="Y15" i="78"/>
  <c r="X15" i="78"/>
  <c r="Y16" i="78"/>
  <c r="X16" i="78"/>
  <c r="Y17" i="78"/>
  <c r="X17" i="78"/>
  <c r="Y18" i="78"/>
  <c r="X18" i="78"/>
  <c r="Y19" i="78"/>
  <c r="X19" i="78"/>
  <c r="Y20" i="78"/>
  <c r="X20" i="78"/>
  <c r="Y21" i="78"/>
  <c r="X21" i="78"/>
  <c r="Y22" i="78"/>
  <c r="X22" i="78"/>
  <c r="Y23" i="78"/>
  <c r="X23" i="78"/>
  <c r="Y24" i="78"/>
  <c r="X24" i="78"/>
  <c r="Y25" i="78"/>
  <c r="X25" i="78"/>
  <c r="Y26" i="78"/>
  <c r="X26" i="78"/>
  <c r="Y27" i="78"/>
  <c r="X27" i="78"/>
  <c r="Y28" i="78"/>
  <c r="X28" i="78"/>
  <c r="Z9" i="78"/>
  <c r="R6" i="79" s="1"/>
  <c r="U9" i="78"/>
  <c r="T9" i="78"/>
  <c r="C6" i="78" s="1"/>
  <c r="Z10" i="78"/>
  <c r="R7" i="79" s="1"/>
  <c r="U10" i="78"/>
  <c r="T10" i="78"/>
  <c r="C7" i="78" s="1"/>
  <c r="Z11" i="78"/>
  <c r="R8" i="79" s="1"/>
  <c r="U11" i="78"/>
  <c r="T11" i="78"/>
  <c r="C8" i="78" s="1"/>
  <c r="Z12" i="78"/>
  <c r="R9" i="79" s="1"/>
  <c r="U12" i="78"/>
  <c r="AC12" i="78" s="1"/>
  <c r="T12" i="78"/>
  <c r="Z13" i="78"/>
  <c r="R10" i="79" s="1"/>
  <c r="U13" i="78"/>
  <c r="AC13" i="78" s="1"/>
  <c r="T13" i="78"/>
  <c r="Z14" i="78"/>
  <c r="R11" i="79" s="1"/>
  <c r="U14" i="78"/>
  <c r="AC14" i="78" s="1"/>
  <c r="T14" i="78"/>
  <c r="Z15" i="78"/>
  <c r="R12" i="79" s="1"/>
  <c r="U15" i="78"/>
  <c r="AC15" i="78" s="1"/>
  <c r="T15" i="78"/>
  <c r="Z16" i="78"/>
  <c r="R13" i="79" s="1"/>
  <c r="U16" i="78"/>
  <c r="AC16" i="78" s="1"/>
  <c r="T16" i="78"/>
  <c r="Z17" i="78"/>
  <c r="R14" i="79" s="1"/>
  <c r="U17" i="78"/>
  <c r="AC17" i="78" s="1"/>
  <c r="T17" i="78"/>
  <c r="Z18" i="78"/>
  <c r="R15" i="79" s="1"/>
  <c r="U18" i="78"/>
  <c r="AC18" i="78" s="1"/>
  <c r="T18" i="78"/>
  <c r="Z19" i="78"/>
  <c r="R16" i="79" s="1"/>
  <c r="U19" i="78"/>
  <c r="AC19" i="78" s="1"/>
  <c r="T19" i="78"/>
  <c r="Z20" i="78"/>
  <c r="R17" i="79" s="1"/>
  <c r="U20" i="78"/>
  <c r="AC20" i="78" s="1"/>
  <c r="T20" i="78"/>
  <c r="Z21" i="78"/>
  <c r="R18" i="79" s="1"/>
  <c r="U21" i="78"/>
  <c r="AC21" i="78" s="1"/>
  <c r="T21" i="78"/>
  <c r="Z22" i="78"/>
  <c r="R19" i="79" s="1"/>
  <c r="U22" i="78"/>
  <c r="AC22" i="78" s="1"/>
  <c r="T22" i="78"/>
  <c r="Z23" i="78"/>
  <c r="R20" i="79" s="1"/>
  <c r="U23" i="78"/>
  <c r="AC23" i="78" s="1"/>
  <c r="T23" i="78"/>
  <c r="Z24" i="78"/>
  <c r="R21" i="79" s="1"/>
  <c r="U24" i="78"/>
  <c r="AC24" i="78" s="1"/>
  <c r="T24" i="78"/>
  <c r="Z25" i="78"/>
  <c r="R22" i="79" s="1"/>
  <c r="U25" i="78"/>
  <c r="AC25" i="78" s="1"/>
  <c r="T25" i="78"/>
  <c r="Z26" i="78"/>
  <c r="R23" i="79" s="1"/>
  <c r="U26" i="78"/>
  <c r="AC26" i="78" s="1"/>
  <c r="T26" i="78"/>
  <c r="Z27" i="78"/>
  <c r="R24" i="79" s="1"/>
  <c r="U27" i="78"/>
  <c r="AC27" i="78" s="1"/>
  <c r="T27" i="78"/>
  <c r="Z28" i="78"/>
  <c r="R25" i="79" s="1"/>
  <c r="U28" i="78"/>
  <c r="AC28" i="78" s="1"/>
  <c r="T28" i="78"/>
  <c r="AA9" i="78"/>
  <c r="S6" i="79" s="1"/>
  <c r="AA10" i="78"/>
  <c r="S7" i="79" s="1"/>
  <c r="AA11" i="78"/>
  <c r="S8" i="79" s="1"/>
  <c r="AA12" i="78"/>
  <c r="S9" i="79" s="1"/>
  <c r="AA13" i="78"/>
  <c r="S10" i="79" s="1"/>
  <c r="AA14" i="78"/>
  <c r="S11" i="79" s="1"/>
  <c r="AA15" i="78"/>
  <c r="S12" i="79" s="1"/>
  <c r="AA16" i="78"/>
  <c r="S13" i="79" s="1"/>
  <c r="AA17" i="78"/>
  <c r="S14" i="79" s="1"/>
  <c r="AA18" i="78"/>
  <c r="S15" i="79" s="1"/>
  <c r="AA19" i="78"/>
  <c r="S16" i="79" s="1"/>
  <c r="AA20" i="78"/>
  <c r="S17" i="79" s="1"/>
  <c r="AA21" i="78"/>
  <c r="S18" i="79" s="1"/>
  <c r="AA22" i="78"/>
  <c r="S19" i="79" s="1"/>
  <c r="AA23" i="78"/>
  <c r="S20" i="79" s="1"/>
  <c r="AA24" i="78"/>
  <c r="S21" i="79" s="1"/>
  <c r="AA25" i="78"/>
  <c r="S22" i="79" s="1"/>
  <c r="AA26" i="78"/>
  <c r="S23" i="79" s="1"/>
  <c r="AA27" i="78"/>
  <c r="S24" i="79" s="1"/>
  <c r="AA28" i="78"/>
  <c r="S25" i="79" s="1"/>
  <c r="R28" i="76"/>
  <c r="R27" i="76"/>
  <c r="R26" i="76"/>
  <c r="R25" i="76"/>
  <c r="R24" i="76"/>
  <c r="R23" i="76"/>
  <c r="R22" i="76"/>
  <c r="R21" i="76"/>
  <c r="R20" i="76"/>
  <c r="R19" i="76"/>
  <c r="R18" i="76"/>
  <c r="R17" i="76"/>
  <c r="R16" i="76"/>
  <c r="R15" i="76"/>
  <c r="R14" i="76"/>
  <c r="R13" i="76"/>
  <c r="R12" i="76"/>
  <c r="R11" i="76"/>
  <c r="R10" i="76"/>
  <c r="R9" i="76"/>
  <c r="O54" i="80"/>
  <c r="M68" i="80" s="1"/>
  <c r="N54" i="80"/>
  <c r="L68" i="80" s="1"/>
  <c r="M54" i="80"/>
  <c r="K68" i="80" s="1"/>
  <c r="L54" i="80"/>
  <c r="J68" i="80" s="1"/>
  <c r="K54" i="80"/>
  <c r="I68" i="80" s="1"/>
  <c r="M75" i="80"/>
  <c r="L75" i="80"/>
  <c r="K75" i="80"/>
  <c r="J75" i="80"/>
  <c r="I75" i="80"/>
  <c r="Y8" i="78"/>
  <c r="X8" i="78"/>
  <c r="T8" i="78"/>
  <c r="Z8" i="78"/>
  <c r="AA8" i="78"/>
  <c r="L33" i="76"/>
  <c r="N33" i="76"/>
  <c r="B9" i="78"/>
  <c r="AA11" i="30"/>
  <c r="Q11" i="30"/>
  <c r="AG11" i="30" l="1"/>
  <c r="V11" i="30" a="1"/>
  <c r="V11" i="30" s="1"/>
  <c r="U11" i="30" a="1"/>
  <c r="U11" i="30" s="1"/>
  <c r="T11" i="30" a="1"/>
  <c r="T11" i="30" s="1"/>
  <c r="S11" i="30" a="1"/>
  <c r="S11" i="30" s="1"/>
  <c r="R11" i="30" a="1"/>
  <c r="R11" i="30" s="1"/>
  <c r="AF11" i="30" a="1"/>
  <c r="AF11" i="30" s="1"/>
  <c r="AE11" i="30" a="1"/>
  <c r="AE11" i="30" s="1"/>
  <c r="AD11" i="30" a="1"/>
  <c r="AD11" i="30" s="1"/>
  <c r="AC11" i="30" a="1"/>
  <c r="AC11" i="30" s="1"/>
  <c r="AB11" i="30" a="1"/>
  <c r="AB11" i="30" s="1"/>
  <c r="C9" i="78"/>
  <c r="D9" i="78"/>
  <c r="E9" i="78"/>
  <c r="F9" i="78"/>
  <c r="AC11" i="78"/>
  <c r="D8" i="78"/>
  <c r="G8" i="78" s="1"/>
  <c r="AC10" i="78"/>
  <c r="D7" i="78"/>
  <c r="G7" i="78" s="1"/>
  <c r="AC9" i="78"/>
  <c r="D6" i="78"/>
  <c r="G6" i="78" s="1"/>
  <c r="B10" i="76"/>
  <c r="AE39" i="80"/>
  <c r="AE38" i="80"/>
  <c r="AE37" i="80"/>
  <c r="AE36" i="80"/>
  <c r="AE35" i="80"/>
  <c r="AE34" i="80"/>
  <c r="AE33" i="80"/>
  <c r="AE32" i="80"/>
  <c r="AE31" i="80"/>
  <c r="AE30" i="80"/>
  <c r="AE29" i="80"/>
  <c r="AE28" i="80"/>
  <c r="AE27" i="80"/>
  <c r="AE26" i="80"/>
  <c r="AE25" i="80"/>
  <c r="AE24" i="80"/>
  <c r="AE23" i="80"/>
  <c r="AE22" i="80"/>
  <c r="AE21" i="80"/>
  <c r="AE20" i="80"/>
  <c r="AF39" i="80"/>
  <c r="AF38" i="80"/>
  <c r="AF37" i="80"/>
  <c r="AF36" i="80"/>
  <c r="AF35" i="80"/>
  <c r="AF34" i="80"/>
  <c r="AF33" i="80"/>
  <c r="AF32" i="80"/>
  <c r="AF31" i="80"/>
  <c r="AF30" i="80"/>
  <c r="AF29" i="80"/>
  <c r="AF28" i="80"/>
  <c r="AF27" i="80"/>
  <c r="AF26" i="80"/>
  <c r="AF25" i="80"/>
  <c r="AF24" i="80"/>
  <c r="AF23" i="80"/>
  <c r="AF22" i="80"/>
  <c r="AF21" i="80"/>
  <c r="AF20" i="80"/>
  <c r="AG39" i="80"/>
  <c r="AG38" i="80"/>
  <c r="AG37" i="80"/>
  <c r="AG36" i="80"/>
  <c r="AG35" i="80"/>
  <c r="AG34" i="80"/>
  <c r="AG33" i="80"/>
  <c r="AG32" i="80"/>
  <c r="AG31" i="80"/>
  <c r="AG30" i="80"/>
  <c r="AG29" i="80"/>
  <c r="AG28" i="80"/>
  <c r="AG27" i="80"/>
  <c r="AG26" i="80"/>
  <c r="AG25" i="80"/>
  <c r="AG24" i="80"/>
  <c r="AG23" i="80"/>
  <c r="AG22" i="80"/>
  <c r="AG21" i="80"/>
  <c r="AG20" i="80"/>
  <c r="AH39" i="80"/>
  <c r="AH38" i="80"/>
  <c r="AH37" i="80"/>
  <c r="AH36" i="80"/>
  <c r="AH35" i="80"/>
  <c r="AH34" i="80"/>
  <c r="AH33" i="80"/>
  <c r="AH32" i="80"/>
  <c r="AH31" i="80"/>
  <c r="AH30" i="80"/>
  <c r="AH29" i="80"/>
  <c r="AH28" i="80"/>
  <c r="AH27" i="80"/>
  <c r="AH26" i="80"/>
  <c r="AH25" i="80"/>
  <c r="AH24" i="80"/>
  <c r="AH23" i="80"/>
  <c r="AH22" i="80"/>
  <c r="AH21" i="80"/>
  <c r="AH20" i="80"/>
  <c r="AI39" i="80"/>
  <c r="AI38" i="80"/>
  <c r="AI37" i="80"/>
  <c r="AI36" i="80"/>
  <c r="AI35" i="80"/>
  <c r="AI34" i="80"/>
  <c r="AI33" i="80"/>
  <c r="AI32" i="80"/>
  <c r="AI31" i="80"/>
  <c r="AI30" i="80"/>
  <c r="AI29" i="80"/>
  <c r="AI28" i="80"/>
  <c r="AI27" i="80"/>
  <c r="AI26" i="80"/>
  <c r="AI25" i="80"/>
  <c r="AI24" i="80"/>
  <c r="AI23" i="80"/>
  <c r="AI22" i="80"/>
  <c r="AI21" i="80"/>
  <c r="AI20" i="80"/>
  <c r="AB28" i="78"/>
  <c r="AB27" i="78"/>
  <c r="AB26" i="78"/>
  <c r="AB25" i="78"/>
  <c r="AB24" i="78"/>
  <c r="AB23" i="78"/>
  <c r="AB22" i="78"/>
  <c r="AB21" i="78"/>
  <c r="AB20" i="78"/>
  <c r="AB19" i="78"/>
  <c r="AB18" i="78"/>
  <c r="AB17" i="78"/>
  <c r="AB16" i="78"/>
  <c r="AB15" i="78"/>
  <c r="AB14" i="78"/>
  <c r="AB13" i="78"/>
  <c r="AB12" i="78"/>
  <c r="AB11" i="78"/>
  <c r="AB10" i="78"/>
  <c r="AB9" i="78"/>
  <c r="Y9" i="76"/>
  <c r="F6" i="76" s="1"/>
  <c r="X9" i="76"/>
  <c r="E6" i="76" s="1"/>
  <c r="Y10" i="76"/>
  <c r="F7" i="76" s="1"/>
  <c r="X10" i="76"/>
  <c r="E7" i="76" s="1"/>
  <c r="Y11" i="76"/>
  <c r="F8" i="76" s="1"/>
  <c r="X11" i="76"/>
  <c r="E8" i="76" s="1"/>
  <c r="Y12" i="76"/>
  <c r="F9" i="76" s="1"/>
  <c r="X12" i="76"/>
  <c r="E9" i="76" s="1"/>
  <c r="Y13" i="76"/>
  <c r="X13" i="76"/>
  <c r="Y14" i="76"/>
  <c r="X14" i="76"/>
  <c r="Y15" i="76"/>
  <c r="X15" i="76"/>
  <c r="Y16" i="76"/>
  <c r="X16" i="76"/>
  <c r="Y17" i="76"/>
  <c r="X17" i="76"/>
  <c r="Y18" i="76"/>
  <c r="X18" i="76"/>
  <c r="Y19" i="76"/>
  <c r="X19" i="76"/>
  <c r="Y20" i="76"/>
  <c r="X20" i="76"/>
  <c r="Y21" i="76"/>
  <c r="X21" i="76"/>
  <c r="Y22" i="76"/>
  <c r="X22" i="76"/>
  <c r="Y23" i="76"/>
  <c r="X23" i="76"/>
  <c r="Y24" i="76"/>
  <c r="X24" i="76"/>
  <c r="Y25" i="76"/>
  <c r="X25" i="76"/>
  <c r="Y26" i="76"/>
  <c r="X26" i="76"/>
  <c r="Y27" i="76"/>
  <c r="X27" i="76"/>
  <c r="Y28" i="76"/>
  <c r="X28" i="76"/>
  <c r="Z9" i="76"/>
  <c r="U9" i="76"/>
  <c r="T9" i="76"/>
  <c r="C6" i="76" s="1"/>
  <c r="Z10" i="76"/>
  <c r="U10" i="76"/>
  <c r="T10" i="76"/>
  <c r="Z11" i="76"/>
  <c r="U11" i="76"/>
  <c r="T11" i="76"/>
  <c r="Z12" i="76"/>
  <c r="U12" i="76"/>
  <c r="T12" i="76"/>
  <c r="Z13" i="76"/>
  <c r="U13" i="76"/>
  <c r="T13" i="76"/>
  <c r="Z14" i="76"/>
  <c r="U14" i="76"/>
  <c r="T14" i="76"/>
  <c r="Z15" i="76"/>
  <c r="U15" i="76"/>
  <c r="T15" i="76"/>
  <c r="Z16" i="76"/>
  <c r="U16" i="76"/>
  <c r="T16" i="76"/>
  <c r="Z17" i="76"/>
  <c r="U17" i="76"/>
  <c r="T17" i="76"/>
  <c r="Z18" i="76"/>
  <c r="U18" i="76"/>
  <c r="T18" i="76"/>
  <c r="Z19" i="76"/>
  <c r="U19" i="76"/>
  <c r="T19" i="76"/>
  <c r="Z20" i="76"/>
  <c r="U20" i="76"/>
  <c r="T20" i="76"/>
  <c r="Z21" i="76"/>
  <c r="U21" i="76"/>
  <c r="T21" i="76"/>
  <c r="Z22" i="76"/>
  <c r="U22" i="76"/>
  <c r="T22" i="76"/>
  <c r="Z23" i="76"/>
  <c r="U23" i="76"/>
  <c r="T23" i="76"/>
  <c r="Z24" i="76"/>
  <c r="U24" i="76"/>
  <c r="T24" i="76"/>
  <c r="Z25" i="76"/>
  <c r="U25" i="76"/>
  <c r="T25" i="76"/>
  <c r="Z26" i="76"/>
  <c r="U26" i="76"/>
  <c r="T26" i="76"/>
  <c r="Z27" i="76"/>
  <c r="U27" i="76"/>
  <c r="T27" i="76"/>
  <c r="Z28" i="76"/>
  <c r="U28" i="76"/>
  <c r="T28" i="76"/>
  <c r="I69" i="80"/>
  <c r="J69" i="80"/>
  <c r="K69" i="80"/>
  <c r="L69" i="80"/>
  <c r="M69" i="80"/>
  <c r="Z8" i="76"/>
  <c r="T8" i="76"/>
  <c r="AC8" i="78"/>
  <c r="AB8" i="78"/>
  <c r="B10" i="78"/>
  <c r="AA12" i="30"/>
  <c r="Q12" i="30"/>
  <c r="AG12" i="30" l="1"/>
  <c r="V12" i="30" a="1"/>
  <c r="V12" i="30" s="1"/>
  <c r="U12" i="30" a="1"/>
  <c r="U12" i="30" s="1"/>
  <c r="T12" i="30" a="1"/>
  <c r="T12" i="30" s="1"/>
  <c r="S12" i="30" a="1"/>
  <c r="S12" i="30" s="1"/>
  <c r="R12" i="30" a="1"/>
  <c r="R12" i="30" s="1"/>
  <c r="AF12" i="30" a="1"/>
  <c r="AF12" i="30" s="1"/>
  <c r="AE12" i="30" a="1"/>
  <c r="AE12" i="30" s="1"/>
  <c r="AD12" i="30" a="1"/>
  <c r="AD12" i="30" s="1"/>
  <c r="AC12" i="30" a="1"/>
  <c r="AC12" i="30" s="1"/>
  <c r="AB12" i="30" a="1"/>
  <c r="AB12" i="30" s="1"/>
  <c r="C10" i="78"/>
  <c r="D10" i="78"/>
  <c r="E10" i="78"/>
  <c r="F10" i="78"/>
  <c r="E10" i="76"/>
  <c r="F10" i="76"/>
  <c r="B11" i="76"/>
  <c r="G9" i="78"/>
  <c r="AB28" i="76"/>
  <c r="AC28" i="76"/>
  <c r="AB27" i="76"/>
  <c r="AC27" i="76"/>
  <c r="AB26" i="76"/>
  <c r="AC26" i="76"/>
  <c r="AB25" i="76"/>
  <c r="AC25" i="76"/>
  <c r="AB24" i="76"/>
  <c r="AC24" i="76"/>
  <c r="AB23" i="76"/>
  <c r="AC23" i="76"/>
  <c r="AB22" i="76"/>
  <c r="AC22" i="76"/>
  <c r="AB21" i="76"/>
  <c r="AC21" i="76"/>
  <c r="AB20" i="76"/>
  <c r="AC20" i="76"/>
  <c r="AB19" i="76"/>
  <c r="AC19" i="76"/>
  <c r="AB18" i="76"/>
  <c r="AC18" i="76"/>
  <c r="AB17" i="76"/>
  <c r="AC17" i="76"/>
  <c r="AB16" i="76"/>
  <c r="AC16" i="76"/>
  <c r="AB15" i="76"/>
  <c r="AC15" i="76"/>
  <c r="AB14" i="76"/>
  <c r="C11" i="76"/>
  <c r="AC14" i="76"/>
  <c r="D11" i="76"/>
  <c r="AB13" i="76"/>
  <c r="C10" i="76"/>
  <c r="AC13" i="76"/>
  <c r="D10" i="76"/>
  <c r="G10" i="76" s="1"/>
  <c r="AB12" i="76"/>
  <c r="C9" i="76"/>
  <c r="AC12" i="76"/>
  <c r="D9" i="76"/>
  <c r="G9" i="76" s="1"/>
  <c r="AB11" i="76"/>
  <c r="C8" i="76"/>
  <c r="AC11" i="76"/>
  <c r="D8" i="76"/>
  <c r="G8" i="76" s="1"/>
  <c r="AB10" i="76"/>
  <c r="C7" i="76"/>
  <c r="AC10" i="76"/>
  <c r="D7" i="76"/>
  <c r="G7" i="76" s="1"/>
  <c r="AC9" i="76"/>
  <c r="D6" i="76"/>
  <c r="G6" i="76" s="1"/>
  <c r="AC39" i="80"/>
  <c r="AC38" i="80"/>
  <c r="AC37" i="80"/>
  <c r="AC36" i="80"/>
  <c r="AC35" i="80"/>
  <c r="AC34" i="80"/>
  <c r="AC33" i="80"/>
  <c r="AC32" i="80"/>
  <c r="AC31" i="80"/>
  <c r="AC30" i="80"/>
  <c r="AC29" i="80"/>
  <c r="AC28" i="80"/>
  <c r="AC27" i="80"/>
  <c r="AC26" i="80"/>
  <c r="AC25" i="80"/>
  <c r="AC24" i="80"/>
  <c r="AC23" i="80"/>
  <c r="AC22" i="80"/>
  <c r="AC21" i="80"/>
  <c r="AC20" i="80"/>
  <c r="AB39" i="80"/>
  <c r="AB38" i="80"/>
  <c r="AB37" i="80"/>
  <c r="AB36" i="80"/>
  <c r="AB35" i="80"/>
  <c r="AB34" i="80"/>
  <c r="AB33" i="80"/>
  <c r="AB32" i="80"/>
  <c r="AB31" i="80"/>
  <c r="AB30" i="80"/>
  <c r="AB29" i="80"/>
  <c r="AB28" i="80"/>
  <c r="AB27" i="80"/>
  <c r="AB26" i="80"/>
  <c r="AB25" i="80"/>
  <c r="AB24" i="80"/>
  <c r="AB23" i="80"/>
  <c r="AB22" i="80"/>
  <c r="AB21" i="80"/>
  <c r="AB20" i="80"/>
  <c r="AA39" i="80"/>
  <c r="AA38" i="80"/>
  <c r="AA37" i="80"/>
  <c r="AA36" i="80"/>
  <c r="AA35" i="80"/>
  <c r="AA34" i="80"/>
  <c r="AA33" i="80"/>
  <c r="AA32" i="80"/>
  <c r="AA31" i="80"/>
  <c r="AA30" i="80"/>
  <c r="AA29" i="80"/>
  <c r="AA28" i="80"/>
  <c r="AA27" i="80"/>
  <c r="AA26" i="80"/>
  <c r="AA25" i="80"/>
  <c r="AA24" i="80"/>
  <c r="AA23" i="80"/>
  <c r="AA22" i="80"/>
  <c r="AA21" i="80"/>
  <c r="AA20" i="80"/>
  <c r="Z39" i="80"/>
  <c r="Z38" i="80"/>
  <c r="Z37" i="80"/>
  <c r="Z36" i="80"/>
  <c r="Z35" i="80"/>
  <c r="Z34" i="80"/>
  <c r="Z33" i="80"/>
  <c r="Z32" i="80"/>
  <c r="Z31" i="80"/>
  <c r="Z30" i="80"/>
  <c r="Z29" i="80"/>
  <c r="Z28" i="80"/>
  <c r="Z27" i="80"/>
  <c r="Z26" i="80"/>
  <c r="Z25" i="80"/>
  <c r="Z24" i="80"/>
  <c r="Z23" i="80"/>
  <c r="Z22" i="80"/>
  <c r="Z21" i="80"/>
  <c r="Z20" i="80"/>
  <c r="Y39" i="80"/>
  <c r="Y38" i="80"/>
  <c r="Y37" i="80"/>
  <c r="Y36" i="80"/>
  <c r="Y35" i="80"/>
  <c r="Y34" i="80"/>
  <c r="Y33" i="80"/>
  <c r="Y32" i="80"/>
  <c r="Y31" i="80"/>
  <c r="Y30" i="80"/>
  <c r="Y29" i="80"/>
  <c r="Y28" i="80"/>
  <c r="Y27" i="80"/>
  <c r="Y26" i="80"/>
  <c r="Y25" i="80"/>
  <c r="Y24" i="80"/>
  <c r="Y23" i="80"/>
  <c r="Y22" i="80"/>
  <c r="Y21" i="80"/>
  <c r="Y20" i="80"/>
  <c r="AB9" i="76"/>
  <c r="H8" i="76"/>
  <c r="H7" i="76"/>
  <c r="AB8" i="76"/>
  <c r="AC8" i="76"/>
  <c r="B11" i="78"/>
  <c r="AA13" i="30"/>
  <c r="Q13" i="30"/>
  <c r="AG13" i="30" l="1"/>
  <c r="V13" i="30" a="1"/>
  <c r="V13" i="30" s="1"/>
  <c r="U13" i="30" a="1"/>
  <c r="U13" i="30" s="1"/>
  <c r="T13" i="30" a="1"/>
  <c r="T13" i="30" s="1"/>
  <c r="S13" i="30" a="1"/>
  <c r="S13" i="30" s="1"/>
  <c r="R13" i="30" a="1"/>
  <c r="R13" i="30" s="1"/>
  <c r="AF13" i="30" a="1"/>
  <c r="AF13" i="30" s="1"/>
  <c r="AE13" i="30" a="1"/>
  <c r="AE13" i="30" s="1"/>
  <c r="AD13" i="30" a="1"/>
  <c r="AD13" i="30" s="1"/>
  <c r="AC13" i="30" a="1"/>
  <c r="AC13" i="30" s="1"/>
  <c r="AB13" i="30" a="1"/>
  <c r="AB13" i="30" s="1"/>
  <c r="C11" i="78"/>
  <c r="D11" i="78"/>
  <c r="E11" i="78"/>
  <c r="F11" i="78"/>
  <c r="E11" i="76"/>
  <c r="F11" i="76"/>
  <c r="G11" i="76" s="1"/>
  <c r="B12" i="76"/>
  <c r="G10" i="78"/>
  <c r="H9" i="76"/>
  <c r="B12" i="78"/>
  <c r="AA14" i="30"/>
  <c r="Q14" i="30"/>
  <c r="AG14" i="30" l="1"/>
  <c r="V14" i="30" a="1"/>
  <c r="V14" i="30" s="1"/>
  <c r="U14" i="30" a="1"/>
  <c r="U14" i="30" s="1"/>
  <c r="T14" i="30" a="1"/>
  <c r="T14" i="30" s="1"/>
  <c r="S14" i="30" a="1"/>
  <c r="S14" i="30" s="1"/>
  <c r="R14" i="30" a="1"/>
  <c r="R14" i="30" s="1"/>
  <c r="AF14" i="30" a="1"/>
  <c r="AF14" i="30" s="1"/>
  <c r="AE14" i="30" a="1"/>
  <c r="AE14" i="30" s="1"/>
  <c r="AD14" i="30" a="1"/>
  <c r="AD14" i="30" s="1"/>
  <c r="AC14" i="30" a="1"/>
  <c r="AC14" i="30" s="1"/>
  <c r="AB14" i="30" a="1"/>
  <c r="AB14" i="30" s="1"/>
  <c r="C12" i="78"/>
  <c r="D12" i="78"/>
  <c r="E12" i="78"/>
  <c r="F12" i="78"/>
  <c r="E12" i="76"/>
  <c r="F12" i="76"/>
  <c r="B13" i="76"/>
  <c r="C12" i="76"/>
  <c r="D12" i="76"/>
  <c r="G12" i="76" s="1"/>
  <c r="G11" i="78"/>
  <c r="H10" i="76"/>
  <c r="B13" i="78"/>
  <c r="AA15" i="30"/>
  <c r="Q15" i="30"/>
  <c r="AG15" i="30" l="1"/>
  <c r="V15" i="30" a="1"/>
  <c r="V15" i="30" s="1"/>
  <c r="U15" i="30" a="1"/>
  <c r="U15" i="30" s="1"/>
  <c r="T15" i="30" a="1"/>
  <c r="T15" i="30" s="1"/>
  <c r="S15" i="30" a="1"/>
  <c r="S15" i="30" s="1"/>
  <c r="R15" i="30" a="1"/>
  <c r="R15" i="30" s="1"/>
  <c r="AF15" i="30" a="1"/>
  <c r="AF15" i="30" s="1"/>
  <c r="AE15" i="30" a="1"/>
  <c r="AE15" i="30" s="1"/>
  <c r="AD15" i="30" a="1"/>
  <c r="AD15" i="30" s="1"/>
  <c r="AC15" i="30" a="1"/>
  <c r="AC15" i="30" s="1"/>
  <c r="AB15" i="30" a="1"/>
  <c r="AB15" i="30" s="1"/>
  <c r="C13" i="78"/>
  <c r="D13" i="78"/>
  <c r="E13" i="78"/>
  <c r="F13" i="78"/>
  <c r="E13" i="76"/>
  <c r="F13" i="76"/>
  <c r="B14" i="76"/>
  <c r="C13" i="76"/>
  <c r="D13" i="76"/>
  <c r="G13" i="76" s="1"/>
  <c r="G12" i="78"/>
  <c r="H11" i="76"/>
  <c r="B14" i="78"/>
  <c r="AA16" i="30"/>
  <c r="Q16" i="30"/>
  <c r="AG16" i="30" l="1"/>
  <c r="V16" i="30" a="1"/>
  <c r="V16" i="30" s="1"/>
  <c r="U16" i="30" a="1"/>
  <c r="U16" i="30" s="1"/>
  <c r="T16" i="30" a="1"/>
  <c r="T16" i="30" s="1"/>
  <c r="S16" i="30" a="1"/>
  <c r="S16" i="30" s="1"/>
  <c r="R16" i="30" a="1"/>
  <c r="R16" i="30" s="1"/>
  <c r="AF16" i="30" a="1"/>
  <c r="AF16" i="30" s="1"/>
  <c r="AE16" i="30" a="1"/>
  <c r="AE16" i="30" s="1"/>
  <c r="AD16" i="30" a="1"/>
  <c r="AD16" i="30" s="1"/>
  <c r="AC16" i="30" a="1"/>
  <c r="AC16" i="30" s="1"/>
  <c r="AB16" i="30" a="1"/>
  <c r="AB16" i="30" s="1"/>
  <c r="C14" i="78"/>
  <c r="D14" i="78"/>
  <c r="E14" i="78"/>
  <c r="F14" i="78"/>
  <c r="E14" i="76"/>
  <c r="F14" i="76"/>
  <c r="B15" i="76"/>
  <c r="C14" i="76"/>
  <c r="D14" i="76"/>
  <c r="G14" i="76" s="1"/>
  <c r="G13" i="78"/>
  <c r="H12" i="76"/>
  <c r="B15" i="78"/>
  <c r="AA17" i="30"/>
  <c r="Q17" i="30"/>
  <c r="AG17" i="30" l="1"/>
  <c r="V17" i="30" a="1"/>
  <c r="V17" i="30" s="1"/>
  <c r="U17" i="30" a="1"/>
  <c r="U17" i="30" s="1"/>
  <c r="T17" i="30" a="1"/>
  <c r="T17" i="30" s="1"/>
  <c r="S17" i="30" a="1"/>
  <c r="S17" i="30" s="1"/>
  <c r="R17" i="30" a="1"/>
  <c r="R17" i="30" s="1"/>
  <c r="AF17" i="30" a="1"/>
  <c r="AF17" i="30" s="1"/>
  <c r="AE17" i="30" a="1"/>
  <c r="AE17" i="30" s="1"/>
  <c r="AD17" i="30" a="1"/>
  <c r="AD17" i="30" s="1"/>
  <c r="AC17" i="30" a="1"/>
  <c r="AC17" i="30" s="1"/>
  <c r="AB17" i="30" a="1"/>
  <c r="AB17" i="30" s="1"/>
  <c r="C15" i="78"/>
  <c r="D15" i="78"/>
  <c r="E15" i="78"/>
  <c r="F15" i="78"/>
  <c r="E15" i="76"/>
  <c r="F15" i="76"/>
  <c r="B16" i="76"/>
  <c r="C15" i="76"/>
  <c r="D15" i="76"/>
  <c r="G15" i="76" s="1"/>
  <c r="G14" i="78"/>
  <c r="H13" i="76"/>
  <c r="B16" i="78"/>
  <c r="AA18" i="30"/>
  <c r="Q18" i="30"/>
  <c r="AG18" i="30" l="1"/>
  <c r="V18" i="30" a="1"/>
  <c r="V18" i="30" s="1"/>
  <c r="U18" i="30" a="1"/>
  <c r="U18" i="30" s="1"/>
  <c r="T18" i="30" a="1"/>
  <c r="T18" i="30" s="1"/>
  <c r="S18" i="30" a="1"/>
  <c r="S18" i="30" s="1"/>
  <c r="R18" i="30" a="1"/>
  <c r="R18" i="30" s="1"/>
  <c r="AF18" i="30" a="1"/>
  <c r="AF18" i="30" s="1"/>
  <c r="AE18" i="30" a="1"/>
  <c r="AE18" i="30" s="1"/>
  <c r="AD18" i="30" a="1"/>
  <c r="AD18" i="30" s="1"/>
  <c r="AC18" i="30" a="1"/>
  <c r="AC18" i="30" s="1"/>
  <c r="AB18" i="30" a="1"/>
  <c r="AB18" i="30" s="1"/>
  <c r="C16" i="78"/>
  <c r="D16" i="78"/>
  <c r="E16" i="78"/>
  <c r="F16" i="78"/>
  <c r="E16" i="76"/>
  <c r="F16" i="76"/>
  <c r="B17" i="76"/>
  <c r="C16" i="76"/>
  <c r="D16" i="76"/>
  <c r="G16" i="76" s="1"/>
  <c r="G15" i="78"/>
  <c r="H14" i="76"/>
  <c r="B17" i="78"/>
  <c r="AA19" i="30"/>
  <c r="Q19" i="30"/>
  <c r="AG19" i="30" l="1"/>
  <c r="V19" i="30" a="1"/>
  <c r="V19" i="30" s="1"/>
  <c r="U19" i="30" a="1"/>
  <c r="U19" i="30" s="1"/>
  <c r="T19" i="30" a="1"/>
  <c r="T19" i="30" s="1"/>
  <c r="S19" i="30" a="1"/>
  <c r="S19" i="30" s="1"/>
  <c r="R19" i="30" a="1"/>
  <c r="R19" i="30" s="1"/>
  <c r="AF19" i="30" a="1"/>
  <c r="AF19" i="30" s="1"/>
  <c r="AE19" i="30" a="1"/>
  <c r="AE19" i="30" s="1"/>
  <c r="AD19" i="30" a="1"/>
  <c r="AD19" i="30" s="1"/>
  <c r="AC19" i="30" a="1"/>
  <c r="AC19" i="30" s="1"/>
  <c r="AB19" i="30" a="1"/>
  <c r="AB19" i="30" s="1"/>
  <c r="C17" i="78"/>
  <c r="D17" i="78"/>
  <c r="E17" i="78"/>
  <c r="F17" i="78"/>
  <c r="E17" i="76"/>
  <c r="F17" i="76"/>
  <c r="B18" i="76"/>
  <c r="C17" i="76"/>
  <c r="D17" i="76"/>
  <c r="G17" i="76" s="1"/>
  <c r="G16" i="78"/>
  <c r="H15" i="76"/>
  <c r="B18" i="78"/>
  <c r="AA20" i="30"/>
  <c r="Q20" i="30"/>
  <c r="AG20" i="30" l="1"/>
  <c r="V20" i="30" a="1"/>
  <c r="V20" i="30" s="1"/>
  <c r="U20" i="30" a="1"/>
  <c r="U20" i="30" s="1"/>
  <c r="T20" i="30" a="1"/>
  <c r="T20" i="30" s="1"/>
  <c r="S20" i="30" a="1"/>
  <c r="S20" i="30" s="1"/>
  <c r="R20" i="30" a="1"/>
  <c r="R20" i="30" s="1"/>
  <c r="AF20" i="30" a="1"/>
  <c r="AF20" i="30" s="1"/>
  <c r="AE20" i="30" a="1"/>
  <c r="AE20" i="30" s="1"/>
  <c r="AD20" i="30" a="1"/>
  <c r="AD20" i="30" s="1"/>
  <c r="AC20" i="30" a="1"/>
  <c r="AC20" i="30" s="1"/>
  <c r="AB20" i="30" a="1"/>
  <c r="AB20" i="30" s="1"/>
  <c r="C18" i="78"/>
  <c r="D18" i="78"/>
  <c r="E18" i="78"/>
  <c r="F18" i="78"/>
  <c r="E18" i="76"/>
  <c r="F18" i="76"/>
  <c r="B19" i="76"/>
  <c r="C18" i="76"/>
  <c r="D18" i="76"/>
  <c r="G18" i="76" s="1"/>
  <c r="G17" i="78"/>
  <c r="H16" i="76"/>
  <c r="B19" i="78"/>
  <c r="AA21" i="30"/>
  <c r="Q21" i="30"/>
  <c r="AG21" i="30" l="1"/>
  <c r="V21" i="30" a="1"/>
  <c r="V21" i="30" s="1"/>
  <c r="U21" i="30" a="1"/>
  <c r="U21" i="30" s="1"/>
  <c r="T21" i="30" a="1"/>
  <c r="T21" i="30" s="1"/>
  <c r="S21" i="30" a="1"/>
  <c r="S21" i="30" s="1"/>
  <c r="R21" i="30" a="1"/>
  <c r="R21" i="30" s="1"/>
  <c r="AF21" i="30" a="1"/>
  <c r="AF21" i="30" s="1"/>
  <c r="AE21" i="30" a="1"/>
  <c r="AE21" i="30" s="1"/>
  <c r="AD21" i="30" a="1"/>
  <c r="AD21" i="30" s="1"/>
  <c r="AC21" i="30" a="1"/>
  <c r="AC21" i="30" s="1"/>
  <c r="AB21" i="30" a="1"/>
  <c r="AB21" i="30" s="1"/>
  <c r="C19" i="78"/>
  <c r="D19" i="78"/>
  <c r="E19" i="78"/>
  <c r="F19" i="78"/>
  <c r="E19" i="76"/>
  <c r="F19" i="76"/>
  <c r="B20" i="76"/>
  <c r="C19" i="76"/>
  <c r="D19" i="76"/>
  <c r="G19" i="76" s="1"/>
  <c r="G18" i="78"/>
  <c r="H17" i="76"/>
  <c r="B20" i="78"/>
  <c r="AA22" i="30"/>
  <c r="Q22" i="30"/>
  <c r="AG22" i="30" l="1"/>
  <c r="V22" i="30" a="1"/>
  <c r="V22" i="30" s="1"/>
  <c r="U22" i="30" a="1"/>
  <c r="U22" i="30" s="1"/>
  <c r="T22" i="30" a="1"/>
  <c r="T22" i="30" s="1"/>
  <c r="S22" i="30" a="1"/>
  <c r="S22" i="30" s="1"/>
  <c r="R22" i="30" a="1"/>
  <c r="R22" i="30" s="1"/>
  <c r="AF22" i="30" a="1"/>
  <c r="AF22" i="30" s="1"/>
  <c r="AE22" i="30" a="1"/>
  <c r="AE22" i="30" s="1"/>
  <c r="AD22" i="30" a="1"/>
  <c r="AD22" i="30" s="1"/>
  <c r="AC22" i="30" a="1"/>
  <c r="AC22" i="30" s="1"/>
  <c r="AB22" i="30" a="1"/>
  <c r="AB22" i="30" s="1"/>
  <c r="C20" i="78"/>
  <c r="D20" i="78"/>
  <c r="E20" i="78"/>
  <c r="F20" i="78"/>
  <c r="E20" i="76"/>
  <c r="F20" i="76"/>
  <c r="B21" i="76"/>
  <c r="C20" i="76"/>
  <c r="D20" i="76"/>
  <c r="G20" i="76" s="1"/>
  <c r="G19" i="78"/>
  <c r="H18" i="76"/>
  <c r="B21" i="78"/>
  <c r="AA23" i="30"/>
  <c r="Q23" i="30"/>
  <c r="AG23" i="30" l="1"/>
  <c r="V23" i="30" a="1"/>
  <c r="V23" i="30" s="1"/>
  <c r="U23" i="30" a="1"/>
  <c r="U23" i="30" s="1"/>
  <c r="T23" i="30" a="1"/>
  <c r="T23" i="30" s="1"/>
  <c r="S23" i="30" a="1"/>
  <c r="S23" i="30" s="1"/>
  <c r="R23" i="30" a="1"/>
  <c r="R23" i="30" s="1"/>
  <c r="AF23" i="30" a="1"/>
  <c r="AF23" i="30" s="1"/>
  <c r="AE23" i="30" a="1"/>
  <c r="AE23" i="30" s="1"/>
  <c r="AD23" i="30" a="1"/>
  <c r="AD23" i="30" s="1"/>
  <c r="AC23" i="30" a="1"/>
  <c r="AC23" i="30" s="1"/>
  <c r="AB23" i="30" a="1"/>
  <c r="AB23" i="30" s="1"/>
  <c r="C21" i="78"/>
  <c r="D21" i="78"/>
  <c r="E21" i="78"/>
  <c r="F21" i="78"/>
  <c r="E21" i="76"/>
  <c r="F21" i="76"/>
  <c r="B22" i="76"/>
  <c r="C21" i="76"/>
  <c r="D21" i="76"/>
  <c r="G21" i="76" s="1"/>
  <c r="G20" i="78"/>
  <c r="H19" i="76"/>
  <c r="B22" i="78"/>
  <c r="AA24" i="30"/>
  <c r="Q24" i="30"/>
  <c r="AG24" i="30" l="1"/>
  <c r="V24" i="30" a="1"/>
  <c r="V24" i="30" s="1"/>
  <c r="U24" i="30" a="1"/>
  <c r="U24" i="30" s="1"/>
  <c r="T24" i="30" a="1"/>
  <c r="T24" i="30" s="1"/>
  <c r="S24" i="30" a="1"/>
  <c r="S24" i="30" s="1"/>
  <c r="R24" i="30" a="1"/>
  <c r="R24" i="30" s="1"/>
  <c r="AF24" i="30" a="1"/>
  <c r="AF24" i="30" s="1"/>
  <c r="AE24" i="30" a="1"/>
  <c r="AE24" i="30" s="1"/>
  <c r="AD24" i="30" a="1"/>
  <c r="AD24" i="30" s="1"/>
  <c r="AC24" i="30" a="1"/>
  <c r="AC24" i="30" s="1"/>
  <c r="AB24" i="30" a="1"/>
  <c r="AB24" i="30" s="1"/>
  <c r="C22" i="78"/>
  <c r="D22" i="78"/>
  <c r="E22" i="78"/>
  <c r="F22" i="78"/>
  <c r="E22" i="76"/>
  <c r="F22" i="76"/>
  <c r="B23" i="76"/>
  <c r="C22" i="76"/>
  <c r="D22" i="76"/>
  <c r="G22" i="76" s="1"/>
  <c r="G21" i="78"/>
  <c r="H20" i="76"/>
  <c r="B23" i="78"/>
  <c r="AA25" i="30"/>
  <c r="Q25" i="30"/>
  <c r="AG25" i="30" l="1"/>
  <c r="V25" i="30" a="1"/>
  <c r="V25" i="30" s="1"/>
  <c r="U25" i="30" a="1"/>
  <c r="U25" i="30" s="1"/>
  <c r="T25" i="30" a="1"/>
  <c r="T25" i="30" s="1"/>
  <c r="S25" i="30" a="1"/>
  <c r="S25" i="30" s="1"/>
  <c r="R25" i="30" a="1"/>
  <c r="R25" i="30" s="1"/>
  <c r="AF25" i="30" a="1"/>
  <c r="AF25" i="30" s="1"/>
  <c r="AE25" i="30" a="1"/>
  <c r="AE25" i="30" s="1"/>
  <c r="AD25" i="30" a="1"/>
  <c r="AD25" i="30" s="1"/>
  <c r="AC25" i="30" a="1"/>
  <c r="AC25" i="30" s="1"/>
  <c r="AB25" i="30" a="1"/>
  <c r="AB25" i="30" s="1"/>
  <c r="C23" i="78"/>
  <c r="D23" i="78"/>
  <c r="E23" i="78"/>
  <c r="F23" i="78"/>
  <c r="E23" i="76"/>
  <c r="F23" i="76"/>
  <c r="B24" i="76"/>
  <c r="C23" i="76"/>
  <c r="D23" i="76"/>
  <c r="G23" i="76" s="1"/>
  <c r="G22" i="78"/>
  <c r="H21" i="76"/>
  <c r="B24" i="78"/>
  <c r="AA26" i="30"/>
  <c r="Q26" i="30"/>
  <c r="AG26" i="30" l="1"/>
  <c r="V26" i="30" a="1"/>
  <c r="V26" i="30" s="1"/>
  <c r="U26" i="30" a="1"/>
  <c r="U26" i="30" s="1"/>
  <c r="T26" i="30" a="1"/>
  <c r="T26" i="30" s="1"/>
  <c r="S26" i="30" a="1"/>
  <c r="S26" i="30" s="1"/>
  <c r="R26" i="30" a="1"/>
  <c r="R26" i="30" s="1"/>
  <c r="AF26" i="30" a="1"/>
  <c r="AF26" i="30" s="1"/>
  <c r="AE26" i="30" a="1"/>
  <c r="AE26" i="30" s="1"/>
  <c r="AD26" i="30" a="1"/>
  <c r="AD26" i="30" s="1"/>
  <c r="AC26" i="30" a="1"/>
  <c r="AC26" i="30" s="1"/>
  <c r="AB26" i="30" a="1"/>
  <c r="AB26" i="30" s="1"/>
  <c r="C24" i="78"/>
  <c r="D24" i="78"/>
  <c r="E24" i="78"/>
  <c r="F24" i="78"/>
  <c r="E24" i="76"/>
  <c r="F24" i="76"/>
  <c r="B25" i="76"/>
  <c r="C24" i="76"/>
  <c r="D24" i="76"/>
  <c r="G24" i="76" s="1"/>
  <c r="G23" i="78"/>
  <c r="H22" i="76"/>
  <c r="B25" i="78"/>
  <c r="AA27" i="30"/>
  <c r="Q27" i="30"/>
  <c r="AG27" i="30" l="1"/>
  <c r="V27" i="30" a="1"/>
  <c r="V27" i="30" s="1"/>
  <c r="U27" i="30" a="1"/>
  <c r="U27" i="30" s="1"/>
  <c r="T27" i="30" a="1"/>
  <c r="T27" i="30" s="1"/>
  <c r="S27" i="30" a="1"/>
  <c r="S27" i="30" s="1"/>
  <c r="R27" i="30" a="1"/>
  <c r="R27" i="30" s="1"/>
  <c r="AF27" i="30" a="1"/>
  <c r="AF27" i="30" s="1"/>
  <c r="AE27" i="30" a="1"/>
  <c r="AE27" i="30" s="1"/>
  <c r="AD27" i="30" a="1"/>
  <c r="AD27" i="30" s="1"/>
  <c r="AC27" i="30" a="1"/>
  <c r="AC27" i="30" s="1"/>
  <c r="AB27" i="30" a="1"/>
  <c r="AB27" i="30" s="1"/>
  <c r="C25" i="78"/>
  <c r="D25" i="78"/>
  <c r="E25" i="78"/>
  <c r="F25" i="78"/>
  <c r="E25" i="76"/>
  <c r="F25" i="76"/>
  <c r="B26" i="76"/>
  <c r="C25" i="76"/>
  <c r="D25" i="76"/>
  <c r="G25" i="76" s="1"/>
  <c r="G24" i="78"/>
  <c r="H23" i="76"/>
  <c r="B26" i="78"/>
  <c r="AA28" i="30"/>
  <c r="Q28" i="30"/>
  <c r="AG28" i="30" l="1"/>
  <c r="V28" i="30" a="1"/>
  <c r="V28" i="30" s="1"/>
  <c r="U28" i="30" a="1"/>
  <c r="U28" i="30" s="1"/>
  <c r="T28" i="30" a="1"/>
  <c r="T28" i="30" s="1"/>
  <c r="S28" i="30" a="1"/>
  <c r="S28" i="30" s="1"/>
  <c r="R28" i="30" a="1"/>
  <c r="R28" i="30" s="1"/>
  <c r="AF28" i="30" a="1"/>
  <c r="AF28" i="30" s="1"/>
  <c r="AE28" i="30" a="1"/>
  <c r="AE28" i="30" s="1"/>
  <c r="AD28" i="30" a="1"/>
  <c r="AD28" i="30" s="1"/>
  <c r="AC28" i="30" a="1"/>
  <c r="AC28" i="30" s="1"/>
  <c r="AB28" i="30" a="1"/>
  <c r="AB28" i="30" s="1"/>
  <c r="C26" i="78"/>
  <c r="D26" i="78"/>
  <c r="E26" i="78"/>
  <c r="F26" i="78"/>
  <c r="E26" i="76"/>
  <c r="F26" i="76"/>
  <c r="B27" i="76"/>
  <c r="C26" i="76"/>
  <c r="D26" i="76"/>
  <c r="G26" i="76" s="1"/>
  <c r="G25" i="78"/>
  <c r="H24" i="76"/>
  <c r="B27" i="78"/>
  <c r="AA29" i="30"/>
  <c r="Q29" i="30"/>
  <c r="AG29" i="30" l="1"/>
  <c r="V29" i="30" a="1"/>
  <c r="V29" i="30" s="1"/>
  <c r="U29" i="30" a="1"/>
  <c r="U29" i="30" s="1"/>
  <c r="T29" i="30" a="1"/>
  <c r="T29" i="30" s="1"/>
  <c r="S29" i="30" a="1"/>
  <c r="S29" i="30" s="1"/>
  <c r="R29" i="30" a="1"/>
  <c r="R29" i="30" s="1"/>
  <c r="AF29" i="30" a="1"/>
  <c r="AF29" i="30" s="1"/>
  <c r="AE29" i="30" a="1"/>
  <c r="AE29" i="30" s="1"/>
  <c r="AD29" i="30" a="1"/>
  <c r="AD29" i="30" s="1"/>
  <c r="AC29" i="30" a="1"/>
  <c r="AC29" i="30" s="1"/>
  <c r="AB29" i="30" a="1"/>
  <c r="AB29" i="30" s="1"/>
  <c r="C27" i="78"/>
  <c r="D27" i="78"/>
  <c r="E27" i="78"/>
  <c r="F27" i="78"/>
  <c r="E27" i="76"/>
  <c r="F27" i="76"/>
  <c r="B28" i="76"/>
  <c r="C27" i="76"/>
  <c r="D27" i="76"/>
  <c r="G27" i="76" s="1"/>
  <c r="G26" i="78"/>
  <c r="B28" i="78"/>
  <c r="AA30" i="30"/>
  <c r="Q30" i="30"/>
  <c r="AG30" i="30" l="1"/>
  <c r="V30" i="30" a="1"/>
  <c r="V30" i="30" s="1"/>
  <c r="U30" i="30" a="1"/>
  <c r="U30" i="30" s="1"/>
  <c r="T30" i="30" a="1"/>
  <c r="T30" i="30" s="1"/>
  <c r="S30" i="30" a="1"/>
  <c r="S30" i="30" s="1"/>
  <c r="R30" i="30" a="1"/>
  <c r="R30" i="30" s="1"/>
  <c r="AF30" i="30" a="1"/>
  <c r="AF30" i="30" s="1"/>
  <c r="AE30" i="30" a="1"/>
  <c r="AE30" i="30" s="1"/>
  <c r="AD30" i="30" a="1"/>
  <c r="AD30" i="30" s="1"/>
  <c r="AC30" i="30" a="1"/>
  <c r="AC30" i="30" s="1"/>
  <c r="AB30" i="30" a="1"/>
  <c r="AB30" i="30" s="1"/>
  <c r="C28" i="78"/>
  <c r="D28" i="78"/>
  <c r="E28" i="78"/>
  <c r="F28" i="78"/>
  <c r="E28" i="76"/>
  <c r="F28" i="76"/>
  <c r="B29" i="76"/>
  <c r="C28" i="76"/>
  <c r="D28" i="76"/>
  <c r="G28" i="76" s="1"/>
  <c r="G27" i="78"/>
  <c r="H25" i="76"/>
  <c r="B29" i="78"/>
  <c r="AA31" i="30"/>
  <c r="Q31" i="30"/>
  <c r="AG31" i="30" l="1"/>
  <c r="V31" i="30" a="1"/>
  <c r="V31" i="30" s="1"/>
  <c r="U31" i="30" a="1"/>
  <c r="U31" i="30" s="1"/>
  <c r="T31" i="30" a="1"/>
  <c r="T31" i="30" s="1"/>
  <c r="S31" i="30" a="1"/>
  <c r="S31" i="30" s="1"/>
  <c r="R31" i="30" a="1"/>
  <c r="R31" i="30" s="1"/>
  <c r="AF31" i="30" a="1"/>
  <c r="AF31" i="30" s="1"/>
  <c r="AE31" i="30" a="1"/>
  <c r="AE31" i="30" s="1"/>
  <c r="AD31" i="30" a="1"/>
  <c r="AD31" i="30" s="1"/>
  <c r="AC31" i="30" a="1"/>
  <c r="AC31" i="30" s="1"/>
  <c r="AB31" i="30" a="1"/>
  <c r="AB31" i="30" s="1"/>
  <c r="C29" i="78"/>
  <c r="D29" i="78"/>
  <c r="E29" i="78"/>
  <c r="F29" i="78"/>
  <c r="E29" i="76"/>
  <c r="F29" i="76"/>
  <c r="B30" i="76"/>
  <c r="C29" i="76"/>
  <c r="D29" i="76"/>
  <c r="G29" i="76" s="1"/>
  <c r="G28" i="78"/>
  <c r="H26" i="76"/>
  <c r="B30" i="78"/>
  <c r="AA32" i="30"/>
  <c r="Q32" i="30"/>
  <c r="AG32" i="30" l="1"/>
  <c r="V32" i="30" a="1"/>
  <c r="V32" i="30" s="1"/>
  <c r="U32" i="30" a="1"/>
  <c r="U32" i="30" s="1"/>
  <c r="T32" i="30" a="1"/>
  <c r="T32" i="30" s="1"/>
  <c r="S32" i="30" a="1"/>
  <c r="S32" i="30" s="1"/>
  <c r="R32" i="30" a="1"/>
  <c r="R32" i="30" s="1"/>
  <c r="AF32" i="30" a="1"/>
  <c r="AF32" i="30" s="1"/>
  <c r="AE32" i="30" a="1"/>
  <c r="AE32" i="30" s="1"/>
  <c r="AD32" i="30" a="1"/>
  <c r="AD32" i="30" s="1"/>
  <c r="AC32" i="30" a="1"/>
  <c r="AC32" i="30" s="1"/>
  <c r="AB32" i="30" a="1"/>
  <c r="AB32" i="30" s="1"/>
  <c r="C30" i="78"/>
  <c r="D30" i="78"/>
  <c r="E30" i="78"/>
  <c r="F30" i="78"/>
  <c r="E30" i="76"/>
  <c r="F30" i="76"/>
  <c r="B31" i="76"/>
  <c r="C30" i="76"/>
  <c r="D30" i="76"/>
  <c r="G30" i="76" s="1"/>
  <c r="G29" i="78"/>
  <c r="H27" i="76"/>
  <c r="B31" i="78"/>
  <c r="AA33" i="30"/>
  <c r="Q33" i="30"/>
  <c r="AG33" i="30" l="1"/>
  <c r="V33" i="30" a="1"/>
  <c r="V33" i="30" s="1"/>
  <c r="U33" i="30" a="1"/>
  <c r="U33" i="30" s="1"/>
  <c r="T33" i="30" a="1"/>
  <c r="T33" i="30" s="1"/>
  <c r="S33" i="30" a="1"/>
  <c r="S33" i="30" s="1"/>
  <c r="R33" i="30" a="1"/>
  <c r="R33" i="30" s="1"/>
  <c r="AF33" i="30" a="1"/>
  <c r="AF33" i="30" s="1"/>
  <c r="AE33" i="30" a="1"/>
  <c r="AE33" i="30" s="1"/>
  <c r="AD33" i="30" a="1"/>
  <c r="AD33" i="30" s="1"/>
  <c r="AC33" i="30" a="1"/>
  <c r="AC33" i="30" s="1"/>
  <c r="AB33" i="30" a="1"/>
  <c r="AB33" i="30" s="1"/>
  <c r="C31" i="78"/>
  <c r="D31" i="78"/>
  <c r="E31" i="78"/>
  <c r="F31" i="78"/>
  <c r="E31" i="76"/>
  <c r="F31" i="76"/>
  <c r="B32" i="76"/>
  <c r="C31" i="76"/>
  <c r="D31" i="76"/>
  <c r="G31" i="76" s="1"/>
  <c r="G30" i="78"/>
  <c r="H28" i="76"/>
  <c r="B32" i="78"/>
  <c r="AA34" i="30"/>
  <c r="Q34" i="30"/>
  <c r="AG34" i="30" l="1"/>
  <c r="V34" i="30" a="1"/>
  <c r="V34" i="30" s="1"/>
  <c r="U34" i="30" a="1"/>
  <c r="U34" i="30" s="1"/>
  <c r="T34" i="30" a="1"/>
  <c r="T34" i="30" s="1"/>
  <c r="S34" i="30" a="1"/>
  <c r="S34" i="30" s="1"/>
  <c r="R34" i="30" a="1"/>
  <c r="R34" i="30" s="1"/>
  <c r="AF34" i="30" a="1"/>
  <c r="AF34" i="30" s="1"/>
  <c r="AE34" i="30" a="1"/>
  <c r="AE34" i="30" s="1"/>
  <c r="AD34" i="30" a="1"/>
  <c r="AD34" i="30" s="1"/>
  <c r="AC34" i="30" a="1"/>
  <c r="AC34" i="30" s="1"/>
  <c r="AB34" i="30" a="1"/>
  <c r="AB34" i="30" s="1"/>
  <c r="C32" i="78"/>
  <c r="D32" i="78"/>
  <c r="E32" i="78"/>
  <c r="F32" i="78"/>
  <c r="E32" i="76"/>
  <c r="F32" i="76"/>
  <c r="B33" i="76"/>
  <c r="C32" i="76"/>
  <c r="D32" i="76"/>
  <c r="G32" i="76" s="1"/>
  <c r="G31" i="78"/>
  <c r="H29" i="76"/>
  <c r="B33" i="78"/>
  <c r="AA35" i="30"/>
  <c r="Q35" i="30"/>
  <c r="AG35" i="30" l="1"/>
  <c r="V35" i="30" a="1"/>
  <c r="V35" i="30" s="1"/>
  <c r="U35" i="30" a="1"/>
  <c r="U35" i="30" s="1"/>
  <c r="T35" i="30" a="1"/>
  <c r="T35" i="30" s="1"/>
  <c r="S35" i="30" a="1"/>
  <c r="S35" i="30" s="1"/>
  <c r="R35" i="30" a="1"/>
  <c r="R35" i="30" s="1"/>
  <c r="AF35" i="30" a="1"/>
  <c r="AF35" i="30" s="1"/>
  <c r="AE35" i="30" a="1"/>
  <c r="AE35" i="30" s="1"/>
  <c r="AD35" i="30" a="1"/>
  <c r="AD35" i="30" s="1"/>
  <c r="AC35" i="30" a="1"/>
  <c r="AC35" i="30" s="1"/>
  <c r="AB35" i="30" a="1"/>
  <c r="AB35" i="30" s="1"/>
  <c r="C33" i="78"/>
  <c r="D33" i="78"/>
  <c r="E33" i="78"/>
  <c r="F33" i="78"/>
  <c r="E33" i="76"/>
  <c r="F33" i="76"/>
  <c r="B34" i="76"/>
  <c r="C33" i="76"/>
  <c r="D33" i="76"/>
  <c r="G33" i="76" s="1"/>
  <c r="G32" i="78"/>
  <c r="H30" i="76"/>
  <c r="B34" i="78"/>
  <c r="AA36" i="30"/>
  <c r="Q36" i="30"/>
  <c r="AG36" i="30" l="1"/>
  <c r="V36" i="30" a="1"/>
  <c r="V36" i="30" s="1"/>
  <c r="U36" i="30" a="1"/>
  <c r="U36" i="30" s="1"/>
  <c r="T36" i="30" a="1"/>
  <c r="T36" i="30" s="1"/>
  <c r="S36" i="30" a="1"/>
  <c r="S36" i="30" s="1"/>
  <c r="R36" i="30" a="1"/>
  <c r="R36" i="30" s="1"/>
  <c r="AF36" i="30" a="1"/>
  <c r="AF36" i="30" s="1"/>
  <c r="AE36" i="30" a="1"/>
  <c r="AE36" i="30" s="1"/>
  <c r="AD36" i="30" a="1"/>
  <c r="AD36" i="30" s="1"/>
  <c r="AC36" i="30" a="1"/>
  <c r="AC36" i="30" s="1"/>
  <c r="AB36" i="30" a="1"/>
  <c r="AB36" i="30" s="1"/>
  <c r="C34" i="78"/>
  <c r="D34" i="78"/>
  <c r="E34" i="78"/>
  <c r="F34" i="78"/>
  <c r="E34" i="76"/>
  <c r="F34" i="76"/>
  <c r="B35" i="76"/>
  <c r="C34" i="76"/>
  <c r="D34" i="76"/>
  <c r="G34" i="76" s="1"/>
  <c r="G33" i="78"/>
  <c r="H31" i="76"/>
  <c r="Q37" i="30"/>
  <c r="AA37" i="30"/>
  <c r="AA38" i="30"/>
  <c r="Q38" i="30"/>
  <c r="B35" i="78"/>
  <c r="C35" i="78" l="1"/>
  <c r="D35" i="78"/>
  <c r="E35" i="78"/>
  <c r="F35" i="78"/>
  <c r="AG38" i="30"/>
  <c r="V38" i="30" a="1"/>
  <c r="V38" i="30" s="1"/>
  <c r="U38" i="30" a="1"/>
  <c r="U38" i="30" s="1"/>
  <c r="T38" i="30" a="1"/>
  <c r="T38" i="30" s="1"/>
  <c r="S38" i="30" a="1"/>
  <c r="S38" i="30" s="1"/>
  <c r="R38" i="30" a="1"/>
  <c r="R38" i="30" s="1"/>
  <c r="AF38" i="30" a="1"/>
  <c r="AF38" i="30" s="1"/>
  <c r="AE38" i="30" a="1"/>
  <c r="AE38" i="30" s="1"/>
  <c r="AD38" i="30" a="1"/>
  <c r="AD38" i="30" s="1"/>
  <c r="AC38" i="30" a="1"/>
  <c r="AC38" i="30" s="1"/>
  <c r="AB38" i="30" a="1"/>
  <c r="AB38" i="30" s="1"/>
  <c r="AF37" i="30" a="1"/>
  <c r="AF37" i="30" s="1"/>
  <c r="AE37" i="30" a="1"/>
  <c r="AE37" i="30" s="1"/>
  <c r="AD37" i="30" a="1"/>
  <c r="AD37" i="30" s="1"/>
  <c r="AC37" i="30" a="1"/>
  <c r="AC37" i="30" s="1"/>
  <c r="AB37" i="30" a="1"/>
  <c r="AB37" i="30" s="1"/>
  <c r="AG37" i="30"/>
  <c r="V37" i="30" a="1"/>
  <c r="V37" i="30" s="1"/>
  <c r="U37" i="30" a="1"/>
  <c r="U37" i="30" s="1"/>
  <c r="T37" i="30" a="1"/>
  <c r="T37" i="30" s="1"/>
  <c r="S37" i="30" a="1"/>
  <c r="S37" i="30" s="1"/>
  <c r="R37" i="30" a="1"/>
  <c r="R37" i="30" s="1"/>
  <c r="E35" i="76"/>
  <c r="F35" i="76"/>
  <c r="B36" i="76"/>
  <c r="C35" i="76"/>
  <c r="D35" i="76"/>
  <c r="G35" i="76" s="1"/>
  <c r="G34" i="78"/>
  <c r="H32" i="76"/>
  <c r="AA39" i="30"/>
  <c r="Q39" i="30"/>
  <c r="B36" i="78"/>
  <c r="C36" i="78" l="1"/>
  <c r="D36" i="78"/>
  <c r="E36" i="78"/>
  <c r="F36" i="78"/>
  <c r="AG39" i="30"/>
  <c r="V39" i="30" a="1"/>
  <c r="V39" i="30" s="1"/>
  <c r="U39" i="30" a="1"/>
  <c r="U39" i="30" s="1"/>
  <c r="T39" i="30" a="1"/>
  <c r="T39" i="30" s="1"/>
  <c r="S39" i="30" a="1"/>
  <c r="S39" i="30" s="1"/>
  <c r="R39" i="30" a="1"/>
  <c r="R39" i="30" s="1"/>
  <c r="AF39" i="30" a="1"/>
  <c r="AF39" i="30" s="1"/>
  <c r="AE39" i="30" a="1"/>
  <c r="AE39" i="30" s="1"/>
  <c r="AD39" i="30" a="1"/>
  <c r="AD39" i="30" s="1"/>
  <c r="AC39" i="30" a="1"/>
  <c r="AC39" i="30" s="1"/>
  <c r="AB39" i="30" a="1"/>
  <c r="AB39" i="30" s="1"/>
  <c r="E36" i="76"/>
  <c r="F36" i="76"/>
  <c r="B37" i="76"/>
  <c r="C36" i="76"/>
  <c r="D36" i="76"/>
  <c r="G36" i="76" s="1"/>
  <c r="G35" i="78"/>
  <c r="H33" i="76"/>
  <c r="AA40" i="30"/>
  <c r="Q40" i="30"/>
  <c r="B37" i="78"/>
  <c r="B5" i="75"/>
  <c r="C37" i="78" l="1"/>
  <c r="D37" i="78"/>
  <c r="E37" i="78"/>
  <c r="F37" i="78"/>
  <c r="AG40" i="30"/>
  <c r="V40" i="30" a="1"/>
  <c r="V40" i="30" s="1"/>
  <c r="U40" i="30" a="1"/>
  <c r="U40" i="30" s="1"/>
  <c r="T40" i="30" a="1"/>
  <c r="T40" i="30" s="1"/>
  <c r="S40" i="30" a="1"/>
  <c r="S40" i="30" s="1"/>
  <c r="R40" i="30" a="1"/>
  <c r="R40" i="30" s="1"/>
  <c r="AF40" i="30" a="1"/>
  <c r="AF40" i="30" s="1"/>
  <c r="AE40" i="30" a="1"/>
  <c r="AE40" i="30" s="1"/>
  <c r="AD40" i="30" a="1"/>
  <c r="AD40" i="30" s="1"/>
  <c r="AC40" i="30" a="1"/>
  <c r="AC40" i="30" s="1"/>
  <c r="AB40" i="30" a="1"/>
  <c r="AB40" i="30" s="1"/>
  <c r="E37" i="76"/>
  <c r="F37" i="76"/>
  <c r="B38" i="76"/>
  <c r="C37" i="76"/>
  <c r="D37" i="76"/>
  <c r="G37" i="76" s="1"/>
  <c r="G36" i="78"/>
  <c r="D5" i="75"/>
  <c r="C5" i="75"/>
  <c r="H34" i="76"/>
  <c r="AA41" i="30"/>
  <c r="Q41" i="30"/>
  <c r="B38" i="78"/>
  <c r="B6" i="75"/>
  <c r="C38" i="78" l="1"/>
  <c r="D38" i="78"/>
  <c r="E38" i="78"/>
  <c r="F38" i="78"/>
  <c r="AG41" i="30"/>
  <c r="V41" i="30" a="1"/>
  <c r="V41" i="30" s="1"/>
  <c r="U41" i="30" a="1"/>
  <c r="U41" i="30" s="1"/>
  <c r="T41" i="30" a="1"/>
  <c r="T41" i="30" s="1"/>
  <c r="S41" i="30" a="1"/>
  <c r="S41" i="30" s="1"/>
  <c r="R41" i="30" a="1"/>
  <c r="R41" i="30" s="1"/>
  <c r="AF41" i="30" a="1"/>
  <c r="AF41" i="30" s="1"/>
  <c r="AE41" i="30" a="1"/>
  <c r="AE41" i="30" s="1"/>
  <c r="AD41" i="30" a="1"/>
  <c r="AD41" i="30" s="1"/>
  <c r="AC41" i="30" a="1"/>
  <c r="AC41" i="30" s="1"/>
  <c r="AB41" i="30" a="1"/>
  <c r="AB41" i="30" s="1"/>
  <c r="E38" i="76"/>
  <c r="F38" i="76"/>
  <c r="B39" i="76"/>
  <c r="C38" i="76"/>
  <c r="D38" i="76"/>
  <c r="G38" i="76" s="1"/>
  <c r="G37" i="78"/>
  <c r="D6" i="75"/>
  <c r="C6" i="75"/>
  <c r="H35" i="76"/>
  <c r="AA42" i="30"/>
  <c r="Q42" i="30"/>
  <c r="B39" i="78"/>
  <c r="B7" i="75"/>
  <c r="C39" i="78" l="1"/>
  <c r="D39" i="78"/>
  <c r="E39" i="78"/>
  <c r="F39" i="78"/>
  <c r="AG42" i="30"/>
  <c r="V42" i="30" a="1"/>
  <c r="V42" i="30" s="1"/>
  <c r="U42" i="30" a="1"/>
  <c r="U42" i="30" s="1"/>
  <c r="T42" i="30" a="1"/>
  <c r="T42" i="30" s="1"/>
  <c r="S42" i="30" a="1"/>
  <c r="S42" i="30" s="1"/>
  <c r="R42" i="30" a="1"/>
  <c r="R42" i="30" s="1"/>
  <c r="AF42" i="30" a="1"/>
  <c r="AF42" i="30" s="1"/>
  <c r="AE42" i="30" a="1"/>
  <c r="AE42" i="30" s="1"/>
  <c r="AD42" i="30" a="1"/>
  <c r="AD42" i="30" s="1"/>
  <c r="AC42" i="30" a="1"/>
  <c r="AC42" i="30" s="1"/>
  <c r="AB42" i="30" a="1"/>
  <c r="AB42" i="30" s="1"/>
  <c r="E39" i="76"/>
  <c r="F39" i="76"/>
  <c r="B40" i="76"/>
  <c r="C39" i="76"/>
  <c r="D39" i="76"/>
  <c r="G39" i="76" s="1"/>
  <c r="G38" i="78"/>
  <c r="C7" i="75"/>
  <c r="D7" i="75"/>
  <c r="H36" i="76"/>
  <c r="AA43" i="30"/>
  <c r="Q43" i="30"/>
  <c r="B40" i="78"/>
  <c r="B8" i="75"/>
  <c r="C40" i="78" l="1"/>
  <c r="D40" i="78"/>
  <c r="E40" i="78"/>
  <c r="F40" i="78"/>
  <c r="AG43" i="30"/>
  <c r="V43" i="30" a="1"/>
  <c r="V43" i="30" s="1"/>
  <c r="U43" i="30" a="1"/>
  <c r="U43" i="30" s="1"/>
  <c r="T43" i="30" a="1"/>
  <c r="T43" i="30" s="1"/>
  <c r="S43" i="30" a="1"/>
  <c r="S43" i="30" s="1"/>
  <c r="R43" i="30" a="1"/>
  <c r="R43" i="30" s="1"/>
  <c r="AF43" i="30" a="1"/>
  <c r="AF43" i="30" s="1"/>
  <c r="AE43" i="30" a="1"/>
  <c r="AE43" i="30" s="1"/>
  <c r="AD43" i="30" a="1"/>
  <c r="AD43" i="30" s="1"/>
  <c r="AC43" i="30" a="1"/>
  <c r="AC43" i="30" s="1"/>
  <c r="AB43" i="30" a="1"/>
  <c r="AB43" i="30" s="1"/>
  <c r="E40" i="76"/>
  <c r="F40" i="76"/>
  <c r="B41" i="76"/>
  <c r="C40" i="76"/>
  <c r="D40" i="76"/>
  <c r="G40" i="76" s="1"/>
  <c r="G39" i="78"/>
  <c r="C8" i="75"/>
  <c r="D8" i="75"/>
  <c r="H37" i="76"/>
  <c r="AA44" i="30"/>
  <c r="Q44" i="30"/>
  <c r="B41" i="78"/>
  <c r="B9" i="75"/>
  <c r="C41" i="78" l="1"/>
  <c r="D41" i="78"/>
  <c r="E41" i="78"/>
  <c r="F41" i="78"/>
  <c r="AG44" i="30"/>
  <c r="V44" i="30" a="1"/>
  <c r="V44" i="30" s="1"/>
  <c r="U44" i="30" a="1"/>
  <c r="U44" i="30" s="1"/>
  <c r="T44" i="30" a="1"/>
  <c r="T44" i="30" s="1"/>
  <c r="S44" i="30" a="1"/>
  <c r="S44" i="30" s="1"/>
  <c r="R44" i="30" a="1"/>
  <c r="R44" i="30" s="1"/>
  <c r="AF44" i="30" a="1"/>
  <c r="AF44" i="30" s="1"/>
  <c r="AE44" i="30" a="1"/>
  <c r="AE44" i="30" s="1"/>
  <c r="AD44" i="30" a="1"/>
  <c r="AD44" i="30" s="1"/>
  <c r="AC44" i="30" a="1"/>
  <c r="AC44" i="30" s="1"/>
  <c r="AB44" i="30" a="1"/>
  <c r="AB44" i="30" s="1"/>
  <c r="C41" i="76"/>
  <c r="D41" i="76"/>
  <c r="E41" i="76"/>
  <c r="F41" i="76"/>
  <c r="G40" i="78"/>
  <c r="C9" i="75"/>
  <c r="D9" i="75"/>
  <c r="H38" i="76"/>
  <c r="AA45" i="30"/>
  <c r="Q45" i="30"/>
  <c r="B10" i="75"/>
  <c r="AG45" i="30" l="1"/>
  <c r="V45" i="30" a="1"/>
  <c r="V45" i="30" s="1"/>
  <c r="U45" i="30" a="1"/>
  <c r="U45" i="30" s="1"/>
  <c r="T45" i="30" a="1"/>
  <c r="T45" i="30" s="1"/>
  <c r="S45" i="30" a="1"/>
  <c r="S45" i="30" s="1"/>
  <c r="R45" i="30" a="1"/>
  <c r="R45" i="30" s="1"/>
  <c r="AF45" i="30" a="1"/>
  <c r="AF45" i="30" s="1"/>
  <c r="AE45" i="30" a="1"/>
  <c r="AE45" i="30" s="1"/>
  <c r="AD45" i="30" a="1"/>
  <c r="AD45" i="30" s="1"/>
  <c r="AC45" i="30" a="1"/>
  <c r="AC45" i="30" s="1"/>
  <c r="AB45" i="30" a="1"/>
  <c r="AB45" i="30" s="1"/>
  <c r="G41" i="76"/>
  <c r="H41" i="76" s="1"/>
  <c r="G41" i="78"/>
  <c r="C10" i="75"/>
  <c r="D10" i="75"/>
  <c r="H39" i="76"/>
  <c r="AA46" i="30"/>
  <c r="Q46" i="30"/>
  <c r="B11" i="75"/>
  <c r="AG46" i="30" l="1"/>
  <c r="V46" i="30" a="1"/>
  <c r="V46" i="30" s="1"/>
  <c r="U46" i="30" a="1"/>
  <c r="U46" i="30" s="1"/>
  <c r="T46" i="30" a="1"/>
  <c r="T46" i="30" s="1"/>
  <c r="S46" i="30" a="1"/>
  <c r="S46" i="30" s="1"/>
  <c r="R46" i="30" a="1"/>
  <c r="R46" i="30" s="1"/>
  <c r="AF46" i="30" a="1"/>
  <c r="AF46" i="30" s="1"/>
  <c r="AE46" i="30" a="1"/>
  <c r="AE46" i="30" s="1"/>
  <c r="AD46" i="30" a="1"/>
  <c r="AD46" i="30" s="1"/>
  <c r="AC46" i="30" a="1"/>
  <c r="AC46" i="30" s="1"/>
  <c r="AB46" i="30" a="1"/>
  <c r="AB46" i="30" s="1"/>
  <c r="C11" i="75"/>
  <c r="D11" i="75"/>
  <c r="H40" i="76"/>
  <c r="AA47" i="30"/>
  <c r="Q47" i="30"/>
  <c r="B12" i="75"/>
  <c r="AG47" i="30" l="1"/>
  <c r="V47" i="30" a="1"/>
  <c r="V47" i="30" s="1"/>
  <c r="U47" i="30" a="1"/>
  <c r="U47" i="30" s="1"/>
  <c r="T47" i="30" a="1"/>
  <c r="T47" i="30" s="1"/>
  <c r="S47" i="30" a="1"/>
  <c r="S47" i="30" s="1"/>
  <c r="R47" i="30" a="1"/>
  <c r="R47" i="30" s="1"/>
  <c r="AF47" i="30" a="1"/>
  <c r="AF47" i="30" s="1"/>
  <c r="AE47" i="30" a="1"/>
  <c r="AE47" i="30" s="1"/>
  <c r="AD47" i="30" a="1"/>
  <c r="AD47" i="30" s="1"/>
  <c r="AC47" i="30" a="1"/>
  <c r="AC47" i="30" s="1"/>
  <c r="AB47" i="30" a="1"/>
  <c r="AB47" i="30" s="1"/>
  <c r="C12" i="75"/>
  <c r="D12" i="75"/>
  <c r="AA48" i="30"/>
  <c r="Q48" i="30"/>
  <c r="B13" i="75"/>
  <c r="AG48" i="30" l="1"/>
  <c r="V48" i="30" a="1"/>
  <c r="V48" i="30" s="1"/>
  <c r="U48" i="30" a="1"/>
  <c r="U48" i="30" s="1"/>
  <c r="T48" i="30" a="1"/>
  <c r="T48" i="30" s="1"/>
  <c r="S48" i="30" a="1"/>
  <c r="S48" i="30" s="1"/>
  <c r="R48" i="30" a="1"/>
  <c r="R48" i="30" s="1"/>
  <c r="AF48" i="30" a="1"/>
  <c r="AF48" i="30" s="1"/>
  <c r="AE48" i="30" a="1"/>
  <c r="AE48" i="30" s="1"/>
  <c r="AD48" i="30" a="1"/>
  <c r="AD48" i="30" s="1"/>
  <c r="AC48" i="30" a="1"/>
  <c r="AC48" i="30" s="1"/>
  <c r="AB48" i="30" a="1"/>
  <c r="AB48" i="30" s="1"/>
  <c r="C13" i="75"/>
  <c r="D13" i="75"/>
  <c r="AA49" i="30"/>
  <c r="Q49" i="30"/>
  <c r="B14" i="75"/>
  <c r="AG49" i="30" l="1"/>
  <c r="V49" i="30" a="1"/>
  <c r="V49" i="30" s="1"/>
  <c r="U49" i="30" a="1"/>
  <c r="U49" i="30" s="1"/>
  <c r="T49" i="30" a="1"/>
  <c r="T49" i="30" s="1"/>
  <c r="S49" i="30" a="1"/>
  <c r="S49" i="30" s="1"/>
  <c r="R49" i="30" a="1"/>
  <c r="R49" i="30" s="1"/>
  <c r="AF49" i="30" a="1"/>
  <c r="AF49" i="30" s="1"/>
  <c r="AE49" i="30" a="1"/>
  <c r="AE49" i="30" s="1"/>
  <c r="AD49" i="30" a="1"/>
  <c r="AD49" i="30" s="1"/>
  <c r="AC49" i="30" a="1"/>
  <c r="AC49" i="30" s="1"/>
  <c r="AB49" i="30" a="1"/>
  <c r="AB49" i="30" s="1"/>
  <c r="C14" i="75"/>
  <c r="D14" i="75"/>
  <c r="AA50" i="30"/>
  <c r="Q50" i="30"/>
  <c r="B15" i="75"/>
  <c r="AG50" i="30" l="1"/>
  <c r="V50" i="30" a="1"/>
  <c r="V50" i="30" s="1"/>
  <c r="U50" i="30" a="1"/>
  <c r="U50" i="30" s="1"/>
  <c r="T50" i="30" a="1"/>
  <c r="T50" i="30" s="1"/>
  <c r="S50" i="30" a="1"/>
  <c r="S50" i="30" s="1"/>
  <c r="R50" i="30" a="1"/>
  <c r="R50" i="30" s="1"/>
  <c r="AF50" i="30" a="1"/>
  <c r="AF50" i="30" s="1"/>
  <c r="AE50" i="30" a="1"/>
  <c r="AE50" i="30" s="1"/>
  <c r="AD50" i="30" a="1"/>
  <c r="AD50" i="30" s="1"/>
  <c r="AC50" i="30" a="1"/>
  <c r="AC50" i="30" s="1"/>
  <c r="AB50" i="30" a="1"/>
  <c r="AB50" i="30" s="1"/>
  <c r="C15" i="75"/>
  <c r="D15" i="75"/>
  <c r="Q51" i="30"/>
  <c r="AA51" i="30"/>
  <c r="B16" i="75"/>
  <c r="AF51" i="30" l="1" a="1"/>
  <c r="AF51" i="30" s="1"/>
  <c r="AE51" i="30" a="1"/>
  <c r="AE51" i="30" s="1"/>
  <c r="AD51" i="30" a="1"/>
  <c r="AD51" i="30" s="1"/>
  <c r="AC51" i="30" a="1"/>
  <c r="AC51" i="30" s="1"/>
  <c r="AB51" i="30" a="1"/>
  <c r="AB51" i="30" s="1"/>
  <c r="AG51" i="30"/>
  <c r="V51" i="30" a="1"/>
  <c r="V51" i="30" s="1"/>
  <c r="U51" i="30" a="1"/>
  <c r="U51" i="30" s="1"/>
  <c r="T51" i="30" a="1"/>
  <c r="T51" i="30" s="1"/>
  <c r="S51" i="30" a="1"/>
  <c r="S51" i="30" s="1"/>
  <c r="R51" i="30" a="1"/>
  <c r="R51" i="30" s="1"/>
  <c r="C16" i="75"/>
  <c r="D16" i="75"/>
  <c r="B17" i="75"/>
  <c r="D17" i="75" l="1"/>
  <c r="C17" i="75"/>
  <c r="B18" i="75"/>
  <c r="C18" i="75" l="1"/>
  <c r="D18" i="75"/>
  <c r="B19" i="75"/>
  <c r="C19" i="75" l="1"/>
  <c r="D19" i="75"/>
  <c r="B20" i="75"/>
  <c r="C20" i="75" l="1"/>
  <c r="D20" i="75"/>
  <c r="B21" i="75"/>
  <c r="C21" i="75" l="1"/>
  <c r="D21" i="75"/>
  <c r="B22" i="75"/>
  <c r="C22" i="75" l="1"/>
  <c r="D22" i="75"/>
  <c r="B23" i="75"/>
  <c r="C23" i="75" l="1"/>
  <c r="D23" i="75"/>
  <c r="B24" i="75"/>
  <c r="C24" i="75" l="1"/>
  <c r="D24" i="75"/>
  <c r="B25" i="75"/>
  <c r="C25" i="75" l="1"/>
  <c r="D25" i="75"/>
  <c r="B26" i="75"/>
  <c r="C26" i="75" l="1"/>
  <c r="D26" i="75"/>
  <c r="B27" i="75"/>
  <c r="D27" i="75" l="1"/>
  <c r="C27" i="75"/>
  <c r="B28" i="75"/>
  <c r="D28" i="75" l="1"/>
  <c r="C28" i="75"/>
  <c r="B29" i="75"/>
  <c r="D29" i="75" l="1"/>
  <c r="C29" i="75"/>
  <c r="B30" i="75"/>
  <c r="D30" i="75" l="1"/>
  <c r="C30" i="75"/>
  <c r="B31" i="75"/>
  <c r="D31" i="75" l="1"/>
  <c r="C31" i="75"/>
  <c r="B32" i="75"/>
  <c r="D32" i="75" l="1"/>
  <c r="C32" i="75"/>
  <c r="B33" i="75"/>
  <c r="D33" i="75" l="1"/>
  <c r="C33" i="75"/>
  <c r="B34" i="75"/>
  <c r="D34" i="75" l="1"/>
  <c r="C34" i="75"/>
  <c r="B35" i="75"/>
  <c r="D35" i="75" l="1"/>
  <c r="C35" i="75"/>
  <c r="B36" i="75"/>
  <c r="D36" i="75" l="1"/>
  <c r="C36" i="75"/>
  <c r="B37" i="75"/>
  <c r="D37" i="75" l="1"/>
  <c r="C37" i="75"/>
  <c r="B38" i="75"/>
  <c r="D38" i="75" l="1"/>
  <c r="C38" i="75"/>
  <c r="B39" i="75"/>
  <c r="D39" i="75" l="1"/>
  <c r="C39" i="75"/>
  <c r="B40" i="75"/>
  <c r="D40" i="75" l="1"/>
  <c r="C40" i="75"/>
  <c r="B7" i="30"/>
  <c r="B8" i="30" l="1"/>
  <c r="B9" i="30" l="1"/>
  <c r="B10" i="30" l="1"/>
  <c r="B6" i="42"/>
  <c r="B11" i="30" l="1"/>
  <c r="C6" i="42"/>
  <c r="D6" i="42" s="1"/>
  <c r="B7" i="42"/>
  <c r="C7" i="42" s="1"/>
  <c r="B12" i="30" l="1"/>
  <c r="D7" i="42"/>
  <c r="B8" i="42"/>
  <c r="B9" i="42"/>
  <c r="B13" i="30" l="1"/>
  <c r="C9" i="42"/>
  <c r="D9" i="42" s="1"/>
  <c r="C8" i="42"/>
  <c r="D8" i="42" s="1"/>
  <c r="B10" i="42"/>
  <c r="B14" i="30" l="1"/>
  <c r="C10" i="42"/>
  <c r="D10" i="42" s="1"/>
  <c r="B11" i="42"/>
  <c r="B15" i="30" l="1"/>
  <c r="C11" i="42"/>
  <c r="D11" i="42" s="1"/>
  <c r="B12" i="42"/>
  <c r="B16" i="30" l="1"/>
  <c r="C12" i="42"/>
  <c r="D12" i="42" s="1"/>
  <c r="B13" i="42"/>
  <c r="B17" i="30" l="1"/>
  <c r="C13" i="42"/>
  <c r="D13" i="42" s="1"/>
  <c r="B14" i="42"/>
  <c r="B18" i="30" l="1"/>
  <c r="C14" i="42"/>
  <c r="D14" i="42" s="1"/>
  <c r="B15" i="42"/>
  <c r="B19" i="30" l="1"/>
  <c r="C15" i="42"/>
  <c r="D15" i="42" s="1"/>
  <c r="B16" i="42"/>
  <c r="B20" i="30" l="1"/>
  <c r="C16" i="42"/>
  <c r="D16" i="42" s="1"/>
  <c r="B17" i="42"/>
  <c r="B21" i="30" l="1"/>
  <c r="C17" i="42"/>
  <c r="D17" i="42" s="1"/>
  <c r="B18" i="42"/>
  <c r="B22" i="30" l="1"/>
  <c r="C18" i="42"/>
  <c r="D18" i="42" s="1"/>
  <c r="B19" i="42"/>
  <c r="B23" i="30" l="1"/>
  <c r="C19" i="42"/>
  <c r="D19" i="42" s="1"/>
  <c r="B20" i="42"/>
  <c r="B24" i="30" l="1"/>
  <c r="C20" i="42"/>
  <c r="D20" i="42" s="1"/>
  <c r="B21" i="42"/>
  <c r="B25" i="30" l="1"/>
  <c r="C21" i="42"/>
  <c r="D21" i="42" s="1"/>
  <c r="B22" i="42"/>
  <c r="B26" i="30" l="1"/>
  <c r="C22" i="42"/>
  <c r="D22" i="42" s="1"/>
  <c r="B23" i="42"/>
  <c r="B27" i="30" l="1"/>
  <c r="C23" i="42"/>
  <c r="D23" i="42" s="1"/>
  <c r="B24" i="42"/>
  <c r="B28" i="30" l="1"/>
  <c r="C24" i="42"/>
  <c r="D24" i="42" s="1"/>
  <c r="B25" i="42"/>
  <c r="B29" i="30" l="1"/>
  <c r="C25" i="42"/>
  <c r="D25" i="42" s="1"/>
  <c r="B26" i="42"/>
  <c r="B30" i="30" l="1"/>
  <c r="C26" i="42"/>
  <c r="D26" i="42" s="1"/>
  <c r="B27" i="42"/>
  <c r="B31" i="30" l="1"/>
  <c r="C27" i="42"/>
  <c r="D27" i="42" s="1"/>
  <c r="B28" i="42"/>
  <c r="B32" i="30" l="1"/>
  <c r="C28" i="42"/>
  <c r="D28" i="42" s="1"/>
  <c r="B29" i="42"/>
  <c r="B33" i="30" l="1"/>
  <c r="C29" i="42"/>
  <c r="D29" i="42" s="1"/>
  <c r="B30" i="42"/>
  <c r="B34" i="30" l="1"/>
  <c r="C30" i="42"/>
  <c r="D30" i="42" s="1"/>
  <c r="B31" i="42"/>
  <c r="B35" i="30" l="1"/>
  <c r="C31" i="42"/>
  <c r="D31" i="42" s="1"/>
  <c r="B32" i="42"/>
  <c r="C32" i="42" l="1"/>
  <c r="D32" i="42" s="1"/>
  <c r="B33" i="42"/>
  <c r="C33" i="42" l="1"/>
  <c r="D33" i="42" s="1"/>
  <c r="B34" i="42"/>
  <c r="C34" i="42" l="1"/>
  <c r="D34" i="42" s="1"/>
  <c r="B35" i="42"/>
  <c r="C35" i="42" l="1"/>
  <c r="D35" i="42" s="1"/>
  <c r="B36" i="42"/>
  <c r="C36" i="42" l="1"/>
  <c r="D36" i="42" s="1"/>
  <c r="B37" i="42"/>
  <c r="C37" i="42" l="1"/>
  <c r="D37" i="42" s="1"/>
  <c r="B38" i="42"/>
  <c r="C38" i="42" l="1"/>
  <c r="D38" i="42" s="1"/>
  <c r="B39" i="42"/>
  <c r="C39" i="42" l="1"/>
  <c r="D39" i="42" s="1"/>
  <c r="B40" i="42"/>
  <c r="C40" i="42" l="1"/>
  <c r="D40" i="42" s="1"/>
  <c r="B41" i="42"/>
  <c r="C41" i="42" l="1"/>
  <c r="D41" i="42" s="1"/>
  <c r="D42" i="42" s="1"/>
  <c r="C78" i="46"/>
  <c r="D78" i="46" s="1"/>
  <c r="E78" i="46" s="1"/>
  <c r="C8" i="46"/>
  <c r="E8" i="46" l="1"/>
  <c r="D8" i="46"/>
  <c r="G8" i="46"/>
  <c r="F8" i="46"/>
  <c r="L8" i="46"/>
  <c r="J8" i="46"/>
  <c r="I8" i="46"/>
  <c r="H8" i="46"/>
  <c r="K8" i="46"/>
  <c r="C79" i="46"/>
  <c r="D79" i="46" s="1"/>
  <c r="E79" i="46" s="1"/>
  <c r="C80" i="46" l="1"/>
  <c r="D80" i="46" s="1"/>
  <c r="E80" i="46" s="1"/>
  <c r="C81" i="46" l="1"/>
  <c r="D81" i="46" s="1"/>
  <c r="E81" i="46" s="1"/>
  <c r="C82" i="46" l="1"/>
  <c r="D82" i="46" s="1"/>
  <c r="E82" i="46" s="1"/>
  <c r="C83" i="46" l="1"/>
  <c r="D83" i="46" s="1"/>
  <c r="E83" i="46" s="1"/>
  <c r="C84" i="46" l="1"/>
  <c r="D84" i="46" s="1"/>
  <c r="E84" i="46" s="1"/>
  <c r="C85" i="46" l="1"/>
  <c r="D85" i="46" s="1"/>
  <c r="E85" i="46" s="1"/>
  <c r="C86" i="46" l="1"/>
  <c r="D86" i="46" s="1"/>
  <c r="E86" i="46" s="1"/>
  <c r="C9" i="46"/>
  <c r="E9" i="46" s="1"/>
  <c r="C87" i="46" l="1"/>
  <c r="D87" i="46" s="1"/>
  <c r="E87" i="46" s="1"/>
  <c r="C10" i="46"/>
  <c r="E10" i="46" s="1"/>
  <c r="C88" i="46" l="1"/>
  <c r="D88" i="46" s="1"/>
  <c r="E88" i="46" s="1"/>
  <c r="C11" i="46"/>
  <c r="E11" i="46" s="1"/>
  <c r="C89" i="46" l="1"/>
  <c r="D89" i="46" s="1"/>
  <c r="E89" i="46" s="1"/>
  <c r="C12" i="46"/>
  <c r="E12" i="46" s="1"/>
  <c r="C90" i="46" l="1"/>
  <c r="D90" i="46" s="1"/>
  <c r="E90" i="46" s="1"/>
  <c r="C13" i="46"/>
  <c r="E13" i="46" s="1"/>
  <c r="C91" i="46" l="1"/>
  <c r="D91" i="46" s="1"/>
  <c r="E91" i="46" s="1"/>
  <c r="C14" i="46"/>
  <c r="E14" i="46" s="1"/>
  <c r="C92" i="46" l="1"/>
  <c r="D92" i="46" s="1"/>
  <c r="E92" i="46" s="1"/>
  <c r="C15" i="46"/>
  <c r="E15" i="46" s="1"/>
  <c r="C93" i="46" l="1"/>
  <c r="D93" i="46" s="1"/>
  <c r="E93" i="46" s="1"/>
  <c r="C16" i="46"/>
  <c r="E16" i="46" s="1"/>
  <c r="C94" i="46" l="1"/>
  <c r="D94" i="46" s="1"/>
  <c r="E94" i="46" s="1"/>
  <c r="C17" i="46"/>
  <c r="E17" i="46" s="1"/>
  <c r="C95" i="46" l="1"/>
  <c r="D95" i="46" s="1"/>
  <c r="E95" i="46" s="1"/>
  <c r="C18" i="46"/>
  <c r="E18" i="46" s="1"/>
  <c r="C96" i="46" l="1"/>
  <c r="D96" i="46" s="1"/>
  <c r="E96" i="46" s="1"/>
  <c r="C19" i="46"/>
  <c r="E19" i="46" s="1"/>
  <c r="C97" i="46" l="1"/>
  <c r="D97" i="46" s="1"/>
  <c r="E97" i="46" s="1"/>
  <c r="C20" i="46"/>
  <c r="E20" i="46" s="1"/>
  <c r="C98" i="46" l="1"/>
  <c r="D98" i="46" s="1"/>
  <c r="E98" i="46" s="1"/>
  <c r="C21" i="46"/>
  <c r="E21" i="46" s="1"/>
  <c r="C99" i="46" l="1"/>
  <c r="D99" i="46" s="1"/>
  <c r="E99" i="46" s="1"/>
  <c r="C22" i="46"/>
  <c r="E22" i="46" s="1"/>
  <c r="C100" i="46" l="1"/>
  <c r="D100" i="46" s="1"/>
  <c r="E100" i="46" s="1"/>
  <c r="C23" i="46"/>
  <c r="E23" i="46" s="1"/>
  <c r="C101" i="46" l="1"/>
  <c r="D101" i="46" s="1"/>
  <c r="E101" i="46" s="1"/>
  <c r="C24" i="46"/>
  <c r="E24" i="46" s="1"/>
  <c r="C102" i="46" l="1"/>
  <c r="D102" i="46" s="1"/>
  <c r="E102" i="46" s="1"/>
  <c r="C25" i="46"/>
  <c r="E25" i="46" s="1"/>
  <c r="C103" i="46" l="1"/>
  <c r="D103" i="46" s="1"/>
  <c r="E103" i="46" s="1"/>
  <c r="C26" i="46"/>
  <c r="E26" i="46" s="1"/>
  <c r="C104" i="46" l="1"/>
  <c r="D104" i="46" s="1"/>
  <c r="E104" i="46" s="1"/>
  <c r="C27" i="46"/>
  <c r="E27" i="46" s="1"/>
  <c r="C105" i="46" l="1"/>
  <c r="D105" i="46" s="1"/>
  <c r="E105" i="46" s="1"/>
  <c r="C28" i="46"/>
  <c r="E28" i="46" s="1"/>
  <c r="C106" i="46" l="1"/>
  <c r="D106" i="46" s="1"/>
  <c r="E106" i="46" s="1"/>
  <c r="C29" i="46"/>
  <c r="E29" i="46" s="1"/>
  <c r="C107" i="46" l="1"/>
  <c r="D107" i="46" s="1"/>
  <c r="E107" i="46" s="1"/>
  <c r="C30" i="46"/>
  <c r="E30" i="46" s="1"/>
  <c r="C108" i="46" l="1"/>
  <c r="D108" i="46" s="1"/>
  <c r="E108" i="46" s="1"/>
  <c r="C31" i="46"/>
  <c r="E31" i="46" s="1"/>
  <c r="C109" i="46" l="1"/>
  <c r="D109" i="46" s="1"/>
  <c r="E109" i="46" s="1"/>
  <c r="C32" i="46"/>
  <c r="E32" i="46" s="1"/>
  <c r="C110" i="46" l="1"/>
  <c r="D110" i="46" s="1"/>
  <c r="E110" i="46" s="1"/>
  <c r="C33" i="46"/>
  <c r="E33" i="46" s="1"/>
  <c r="C111" i="46" l="1"/>
  <c r="D111" i="46" s="1"/>
  <c r="E111" i="46" s="1"/>
  <c r="C34" i="46"/>
  <c r="E34" i="46" s="1"/>
  <c r="C112" i="46" l="1"/>
  <c r="D112" i="46" s="1"/>
  <c r="E112" i="46" s="1"/>
  <c r="C35" i="46"/>
  <c r="E35" i="46" s="1"/>
  <c r="E21" i="75" l="1"/>
  <c r="E22" i="75"/>
  <c r="E23" i="75"/>
  <c r="E24" i="75"/>
  <c r="E25" i="75"/>
  <c r="E26" i="75"/>
  <c r="E27" i="75"/>
  <c r="E28" i="75"/>
  <c r="E29" i="75"/>
  <c r="E30" i="75"/>
  <c r="E31" i="75"/>
  <c r="E32" i="75"/>
  <c r="F32" i="75" s="1"/>
  <c r="E33" i="75"/>
  <c r="F33" i="75" s="1"/>
  <c r="E34" i="75"/>
  <c r="F34" i="75" s="1"/>
  <c r="E35" i="75"/>
  <c r="F35" i="75" s="1"/>
  <c r="E36" i="75"/>
  <c r="F36" i="75" s="1"/>
  <c r="E37" i="75"/>
  <c r="F37" i="75" s="1"/>
  <c r="E38" i="75"/>
  <c r="F38" i="75" s="1"/>
  <c r="E39" i="75"/>
  <c r="F39" i="75" s="1"/>
  <c r="E40" i="75"/>
  <c r="F40" i="75" s="1"/>
  <c r="M35" i="46"/>
  <c r="H41" i="78"/>
  <c r="H40" i="78"/>
  <c r="H39" i="78"/>
  <c r="H38" i="78"/>
  <c r="H37" i="78"/>
  <c r="H36" i="78"/>
  <c r="H6" i="76"/>
  <c r="L29" i="42"/>
  <c r="L27" i="42"/>
  <c r="M27" i="42" s="1"/>
  <c r="N27" i="42" s="1"/>
  <c r="L28" i="42"/>
  <c r="M28" i="42" s="1"/>
  <c r="N28" i="42" s="1"/>
  <c r="N29" i="42" s="1"/>
  <c r="H17" i="79"/>
  <c r="G17" i="79"/>
  <c r="K17" i="79" s="1"/>
  <c r="F17" i="79"/>
  <c r="C17" i="79"/>
  <c r="D17" i="79" s="1"/>
  <c r="H16" i="79"/>
  <c r="G16" i="79"/>
  <c r="K16" i="79" s="1"/>
  <c r="F16" i="79"/>
  <c r="C16" i="79"/>
  <c r="D16" i="79" s="1"/>
  <c r="H15" i="79"/>
  <c r="G15" i="79"/>
  <c r="K15" i="79" s="1"/>
  <c r="F15" i="79"/>
  <c r="C15" i="79"/>
  <c r="D15" i="79" s="1"/>
  <c r="H14" i="79"/>
  <c r="G14" i="79"/>
  <c r="K14" i="79" s="1"/>
  <c r="F14" i="79"/>
  <c r="C14" i="79"/>
  <c r="D14" i="79" s="1"/>
  <c r="H13" i="79"/>
  <c r="G13" i="79"/>
  <c r="K13" i="79" s="1"/>
  <c r="F13" i="79"/>
  <c r="C13" i="79"/>
  <c r="D13" i="79" s="1"/>
  <c r="H12" i="79"/>
  <c r="G12" i="79"/>
  <c r="K12" i="79" s="1"/>
  <c r="F12" i="79"/>
  <c r="C12" i="79"/>
  <c r="D12" i="79" s="1"/>
  <c r="H11" i="79"/>
  <c r="G11" i="79"/>
  <c r="K11" i="79" s="1"/>
  <c r="F11" i="79"/>
  <c r="C11" i="79"/>
  <c r="D11" i="79" s="1"/>
  <c r="H10" i="79"/>
  <c r="G10" i="79"/>
  <c r="K10" i="79" s="1"/>
  <c r="F10" i="79"/>
  <c r="C10" i="79"/>
  <c r="D10" i="79" s="1"/>
  <c r="H9" i="79"/>
  <c r="G9" i="79"/>
  <c r="K9" i="79" s="1"/>
  <c r="F9" i="79"/>
  <c r="C9" i="79"/>
  <c r="D9" i="79" s="1"/>
  <c r="H8" i="79"/>
  <c r="G8" i="79"/>
  <c r="K8" i="79" s="1"/>
  <c r="F8" i="79"/>
  <c r="C8" i="79"/>
  <c r="D8" i="79" s="1"/>
  <c r="H7" i="79"/>
  <c r="G7" i="79"/>
  <c r="K7" i="79" s="1"/>
  <c r="F7" i="79"/>
  <c r="C7" i="79"/>
  <c r="D7" i="79" s="1"/>
  <c r="H6" i="79"/>
  <c r="G6" i="79"/>
  <c r="K6" i="79" s="1"/>
  <c r="F6" i="79"/>
  <c r="C6" i="79"/>
  <c r="D6" i="79" s="1"/>
  <c r="H18" i="79"/>
  <c r="G18" i="79"/>
  <c r="K18" i="79" s="1"/>
  <c r="F18" i="79"/>
  <c r="C18" i="79"/>
  <c r="D18" i="79" s="1"/>
  <c r="H40" i="79"/>
  <c r="G40" i="79"/>
  <c r="K40" i="79" s="1"/>
  <c r="F40" i="79"/>
  <c r="C40" i="79"/>
  <c r="D40" i="79" s="1"/>
  <c r="E40" i="79" s="1"/>
  <c r="H36" i="79"/>
  <c r="G36" i="79"/>
  <c r="K36" i="79" s="1"/>
  <c r="F36" i="79"/>
  <c r="C36" i="79"/>
  <c r="D36" i="79" s="1"/>
  <c r="E36" i="79" s="1"/>
  <c r="H37" i="79"/>
  <c r="G37" i="79"/>
  <c r="K37" i="79" s="1"/>
  <c r="F37" i="79"/>
  <c r="C37" i="79"/>
  <c r="D37" i="79" s="1"/>
  <c r="E37" i="79" s="1"/>
  <c r="H38" i="79"/>
  <c r="G38" i="79"/>
  <c r="K38" i="79" s="1"/>
  <c r="F38" i="79"/>
  <c r="C38" i="79"/>
  <c r="D38" i="79" s="1"/>
  <c r="E38" i="79" s="1"/>
  <c r="H39" i="79"/>
  <c r="G39" i="79"/>
  <c r="K39" i="79" s="1"/>
  <c r="F39" i="79"/>
  <c r="C39" i="79"/>
  <c r="D39" i="79" s="1"/>
  <c r="E39" i="79" s="1"/>
  <c r="H35" i="79"/>
  <c r="G35" i="79"/>
  <c r="K35" i="79" s="1"/>
  <c r="F35" i="79"/>
  <c r="C35" i="79"/>
  <c r="D35" i="79" s="1"/>
  <c r="E35" i="79" s="1"/>
  <c r="H34" i="79"/>
  <c r="G34" i="79"/>
  <c r="K34" i="79" s="1"/>
  <c r="F34" i="79"/>
  <c r="C34" i="79"/>
  <c r="D34" i="79" s="1"/>
  <c r="E34" i="79" s="1"/>
  <c r="H33" i="79"/>
  <c r="G33" i="79"/>
  <c r="K33" i="79" s="1"/>
  <c r="F33" i="79"/>
  <c r="C33" i="79"/>
  <c r="D33" i="79" s="1"/>
  <c r="E33" i="79" s="1"/>
  <c r="H32" i="79"/>
  <c r="G32" i="79"/>
  <c r="K32" i="79" s="1"/>
  <c r="F32" i="79"/>
  <c r="C32" i="79"/>
  <c r="D32" i="79" s="1"/>
  <c r="E32" i="79" s="1"/>
  <c r="H31" i="79"/>
  <c r="G31" i="79"/>
  <c r="K31" i="79" s="1"/>
  <c r="F31" i="79"/>
  <c r="C31" i="79"/>
  <c r="D31" i="79" s="1"/>
  <c r="H30" i="79"/>
  <c r="G30" i="79"/>
  <c r="K30" i="79" s="1"/>
  <c r="F30" i="79"/>
  <c r="C30" i="79"/>
  <c r="D30" i="79" s="1"/>
  <c r="H29" i="79"/>
  <c r="G29" i="79"/>
  <c r="K29" i="79" s="1"/>
  <c r="F29" i="79"/>
  <c r="C29" i="79"/>
  <c r="D29" i="79" s="1"/>
  <c r="H28" i="79"/>
  <c r="G28" i="79"/>
  <c r="K28" i="79" s="1"/>
  <c r="F28" i="79"/>
  <c r="C28" i="79"/>
  <c r="D28" i="79" s="1"/>
  <c r="H27" i="79"/>
  <c r="G27" i="79"/>
  <c r="K27" i="79" s="1"/>
  <c r="F27" i="79"/>
  <c r="C27" i="79"/>
  <c r="D27" i="79" s="1"/>
  <c r="H26" i="79"/>
  <c r="G26" i="79"/>
  <c r="K26" i="79" s="1"/>
  <c r="F26" i="79"/>
  <c r="C26" i="79"/>
  <c r="D26" i="79" s="1"/>
  <c r="H25" i="79"/>
  <c r="G25" i="79"/>
  <c r="K25" i="79" s="1"/>
  <c r="F25" i="79"/>
  <c r="C25" i="79"/>
  <c r="D25" i="79" s="1"/>
  <c r="H24" i="79"/>
  <c r="G24" i="79"/>
  <c r="K24" i="79" s="1"/>
  <c r="F24" i="79"/>
  <c r="C24" i="79"/>
  <c r="D24" i="79" s="1"/>
  <c r="H23" i="79"/>
  <c r="G23" i="79"/>
  <c r="K23" i="79" s="1"/>
  <c r="F23" i="79"/>
  <c r="C23" i="79"/>
  <c r="D23" i="79" s="1"/>
  <c r="H22" i="79"/>
  <c r="G22" i="79"/>
  <c r="K22" i="79" s="1"/>
  <c r="F22" i="79"/>
  <c r="C22" i="79"/>
  <c r="D22" i="79" s="1"/>
  <c r="H21" i="79"/>
  <c r="G21" i="79"/>
  <c r="K21" i="79" s="1"/>
  <c r="F21" i="79"/>
  <c r="C21" i="79"/>
  <c r="D21" i="79" s="1"/>
  <c r="H20" i="79"/>
  <c r="G20" i="79"/>
  <c r="K20" i="79" s="1"/>
  <c r="F20" i="79"/>
  <c r="C20" i="79"/>
  <c r="D20" i="79" s="1"/>
  <c r="H19" i="79"/>
  <c r="G19" i="79"/>
  <c r="K19" i="79" s="1"/>
  <c r="F19" i="79"/>
  <c r="C19" i="79"/>
  <c r="D19" i="79" s="1"/>
  <c r="H23" i="46" s="1"/>
  <c r="C113" i="46"/>
  <c r="D113" i="46" s="1"/>
  <c r="E113" i="46" s="1"/>
  <c r="C36" i="46"/>
  <c r="E36" i="46" s="1"/>
  <c r="D9" i="46" l="1"/>
  <c r="H10" i="46"/>
  <c r="H9" i="46"/>
  <c r="F9" i="46"/>
  <c r="G10" i="46"/>
  <c r="G9" i="46"/>
  <c r="G35" i="46"/>
  <c r="G34" i="46"/>
  <c r="G33" i="46"/>
  <c r="G32" i="46"/>
  <c r="G31" i="46"/>
  <c r="H24" i="46"/>
  <c r="H25" i="46"/>
  <c r="H26" i="46"/>
  <c r="H27" i="46"/>
  <c r="H28" i="46"/>
  <c r="H29" i="46"/>
  <c r="H30" i="46"/>
  <c r="H31" i="46"/>
  <c r="H32" i="46"/>
  <c r="H33" i="46"/>
  <c r="H34" i="46"/>
  <c r="H11" i="46"/>
  <c r="H12" i="46"/>
  <c r="H13" i="46"/>
  <c r="H14" i="46"/>
  <c r="H15" i="46"/>
  <c r="H16" i="46"/>
  <c r="H17" i="46"/>
  <c r="H18" i="46"/>
  <c r="H19" i="46"/>
  <c r="H20" i="46"/>
  <c r="H21" i="46"/>
  <c r="G11" i="46"/>
  <c r="G12" i="46"/>
  <c r="G13" i="46"/>
  <c r="G14" i="46"/>
  <c r="G15" i="46"/>
  <c r="G16" i="46"/>
  <c r="G17" i="46"/>
  <c r="G18" i="46"/>
  <c r="G19" i="46"/>
  <c r="G20" i="46"/>
  <c r="G21" i="46"/>
  <c r="G22" i="46"/>
  <c r="G23" i="46"/>
  <c r="G24" i="46"/>
  <c r="G25" i="46"/>
  <c r="G26" i="46"/>
  <c r="G27" i="46"/>
  <c r="G28" i="46"/>
  <c r="G29" i="46"/>
  <c r="G30" i="46"/>
  <c r="F31" i="75"/>
  <c r="M34" i="46"/>
  <c r="F30" i="75"/>
  <c r="M33" i="46"/>
  <c r="F29" i="75"/>
  <c r="M32" i="46"/>
  <c r="F28" i="75"/>
  <c r="M31" i="46"/>
  <c r="F27" i="75"/>
  <c r="M30" i="46"/>
  <c r="F26" i="75"/>
  <c r="M29" i="46"/>
  <c r="F25" i="75"/>
  <c r="M28" i="46"/>
  <c r="F24" i="75"/>
  <c r="M27" i="46"/>
  <c r="F23" i="75"/>
  <c r="M26" i="46"/>
  <c r="F22" i="75"/>
  <c r="M25" i="46"/>
  <c r="F21" i="75"/>
  <c r="M24" i="46"/>
  <c r="H36" i="46"/>
  <c r="G36" i="46"/>
  <c r="D36" i="46"/>
  <c r="M36" i="46"/>
  <c r="E31" i="79"/>
  <c r="H35" i="46"/>
  <c r="E18" i="79"/>
  <c r="H22" i="46"/>
  <c r="D11" i="46"/>
  <c r="D12" i="46"/>
  <c r="D13" i="46"/>
  <c r="D14" i="46"/>
  <c r="D15" i="46"/>
  <c r="D16" i="46"/>
  <c r="D17" i="46"/>
  <c r="D18" i="46"/>
  <c r="D19" i="46"/>
  <c r="D20" i="46"/>
  <c r="D21" i="46"/>
  <c r="D22" i="46"/>
  <c r="D23" i="46"/>
  <c r="D24" i="46"/>
  <c r="D25" i="46"/>
  <c r="D26" i="46"/>
  <c r="D27" i="46"/>
  <c r="D28" i="46"/>
  <c r="D29" i="46"/>
  <c r="D30" i="46"/>
  <c r="D31" i="46"/>
  <c r="D32" i="46"/>
  <c r="D33" i="46"/>
  <c r="D34" i="46"/>
  <c r="D35" i="46"/>
  <c r="D10" i="46"/>
  <c r="F10" i="46"/>
  <c r="H33" i="78"/>
  <c r="H34" i="78"/>
  <c r="H35" i="78"/>
  <c r="E6" i="42"/>
  <c r="E7" i="42"/>
  <c r="N9" i="46" s="1"/>
  <c r="E9" i="42"/>
  <c r="N11" i="46" s="1"/>
  <c r="E8" i="42"/>
  <c r="N10" i="46" s="1"/>
  <c r="E10" i="42"/>
  <c r="N12" i="46" s="1"/>
  <c r="E11" i="42"/>
  <c r="N13" i="46" s="1"/>
  <c r="E12" i="42"/>
  <c r="N14" i="46" s="1"/>
  <c r="E13" i="42"/>
  <c r="N15" i="46" s="1"/>
  <c r="E14" i="42"/>
  <c r="N16" i="46" s="1"/>
  <c r="E15" i="42"/>
  <c r="N17" i="46" s="1"/>
  <c r="E16" i="42"/>
  <c r="N18" i="46" s="1"/>
  <c r="E17" i="42"/>
  <c r="N19" i="46" s="1"/>
  <c r="E18" i="42"/>
  <c r="N20" i="46" s="1"/>
  <c r="E19" i="42"/>
  <c r="N21" i="46" s="1"/>
  <c r="E20" i="42"/>
  <c r="N22" i="46" s="1"/>
  <c r="E21" i="42"/>
  <c r="N23" i="46" s="1"/>
  <c r="E22" i="42"/>
  <c r="N24" i="46" s="1"/>
  <c r="E23" i="42"/>
  <c r="N25" i="46" s="1"/>
  <c r="E24" i="42"/>
  <c r="N26" i="46" s="1"/>
  <c r="E25" i="42"/>
  <c r="N27" i="46" s="1"/>
  <c r="E26" i="42"/>
  <c r="N28" i="46" s="1"/>
  <c r="E27" i="42"/>
  <c r="E28" i="42"/>
  <c r="N30" i="46" s="1"/>
  <c r="E29" i="42"/>
  <c r="N31" i="46" s="1"/>
  <c r="E30" i="42"/>
  <c r="N32" i="46" s="1"/>
  <c r="E31" i="42"/>
  <c r="N33" i="46" s="1"/>
  <c r="E32" i="42"/>
  <c r="N34" i="46" s="1"/>
  <c r="E33" i="42"/>
  <c r="N35" i="46" s="1"/>
  <c r="E34" i="42"/>
  <c r="N36" i="46" s="1"/>
  <c r="E35" i="42"/>
  <c r="E36" i="42"/>
  <c r="E37" i="42"/>
  <c r="F37" i="42" s="1"/>
  <c r="E38" i="42"/>
  <c r="F38" i="42" s="1"/>
  <c r="E39" i="42"/>
  <c r="F39" i="42" s="1"/>
  <c r="E40" i="42"/>
  <c r="F40" i="42" s="1"/>
  <c r="E41" i="42"/>
  <c r="F41" i="42" s="1"/>
  <c r="J18" i="79"/>
  <c r="I18" i="79"/>
  <c r="L18" i="79" s="1"/>
  <c r="E6" i="79"/>
  <c r="J6" i="79"/>
  <c r="I6" i="79"/>
  <c r="E7" i="79"/>
  <c r="J7" i="79"/>
  <c r="I7" i="79"/>
  <c r="L7" i="79" s="1"/>
  <c r="E8" i="79"/>
  <c r="J8" i="79"/>
  <c r="I8" i="79"/>
  <c r="E9" i="79"/>
  <c r="J9" i="79"/>
  <c r="I9" i="79"/>
  <c r="L9" i="79" s="1"/>
  <c r="E10" i="79"/>
  <c r="J10" i="79"/>
  <c r="I10" i="79"/>
  <c r="E11" i="79"/>
  <c r="J11" i="79"/>
  <c r="I11" i="79"/>
  <c r="L11" i="79" s="1"/>
  <c r="E12" i="79"/>
  <c r="J12" i="79"/>
  <c r="I12" i="79"/>
  <c r="E13" i="79"/>
  <c r="J13" i="79"/>
  <c r="I13" i="79"/>
  <c r="L13" i="79" s="1"/>
  <c r="E14" i="79"/>
  <c r="J14" i="79"/>
  <c r="I14" i="79"/>
  <c r="L14" i="79" s="1"/>
  <c r="E15" i="79"/>
  <c r="J15" i="79"/>
  <c r="I15" i="79"/>
  <c r="L15" i="79" s="1"/>
  <c r="E16" i="79"/>
  <c r="J16" i="79"/>
  <c r="I16" i="79"/>
  <c r="L16" i="79" s="1"/>
  <c r="E17" i="79"/>
  <c r="J21" i="46" s="1"/>
  <c r="J17" i="79"/>
  <c r="I17" i="79"/>
  <c r="L17" i="79" s="1"/>
  <c r="I21" i="46" s="1"/>
  <c r="H6" i="78"/>
  <c r="J40" i="79"/>
  <c r="I40" i="79"/>
  <c r="L40" i="79" s="1"/>
  <c r="E20" i="75"/>
  <c r="M23" i="46" s="1"/>
  <c r="E19" i="75"/>
  <c r="M22" i="46" s="1"/>
  <c r="E18" i="75"/>
  <c r="M21" i="46" s="1"/>
  <c r="E17" i="75"/>
  <c r="M20" i="46" s="1"/>
  <c r="E16" i="75"/>
  <c r="M19" i="46" s="1"/>
  <c r="E15" i="75"/>
  <c r="M18" i="46" s="1"/>
  <c r="E14" i="75"/>
  <c r="M17" i="46" s="1"/>
  <c r="E13" i="75"/>
  <c r="M16" i="46" s="1"/>
  <c r="E12" i="75"/>
  <c r="M15" i="46" s="1"/>
  <c r="E11" i="75"/>
  <c r="M14" i="46" s="1"/>
  <c r="E10" i="75"/>
  <c r="M13" i="46" s="1"/>
  <c r="E9" i="75"/>
  <c r="M12" i="46" s="1"/>
  <c r="E8" i="75"/>
  <c r="M11" i="46" s="1"/>
  <c r="E7" i="75"/>
  <c r="M10" i="46" s="1"/>
  <c r="E6" i="75"/>
  <c r="M9" i="46" s="1"/>
  <c r="E5" i="75"/>
  <c r="M8" i="46" s="1"/>
  <c r="E19" i="79"/>
  <c r="J19" i="79"/>
  <c r="I19" i="79"/>
  <c r="L19" i="79" s="1"/>
  <c r="E20" i="79"/>
  <c r="J20" i="79"/>
  <c r="I20" i="79"/>
  <c r="L20" i="79" s="1"/>
  <c r="E21" i="79"/>
  <c r="J21" i="79"/>
  <c r="I21" i="79"/>
  <c r="L21" i="79" s="1"/>
  <c r="E22" i="79"/>
  <c r="J22" i="79"/>
  <c r="I22" i="79"/>
  <c r="L22" i="79" s="1"/>
  <c r="E23" i="79"/>
  <c r="J23" i="79"/>
  <c r="I23" i="79"/>
  <c r="L23" i="79" s="1"/>
  <c r="E24" i="79"/>
  <c r="J24" i="79"/>
  <c r="I24" i="79"/>
  <c r="L24" i="79" s="1"/>
  <c r="E25" i="79"/>
  <c r="J25" i="79"/>
  <c r="I25" i="79"/>
  <c r="L25" i="79" s="1"/>
  <c r="E26" i="79"/>
  <c r="J26" i="79"/>
  <c r="I26" i="79"/>
  <c r="L26" i="79" s="1"/>
  <c r="E27" i="79"/>
  <c r="J27" i="79"/>
  <c r="I27" i="79"/>
  <c r="L27" i="79" s="1"/>
  <c r="E28" i="79"/>
  <c r="J28" i="79"/>
  <c r="I28" i="79"/>
  <c r="L28" i="79" s="1"/>
  <c r="E29" i="79"/>
  <c r="J29" i="79"/>
  <c r="I29" i="79"/>
  <c r="L29" i="79" s="1"/>
  <c r="E30" i="79"/>
  <c r="J34" i="46" s="1"/>
  <c r="J30" i="79"/>
  <c r="I30" i="79"/>
  <c r="L30" i="79" s="1"/>
  <c r="J31" i="79"/>
  <c r="I31" i="79"/>
  <c r="L31" i="79" s="1"/>
  <c r="J32" i="79"/>
  <c r="I32" i="79"/>
  <c r="L32" i="79" s="1"/>
  <c r="J33" i="79"/>
  <c r="I33" i="79"/>
  <c r="L33" i="79" s="1"/>
  <c r="J34" i="79"/>
  <c r="I34" i="79"/>
  <c r="L34" i="79" s="1"/>
  <c r="J35" i="79"/>
  <c r="I35" i="79"/>
  <c r="L35" i="79" s="1"/>
  <c r="I39" i="79"/>
  <c r="J39" i="79"/>
  <c r="I38" i="79"/>
  <c r="J38" i="79"/>
  <c r="I37" i="79"/>
  <c r="J37" i="79"/>
  <c r="I36" i="79"/>
  <c r="J36" i="79"/>
  <c r="E114" i="46"/>
  <c r="C37" i="46"/>
  <c r="N37" i="46" l="1"/>
  <c r="E37" i="46"/>
  <c r="I36" i="46"/>
  <c r="I35" i="46"/>
  <c r="I34" i="46"/>
  <c r="I33" i="46"/>
  <c r="J33" i="46"/>
  <c r="I32" i="46"/>
  <c r="J32" i="46"/>
  <c r="I31" i="46"/>
  <c r="J31" i="46"/>
  <c r="I30" i="46"/>
  <c r="J30" i="46"/>
  <c r="I29" i="46"/>
  <c r="J29" i="46"/>
  <c r="I28" i="46"/>
  <c r="J28" i="46"/>
  <c r="I27" i="46"/>
  <c r="J27" i="46"/>
  <c r="I26" i="46"/>
  <c r="J26" i="46"/>
  <c r="I25" i="46"/>
  <c r="J25" i="46"/>
  <c r="I24" i="46"/>
  <c r="J24" i="46"/>
  <c r="I23" i="46"/>
  <c r="J23" i="46"/>
  <c r="I20" i="46"/>
  <c r="J20" i="46"/>
  <c r="I19" i="46"/>
  <c r="J19" i="46"/>
  <c r="I18" i="46"/>
  <c r="J18" i="46"/>
  <c r="J17" i="46"/>
  <c r="J16" i="46"/>
  <c r="J15" i="46"/>
  <c r="J14" i="46"/>
  <c r="J13" i="46"/>
  <c r="J12" i="46"/>
  <c r="J11" i="46"/>
  <c r="J10" i="46"/>
  <c r="J9" i="46"/>
  <c r="F21" i="46"/>
  <c r="I22" i="46"/>
  <c r="J22" i="46"/>
  <c r="J35" i="46"/>
  <c r="J36" i="46"/>
  <c r="N29" i="46"/>
  <c r="F27" i="42"/>
  <c r="L10" i="79"/>
  <c r="L6" i="79"/>
  <c r="I9" i="46" s="1"/>
  <c r="L12" i="79"/>
  <c r="L8" i="79"/>
  <c r="F6" i="42"/>
  <c r="N8" i="46"/>
  <c r="J37" i="46"/>
  <c r="I37" i="46"/>
  <c r="H37" i="46"/>
  <c r="F37" i="46"/>
  <c r="D37" i="46"/>
  <c r="M37" i="46"/>
  <c r="H32" i="78"/>
  <c r="F36" i="46"/>
  <c r="H31" i="78"/>
  <c r="F35" i="46"/>
  <c r="H30" i="78"/>
  <c r="F34" i="46"/>
  <c r="H29" i="78"/>
  <c r="F33" i="46"/>
  <c r="H28" i="78"/>
  <c r="F32" i="46"/>
  <c r="H27" i="78"/>
  <c r="F31" i="46"/>
  <c r="H26" i="78"/>
  <c r="F30" i="46"/>
  <c r="H25" i="78"/>
  <c r="F29" i="46"/>
  <c r="H24" i="78"/>
  <c r="F28" i="46"/>
  <c r="H23" i="78"/>
  <c r="F27" i="46"/>
  <c r="H22" i="78"/>
  <c r="F26" i="46"/>
  <c r="H21" i="78"/>
  <c r="F25" i="46"/>
  <c r="H20" i="78"/>
  <c r="F24" i="46"/>
  <c r="H19" i="78"/>
  <c r="F23" i="46"/>
  <c r="H18" i="78"/>
  <c r="F22" i="46"/>
  <c r="H16" i="78"/>
  <c r="F20" i="46"/>
  <c r="H15" i="78"/>
  <c r="F19" i="46"/>
  <c r="H14" i="78"/>
  <c r="F18" i="46"/>
  <c r="H13" i="78"/>
  <c r="F17" i="46"/>
  <c r="H12" i="78"/>
  <c r="F16" i="46"/>
  <c r="H11" i="78"/>
  <c r="F15" i="46"/>
  <c r="H10" i="78"/>
  <c r="F14" i="46"/>
  <c r="H9" i="78"/>
  <c r="F13" i="46"/>
  <c r="H8" i="78"/>
  <c r="F12" i="46"/>
  <c r="H7" i="78"/>
  <c r="F11" i="46"/>
  <c r="F36" i="42"/>
  <c r="F35" i="42"/>
  <c r="F34" i="42"/>
  <c r="F33" i="42"/>
  <c r="F32" i="42"/>
  <c r="F31" i="42"/>
  <c r="F30" i="42"/>
  <c r="F29" i="42"/>
  <c r="F28" i="42"/>
  <c r="F26" i="42"/>
  <c r="F25" i="42"/>
  <c r="F24" i="42"/>
  <c r="F23" i="42"/>
  <c r="F22" i="42"/>
  <c r="F21" i="42"/>
  <c r="F20" i="42"/>
  <c r="F19" i="42"/>
  <c r="F18" i="42"/>
  <c r="F17" i="42"/>
  <c r="F16" i="42"/>
  <c r="F15" i="42"/>
  <c r="F14" i="42"/>
  <c r="F13" i="42"/>
  <c r="F12" i="42"/>
  <c r="F11" i="42"/>
  <c r="F10" i="42"/>
  <c r="F8" i="42"/>
  <c r="F9" i="42"/>
  <c r="F7" i="42"/>
  <c r="H17" i="78"/>
  <c r="H42" i="78" s="1"/>
  <c r="M17" i="79"/>
  <c r="O17" i="79" s="1"/>
  <c r="N17" i="79"/>
  <c r="M16" i="79"/>
  <c r="O16" i="79" s="1"/>
  <c r="N16" i="79"/>
  <c r="M15" i="79"/>
  <c r="O15" i="79" s="1"/>
  <c r="N15" i="79"/>
  <c r="N14" i="79"/>
  <c r="M14" i="79"/>
  <c r="O14" i="79" s="1"/>
  <c r="M13" i="79"/>
  <c r="O13" i="79" s="1"/>
  <c r="N13" i="79"/>
  <c r="M12" i="79"/>
  <c r="O12" i="79" s="1"/>
  <c r="N12" i="79"/>
  <c r="M11" i="79"/>
  <c r="O11" i="79" s="1"/>
  <c r="N11" i="79"/>
  <c r="N10" i="79"/>
  <c r="M10" i="79"/>
  <c r="O10" i="79" s="1"/>
  <c r="M9" i="79"/>
  <c r="O9" i="79" s="1"/>
  <c r="N9" i="79"/>
  <c r="M8" i="79"/>
  <c r="O8" i="79" s="1"/>
  <c r="N8" i="79"/>
  <c r="M7" i="79"/>
  <c r="O7" i="79" s="1"/>
  <c r="N7" i="79"/>
  <c r="M6" i="79"/>
  <c r="O6" i="79" s="1"/>
  <c r="N6" i="79"/>
  <c r="M18" i="79"/>
  <c r="O18" i="79" s="1"/>
  <c r="N18" i="79"/>
  <c r="N40" i="79"/>
  <c r="M40" i="79"/>
  <c r="O40" i="79" s="1"/>
  <c r="L36" i="79"/>
  <c r="L37" i="79"/>
  <c r="L38" i="79"/>
  <c r="L39" i="79"/>
  <c r="M35" i="79"/>
  <c r="O35" i="79" s="1"/>
  <c r="N35" i="79"/>
  <c r="M34" i="79"/>
  <c r="O34" i="79" s="1"/>
  <c r="N34" i="79"/>
  <c r="M33" i="79"/>
  <c r="O33" i="79" s="1"/>
  <c r="N33" i="79"/>
  <c r="M32" i="79"/>
  <c r="O32" i="79" s="1"/>
  <c r="N32" i="79"/>
  <c r="M31" i="79"/>
  <c r="O31" i="79" s="1"/>
  <c r="N31" i="79"/>
  <c r="N30" i="79"/>
  <c r="M30" i="79"/>
  <c r="O30" i="79" s="1"/>
  <c r="M29" i="79"/>
  <c r="O29" i="79" s="1"/>
  <c r="N29" i="79"/>
  <c r="M28" i="79"/>
  <c r="O28" i="79" s="1"/>
  <c r="N28" i="79"/>
  <c r="M27" i="79"/>
  <c r="O27" i="79" s="1"/>
  <c r="N27" i="79"/>
  <c r="M26" i="79"/>
  <c r="O26" i="79" s="1"/>
  <c r="N26" i="79"/>
  <c r="N25" i="79"/>
  <c r="M25" i="79"/>
  <c r="O25" i="79" s="1"/>
  <c r="M24" i="79"/>
  <c r="O24" i="79" s="1"/>
  <c r="N24" i="79"/>
  <c r="N23" i="79"/>
  <c r="M23" i="79"/>
  <c r="O23" i="79" s="1"/>
  <c r="N22" i="79"/>
  <c r="M22" i="79"/>
  <c r="O22" i="79" s="1"/>
  <c r="M21" i="79"/>
  <c r="O21" i="79" s="1"/>
  <c r="N21" i="79"/>
  <c r="M20" i="79"/>
  <c r="O20" i="79" s="1"/>
  <c r="N20" i="79"/>
  <c r="M19" i="79"/>
  <c r="N19" i="79"/>
  <c r="F5" i="75"/>
  <c r="F6" i="75"/>
  <c r="F7" i="75"/>
  <c r="F8" i="75"/>
  <c r="F9" i="75"/>
  <c r="H42" i="76"/>
  <c r="F10" i="75"/>
  <c r="F11" i="75"/>
  <c r="F12" i="75"/>
  <c r="F13" i="75"/>
  <c r="F14" i="75"/>
  <c r="F15" i="75"/>
  <c r="F16" i="75"/>
  <c r="F17" i="75"/>
  <c r="F18" i="75"/>
  <c r="F19" i="75"/>
  <c r="F20" i="75"/>
  <c r="C38" i="46"/>
  <c r="P8" i="46" l="1"/>
  <c r="O8" i="46"/>
  <c r="N38" i="46"/>
  <c r="E38" i="46"/>
  <c r="I12" i="46"/>
  <c r="I13" i="46"/>
  <c r="I16" i="46"/>
  <c r="I17" i="46"/>
  <c r="I10" i="46"/>
  <c r="I11" i="46"/>
  <c r="I14" i="46"/>
  <c r="I15" i="46"/>
  <c r="F42" i="42"/>
  <c r="J38" i="46"/>
  <c r="I38" i="46"/>
  <c r="H38" i="46"/>
  <c r="F38" i="46"/>
  <c r="D38" i="46"/>
  <c r="M38" i="46"/>
  <c r="F41" i="75"/>
  <c r="O19" i="79"/>
  <c r="M39" i="79"/>
  <c r="O39" i="79" s="1"/>
  <c r="N39" i="79"/>
  <c r="M38" i="79"/>
  <c r="O38" i="79" s="1"/>
  <c r="N38" i="79"/>
  <c r="M37" i="79"/>
  <c r="O37" i="79" s="1"/>
  <c r="N37" i="79"/>
  <c r="M36" i="79"/>
  <c r="N36" i="79"/>
  <c r="C39" i="46"/>
  <c r="N39" i="46" l="1"/>
  <c r="E39" i="46"/>
  <c r="J39" i="46"/>
  <c r="I39" i="46"/>
  <c r="H39" i="46"/>
  <c r="F39" i="46"/>
  <c r="D39" i="46"/>
  <c r="M39" i="46"/>
  <c r="O36" i="79"/>
  <c r="M41" i="79"/>
  <c r="O41" i="79"/>
  <c r="C40" i="46"/>
  <c r="N40" i="46" l="1"/>
  <c r="E40" i="46"/>
  <c r="J40" i="46"/>
  <c r="I40" i="46"/>
  <c r="H40" i="46"/>
  <c r="F40" i="46"/>
  <c r="D40" i="46"/>
  <c r="M40" i="46"/>
  <c r="C41" i="46"/>
  <c r="N41" i="46" l="1"/>
  <c r="E41" i="46"/>
  <c r="L41" i="46"/>
  <c r="K41" i="46"/>
  <c r="J41" i="46"/>
  <c r="I41" i="46"/>
  <c r="H41" i="46"/>
  <c r="F41" i="46"/>
  <c r="D41" i="46"/>
  <c r="M41" i="46"/>
  <c r="C42" i="46"/>
  <c r="N42" i="46" l="1"/>
  <c r="E42" i="46"/>
  <c r="L42" i="46"/>
  <c r="K42" i="46"/>
  <c r="J42" i="46"/>
  <c r="I42" i="46"/>
  <c r="H42" i="46"/>
  <c r="F42" i="46"/>
  <c r="D42" i="46"/>
  <c r="M42" i="46"/>
  <c r="C43" i="46"/>
  <c r="N43" i="46" l="1"/>
  <c r="E43" i="46"/>
  <c r="L43" i="46"/>
  <c r="K43" i="46"/>
  <c r="J43" i="46"/>
  <c r="I43" i="46"/>
  <c r="H43" i="46"/>
  <c r="F43" i="46"/>
  <c r="D43" i="46"/>
  <c r="M43" i="46"/>
  <c r="C44" i="46"/>
  <c r="N44" i="46" l="1"/>
  <c r="E44" i="46"/>
  <c r="L44" i="46"/>
  <c r="K44" i="46"/>
  <c r="J44" i="46"/>
  <c r="I44" i="46"/>
  <c r="H44" i="46"/>
  <c r="F44" i="46"/>
  <c r="D44" i="46"/>
  <c r="M44" i="46"/>
  <c r="C45" i="46"/>
  <c r="N45" i="46" l="1"/>
  <c r="E45" i="46"/>
  <c r="L45" i="46"/>
  <c r="K45" i="46"/>
  <c r="J45" i="46"/>
  <c r="I45" i="46"/>
  <c r="H45" i="46"/>
  <c r="F45" i="46"/>
  <c r="D45" i="46"/>
  <c r="M45" i="46"/>
  <c r="C46" i="46"/>
  <c r="N46" i="46" l="1"/>
  <c r="E46" i="46"/>
  <c r="L46" i="46"/>
  <c r="K46" i="46"/>
  <c r="J46" i="46"/>
  <c r="I46" i="46"/>
  <c r="H46" i="46"/>
  <c r="F46" i="46"/>
  <c r="D46" i="46"/>
  <c r="M46" i="46"/>
  <c r="C47" i="46"/>
  <c r="N47" i="46" l="1"/>
  <c r="E47" i="46"/>
  <c r="L47" i="46"/>
  <c r="K47" i="46"/>
  <c r="J47" i="46"/>
  <c r="I47" i="46"/>
  <c r="H47" i="46"/>
  <c r="G47" i="46"/>
  <c r="F47" i="46"/>
  <c r="D47" i="46"/>
  <c r="M47" i="46"/>
  <c r="C48" i="46"/>
  <c r="N48" i="46" l="1"/>
  <c r="E48" i="46"/>
  <c r="P47" i="46"/>
  <c r="L48" i="46"/>
  <c r="K48" i="46"/>
  <c r="J48" i="46"/>
  <c r="I48" i="46"/>
  <c r="H48" i="46"/>
  <c r="G48" i="46"/>
  <c r="F48" i="46"/>
  <c r="D48" i="46"/>
  <c r="M48" i="46"/>
  <c r="O47" i="46"/>
  <c r="C49" i="46"/>
  <c r="N49" i="46" l="1"/>
  <c r="E49" i="46"/>
  <c r="P48" i="46"/>
  <c r="L49" i="46"/>
  <c r="K49" i="46"/>
  <c r="J49" i="46"/>
  <c r="I49" i="46"/>
  <c r="H49" i="46"/>
  <c r="G49" i="46"/>
  <c r="F49" i="46"/>
  <c r="D49" i="46"/>
  <c r="M49" i="46"/>
  <c r="O48" i="46"/>
  <c r="C50" i="46"/>
  <c r="N50" i="46" l="1"/>
  <c r="E50" i="46"/>
  <c r="P49" i="46"/>
  <c r="L50" i="46"/>
  <c r="K50" i="46"/>
  <c r="J50" i="46"/>
  <c r="I50" i="46"/>
  <c r="H50" i="46"/>
  <c r="G50" i="46"/>
  <c r="F50" i="46"/>
  <c r="D50" i="46"/>
  <c r="M50" i="46"/>
  <c r="O49" i="46"/>
  <c r="C51" i="46"/>
  <c r="N51" i="46" l="1"/>
  <c r="E51" i="46"/>
  <c r="P50" i="46"/>
  <c r="L51" i="46"/>
  <c r="K51" i="46"/>
  <c r="J51" i="46"/>
  <c r="I51" i="46"/>
  <c r="H51" i="46"/>
  <c r="G51" i="46"/>
  <c r="F51" i="46"/>
  <c r="D51" i="46"/>
  <c r="M51" i="46"/>
  <c r="O50" i="46"/>
  <c r="C52" i="46"/>
  <c r="N52" i="46" l="1"/>
  <c r="E52" i="46"/>
  <c r="P51" i="46"/>
  <c r="L52" i="46"/>
  <c r="K52" i="46"/>
  <c r="J52" i="46"/>
  <c r="I52" i="46"/>
  <c r="H52" i="46"/>
  <c r="G52" i="46"/>
  <c r="F52" i="46"/>
  <c r="D52" i="46"/>
  <c r="M52" i="46"/>
  <c r="O51" i="46"/>
  <c r="C53" i="46"/>
  <c r="N53" i="46" l="1"/>
  <c r="E53" i="46"/>
  <c r="P52" i="46"/>
  <c r="L53" i="46"/>
  <c r="K53" i="46"/>
  <c r="J53" i="46"/>
  <c r="I53" i="46"/>
  <c r="H53" i="46"/>
  <c r="G53" i="46"/>
  <c r="F53" i="46"/>
  <c r="D53" i="46"/>
  <c r="M53" i="46"/>
  <c r="O52" i="46"/>
  <c r="C54" i="46"/>
  <c r="N54" i="46" l="1"/>
  <c r="E54" i="46"/>
  <c r="P53" i="46"/>
  <c r="L54" i="46"/>
  <c r="K54" i="46"/>
  <c r="J54" i="46"/>
  <c r="I54" i="46"/>
  <c r="H54" i="46"/>
  <c r="G54" i="46"/>
  <c r="F54" i="46"/>
  <c r="D54" i="46"/>
  <c r="M54" i="46"/>
  <c r="O53" i="46"/>
  <c r="C55" i="46"/>
  <c r="N55" i="46" l="1"/>
  <c r="E55" i="46"/>
  <c r="P54" i="46"/>
  <c r="L55" i="46"/>
  <c r="K55" i="46"/>
  <c r="J55" i="46"/>
  <c r="I55" i="46"/>
  <c r="H55" i="46"/>
  <c r="G55" i="46"/>
  <c r="F55" i="46"/>
  <c r="D55" i="46"/>
  <c r="M55" i="46"/>
  <c r="O54" i="46"/>
  <c r="C56" i="46"/>
  <c r="N56" i="46" l="1"/>
  <c r="E56" i="46"/>
  <c r="P55" i="46"/>
  <c r="L56" i="46"/>
  <c r="K56" i="46"/>
  <c r="J56" i="46"/>
  <c r="I56" i="46"/>
  <c r="H56" i="46"/>
  <c r="G56" i="46"/>
  <c r="F56" i="46"/>
  <c r="D56" i="46"/>
  <c r="M56" i="46"/>
  <c r="O55" i="46"/>
  <c r="C57" i="46"/>
  <c r="N57" i="46" l="1"/>
  <c r="E57" i="46"/>
  <c r="P56" i="46"/>
  <c r="L57" i="46"/>
  <c r="K57" i="46"/>
  <c r="J57" i="46"/>
  <c r="I57" i="46"/>
  <c r="H57" i="46"/>
  <c r="G57" i="46"/>
  <c r="F57" i="46"/>
  <c r="D57" i="46"/>
  <c r="M57" i="46"/>
  <c r="O56" i="46"/>
  <c r="C58" i="46"/>
  <c r="N58" i="46" l="1"/>
  <c r="E58" i="46"/>
  <c r="P57" i="46"/>
  <c r="L58" i="46"/>
  <c r="K58" i="46"/>
  <c r="J58" i="46"/>
  <c r="I58" i="46"/>
  <c r="H58" i="46"/>
  <c r="G58" i="46"/>
  <c r="F58" i="46"/>
  <c r="D58" i="46"/>
  <c r="M58" i="46"/>
  <c r="O57" i="46"/>
  <c r="C59" i="46"/>
  <c r="N59" i="46" l="1"/>
  <c r="E59" i="46"/>
  <c r="P58" i="46"/>
  <c r="L59" i="46"/>
  <c r="K59" i="46"/>
  <c r="J59" i="46"/>
  <c r="I59" i="46"/>
  <c r="H59" i="46"/>
  <c r="G59" i="46"/>
  <c r="F59" i="46"/>
  <c r="D59" i="46"/>
  <c r="M59" i="46"/>
  <c r="O58" i="46"/>
  <c r="C60" i="46"/>
  <c r="N60" i="46" l="1"/>
  <c r="E60" i="46"/>
  <c r="P59" i="46"/>
  <c r="L60" i="46"/>
  <c r="K60" i="46"/>
  <c r="J60" i="46"/>
  <c r="I60" i="46"/>
  <c r="H60" i="46"/>
  <c r="G60" i="46"/>
  <c r="F60" i="46"/>
  <c r="D60" i="46"/>
  <c r="M60" i="46"/>
  <c r="O59" i="46"/>
  <c r="C61" i="46"/>
  <c r="N61" i="46" l="1"/>
  <c r="E61" i="46"/>
  <c r="P60" i="46"/>
  <c r="L61" i="46"/>
  <c r="K61" i="46"/>
  <c r="J61" i="46"/>
  <c r="I61" i="46"/>
  <c r="H61" i="46"/>
  <c r="G61" i="46"/>
  <c r="F61" i="46"/>
  <c r="D61" i="46"/>
  <c r="M61" i="46"/>
  <c r="O60" i="46"/>
  <c r="C62" i="46"/>
  <c r="N62" i="46" l="1"/>
  <c r="E62" i="46"/>
  <c r="P61" i="46"/>
  <c r="L62" i="46"/>
  <c r="K62" i="46"/>
  <c r="J62" i="46"/>
  <c r="I62" i="46"/>
  <c r="H62" i="46"/>
  <c r="G62" i="46"/>
  <c r="F62" i="46"/>
  <c r="D62" i="46"/>
  <c r="M62" i="46"/>
  <c r="O61" i="46"/>
  <c r="C63" i="46"/>
  <c r="N63" i="46" l="1"/>
  <c r="E63" i="46"/>
  <c r="P62" i="46"/>
  <c r="L63" i="46"/>
  <c r="K63" i="46"/>
  <c r="J63" i="46"/>
  <c r="I63" i="46"/>
  <c r="H63" i="46"/>
  <c r="G63" i="46"/>
  <c r="F63" i="46"/>
  <c r="D63" i="46"/>
  <c r="M63" i="46"/>
  <c r="O62" i="46"/>
  <c r="C64" i="46"/>
  <c r="N64" i="46" l="1"/>
  <c r="E64" i="46"/>
  <c r="P63" i="46"/>
  <c r="L64" i="46"/>
  <c r="K64" i="46"/>
  <c r="J64" i="46"/>
  <c r="I64" i="46"/>
  <c r="H64" i="46"/>
  <c r="G64" i="46"/>
  <c r="F64" i="46"/>
  <c r="D64" i="46"/>
  <c r="M64" i="46"/>
  <c r="O63" i="46"/>
  <c r="C65" i="46"/>
  <c r="N65" i="46" l="1"/>
  <c r="E65" i="46"/>
  <c r="P64" i="46"/>
  <c r="L65" i="46"/>
  <c r="K65" i="46"/>
  <c r="J65" i="46"/>
  <c r="I65" i="46"/>
  <c r="H65" i="46"/>
  <c r="G65" i="46"/>
  <c r="F65" i="46"/>
  <c r="D65" i="46"/>
  <c r="M65" i="46"/>
  <c r="O64" i="46"/>
  <c r="C66" i="46"/>
  <c r="N66" i="46" l="1"/>
  <c r="E66" i="46"/>
  <c r="P65" i="46"/>
  <c r="L66" i="46"/>
  <c r="K66" i="46"/>
  <c r="J66" i="46"/>
  <c r="I66" i="46"/>
  <c r="H66" i="46"/>
  <c r="G66" i="46"/>
  <c r="F66" i="46"/>
  <c r="D66" i="46"/>
  <c r="M66" i="46"/>
  <c r="O65" i="46"/>
  <c r="C67" i="46"/>
  <c r="N67" i="46" l="1"/>
  <c r="E67" i="46"/>
  <c r="P66" i="46"/>
  <c r="L67" i="46"/>
  <c r="K67" i="46"/>
  <c r="J67" i="46"/>
  <c r="I67" i="46"/>
  <c r="H67" i="46"/>
  <c r="G67" i="46"/>
  <c r="F67" i="46"/>
  <c r="D67" i="46"/>
  <c r="M67" i="46"/>
  <c r="O66" i="46"/>
  <c r="C68" i="46"/>
  <c r="N68" i="46" l="1"/>
  <c r="E68" i="46"/>
  <c r="P67" i="46"/>
  <c r="L68" i="46"/>
  <c r="K68" i="46"/>
  <c r="J68" i="46"/>
  <c r="I68" i="46"/>
  <c r="H68" i="46"/>
  <c r="G68" i="46"/>
  <c r="F68" i="46"/>
  <c r="D68" i="46"/>
  <c r="M68" i="46"/>
  <c r="O67" i="46"/>
  <c r="P68" i="46" l="1"/>
  <c r="O68" i="46"/>
  <c r="D119" i="46" l="1"/>
  <c r="D126" i="46" s="1"/>
  <c r="D114" i="46"/>
  <c r="W51" i="30" l="1"/>
  <c r="W8" i="30"/>
  <c r="W9" i="30"/>
  <c r="W10" i="30"/>
  <c r="W11" i="30"/>
  <c r="C6" i="30" s="1"/>
  <c r="W12" i="30"/>
  <c r="C7" i="30" s="1"/>
  <c r="W13" i="30"/>
  <c r="C8" i="30" s="1"/>
  <c r="W14" i="30"/>
  <c r="C9" i="30" s="1"/>
  <c r="W15" i="30"/>
  <c r="C10" i="30" s="1"/>
  <c r="W16" i="30"/>
  <c r="C11" i="30" s="1"/>
  <c r="W17" i="30"/>
  <c r="C12" i="30" s="1"/>
  <c r="W18" i="30"/>
  <c r="C13" i="30" s="1"/>
  <c r="W19" i="30"/>
  <c r="C14" i="30" s="1"/>
  <c r="W20" i="30"/>
  <c r="C15" i="30" s="1"/>
  <c r="W21" i="30"/>
  <c r="C16" i="30" s="1"/>
  <c r="W22" i="30"/>
  <c r="C17" i="30" s="1"/>
  <c r="W23" i="30"/>
  <c r="C18" i="30" s="1"/>
  <c r="W24" i="30"/>
  <c r="C19" i="30" s="1"/>
  <c r="W25" i="30"/>
  <c r="C20" i="30" s="1"/>
  <c r="W26" i="30"/>
  <c r="C21" i="30" s="1"/>
  <c r="W27" i="30"/>
  <c r="C22" i="30" s="1"/>
  <c r="W28" i="30"/>
  <c r="C23" i="30" s="1"/>
  <c r="W29" i="30"/>
  <c r="C24" i="30" s="1"/>
  <c r="W30" i="30"/>
  <c r="C25" i="30" s="1"/>
  <c r="W31" i="30"/>
  <c r="C26" i="30" s="1"/>
  <c r="W32" i="30"/>
  <c r="C27" i="30" s="1"/>
  <c r="W33" i="30"/>
  <c r="C28" i="30" s="1"/>
  <c r="W34" i="30"/>
  <c r="C29" i="30" s="1"/>
  <c r="W35" i="30"/>
  <c r="C30" i="30" s="1"/>
  <c r="W36" i="30"/>
  <c r="C31" i="30" s="1"/>
  <c r="W37" i="30"/>
  <c r="C32" i="30" s="1"/>
  <c r="W38" i="30"/>
  <c r="C33" i="30" s="1"/>
  <c r="W39" i="30"/>
  <c r="C34" i="30" s="1"/>
  <c r="W40" i="30"/>
  <c r="C35" i="30" s="1"/>
  <c r="W41" i="30"/>
  <c r="W42" i="30"/>
  <c r="W43" i="30"/>
  <c r="W44" i="30"/>
  <c r="W45" i="30"/>
  <c r="W46" i="30"/>
  <c r="W47" i="30"/>
  <c r="W48" i="30"/>
  <c r="W49" i="30"/>
  <c r="W50" i="30"/>
  <c r="W7" i="30"/>
  <c r="AJ54" i="80" l="1"/>
  <c r="AJ53" i="80"/>
  <c r="AJ52" i="80"/>
  <c r="AJ51" i="80"/>
  <c r="AJ50" i="80"/>
  <c r="AJ49" i="80"/>
  <c r="D35" i="80" s="1"/>
  <c r="AJ48" i="80"/>
  <c r="D34" i="80" s="1"/>
  <c r="AJ47" i="80"/>
  <c r="D33" i="80" s="1"/>
  <c r="AJ46" i="80"/>
  <c r="D32" i="80" s="1"/>
  <c r="AJ45" i="80"/>
  <c r="D31" i="80" s="1"/>
  <c r="AJ44" i="80"/>
  <c r="D30" i="80" s="1"/>
  <c r="AJ43" i="80"/>
  <c r="D29" i="80" s="1"/>
  <c r="AJ42" i="80"/>
  <c r="D28" i="80" s="1"/>
  <c r="AJ41" i="80"/>
  <c r="D27" i="80" s="1"/>
  <c r="AJ40" i="80"/>
  <c r="D26" i="80" s="1"/>
  <c r="AJ39" i="80"/>
  <c r="D25" i="80" s="1"/>
  <c r="AJ38" i="80"/>
  <c r="D24" i="80" s="1"/>
  <c r="AJ37" i="80"/>
  <c r="D23" i="80" s="1"/>
  <c r="AJ36" i="80"/>
  <c r="D22" i="80" s="1"/>
  <c r="AJ35" i="80"/>
  <c r="D21" i="80" s="1"/>
  <c r="AJ34" i="80"/>
  <c r="D20" i="80" s="1"/>
  <c r="AJ33" i="80"/>
  <c r="D19" i="80" s="1"/>
  <c r="AJ32" i="80"/>
  <c r="D18" i="80" s="1"/>
  <c r="AJ31" i="80"/>
  <c r="D17" i="80" s="1"/>
  <c r="AJ30" i="80"/>
  <c r="D16" i="80" s="1"/>
  <c r="AJ29" i="80"/>
  <c r="D15" i="80" s="1"/>
  <c r="AJ28" i="80"/>
  <c r="D14" i="80" s="1"/>
  <c r="AJ27" i="80"/>
  <c r="D13" i="80" s="1"/>
  <c r="AJ26" i="80"/>
  <c r="D12" i="80" s="1"/>
  <c r="AJ25" i="80"/>
  <c r="D11" i="80" s="1"/>
  <c r="AJ24" i="80"/>
  <c r="D10" i="80" s="1"/>
  <c r="AJ23" i="80"/>
  <c r="D9" i="80" s="1"/>
  <c r="AJ22" i="80"/>
  <c r="D8" i="80" s="1"/>
  <c r="AJ21" i="80"/>
  <c r="D7" i="80" s="1"/>
  <c r="AJ20" i="80"/>
  <c r="D6" i="80" s="1"/>
  <c r="AJ19" i="80"/>
  <c r="AJ18" i="80"/>
  <c r="AJ17" i="80"/>
  <c r="AJ16" i="80"/>
  <c r="AJ15" i="80"/>
  <c r="AJ14" i="80"/>
  <c r="AJ13" i="80"/>
  <c r="AJ12" i="80"/>
  <c r="AJ11" i="80"/>
  <c r="AJ10" i="80"/>
  <c r="AD54" i="80"/>
  <c r="AD53" i="80"/>
  <c r="AD52" i="80"/>
  <c r="AD51" i="80"/>
  <c r="AD50" i="80"/>
  <c r="AD49" i="80"/>
  <c r="C35" i="80" s="1"/>
  <c r="E35" i="80" s="1"/>
  <c r="AD48" i="80"/>
  <c r="C34" i="80" s="1"/>
  <c r="E34" i="80" s="1"/>
  <c r="AD47" i="80"/>
  <c r="C33" i="80" s="1"/>
  <c r="E33" i="80" s="1"/>
  <c r="AD46" i="80"/>
  <c r="C32" i="80" s="1"/>
  <c r="E32" i="80" s="1"/>
  <c r="AD45" i="80"/>
  <c r="C31" i="80" s="1"/>
  <c r="E31" i="80" s="1"/>
  <c r="F31" i="80" s="1"/>
  <c r="AD44" i="80"/>
  <c r="C30" i="80" s="1"/>
  <c r="E30" i="80" s="1"/>
  <c r="AD43" i="80"/>
  <c r="C29" i="80" s="1"/>
  <c r="E29" i="80" s="1"/>
  <c r="AD42" i="80"/>
  <c r="C28" i="80" s="1"/>
  <c r="E28" i="80" s="1"/>
  <c r="AD41" i="80"/>
  <c r="C27" i="80" s="1"/>
  <c r="E27" i="80" s="1"/>
  <c r="F27" i="80" s="1"/>
  <c r="AD40" i="80"/>
  <c r="C26" i="80" s="1"/>
  <c r="AD39" i="80"/>
  <c r="C25" i="80" s="1"/>
  <c r="AD38" i="80"/>
  <c r="C24" i="80" s="1"/>
  <c r="AD37" i="80"/>
  <c r="C23" i="80" s="1"/>
  <c r="AD36" i="80"/>
  <c r="C22" i="80" s="1"/>
  <c r="AD35" i="80"/>
  <c r="C21" i="80" s="1"/>
  <c r="AD34" i="80"/>
  <c r="C20" i="80" s="1"/>
  <c r="AD33" i="80"/>
  <c r="C19" i="80" s="1"/>
  <c r="AD32" i="80"/>
  <c r="C18" i="80" s="1"/>
  <c r="AD31" i="80"/>
  <c r="C17" i="80" s="1"/>
  <c r="AD30" i="80"/>
  <c r="C16" i="80" s="1"/>
  <c r="AD29" i="80"/>
  <c r="C15" i="80" s="1"/>
  <c r="AD28" i="80"/>
  <c r="C14" i="80" s="1"/>
  <c r="AD27" i="80"/>
  <c r="C13" i="80" s="1"/>
  <c r="AD26" i="80"/>
  <c r="C12" i="80" s="1"/>
  <c r="AD25" i="80"/>
  <c r="C11" i="80" s="1"/>
  <c r="AD24" i="80"/>
  <c r="C10" i="80" s="1"/>
  <c r="AD23" i="80"/>
  <c r="C9" i="80" s="1"/>
  <c r="AD22" i="80"/>
  <c r="C8" i="80" s="1"/>
  <c r="AD21" i="80"/>
  <c r="C7" i="80" s="1"/>
  <c r="AD20" i="80"/>
  <c r="C6" i="80" s="1"/>
  <c r="AD19" i="80"/>
  <c r="AD18" i="80"/>
  <c r="AD17" i="80"/>
  <c r="AD16" i="80"/>
  <c r="AD15" i="80"/>
  <c r="AD14" i="80"/>
  <c r="AD13" i="80"/>
  <c r="AD12" i="80"/>
  <c r="AD11" i="80"/>
  <c r="AD10" i="80"/>
  <c r="E23" i="80"/>
  <c r="E19" i="80"/>
  <c r="E6" i="80"/>
  <c r="L9" i="46" s="1"/>
  <c r="E7" i="80"/>
  <c r="L10" i="46" s="1"/>
  <c r="E8" i="80"/>
  <c r="L11" i="46" s="1"/>
  <c r="E9" i="80"/>
  <c r="L12" i="46" s="1"/>
  <c r="E10" i="80"/>
  <c r="L13" i="46" s="1"/>
  <c r="E11" i="80"/>
  <c r="L14" i="46" s="1"/>
  <c r="E12" i="80"/>
  <c r="L15" i="46" s="1"/>
  <c r="E13" i="80"/>
  <c r="L16" i="46" s="1"/>
  <c r="E14" i="80"/>
  <c r="L17" i="46" s="1"/>
  <c r="E15" i="80"/>
  <c r="L18" i="46" s="1"/>
  <c r="E16" i="80"/>
  <c r="L19" i="46" s="1"/>
  <c r="E17" i="80"/>
  <c r="L20" i="46" s="1"/>
  <c r="F6" i="80"/>
  <c r="F7" i="80"/>
  <c r="F8" i="80"/>
  <c r="F9" i="80"/>
  <c r="F10" i="80"/>
  <c r="F11" i="80"/>
  <c r="F12" i="80"/>
  <c r="F13" i="80"/>
  <c r="F14" i="80"/>
  <c r="F15" i="80"/>
  <c r="F16" i="80"/>
  <c r="E18" i="80"/>
  <c r="L22" i="46"/>
  <c r="F18" i="80"/>
  <c r="E21" i="80"/>
  <c r="E25" i="80"/>
  <c r="E20" i="80"/>
  <c r="L24" i="46"/>
  <c r="E24" i="80"/>
  <c r="L28" i="46"/>
  <c r="E22" i="80"/>
  <c r="L27" i="46" s="1"/>
  <c r="L26" i="46"/>
  <c r="E26" i="80"/>
  <c r="L31" i="46" s="1"/>
  <c r="L30" i="46"/>
  <c r="F20" i="80"/>
  <c r="F22" i="80"/>
  <c r="F21" i="80"/>
  <c r="F25" i="80"/>
  <c r="F23" i="80"/>
  <c r="F19" i="80"/>
  <c r="F17" i="80"/>
  <c r="L21" i="46"/>
  <c r="F26" i="80"/>
  <c r="F24" i="80"/>
  <c r="AH7" i="30"/>
  <c r="AH51" i="30"/>
  <c r="AH50" i="30"/>
  <c r="AH49" i="30"/>
  <c r="AH48" i="30"/>
  <c r="AH47" i="30"/>
  <c r="AH46" i="30"/>
  <c r="AH45" i="30"/>
  <c r="AH44" i="30"/>
  <c r="AH43" i="30"/>
  <c r="AH42" i="30"/>
  <c r="AH41" i="30"/>
  <c r="AH40" i="30"/>
  <c r="D35" i="30" s="1"/>
  <c r="E35" i="30" s="1"/>
  <c r="AH39" i="30"/>
  <c r="D34" i="30" s="1"/>
  <c r="E34" i="30" s="1"/>
  <c r="AH38" i="30"/>
  <c r="D33" i="30" s="1"/>
  <c r="E33" i="30" s="1"/>
  <c r="AH37" i="30"/>
  <c r="D32" i="30" s="1"/>
  <c r="E32" i="30" s="1"/>
  <c r="AH36" i="30"/>
  <c r="D31" i="30" s="1"/>
  <c r="E31" i="30" s="1"/>
  <c r="AH35" i="30"/>
  <c r="D30" i="30" s="1"/>
  <c r="E30" i="30" s="1"/>
  <c r="AH34" i="30"/>
  <c r="D29" i="30" s="1"/>
  <c r="E29" i="30" s="1"/>
  <c r="AH33" i="30"/>
  <c r="D28" i="30" s="1"/>
  <c r="E28" i="30" s="1"/>
  <c r="AH32" i="30"/>
  <c r="D27" i="30" s="1"/>
  <c r="E27" i="30" s="1"/>
  <c r="AH31" i="30"/>
  <c r="D26" i="30" s="1"/>
  <c r="AH30" i="30"/>
  <c r="D25" i="30" s="1"/>
  <c r="AH29" i="30"/>
  <c r="D24" i="30" s="1"/>
  <c r="AH28" i="30"/>
  <c r="D23" i="30" s="1"/>
  <c r="AH27" i="30"/>
  <c r="D22" i="30" s="1"/>
  <c r="AH26" i="30"/>
  <c r="D21" i="30" s="1"/>
  <c r="AH25" i="30"/>
  <c r="D20" i="30" s="1"/>
  <c r="AH24" i="30"/>
  <c r="D19" i="30" s="1"/>
  <c r="AH23" i="30"/>
  <c r="D18" i="30" s="1"/>
  <c r="AH22" i="30"/>
  <c r="D17" i="30" s="1"/>
  <c r="AH21" i="30"/>
  <c r="D16" i="30" s="1"/>
  <c r="AH20" i="30"/>
  <c r="D15" i="30" s="1"/>
  <c r="AH19" i="30"/>
  <c r="D14" i="30" s="1"/>
  <c r="AH18" i="30"/>
  <c r="D13" i="30" s="1"/>
  <c r="AH17" i="30"/>
  <c r="D12" i="30" s="1"/>
  <c r="AH16" i="30"/>
  <c r="D11" i="30" s="1"/>
  <c r="AH15" i="30"/>
  <c r="D10" i="30" s="1"/>
  <c r="AH14" i="30"/>
  <c r="D9" i="30" s="1"/>
  <c r="AH13" i="30"/>
  <c r="D8" i="30" s="1"/>
  <c r="AH12" i="30"/>
  <c r="D7" i="30" s="1"/>
  <c r="AH11" i="30"/>
  <c r="D6" i="30" s="1"/>
  <c r="AH10" i="30"/>
  <c r="AH9" i="30"/>
  <c r="AH8" i="30"/>
  <c r="K32" i="46" l="1"/>
  <c r="F27" i="30"/>
  <c r="K33" i="46"/>
  <c r="F28" i="30"/>
  <c r="K34" i="46"/>
  <c r="F29" i="30"/>
  <c r="K35" i="46"/>
  <c r="F30" i="30"/>
  <c r="K36" i="46"/>
  <c r="F31" i="30"/>
  <c r="K37" i="46"/>
  <c r="F32" i="30"/>
  <c r="K38" i="46"/>
  <c r="F33" i="30"/>
  <c r="K39" i="46"/>
  <c r="F34" i="30"/>
  <c r="K40" i="46"/>
  <c r="F35" i="30"/>
  <c r="L32" i="46"/>
  <c r="P32" i="46" s="1"/>
  <c r="L33" i="46"/>
  <c r="P33" i="46" s="1"/>
  <c r="F28" i="80"/>
  <c r="F29" i="80"/>
  <c r="L34" i="46"/>
  <c r="P34" i="46" s="1"/>
  <c r="L35" i="46"/>
  <c r="P35" i="46" s="1"/>
  <c r="F30" i="80"/>
  <c r="L36" i="46"/>
  <c r="P36" i="46" s="1"/>
  <c r="L37" i="46"/>
  <c r="F32" i="80"/>
  <c r="F33" i="80"/>
  <c r="L38" i="46"/>
  <c r="L39" i="46"/>
  <c r="F34" i="80"/>
  <c r="L40" i="46"/>
  <c r="F35" i="80"/>
  <c r="O32" i="46"/>
  <c r="O33" i="46"/>
  <c r="O34" i="46"/>
  <c r="O35" i="46"/>
  <c r="O36" i="46"/>
  <c r="E6" i="30"/>
  <c r="E7" i="30"/>
  <c r="E8" i="30"/>
  <c r="E9" i="30"/>
  <c r="E10" i="30"/>
  <c r="E11" i="30"/>
  <c r="E12" i="30"/>
  <c r="E13" i="30"/>
  <c r="E14" i="30"/>
  <c r="E15" i="30"/>
  <c r="E16" i="30"/>
  <c r="E17" i="30"/>
  <c r="E18" i="30"/>
  <c r="E19" i="30"/>
  <c r="E20" i="30"/>
  <c r="E21" i="30"/>
  <c r="E22" i="30"/>
  <c r="E23" i="30"/>
  <c r="E24" i="30"/>
  <c r="E26" i="30"/>
  <c r="K31" i="46" s="1"/>
  <c r="P31" i="46" s="1"/>
  <c r="E25" i="30"/>
  <c r="L29" i="46"/>
  <c r="L25" i="46"/>
  <c r="L23" i="46"/>
  <c r="O31" i="46"/>
  <c r="K10" i="46"/>
  <c r="P10" i="46" s="1"/>
  <c r="F6" i="30"/>
  <c r="K11" i="46"/>
  <c r="P11" i="46" s="1"/>
  <c r="F7" i="30"/>
  <c r="K12" i="46"/>
  <c r="P12" i="46" s="1"/>
  <c r="F8" i="30"/>
  <c r="K13" i="46"/>
  <c r="P13" i="46" s="1"/>
  <c r="F9" i="30"/>
  <c r="K14" i="46"/>
  <c r="P14" i="46" s="1"/>
  <c r="F10" i="30"/>
  <c r="K15" i="46"/>
  <c r="P15" i="46" s="1"/>
  <c r="F11" i="30"/>
  <c r="K16" i="46"/>
  <c r="P16" i="46" s="1"/>
  <c r="F12" i="30"/>
  <c r="K17" i="46"/>
  <c r="P17" i="46" s="1"/>
  <c r="F13" i="30"/>
  <c r="K18" i="46"/>
  <c r="P18" i="46" s="1"/>
  <c r="F14" i="30"/>
  <c r="K19" i="46"/>
  <c r="P19" i="46" s="1"/>
  <c r="F15" i="30"/>
  <c r="K20" i="46"/>
  <c r="P20" i="46" s="1"/>
  <c r="F16" i="30"/>
  <c r="K21" i="46"/>
  <c r="P21" i="46" s="1"/>
  <c r="F17" i="30"/>
  <c r="K22" i="46"/>
  <c r="P22" i="46" s="1"/>
  <c r="F18" i="30"/>
  <c r="K23" i="46"/>
  <c r="P23" i="46" s="1"/>
  <c r="F19" i="30"/>
  <c r="K24" i="46"/>
  <c r="P24" i="46" s="1"/>
  <c r="F20" i="30"/>
  <c r="K25" i="46"/>
  <c r="P25" i="46" s="1"/>
  <c r="F21" i="30"/>
  <c r="K26" i="46"/>
  <c r="P26" i="46" s="1"/>
  <c r="F22" i="30"/>
  <c r="K27" i="46"/>
  <c r="P27" i="46" s="1"/>
  <c r="F23" i="30"/>
  <c r="K28" i="46"/>
  <c r="P28" i="46" s="1"/>
  <c r="F24" i="30"/>
  <c r="K29" i="46"/>
  <c r="P29" i="46" s="1"/>
  <c r="F25" i="30"/>
  <c r="K30" i="46"/>
  <c r="P30" i="46" s="1"/>
  <c r="F26" i="30"/>
  <c r="F36" i="80" l="1"/>
  <c r="K9" i="46"/>
  <c r="O30" i="46"/>
  <c r="O29" i="46"/>
  <c r="O28" i="46"/>
  <c r="O27" i="46"/>
  <c r="O26" i="46"/>
  <c r="O25" i="46"/>
  <c r="O24" i="46"/>
  <c r="O23" i="46"/>
  <c r="O22" i="46"/>
  <c r="O21" i="46"/>
  <c r="O20" i="46"/>
  <c r="O19" i="46"/>
  <c r="O18" i="46"/>
  <c r="O17" i="46"/>
  <c r="O16" i="46"/>
  <c r="O15" i="46"/>
  <c r="O14" i="46"/>
  <c r="O13" i="46"/>
  <c r="O12" i="46"/>
  <c r="O11" i="46"/>
  <c r="F36" i="30"/>
  <c r="O10" i="46"/>
  <c r="P9" i="46" l="1"/>
  <c r="O9" i="46"/>
  <c r="P59" i="89" l="1"/>
  <c r="P60" i="89"/>
  <c r="P11" i="89"/>
  <c r="P12" i="89"/>
  <c r="P114" i="89"/>
  <c r="P115" i="89"/>
  <c r="P206" i="89"/>
  <c r="P207" i="89"/>
  <c r="D34" i="83" l="1"/>
  <c r="D33" i="83"/>
  <c r="V41" i="83"/>
  <c r="Z41" i="83"/>
  <c r="V40" i="83"/>
  <c r="Z40" i="83"/>
  <c r="V39" i="83"/>
  <c r="Z39" i="83"/>
  <c r="V38" i="83"/>
  <c r="Z38" i="83"/>
  <c r="C41" i="83"/>
  <c r="E41" i="83"/>
  <c r="F41" i="83"/>
  <c r="F40" i="83"/>
  <c r="C40" i="83"/>
  <c r="E40" i="83"/>
  <c r="F39" i="83"/>
  <c r="C39" i="83"/>
  <c r="E39" i="83"/>
  <c r="F34" i="83"/>
  <c r="G34" i="83" s="1"/>
  <c r="C34" i="83"/>
  <c r="E34" i="83"/>
  <c r="F33" i="83"/>
  <c r="G33" i="83" s="1"/>
  <c r="C33" i="83"/>
  <c r="E33" i="83"/>
  <c r="F32" i="83"/>
  <c r="C32" i="83"/>
  <c r="E32" i="83"/>
  <c r="S38" i="83"/>
  <c r="W38" i="83"/>
  <c r="X38" i="83" s="1"/>
  <c r="E35" i="83" s="1"/>
  <c r="S39" i="83"/>
  <c r="D39" i="83"/>
  <c r="G39" i="83" s="1"/>
  <c r="W39" i="83"/>
  <c r="X39" i="83" s="1"/>
  <c r="E36" i="83" s="1"/>
  <c r="S40" i="83"/>
  <c r="D40" i="83"/>
  <c r="G40" i="83" s="1"/>
  <c r="W40" i="83"/>
  <c r="X40" i="83" s="1"/>
  <c r="E37" i="83" s="1"/>
  <c r="S41" i="83"/>
  <c r="D41" i="83"/>
  <c r="G41" i="83" s="1"/>
  <c r="W41" i="83"/>
  <c r="X41" i="83" s="1"/>
  <c r="E38" i="83" s="1"/>
  <c r="D32" i="83"/>
  <c r="G32" i="83"/>
  <c r="H32" i="83"/>
  <c r="G37" i="46" l="1"/>
  <c r="G46" i="46"/>
  <c r="H41" i="83"/>
  <c r="U41" i="83"/>
  <c r="T41" i="83"/>
  <c r="C38" i="83" s="1"/>
  <c r="AA41" i="83"/>
  <c r="G45" i="46"/>
  <c r="H40" i="83"/>
  <c r="U40" i="83"/>
  <c r="T40" i="83"/>
  <c r="C37" i="83" s="1"/>
  <c r="AA40" i="83"/>
  <c r="G44" i="46"/>
  <c r="H39" i="83"/>
  <c r="U39" i="83"/>
  <c r="T39" i="83"/>
  <c r="C36" i="83" s="1"/>
  <c r="AA39" i="83"/>
  <c r="U38" i="83"/>
  <c r="T38" i="83"/>
  <c r="C35" i="83" s="1"/>
  <c r="AA38" i="83"/>
  <c r="G38" i="46"/>
  <c r="H33" i="83"/>
  <c r="G39" i="46"/>
  <c r="H34" i="83"/>
  <c r="AB38" i="83"/>
  <c r="Y38" i="83"/>
  <c r="F35" i="83" s="1"/>
  <c r="AB39" i="83"/>
  <c r="Y39" i="83"/>
  <c r="F36" i="83" s="1"/>
  <c r="AB40" i="83"/>
  <c r="Y40" i="83"/>
  <c r="F37" i="83" s="1"/>
  <c r="AB41" i="83"/>
  <c r="Y41" i="83"/>
  <c r="F38" i="83" s="1"/>
  <c r="P39" i="46" l="1"/>
  <c r="O39" i="46"/>
  <c r="P38" i="46"/>
  <c r="O38" i="46"/>
  <c r="D35" i="83"/>
  <c r="G35" i="83" s="1"/>
  <c r="AC38" i="83"/>
  <c r="D36" i="83"/>
  <c r="G36" i="83" s="1"/>
  <c r="AC39" i="83"/>
  <c r="O44" i="46"/>
  <c r="P44" i="46"/>
  <c r="D37" i="83"/>
  <c r="G37" i="83" s="1"/>
  <c r="AC40" i="83"/>
  <c r="O45" i="46"/>
  <c r="P45" i="46"/>
  <c r="AC41" i="83"/>
  <c r="D38" i="83"/>
  <c r="G38" i="83" s="1"/>
  <c r="O46" i="46"/>
  <c r="P46" i="46"/>
  <c r="O37" i="46"/>
  <c r="P37" i="46"/>
  <c r="G43" i="46" l="1"/>
  <c r="H38" i="83"/>
  <c r="G42" i="46"/>
  <c r="H37" i="83"/>
  <c r="G41" i="46"/>
  <c r="H36" i="83"/>
  <c r="G40" i="46"/>
  <c r="H35" i="83"/>
  <c r="H42" i="83" s="1"/>
  <c r="P40" i="46" l="1"/>
  <c r="O40" i="46"/>
  <c r="O41" i="46"/>
  <c r="P41" i="46"/>
  <c r="O42" i="46"/>
  <c r="P42" i="46"/>
  <c r="O43" i="46"/>
  <c r="P43" i="46"/>
  <c r="O69" i="46" l="1"/>
  <c r="P69" i="46"/>
  <c r="D118" i="46" s="1"/>
  <c r="D125" i="46" l="1"/>
  <c r="D121" i="46"/>
  <c r="D120" i="46"/>
  <c r="D127" i="46" l="1"/>
  <c r="D128" i="46"/>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<sst xmlns="http://schemas.openxmlformats.org/spreadsheetml/2006/main" count="9285" uniqueCount="847">
  <si>
    <t>Analysis Year</t>
  </si>
  <si>
    <t>7% Discount</t>
  </si>
  <si>
    <t>Total Benefit</t>
  </si>
  <si>
    <t>NOTES:</t>
  </si>
  <si>
    <t>Total</t>
  </si>
  <si>
    <t>RCV</t>
  </si>
  <si>
    <t>BENEFITS</t>
  </si>
  <si>
    <t>COSTS</t>
  </si>
  <si>
    <t>Economic Competitiveness</t>
  </si>
  <si>
    <t>Safety</t>
  </si>
  <si>
    <t>Benefits</t>
  </si>
  <si>
    <t>Costs</t>
  </si>
  <si>
    <t>B/C Ratio</t>
  </si>
  <si>
    <t>SUMMARY</t>
  </si>
  <si>
    <t>Build</t>
  </si>
  <si>
    <t>Service Life</t>
  </si>
  <si>
    <t>Table 1 - Analysis Timeframe Assumptions</t>
  </si>
  <si>
    <t>Table 2 - Network Assumptions</t>
  </si>
  <si>
    <t>Table 3 - Global Assumptions and Factors</t>
  </si>
  <si>
    <t>1)</t>
  </si>
  <si>
    <t>K</t>
  </si>
  <si>
    <t>A</t>
  </si>
  <si>
    <t>B</t>
  </si>
  <si>
    <t>C</t>
  </si>
  <si>
    <t>PDO</t>
  </si>
  <si>
    <t>2)</t>
  </si>
  <si>
    <t>3)</t>
  </si>
  <si>
    <t>5)</t>
  </si>
  <si>
    <t>Years of Benefit-Cost Analysis Period</t>
  </si>
  <si>
    <t>Truck Vehicle Occupancy</t>
  </si>
  <si>
    <t>Travel Time Cost Savings</t>
  </si>
  <si>
    <t>Total (7% Discount)</t>
  </si>
  <si>
    <t>Environmental Sustainability</t>
  </si>
  <si>
    <t>Year</t>
  </si>
  <si>
    <t>NPV</t>
  </si>
  <si>
    <t xml:space="preserve">Capital Costs    </t>
  </si>
  <si>
    <t>No-Build</t>
  </si>
  <si>
    <t>Reduction in the Annual Cost of Crashes</t>
  </si>
  <si>
    <t>Motorcycle</t>
  </si>
  <si>
    <t>No Build Annual Crash Cost</t>
  </si>
  <si>
    <t>Build Annual Crash Cost</t>
  </si>
  <si>
    <t>Location</t>
  </si>
  <si>
    <t>Phase</t>
  </si>
  <si>
    <t>First Year of Benefits</t>
  </si>
  <si>
    <t>Cost</t>
  </si>
  <si>
    <t>% Life Remaining</t>
  </si>
  <si>
    <t>End Year of Benefit</t>
  </si>
  <si>
    <t>Cost/year</t>
  </si>
  <si>
    <t>Operation and Maintenance Savings</t>
  </si>
  <si>
    <t>7% Discount Total (Carbon discounted at 3%)</t>
  </si>
  <si>
    <t>Remaining Capital Value</t>
  </si>
  <si>
    <t>Total Cost:</t>
  </si>
  <si>
    <t>6)</t>
  </si>
  <si>
    <t>AADT</t>
  </si>
  <si>
    <t>No Build Travel Time Cost</t>
  </si>
  <si>
    <t>Build Travel Time Cost</t>
  </si>
  <si>
    <t>Truck Travel Time Cost (per hour)</t>
  </si>
  <si>
    <t>Truck Percentage</t>
  </si>
  <si>
    <t>No-Build Conditions</t>
  </si>
  <si>
    <t>Build Conditions</t>
  </si>
  <si>
    <t>Vehicle Hours Traveled (VHT)</t>
  </si>
  <si>
    <t>All-Purpose Travel Time Cost (per hour)</t>
  </si>
  <si>
    <t>Auto Percentage</t>
  </si>
  <si>
    <t>Auto Vehicle Occupancy</t>
  </si>
  <si>
    <t>Table 1 - Per-hour Travel Time Cost by Mode</t>
  </si>
  <si>
    <t>Table 2 - Fleet Composition</t>
  </si>
  <si>
    <t>Table 3 - Vehicle Occupancy</t>
  </si>
  <si>
    <t>No Build Annual VHT</t>
  </si>
  <si>
    <t>Build Annual VHT</t>
  </si>
  <si>
    <t>Table 1 - Per-mile Travel Time Cost by Mode</t>
  </si>
  <si>
    <t>Type</t>
  </si>
  <si>
    <t>Base Year Dollars</t>
  </si>
  <si>
    <t>Current Year</t>
  </si>
  <si>
    <t>N/A</t>
  </si>
  <si>
    <t>Vehicle Operating Costs</t>
  </si>
  <si>
    <t>Corridor Wide Annual Growth Rate</t>
  </si>
  <si>
    <t>Vehicle Miles Traveled (VMT)</t>
  </si>
  <si>
    <t>No Build &amp; Build</t>
  </si>
  <si>
    <t>Total Cost</t>
  </si>
  <si>
    <t>7)</t>
  </si>
  <si>
    <t>State of Good Repair</t>
  </si>
  <si>
    <t>Vehicle occupancy assumptions, and the value of time used in this analysis is consistent with values and methodology presented in the USDOT (US Department of Transportation) Benefit Cost Analysis Guidance for Discretionary Grant Programs, dated January 2023.</t>
  </si>
  <si>
    <t>Project Component</t>
  </si>
  <si>
    <t>PD</t>
  </si>
  <si>
    <t>Maintenance and Significant Rehab Cost Savings</t>
  </si>
  <si>
    <t>Total Crash Cost Impacts</t>
  </si>
  <si>
    <t>Cars</t>
  </si>
  <si>
    <t>Trucks</t>
  </si>
  <si>
    <t>Type PD Crash Rate</t>
  </si>
  <si>
    <t>Type C Crash Rate</t>
  </si>
  <si>
    <t>Type B Crash Rate</t>
  </si>
  <si>
    <t>Type A Crash Rate</t>
  </si>
  <si>
    <t>Type K Crash Rate</t>
  </si>
  <si>
    <t>Impacted Vehicle Type</t>
  </si>
  <si>
    <t>Route Description</t>
  </si>
  <si>
    <t>Car VMT</t>
  </si>
  <si>
    <t>Car VHT</t>
  </si>
  <si>
    <t>Automobile Percentage</t>
  </si>
  <si>
    <t>Heavy Vehicle Percentage</t>
  </si>
  <si>
    <t>Table 2 - Corridor Wide Heavy Vehicle Assumptions</t>
  </si>
  <si>
    <t>No Build Annual VMT</t>
  </si>
  <si>
    <t>Build Annual VMT</t>
  </si>
  <si>
    <t>No Build Vehicle Operating Cost</t>
  </si>
  <si>
    <t>Build Vehicle Operating Cost</t>
  </si>
  <si>
    <t>Vehicle Operating Cost Savings</t>
  </si>
  <si>
    <t>ENVIRONMENTAL SUSTAINABILITY - AIR QUALITY</t>
  </si>
  <si>
    <r>
      <t>CO</t>
    </r>
    <r>
      <rPr>
        <b/>
        <vertAlign val="subscript"/>
        <sz val="11"/>
        <color theme="1"/>
        <rFont val="Calibri"/>
        <family val="2"/>
        <scheme val="minor"/>
      </rPr>
      <t>2</t>
    </r>
    <r>
      <rPr>
        <b/>
        <sz val="11"/>
        <color theme="1"/>
        <rFont val="Calibri"/>
        <family val="2"/>
        <scheme val="minor"/>
      </rPr>
      <t xml:space="preserve"> Savings Estimations</t>
    </r>
  </si>
  <si>
    <t>Total (Carbon + Other Emissions)</t>
  </si>
  <si>
    <t>3% Discount</t>
  </si>
  <si>
    <t>Subtotal</t>
  </si>
  <si>
    <t xml:space="preserve"> 7%Discounted (Carbon Discounted @ 3%)</t>
  </si>
  <si>
    <t>Mode</t>
  </si>
  <si>
    <r>
      <t>NO</t>
    </r>
    <r>
      <rPr>
        <b/>
        <vertAlign val="subscript"/>
        <sz val="11"/>
        <color theme="1"/>
        <rFont val="Calibri"/>
        <family val="2"/>
        <scheme val="minor"/>
      </rPr>
      <t>X</t>
    </r>
  </si>
  <si>
    <r>
      <t>SO</t>
    </r>
    <r>
      <rPr>
        <b/>
        <vertAlign val="subscript"/>
        <sz val="11"/>
        <color theme="1"/>
        <rFont val="Calibri"/>
        <family val="2"/>
        <scheme val="minor"/>
      </rPr>
      <t>2</t>
    </r>
  </si>
  <si>
    <r>
      <t>PM</t>
    </r>
    <r>
      <rPr>
        <b/>
        <vertAlign val="subscript"/>
        <sz val="11"/>
        <color theme="1"/>
        <rFont val="Calibri"/>
        <family val="2"/>
        <scheme val="minor"/>
      </rPr>
      <t>2.5</t>
    </r>
  </si>
  <si>
    <r>
      <t>CO</t>
    </r>
    <r>
      <rPr>
        <b/>
        <vertAlign val="subscript"/>
        <sz val="11"/>
        <color theme="1"/>
        <rFont val="Calibri"/>
        <family val="2"/>
        <scheme val="minor"/>
      </rPr>
      <t>2</t>
    </r>
  </si>
  <si>
    <t>Source Type</t>
  </si>
  <si>
    <t>HPMS Description</t>
  </si>
  <si>
    <t>Auto/Truck</t>
  </si>
  <si>
    <t>NOX</t>
  </si>
  <si>
    <t>SO2</t>
  </si>
  <si>
    <t>PM2.5</t>
  </si>
  <si>
    <t>CO2</t>
  </si>
  <si>
    <t>Automobile</t>
  </si>
  <si>
    <t>Auto</t>
  </si>
  <si>
    <t>Light-Duty Vehicle</t>
  </si>
  <si>
    <t>Buses</t>
  </si>
  <si>
    <t>Truck</t>
  </si>
  <si>
    <t>Single-Unit Truck</t>
  </si>
  <si>
    <t>Combination Truck</t>
  </si>
  <si>
    <t>*Note on Emission Cost per Metric Ton: Damage costs for emissions in years beyond 2050 assume costs provided for year 2050.</t>
  </si>
  <si>
    <t>VMT Cars</t>
  </si>
  <si>
    <t>VMT Trucks</t>
  </si>
  <si>
    <t>Delta VMT Car</t>
  </si>
  <si>
    <t>Delta VMT Truck</t>
  </si>
  <si>
    <t>Comparison</t>
  </si>
  <si>
    <t>Total Crash Cost</t>
  </si>
  <si>
    <t>Table 1 - Crash Cost Assumptions</t>
  </si>
  <si>
    <t>Operation &amp; Maintenance/Rehab Costs No-Build</t>
  </si>
  <si>
    <t>Operation &amp; Maintenance/Rehab Costs Build</t>
  </si>
  <si>
    <t>South</t>
  </si>
  <si>
    <t>North</t>
  </si>
  <si>
    <t>West</t>
  </si>
  <si>
    <t>Vehicle Type</t>
  </si>
  <si>
    <t>Total For All Routes</t>
  </si>
  <si>
    <t>Table 1 - Annual Vehicle Miles Traveled by Vehicle Type</t>
  </si>
  <si>
    <t>Table 2 - Pollution Emission by Mode (g/VMT)</t>
  </si>
  <si>
    <t>Table 3 - Damage Costs for Emissions per metric ton</t>
  </si>
  <si>
    <t>Table 4 - MOVES Model Output (grams per VMT)</t>
  </si>
  <si>
    <t>Table 5 - Aggregated MOVES Model Output (grams per VMT)</t>
  </si>
  <si>
    <t>Safety Improvements</t>
  </si>
  <si>
    <t>SUMMARY (ROUNDED)</t>
  </si>
  <si>
    <t>Trucks North to South via ND 6 &amp; BIA 6</t>
  </si>
  <si>
    <t>Cars North to South via ND 6 &amp; BIA 6</t>
  </si>
  <si>
    <t>Trucks East to West via BIA 6</t>
  </si>
  <si>
    <t>Cars East to West via BIA 6</t>
  </si>
  <si>
    <t>https://www.google.com/maps/dir/46.471699,-100.9233482/46.1572419,-100.6834642/@46.3285587,-100.9328321,11z/data=!4m2!4m1!3e0</t>
  </si>
  <si>
    <t>https://www.google.com/maps/dir/46.1982401,-100.9385337/46.0883805,-100.6701416/@46.1017418,-100.9458022,11z/data=!4m9!4m8!1m5!3m4!1m2!1d-100.8767223!2d46.0450118!3s0x52d63efaaa82563b:0xc7c92d743c9d887c!1m0!3e0</t>
  </si>
  <si>
    <t>https://www.google.com/maps/dir/46.1982401,-100.9385337/46.0883805,-100.6701416/@46.1195257,-100.882008,11.25z/data=!4m13!4m12!1m5!3m4!1m2!1d-100.7321636!2d46.1867208!3s0x52d64f0c40590581:0xbf937759d978154c!1m0!2m3!6e0!7e2!8j1675957200!3e0</t>
  </si>
  <si>
    <t>Table 4 - Annual VHT Cars</t>
  </si>
  <si>
    <t>Table 5 - Annual VHT Trucks</t>
  </si>
  <si>
    <t>Table 6 - Total Annual VHT Cars &amp; Trucks</t>
  </si>
  <si>
    <t>Table 1 - Total Project Cost</t>
  </si>
  <si>
    <t>Resurfacing</t>
  </si>
  <si>
    <t>Reconstruction</t>
  </si>
  <si>
    <t>Inflation Factor</t>
  </si>
  <si>
    <t>Maintenance Type</t>
  </si>
  <si>
    <t>Surface repairs</t>
  </si>
  <si>
    <t>Convert to Gravel and maintain</t>
  </si>
  <si>
    <t>Chip seal paved road</t>
  </si>
  <si>
    <t>Table 3 - Operation &amp; Maintenance/Rehab Costs Build</t>
  </si>
  <si>
    <t>https://gis.dot.nd.gov/external/ge_html/?viewer=ext_transinfo</t>
  </si>
  <si>
    <t>Source:</t>
  </si>
  <si>
    <t>Current AADT</t>
  </si>
  <si>
    <t>BIA 6</t>
  </si>
  <si>
    <t>Table 3 - Corridor Wide AADT on BIA 6</t>
  </si>
  <si>
    <t>SAFETY - CRASH SAVINGS ON BIA 6</t>
  </si>
  <si>
    <t>VHT Cars</t>
  </si>
  <si>
    <t>VHT Trucks</t>
  </si>
  <si>
    <t>Total VHT Cost</t>
  </si>
  <si>
    <t>Delta VHT Car</t>
  </si>
  <si>
    <t>Delta VHT Truck</t>
  </si>
  <si>
    <t>Delta VHT Cost</t>
  </si>
  <si>
    <t>Total VHT</t>
  </si>
  <si>
    <t>Delta Total VHT</t>
  </si>
  <si>
    <t>Delta VMT Total</t>
  </si>
  <si>
    <t>Table 3 - Annual VMT Cars</t>
  </si>
  <si>
    <t>Table 4 - Annual VMT Trucks</t>
  </si>
  <si>
    <t>Table 5 - Total Annual VMT Cars &amp; Trucks</t>
  </si>
  <si>
    <t>VMT Total</t>
  </si>
  <si>
    <t>Table 7 - Annual Vehicle Hours Traveled by Vehicle Type</t>
  </si>
  <si>
    <t>Length (mi)</t>
  </si>
  <si>
    <t>Total VMT Shift</t>
  </si>
  <si>
    <t>Speed</t>
  </si>
  <si>
    <t>Vehicle Class</t>
  </si>
  <si>
    <t>Baseline Cost cents/mile</t>
  </si>
  <si>
    <t>Adjustment Factors from Baseline</t>
  </si>
  <si>
    <t>Veh Op Cost (VOC) for IRI level (cents/mile)</t>
  </si>
  <si>
    <t>Average VOC with roughness</t>
  </si>
  <si>
    <t>Net increase in VOC from Baseline</t>
  </si>
  <si>
    <t>IRI</t>
  </si>
  <si>
    <t>cents/mile</t>
  </si>
  <si>
    <t>dollar/mile</t>
  </si>
  <si>
    <t>Medium Car</t>
  </si>
  <si>
    <t>Van</t>
  </si>
  <si>
    <t>SUV</t>
  </si>
  <si>
    <t>Light Truck</t>
  </si>
  <si>
    <t>Articulated Truck</t>
  </si>
  <si>
    <t>Auto VOC</t>
  </si>
  <si>
    <t>Truck VOC</t>
  </si>
  <si>
    <t>Per-mile operating costs associated with additional impacts of pavement roughness were derived using values from NCHRP Report 720 - "Estimating the Effects of Pavement Condition on Vehicle Operating Costs"; Table 7-5 (see calculations to the right). Current and future pavement roughness under the No Build scenario was assumed to fall in the bottom three categories (used an average of 4-6 in Table 7-5) based on current pavement condition and the expectation that pavement were further deteriorate if left unmaintained.</t>
  </si>
  <si>
    <t>Daily Volume</t>
  </si>
  <si>
    <t>Existing Year Traffic Volume Assumptions</t>
  </si>
  <si>
    <t>Auto AADT</t>
  </si>
  <si>
    <t>Truck AADT</t>
  </si>
  <si>
    <t>All-Purpose Operating Cost (per mile)</t>
  </si>
  <si>
    <t>Truck Operating Cost (per mile)</t>
  </si>
  <si>
    <t>Refer to Adjacent Table (right)</t>
  </si>
  <si>
    <t>Car VMT on Gravel BIA 6</t>
  </si>
  <si>
    <t>Table 4 - Traffic Impacts of BIA 6 Conversion to Gravel</t>
  </si>
  <si>
    <t>VOC Total</t>
  </si>
  <si>
    <t>Delta VOC</t>
  </si>
  <si>
    <t>Table 6 - Annual Vehicle Miles Traveled by Vehicle Type</t>
  </si>
  <si>
    <t>Per-mile operating costs associated with additional impacts of pavement roughness after the road is converted to gravel were derived using values from NCHRP Report 720 - "Estimating the Effects of Pavement Condition on Vehicle Operating Costs"; Table 7-5. Gravel pavement roughness under the No Build scenario was assumed to fall in the bottom category but this is a conservative estimate.</t>
  </si>
  <si>
    <t>Citation and Calculation for BIA 6 Gravel Road Vehicle Operating Cost Impacts:</t>
  </si>
  <si>
    <t>Table 2 - Existing 5-Year Crash History on BIA 6</t>
  </si>
  <si>
    <t>Daily Volume on BIA 6</t>
  </si>
  <si>
    <t>Total Cost Savings
($2021 - Undiscounted)</t>
  </si>
  <si>
    <t>Gravel Road Vehicle Operating Cost Impact</t>
  </si>
  <si>
    <t>Total Hours</t>
  </si>
  <si>
    <t>Estimated Labor &amp; Materials</t>
  </si>
  <si>
    <t>Benefit-Cost First Year of Benefit</t>
  </si>
  <si>
    <t>Benefit-Cost Final Year of Benefit</t>
  </si>
  <si>
    <t>Percent Autos</t>
  </si>
  <si>
    <t>Percent Trucks</t>
  </si>
  <si>
    <t>Auto Occupancy</t>
  </si>
  <si>
    <t>Truck Occupancy</t>
  </si>
  <si>
    <t>Number of Days in a Year</t>
  </si>
  <si>
    <t>Value of Time - All-Purpose Travel</t>
  </si>
  <si>
    <t>Value of Time - Truck Travel</t>
  </si>
  <si>
    <t>Cost per Mile - Auto</t>
  </si>
  <si>
    <t>Cost per Mile - Truck</t>
  </si>
  <si>
    <t>Table 4 -  BIA 6 Mainline Traffic Volume Data</t>
  </si>
  <si>
    <t>Truck percentage assumptions were estimated based on existing daily traffic and truck volumes obtained from the project cover sheet.</t>
  </si>
  <si>
    <t>The per-mile vehicle operating cost used in this analysis is consistent with values and methodology presented in the USDOT (US Department of Transportation) Benefit Cost Analysis Guidance for Discretionary Grant Programs, dated January 2023.</t>
  </si>
  <si>
    <t>Figure 1. Project Location Map</t>
  </si>
  <si>
    <t>East to West Build</t>
  </si>
  <si>
    <t>Route Color</t>
  </si>
  <si>
    <t>Segment</t>
  </si>
  <si>
    <t>Length (ft)</t>
  </si>
  <si>
    <t>Blue</t>
  </si>
  <si>
    <t>Existing Year Total Daily VMT on Route:</t>
  </si>
  <si>
    <t>Existing Year Total Annual VMT on Route:</t>
  </si>
  <si>
    <t>Red</t>
  </si>
  <si>
    <t>East to West No-Build</t>
  </si>
  <si>
    <t>North to South Build</t>
  </si>
  <si>
    <t>Salmon</t>
  </si>
  <si>
    <t>North to South No-Build</t>
  </si>
  <si>
    <t>Light Blue</t>
  </si>
  <si>
    <t>Year of BIA 6 Conversion to Gravel</t>
  </si>
  <si>
    <t>4)</t>
  </si>
  <si>
    <t>Cars &amp; Trucks</t>
  </si>
  <si>
    <t>Table 5 - No-Build Operations Inputs</t>
  </si>
  <si>
    <t xml:space="preserve">Table 6  - Build Operations Inputs </t>
  </si>
  <si>
    <t>Table 7 - No-Build VMT/VHT Calculations</t>
  </si>
  <si>
    <t>Table 8 - Build VMT/VHT Calculations</t>
  </si>
  <si>
    <t>Delta Annual VMT (2021)</t>
  </si>
  <si>
    <t>Table 3 - Traffic Pattern Assumptions</t>
  </si>
  <si>
    <t>ECONOMIC COMPETITIVENESS - USER BENEFIT CALCULATION OF VEHICLE OPERATING COST ASSOCIATED WITH CONVERSION OF BIA 6 TO GRAVEL ROADWAY</t>
  </si>
  <si>
    <t>ECONOMIC COMPETITIVENESS - USER BENEFIT CALCULATION OF REGIONAL TRAVEL TIME CHANGE  ASSOCIATED WITH CONVERSION OF BIA 6 TO GRAVEL ROADWAY</t>
  </si>
  <si>
    <t>Additional Travel Time on BI6 After Conversion to Gravel (minutes)</t>
  </si>
  <si>
    <t>Length of BIA 6 Conversion to Gravel (mi)</t>
  </si>
  <si>
    <t>East/West</t>
  </si>
  <si>
    <t>North/South</t>
  </si>
  <si>
    <t>Capital Cost</t>
  </si>
  <si>
    <t>Note: Refer to "Traffic Patterns" tab for additional details. This table shows the assumed travel direction for motorists on existing BIA 6.</t>
  </si>
  <si>
    <t>Note: The table above shows the additional crashes on each route associated with the conversion of BIA 6 to a gravel roadway.</t>
  </si>
  <si>
    <t>Note: The table above shows the existing crashes on each route associated with existing traffic on BIA 6.</t>
  </si>
  <si>
    <t>Note: Traffic patterns are based on the existing AADT data shown below. Traffic along BIA 6 is assumed to be 65% traveling from north to south (Fort Yates to Fallon, St Anthony, Breien, Lynwood, Lyons, Mandana). The remaining 35% of traffic along BIA 6 is assumed to be   traveling east/west (Fort Yates to St Gertrude and the surrounding areas). The traffic patterns are summarized in the tables below:</t>
  </si>
  <si>
    <t>BIA 6 Traffic Pattern Calculations:</t>
  </si>
  <si>
    <t>Table 2 - Existing BIA 6 Traffic Patterns - North/South</t>
  </si>
  <si>
    <t>Table 1 - Existing BIA 6 Traffic Patterns Summary</t>
  </si>
  <si>
    <t xml:space="preserve"> East/West</t>
  </si>
  <si>
    <t>Existing BIA 6 AADT Data:</t>
  </si>
  <si>
    <t>Route: BIA 6 - Project Safety Improvement Area</t>
  </si>
  <si>
    <t>Table 1 - Existing VMT Along Route Calculations</t>
  </si>
  <si>
    <t>Table 2 - Existing Crash Data Along Route (2012, 2013, 2015, 2016, 2017)</t>
  </si>
  <si>
    <t>Latitude</t>
  </si>
  <si>
    <t>Longitude</t>
  </si>
  <si>
    <t>Crash Severity Descr</t>
  </si>
  <si>
    <t>Year of Crash Date</t>
  </si>
  <si>
    <t>Access Cntrl Descr</t>
  </si>
  <si>
    <t>Agency Descr</t>
  </si>
  <si>
    <t>Alcohol Drug Descr D1</t>
  </si>
  <si>
    <t>Alcohol Drug Descr D2</t>
  </si>
  <si>
    <t>Alcohol Drug Descr D3</t>
  </si>
  <si>
    <t>Alcohol Involved</t>
  </si>
  <si>
    <t>Alcohol Test Descr D1</t>
  </si>
  <si>
    <t>Animal Mv Window</t>
  </si>
  <si>
    <t>Citation Descr D1</t>
  </si>
  <si>
    <t>Citation Descr D2</t>
  </si>
  <si>
    <t>Citation Descr D3</t>
  </si>
  <si>
    <t>City</t>
  </si>
  <si>
    <t>City Descr</t>
  </si>
  <si>
    <t>Contrib Fact Descr D1</t>
  </si>
  <si>
    <t>Contrib Fact Descr D2</t>
  </si>
  <si>
    <t>Contrib Factor Descr D3</t>
  </si>
  <si>
    <t>County Descr</t>
  </si>
  <si>
    <t>Crash Date</t>
  </si>
  <si>
    <t>Crash Day</t>
  </si>
  <si>
    <t>Crash Hour</t>
  </si>
  <si>
    <t>Crash Time</t>
  </si>
  <si>
    <t>Crash Type Descr</t>
  </si>
  <si>
    <t>Crash Validated</t>
  </si>
  <si>
    <t>Date Entered</t>
  </si>
  <si>
    <t>Date Police Notifi</t>
  </si>
  <si>
    <t>Dir Of Travel Descr V1</t>
  </si>
  <si>
    <t>Dir Of Travel Descr V2</t>
  </si>
  <si>
    <t>Dir Of Travel Descr V3</t>
  </si>
  <si>
    <t>Eject Extr Descr D1</t>
  </si>
  <si>
    <t>Eject Extr Descr D2</t>
  </si>
  <si>
    <t>Eject Extr Descr D3</t>
  </si>
  <si>
    <t>Emergency Unit</t>
  </si>
  <si>
    <t>Emergency Unit No</t>
  </si>
  <si>
    <t>Evasive Act Descr D1</t>
  </si>
  <si>
    <t>First Harmful Evnt Descr</t>
  </si>
  <si>
    <t>From Feet</t>
  </si>
  <si>
    <t>From Intersection</t>
  </si>
  <si>
    <t>From Meters</t>
  </si>
  <si>
    <t>From Node</t>
  </si>
  <si>
    <t>From Node Street</t>
  </si>
  <si>
    <t>From Ref Point</t>
  </si>
  <si>
    <t>Highway</t>
  </si>
  <si>
    <t>Hund Kilometer</t>
  </si>
  <si>
    <t>Hund Miles</t>
  </si>
  <si>
    <t>Inter Type Descr</t>
  </si>
  <si>
    <t>Lane Departure</t>
  </si>
  <si>
    <t>Light Descr</t>
  </si>
  <si>
    <t>Manner Of Coll Descr</t>
  </si>
  <si>
    <t>Most Harmful Event Descr V1</t>
  </si>
  <si>
    <t>Most Harmful Event Descr V2</t>
  </si>
  <si>
    <t>Most Harmful Event Descr V3</t>
  </si>
  <si>
    <t>NHS</t>
  </si>
  <si>
    <t>Obser Descr</t>
  </si>
  <si>
    <t>Officer First Name</t>
  </si>
  <si>
    <t>Officer Last Name</t>
  </si>
  <si>
    <t>Officer No</t>
  </si>
  <si>
    <t>Op Age D1</t>
  </si>
  <si>
    <t>Op Age D2</t>
  </si>
  <si>
    <t>Op Age D3</t>
  </si>
  <si>
    <t>Op City D1</t>
  </si>
  <si>
    <t>Op City D2</t>
  </si>
  <si>
    <t>Op City D3</t>
  </si>
  <si>
    <t>Op Sex D1</t>
  </si>
  <si>
    <t>Op Sex D2</t>
  </si>
  <si>
    <t>Op Sex D3</t>
  </si>
  <si>
    <t>Op State D1</t>
  </si>
  <si>
    <t>Op State D2</t>
  </si>
  <si>
    <t>Op State D3</t>
  </si>
  <si>
    <t>Posted Proof Fr</t>
  </si>
  <si>
    <t>Range</t>
  </si>
  <si>
    <t>Relation To Juncti Descr</t>
  </si>
  <si>
    <t>Relation To Road Descr</t>
  </si>
  <si>
    <t>Report Type Descr</t>
  </si>
  <si>
    <t>Road Cond Descr</t>
  </si>
  <si>
    <t>Road Geom Descr</t>
  </si>
  <si>
    <t>Route</t>
  </si>
  <si>
    <t>Safety Equip Descr V1</t>
  </si>
  <si>
    <t>Safety Equip Descr V2</t>
  </si>
  <si>
    <t>Safety Equip Descr V3</t>
  </si>
  <si>
    <t>Shape *</t>
  </si>
  <si>
    <t>Speed Involved</t>
  </si>
  <si>
    <t>Speed Limit D2</t>
  </si>
  <si>
    <t>Speed Limit D3</t>
  </si>
  <si>
    <t>Street1</t>
  </si>
  <si>
    <t>Street2</t>
  </si>
  <si>
    <t>Surface Cond Descr</t>
  </si>
  <si>
    <t>Surface Type Descr</t>
  </si>
  <si>
    <t>Time Police Notifi</t>
  </si>
  <si>
    <t>To Intersection</t>
  </si>
  <si>
    <t>To Node</t>
  </si>
  <si>
    <t>To Ref Point</t>
  </si>
  <si>
    <t>Township</t>
  </si>
  <si>
    <t>Traffic Control Descr V1</t>
  </si>
  <si>
    <t>Traffic Control Descr V2</t>
  </si>
  <si>
    <t>Traffic Control Descr V3</t>
  </si>
  <si>
    <t>Trafficway Descr V1</t>
  </si>
  <si>
    <t>Unbelted Vehicle Occupants</t>
  </si>
  <si>
    <t>Unit Config Descr V1</t>
  </si>
  <si>
    <t>Unit Config Descr V2</t>
  </si>
  <si>
    <t>Unit Config Descr V3</t>
  </si>
  <si>
    <t>Veh Movement Descr V1</t>
  </si>
  <si>
    <t>Veh Movement Descr V2</t>
  </si>
  <si>
    <t>Veh Movement Descr V3</t>
  </si>
  <si>
    <t>Visual Obstruct Descr D1</t>
  </si>
  <si>
    <t>Visual Obstruct Descr D2</t>
  </si>
  <si>
    <t>Visual Obstruct Descr D3</t>
  </si>
  <si>
    <t>Weather Descr</t>
  </si>
  <si>
    <t>Wzr Location Descr</t>
  </si>
  <si>
    <t>Wzr Type Of Zone Descr</t>
  </si>
  <si>
    <t>Young Driver Under 21</t>
  </si>
  <si>
    <t>Access Cntrl</t>
  </si>
  <si>
    <t>Agency Report No</t>
  </si>
  <si>
    <t>Agency Type</t>
  </si>
  <si>
    <t>County</t>
  </si>
  <si>
    <t>Crash No</t>
  </si>
  <si>
    <t>Crash Severity</t>
  </si>
  <si>
    <t>Crash Type</t>
  </si>
  <si>
    <t>First Harmful Evnt</t>
  </si>
  <si>
    <t>Func Class</t>
  </si>
  <si>
    <t>Hit Run</t>
  </si>
  <si>
    <t>Inter Type</t>
  </si>
  <si>
    <t>Light</t>
  </si>
  <si>
    <t>Manner Of Coll</t>
  </si>
  <si>
    <t>Objectid *</t>
  </si>
  <si>
    <t>Observations</t>
  </si>
  <si>
    <t>Other Prop Damage</t>
  </si>
  <si>
    <t>Relation To Juncti</t>
  </si>
  <si>
    <t>Relation To Road</t>
  </si>
  <si>
    <t>Report Type</t>
  </si>
  <si>
    <t>Road Cond</t>
  </si>
  <si>
    <t>Road Geom</t>
  </si>
  <si>
    <t>Rural Urban</t>
  </si>
  <si>
    <t>Speed Limit D1</t>
  </si>
  <si>
    <t>Surface Cond</t>
  </si>
  <si>
    <t>Surface Type</t>
  </si>
  <si>
    <t>Weather</t>
  </si>
  <si>
    <t>No Control</t>
  </si>
  <si>
    <t>BIA</t>
  </si>
  <si>
    <t>Unknown</t>
  </si>
  <si>
    <t>&lt;Null&gt;</t>
  </si>
  <si>
    <t>No</t>
  </si>
  <si>
    <t>Test Not Given</t>
  </si>
  <si>
    <t>M</t>
  </si>
  <si>
    <t>None</t>
  </si>
  <si>
    <t>Fort Yates</t>
  </si>
  <si>
    <t>No Clear</t>
  </si>
  <si>
    <t>Sioux</t>
  </si>
  <si>
    <t>Monday</t>
  </si>
  <si>
    <t>Point</t>
  </si>
  <si>
    <t>Traffic</t>
  </si>
  <si>
    <t>Y</t>
  </si>
  <si>
    <t>Not Ejected</t>
  </si>
  <si>
    <t>Did Nothing</t>
  </si>
  <si>
    <t>Overturn / Rollover</t>
  </si>
  <si>
    <t>Non-intersection</t>
  </si>
  <si>
    <t>Yes</t>
  </si>
  <si>
    <t>Daylight</t>
  </si>
  <si>
    <t>Non-Coll. w/Motor Veh.</t>
  </si>
  <si>
    <t>HADEN</t>
  </si>
  <si>
    <t>MERKEL</t>
  </si>
  <si>
    <t>U</t>
  </si>
  <si>
    <t>Non-junction</t>
  </si>
  <si>
    <t>On Roadway</t>
  </si>
  <si>
    <t>Original</t>
  </si>
  <si>
    <t>Normal</t>
  </si>
  <si>
    <t>Curve (on Level)</t>
  </si>
  <si>
    <t>Restraint Use Unknown</t>
  </si>
  <si>
    <t>BIA RTE 6</t>
  </si>
  <si>
    <t>BIA RTE 8</t>
  </si>
  <si>
    <t>Dry</t>
  </si>
  <si>
    <t>Asphalt</t>
  </si>
  <si>
    <t>Not Divided</t>
  </si>
  <si>
    <t>Passenger Car</t>
  </si>
  <si>
    <t>Other Action on Roadway</t>
  </si>
  <si>
    <t>Unkown</t>
  </si>
  <si>
    <t>Not Applicable</t>
  </si>
  <si>
    <t>BIA 6 - East Project</t>
  </si>
  <si>
    <t>Saturday</t>
  </si>
  <si>
    <t>MV in Transport</t>
  </si>
  <si>
    <t>NETIA</t>
  </si>
  <si>
    <t>BAUMAN</t>
  </si>
  <si>
    <t>Straight (on Level)</t>
  </si>
  <si>
    <t>Pickup - Van - Utility</t>
  </si>
  <si>
    <t>Going Straight</t>
  </si>
  <si>
    <t>Incapacitating Injury</t>
  </si>
  <si>
    <t>Yes (Alcohol)</t>
  </si>
  <si>
    <t>D.U.I. (Alcohol)</t>
  </si>
  <si>
    <t>Careless/Reckless Driving</t>
  </si>
  <si>
    <t>Dark(Road Unlighted)</t>
  </si>
  <si>
    <t>FORT YATES</t>
  </si>
  <si>
    <t>ND</t>
  </si>
  <si>
    <t>Neither Present</t>
  </si>
  <si>
    <t>Left Crash Scene</t>
  </si>
  <si>
    <t>Thursday</t>
  </si>
  <si>
    <t>Turned Left</t>
  </si>
  <si>
    <t>T Intersection</t>
  </si>
  <si>
    <t>Angle (Not Specific)</t>
  </si>
  <si>
    <t>Road Maintainance</t>
  </si>
  <si>
    <t>Jerrid</t>
  </si>
  <si>
    <t>Morin</t>
  </si>
  <si>
    <t>Cannonball</t>
  </si>
  <si>
    <t>Cameron</t>
  </si>
  <si>
    <t>F</t>
  </si>
  <si>
    <t>TX</t>
  </si>
  <si>
    <t>Intersection</t>
  </si>
  <si>
    <t>Shoulder-right</t>
  </si>
  <si>
    <t>Lap and Shoulder</t>
  </si>
  <si>
    <t>Ice / Compacted Snow</t>
  </si>
  <si>
    <t>Concrete</t>
  </si>
  <si>
    <t>Stop Sign</t>
  </si>
  <si>
    <t>Wrong Side of Road</t>
  </si>
  <si>
    <t>Clear</t>
  </si>
  <si>
    <t>County Sheriff</t>
  </si>
  <si>
    <t>Yes (Drugs)</t>
  </si>
  <si>
    <t>D.U.I. (Drugs)</t>
  </si>
  <si>
    <t>East</t>
  </si>
  <si>
    <t>Four Way Intersection</t>
  </si>
  <si>
    <t>Dark(Road Lighted)</t>
  </si>
  <si>
    <t>Head On</t>
  </si>
  <si>
    <t>Officer/Flagperson</t>
  </si>
  <si>
    <t>Turning Right</t>
  </si>
  <si>
    <t>Non-incapacitating injury</t>
  </si>
  <si>
    <t>Improper License</t>
  </si>
  <si>
    <t>To Fast for Conditions</t>
  </si>
  <si>
    <t>Friday</t>
  </si>
  <si>
    <t>Shoulder</t>
  </si>
  <si>
    <t>Straight (on Grade)</t>
  </si>
  <si>
    <t>Blowing Snow</t>
  </si>
  <si>
    <t>UNKNOWN</t>
  </si>
  <si>
    <t>NO</t>
  </si>
  <si>
    <t>Slowed/Stopped</t>
  </si>
  <si>
    <t>Deer</t>
  </si>
  <si>
    <t>Not in Use</t>
  </si>
  <si>
    <t>Selfridge</t>
  </si>
  <si>
    <t>Sunday</t>
  </si>
  <si>
    <t>Sideswipe (same dir.)</t>
  </si>
  <si>
    <t>BISMARCK</t>
  </si>
  <si>
    <t>SHIELDS</t>
  </si>
  <si>
    <t>Intersection Related</t>
  </si>
  <si>
    <t>Turned Right</t>
  </si>
  <si>
    <t>Embankment</t>
  </si>
  <si>
    <t>24TH AVE SW</t>
  </si>
  <si>
    <t>Gravel/Scoria</t>
  </si>
  <si>
    <t>NONE FOUND</t>
  </si>
  <si>
    <t>Turning Left</t>
  </si>
  <si>
    <t>Animal in Roadway</t>
  </si>
  <si>
    <t>Supplemental</t>
  </si>
  <si>
    <t>Ran Off Roadway</t>
  </si>
  <si>
    <t>Shoulder-left</t>
  </si>
  <si>
    <t>Careless Driving</t>
  </si>
  <si>
    <t>Rear End</t>
  </si>
  <si>
    <t>LITTLE EAGLE</t>
  </si>
  <si>
    <t>MANDAN</t>
  </si>
  <si>
    <t>SD</t>
  </si>
  <si>
    <t>Highway Patrol</t>
  </si>
  <si>
    <t>Failed to Stop</t>
  </si>
  <si>
    <t>Failed to Yield</t>
  </si>
  <si>
    <t>STEVEN</t>
  </si>
  <si>
    <t>MAYER</t>
  </si>
  <si>
    <t>Cloudy</t>
  </si>
  <si>
    <t>Ran Red Light</t>
  </si>
  <si>
    <t>Tree</t>
  </si>
  <si>
    <t>ND HWY 24</t>
  </si>
  <si>
    <t>Need signing</t>
  </si>
  <si>
    <t>JAMESTOWN</t>
  </si>
  <si>
    <t>Hillcrest</t>
  </si>
  <si>
    <t>HWY 24 (BIA RTE 3)</t>
  </si>
  <si>
    <t>DRIVEWAY OF 9407 S HWY 24</t>
  </si>
  <si>
    <t>Truck Tractor</t>
  </si>
  <si>
    <t>Other</t>
  </si>
  <si>
    <t>DUPREE</t>
  </si>
  <si>
    <t>Alley/Driveway</t>
  </si>
  <si>
    <t>Test Refused</t>
  </si>
  <si>
    <t>ND HWY 6</t>
  </si>
  <si>
    <t>EAGLE BUTTE</t>
  </si>
  <si>
    <t>95TH ST</t>
  </si>
  <si>
    <t>4TH AVE N</t>
  </si>
  <si>
    <t>Tuesday</t>
  </si>
  <si>
    <t>WILTON</t>
  </si>
  <si>
    <t>SELFRIDGE</t>
  </si>
  <si>
    <t>2-Axle</t>
  </si>
  <si>
    <t>Wednesday</t>
  </si>
  <si>
    <t>Totally Ejected</t>
  </si>
  <si>
    <t>MCLAUGHLIN</t>
  </si>
  <si>
    <t>Dawn</t>
  </si>
  <si>
    <t>.12 BAC</t>
  </si>
  <si>
    <t>Ditch</t>
  </si>
  <si>
    <t>MN</t>
  </si>
  <si>
    <t>Hit and Run</t>
  </si>
  <si>
    <t>CADDO</t>
  </si>
  <si>
    <t>OK</t>
  </si>
  <si>
    <t>Solen</t>
  </si>
  <si>
    <t>MOBRIDGE</t>
  </si>
  <si>
    <t>Snow</t>
  </si>
  <si>
    <t>Passing</t>
  </si>
  <si>
    <t>.04 BAC</t>
  </si>
  <si>
    <t>Possible Injury</t>
  </si>
  <si>
    <t>CANNON BALL</t>
  </si>
  <si>
    <t>FREMONT</t>
  </si>
  <si>
    <t>WY</t>
  </si>
  <si>
    <t>Fatal</t>
  </si>
  <si>
    <t>STEVE</t>
  </si>
  <si>
    <t>MAY</t>
  </si>
  <si>
    <t>SIOUX FALLS</t>
  </si>
  <si>
    <t>HWY 24</t>
  </si>
  <si>
    <t>HWY 1806 S</t>
  </si>
  <si>
    <t>Parked Motor Vehicle</t>
  </si>
  <si>
    <t>BROADWAY</t>
  </si>
  <si>
    <t>Test Given (Results UNK)</t>
  </si>
  <si>
    <t>Over Correct/Steering</t>
  </si>
  <si>
    <t>Standing Rock Ambulance</t>
  </si>
  <si>
    <t>Campbell</t>
  </si>
  <si>
    <t>Cannon Ball</t>
  </si>
  <si>
    <t>Shoulder Belt</t>
  </si>
  <si>
    <t>Negotiating Curve</t>
  </si>
  <si>
    <t>.19 BAC</t>
  </si>
  <si>
    <t>Dusk</t>
  </si>
  <si>
    <t>Halsey</t>
  </si>
  <si>
    <t>Mandan</t>
  </si>
  <si>
    <t>Mobridge</t>
  </si>
  <si>
    <t xml:space="preserve"> Divided Highway</t>
  </si>
  <si>
    <t>MT</t>
  </si>
  <si>
    <t>.27 BAC</t>
  </si>
  <si>
    <t>Improper Evasive Action</t>
  </si>
  <si>
    <t>Partially Ejected</t>
  </si>
  <si>
    <t>STANDING ROCK AMBULANCE S</t>
  </si>
  <si>
    <t>JEREMIAH</t>
  </si>
  <si>
    <t>BOHN</t>
  </si>
  <si>
    <t>CANNONBALL</t>
  </si>
  <si>
    <t>Care Required</t>
  </si>
  <si>
    <t>FISCHER</t>
  </si>
  <si>
    <t>BREIEN</t>
  </si>
  <si>
    <t>.21 BAC</t>
  </si>
  <si>
    <t>Tomlinson</t>
  </si>
  <si>
    <t>No Passing Zone</t>
  </si>
  <si>
    <t>Right Angle</t>
  </si>
  <si>
    <t>TAREK</t>
  </si>
  <si>
    <t>CHASE</t>
  </si>
  <si>
    <t>Severe Wind</t>
  </si>
  <si>
    <t>Curve (on Grade)</t>
  </si>
  <si>
    <t>Hill/Curve</t>
  </si>
  <si>
    <t>.25 BAC</t>
  </si>
  <si>
    <t>US</t>
  </si>
  <si>
    <t>Other Non-Collision</t>
  </si>
  <si>
    <t>Wet</t>
  </si>
  <si>
    <t>3+ Axle</t>
  </si>
  <si>
    <t>Fog / Smoke / Dust</t>
  </si>
  <si>
    <t>RAILROAD ST.</t>
  </si>
  <si>
    <t>W BROADWAY ST.</t>
  </si>
  <si>
    <t>RIVER ST.</t>
  </si>
  <si>
    <t>Driverless (Stopped)</t>
  </si>
  <si>
    <t>Bridge Rail</t>
  </si>
  <si>
    <t>Accelerated</t>
  </si>
  <si>
    <t>BULLHEAD</t>
  </si>
  <si>
    <t>BEMIDJI</t>
  </si>
  <si>
    <t>Slowing/Stopping</t>
  </si>
  <si>
    <t>.16 BAC</t>
  </si>
  <si>
    <t>Utility Post</t>
  </si>
  <si>
    <t>LYMAN</t>
  </si>
  <si>
    <t>Rain</t>
  </si>
  <si>
    <t>MILWAUKEE</t>
  </si>
  <si>
    <t>WI</t>
  </si>
  <si>
    <t>Improper Overtaking</t>
  </si>
  <si>
    <t>Work Zone/Maintenance</t>
  </si>
  <si>
    <t>No Insurance</t>
  </si>
  <si>
    <t>Improper Turn</t>
  </si>
  <si>
    <t>RAPID CITY</t>
  </si>
  <si>
    <t>LAWRENCE</t>
  </si>
  <si>
    <t>KS</t>
  </si>
  <si>
    <t>Mail Box</t>
  </si>
  <si>
    <t>Note: The table above shows the existing annual VMT on each route. Route lengths were obtained from Google Earth. Existing traffic volume data was obtained through the NDDOT Interactive Traffic Mapping Application. Crash data was obtained from SRST staff. Refer to "Route ID #, VMT, Crash Data" tab for detailed crash history.</t>
  </si>
  <si>
    <t>Number of Months</t>
  </si>
  <si>
    <t>Impacted Length (miles)</t>
  </si>
  <si>
    <t>AADT On BIA 6</t>
  </si>
  <si>
    <t>Table 4 - Travel Time During Detour</t>
  </si>
  <si>
    <t>Table 5 - Annual Travel Time Impacts Associate with Detour</t>
  </si>
  <si>
    <t>Table 6 - Annual Vehicle Hours Traveled by Vehicle Type</t>
  </si>
  <si>
    <t>Construction Travel Time Impacts</t>
  </si>
  <si>
    <t>Crash Costs Associated with Alternate Routes</t>
  </si>
  <si>
    <t>Table 3 - Annual VMT on Gravel BIA 6 from Cars</t>
  </si>
  <si>
    <t>Table 4 - Annual VMT on Gravel BIA 6 from Trucks</t>
  </si>
  <si>
    <t>No-Build Posted Speed (mph)</t>
  </si>
  <si>
    <t>Build Posted Speed (mph)</t>
  </si>
  <si>
    <t>CMF Star Rating</t>
  </si>
  <si>
    <t>Applicable Crash Severity</t>
  </si>
  <si>
    <t>All</t>
  </si>
  <si>
    <t>5 of 5</t>
  </si>
  <si>
    <t>CMF Value</t>
  </si>
  <si>
    <t xml:space="preserve">CMF ID: </t>
  </si>
  <si>
    <t>CMF Install Centerline and Shoulder Rumble Strips (All Crashes)</t>
  </si>
  <si>
    <t>The present value of all benefits and costs was calculated using 2021 as the year of current dollars.</t>
  </si>
  <si>
    <t>This analysis assumed that the Build Alternative would be constructed over a two-year period, starting in the year 2024, with completion in the year 2025. Construction was assumed to be staged such that Phase 1 would be constructed in June 2024 to September 2024 and Phase 2 would be constructed June 2025 to September 2025.</t>
  </si>
  <si>
    <t xml:space="preserve">Year 2026 was assumed to be the first full year that most benefits will be accrued from the entirety of the project. The analysis primarily focused on annual benefits for the twenty-year period from 2026 to 2045 , while some user costs were quantified during the construction phases. </t>
  </si>
  <si>
    <t>This analysis assumed a 365-day year to account for benefits incurred on weekends and recreational peaks in the project area.</t>
  </si>
  <si>
    <t>The value of time, vehicle operating costs, emissions costs, and cost of crashes were obtained from the Benefit Cost Analysis Guidance for Discretionary Grant Programs, dated January 2023 . Per-mile operating costs associated with additional impacts of pavement roughness were derived using values from NCHRP Report 720 - "Estimating the Effects of Pavement Condition on Vehicle Operating Costs"; Table 7-5 . The analysis was completed using an assumed discount rate of seven percent.</t>
  </si>
  <si>
    <t>East/West No Build Natural Diversion Via ND 6 &amp; ND 1806 (26 miles/27 minutes)</t>
  </si>
  <si>
    <t>North/South No Build Natural Diversion via ND 24 &amp; ND 1806 (37.9 miles/37 minutes)</t>
  </si>
  <si>
    <t>SRST anticipates that the pavement conditions will be in too poor of a condition to remedy by the year 2025 and will require conversion of the entire 13.1 mile segment of BIA 6 to a gravel roadway. The conversion of BIA 6 to a gravel roadway has significant impacts to the vehicles traveling through the region. This analysis identified and monetized the impacts of natural diversions associated with the conversion of BIA 6 to a gravel road. Natural diversion routes and travel times were determined using Google Maps  and assumed speed reductions on BIA 6 associated with converting BIA 6 to a gravel road.</t>
  </si>
  <si>
    <t>Assumed traffic patterns are based on the existing AADT data obtained from NDDOT Transportation Information Map: AADT (https://gis.dot.nd.gov/external/ge_html/?viewer=ext_transinfo). Traffic along BIA 6 is assumed to be 65% traveling north/south (Fort Yates to Fallon, St Anthony, Breien, Lynwood, Lyons, Mandana and vice versa). The remaining 35% of traffic along BIA 6 is assumed to be traveling east/west (between Fort Yates and Porcupine/Rural Western reservation land and vice versa). Traffic pattern calculations are shown in the "Traffic Patterns" tab of this workbook.</t>
  </si>
  <si>
    <t>Trucks - East/West No Build Via BIA 6 &amp; ND 1806</t>
  </si>
  <si>
    <t>Trucks - North/South No Build Natural Diversion via ND 24 &amp; ND 1806</t>
  </si>
  <si>
    <t>Trucks - North/South No Build Via ND 6 &amp; BIA 6</t>
  </si>
  <si>
    <t>Trucks - East/West No Build Natural Diversion Via ND 6 &amp; ND 1806</t>
  </si>
  <si>
    <t>Cars - North/South No Build Natural Diversion via ND 24 &amp; ND 1806</t>
  </si>
  <si>
    <t>Cars - East/West No Build Via BIA 6 &amp; ND 1806</t>
  </si>
  <si>
    <t>Cars - East/West No Build Natural Diversion Via ND 6 &amp; ND 1806</t>
  </si>
  <si>
    <t>Cars - North/South No Build Via ND 6 &amp; BIA 6</t>
  </si>
  <si>
    <t>Trucks - North/South Build Via ND 6 &amp; BIA 6</t>
  </si>
  <si>
    <t>Trucks - East/West Build Via BIA 6 &amp; ND 1806</t>
  </si>
  <si>
    <t>Cars - North/South Build Via ND 6 &amp; BIA 6</t>
  </si>
  <si>
    <t>Cars - East/West Build Via BIA 6 &amp; ND 1806</t>
  </si>
  <si>
    <t>Figure 3 - North/South No Build Natural Diversion via ND 24 &amp; ND 1806 (37.9 miles/37 minutes)</t>
  </si>
  <si>
    <r>
      <rPr>
        <u/>
        <sz val="11"/>
        <color theme="1"/>
        <rFont val="Calibri"/>
        <family val="2"/>
        <scheme val="minor"/>
      </rPr>
      <t>In the Build:</t>
    </r>
    <r>
      <rPr>
        <sz val="11"/>
        <color theme="1"/>
        <rFont val="Calibri"/>
        <family val="2"/>
        <scheme val="minor"/>
      </rPr>
      <t xml:space="preserve"> Assumed traffic patterns based on the existing AADT used in the No Build analysis. In the Build analysis, all vehicles are assumed to use their existing routes:
North/South Build Via ND 6/BIA 6 (33 miles, 33 minutes) – Assume 100 percent of users choose this route. This is the most efficient and the existing route users take.
East/West No Build Via BIA 6/ND 1806 (18.5 miles, 20 minutes) – Assume 100 percent of users choose this route. This is the most efficient and the existing route users take.</t>
    </r>
  </si>
  <si>
    <t xml:space="preserve">Year 2022 BIA 6 corridor and natural diversion route VMT and VHT were developed using existing AADTs obtained from the NDDOT Transportation Information Map: AADT . Travel time and route lengths were obtained using Google Maps and the assumed annual growth rate was obtained from the 2020 project plan set. BIA 6 was assumed to convert to gravel at the appropriate time in the year 2025 based on remaining service life under the No Build Alternative. This information was obtained through coordination with SRST Staff.
Travel times and trip distances were applied to year 2022 and year 2039 daily traffic forecasts to determine VHT and VMT, respectively. Benefits for the years between 2026 and 2038 were interpolated using an annual growth rate, and benefits for years beyond 2039 were extrapolated using the same growth rate. Total user costs per alternative is the sum of all user costs for the period from 2024 to 2045 (i.e., includes construction years and 20 years after last project opening). Benefits due to change in VMT and VHT were calculated using costs per mile and per hour that account for vehicle occupancy and different vehicle types. </t>
  </si>
  <si>
    <t>Notes on Development of Vehicle Miles Traveled (VMT) and Vehicle Hours Traveled (VHT):</t>
  </si>
  <si>
    <t>Calculations of Vehicle Miles Traveled (VMT) and Vehicle Hours Traveled (VHT):</t>
  </si>
  <si>
    <t xml:space="preserve">Travel times and trip distances were applied to year 2022 and year 2039 daily traffic forecasts to determine VHT and VMT, respectively. Benefits for the years between 2026 and 2038 were interpolated using an annual growth rate, and benefits for years beyond 2039 were extrapolated using the same growth rate. Total user costs per alternative is the sum of all user costs for the period from 2024 to 2045 (i.e., includes construction years and 20 years after last project opening). Benefits due to change in VMT and VHT were calculated using costs per mile and per hour that account for vehicle occupancy and different vehicle types. </t>
  </si>
  <si>
    <t>Expected number of crashes in year 2039 were calculated by multiplying the base year crashes by the percent change in traffic volumes between the base year (this analysis assumed 2022 being the center of the crash analysis period due to available AADT data) and forecast year 2039. Forecast year crashes by severity and crash costs were calculated for the No Build and Build. Crash costs were obtained by applying the appropriate crash modification factor to the No Build crash data</t>
  </si>
  <si>
    <t>Crash cost assumptions for the KABCO scale are consistent with values and methodologies published in the Benefit Cost Analysis Guidance for Discretionary Grant Programs, dated January 2023.</t>
  </si>
  <si>
    <t>Note: The table above shows the existing annual VMT on each route. Route lengths were obtained from Google Earth. Existing traffic volume data was obtained through the NDDOT Interactive Traffic Mapping Application. Crash data was obtained from SRST staff. Refer to "VMT &amp; Crash Data by Route" tab of this BCA Workbook for detailed crash history by route.</t>
  </si>
  <si>
    <t>2022 Annual VMT</t>
  </si>
  <si>
    <t>Truck Data Inputs</t>
  </si>
  <si>
    <t>Car Data Inputs</t>
  </si>
  <si>
    <t>Truck Data Calculation or Description</t>
  </si>
  <si>
    <t>Car Data Calculation or Description</t>
  </si>
  <si>
    <t>Length of Total BIA 6 Project Corridor (Miles)</t>
  </si>
  <si>
    <t>The Formatting Legend Below is Applicable to Tables 5 - 8 Below:</t>
  </si>
  <si>
    <t>Table 1 - Corridor Wide AADT and Heavy Vehicle Data on BIA 6</t>
  </si>
  <si>
    <t>Note: The truck percentage used in the analysis was 7.9 percent, based on 2020 data from the project plan set.</t>
  </si>
  <si>
    <t xml:space="preserve">Note: Refer to "Corridor AADT Data" tab for additional details. The assumed traffic growth rate was obtained from the 2020 project plan set. </t>
  </si>
  <si>
    <t>Table 2 - No-Build Crash Rate Calculations (per 100 million vehicle-miles of travel VMT)</t>
  </si>
  <si>
    <t>Table 3 - Build Crash Rate Calculations (per 100 million vehicle-miles of travel VMT)</t>
  </si>
  <si>
    <t>Table 4 - No-Build Total Crashes</t>
  </si>
  <si>
    <t>Table 5 - Build Total Crashes</t>
  </si>
  <si>
    <t>Table 6 - No-Build Annual Crashes for Existing and Forecast Year</t>
  </si>
  <si>
    <t>Table 7 - Build Annual Crashes for Existing and Forecast Year</t>
  </si>
  <si>
    <t>Note: The table above shows the annual crashes on each route associated with traffic traveling along BIA 6 in the Build Condition.</t>
  </si>
  <si>
    <t xml:space="preserve">Other Data Calculation or Description </t>
  </si>
  <si>
    <t>All safety benefits were calculated for years 2022 and 2039 and interpolated (or extrapolated) based on an annual growth rate to determine total safety benefits over the analysis period from year 2026 to 2045.  Crash data used in analysis is presented is presented in the "VMT &amp; Crash Data by Route" tab of this BCA Workbook.</t>
  </si>
  <si>
    <t xml:space="preserve">Average emission rates per vehicle type were obtained from the Environmental Protection Agency’s Motor Vehicle Emission Simulator (MOVES) version 3. The change in VMT between No Build and Build conditions derived from traffic volume shifts to natural diversion routes under the No Build due to the conversion of BIA 6 to a gravel roadway. The change in VMT by year was applied to emission rates by vehicle type. </t>
  </si>
  <si>
    <t>Convert Pavement to Gravel (per mile)</t>
  </si>
  <si>
    <t>Gravel Maintenance (per mile)</t>
  </si>
  <si>
    <t>Chip Seal Paved Road (per mile)</t>
  </si>
  <si>
    <t>Year of Cost</t>
  </si>
  <si>
    <t>Surface Repairs + Estimated Labor &amp; Materials</t>
  </si>
  <si>
    <t>Phase 1 Length (miles)</t>
  </si>
  <si>
    <t>Phase 2 Length (miles)</t>
  </si>
  <si>
    <t>BIA 6 Length (miles)</t>
  </si>
  <si>
    <t>Hot Mix</t>
  </si>
  <si>
    <t>Fuel</t>
  </si>
  <si>
    <t>Equipment Rental</t>
  </si>
  <si>
    <t>I.D</t>
  </si>
  <si>
    <t>Note: Salary Time Includes: Snow removal, mowing, culverts clearing, repairs to pot holes</t>
  </si>
  <si>
    <t>Salary for Employees</t>
  </si>
  <si>
    <t>Cost ($2021)</t>
  </si>
  <si>
    <t>Table 4 - Existing Annual Average Maintenance Cost Along BIA 6</t>
  </si>
  <si>
    <t>Gravel Road Maintenance</t>
  </si>
  <si>
    <t>Note: Construction in year 2024. In year 2024, Maintenance costs are assumed over 5.71 miles of BIA 6</t>
  </si>
  <si>
    <t>Cost Per Hour ($2021)</t>
  </si>
  <si>
    <r>
      <t>Yearly Emissions Savings for Only CO</t>
    </r>
    <r>
      <rPr>
        <vertAlign val="subscript"/>
        <sz val="11"/>
        <color theme="1"/>
        <rFont val="Calibri"/>
        <family val="2"/>
        <scheme val="minor"/>
      </rPr>
      <t>2</t>
    </r>
  </si>
  <si>
    <t>Yearly Emissions Savings (Without CO2)</t>
  </si>
  <si>
    <t>Annual Cost Labor Cost ($2021)</t>
  </si>
  <si>
    <t>Annual Material Cost ($2021)</t>
  </si>
  <si>
    <t>Total Cost ($2021)</t>
  </si>
  <si>
    <t>In the no-build condition, annual maintenance of the existing roadway were determined using per-mile costs and the total roadway length. Per-mile maintenance costs were obtained from page 4 of the Transportation Research Synthesis, Minnesota Department of Transportation, Office of Policy Analysis, Research and Innovation: Decision Tree For Unpaving Roads (dated May 2010) - https://www.dot.state.mn.us/research/TRS/2010/TRS1007.pdf. The assumed values are shown in Table 1</t>
  </si>
  <si>
    <t>In the build condition, annual maintenance of the existing roadway was estimated by assuming 2.5 employees, 8 hours a day, 5 days a week, for 4 weeks total, plus an annual $2,500 in material costs. The value of time was assumed to be at $21.59 per hour. This is a conservative estimate as this approach is not able to capture the material costs associated with this work. The hourly cost of labor was obtained from Occupational Employment and Wages data for construction workers in North Dakota, published by the U.S. Bureau of Labor Statistics. https://www.bls.gov/oes/current/oes472061.htm#(2)</t>
  </si>
  <si>
    <t>Table 2 - Estimated Maintenance Hours Build</t>
  </si>
  <si>
    <t>Table 3 - BIA 6 Project Lengths - Estimated Maintenance Hours Build</t>
  </si>
  <si>
    <t>Table 1 - Localized Per-Mile Maintenance Cost Estimates (Stutsman County, North Dakota)</t>
  </si>
  <si>
    <t>Per-Mile Maintenance Cost Estimates (Stutsman County, North Dakota)</t>
  </si>
  <si>
    <t>Average Annual Maintenance Costs Along BIA 6 (2018-2021)</t>
  </si>
  <si>
    <t>The Formatting Legend Below is Applicable to Tables 2 - 7 Below:</t>
  </si>
  <si>
    <t>Note: The table above shows the annual crashes on all routes associated with traffic rerouting to natural diversion routes due to the conversion of BIA 6 to a gravel roadway.</t>
  </si>
  <si>
    <t>Build Travel Time on BIA 6 (assume 65 mph posted speed)</t>
  </si>
  <si>
    <t>Assumed Posted Speed on BIA 6 During Construction</t>
  </si>
  <si>
    <t>Note: Additional travel time along BIA 6 was calculated assuming a posted speed limit of 65 mph along BIA 6 in the Build and 50 mph along BIA 6 in the No Build along with the assumed project length of 13.15 miles</t>
  </si>
  <si>
    <t>No-Build Travel Time on BIA 6 (Gravel Roadway - assume 50 mph posted speed)</t>
  </si>
  <si>
    <t>Figure 2 - North/South No Build Via ND 6 &amp; BIA 6 (33 miles/37 minutes)</t>
  </si>
  <si>
    <t>Figure 4 - East/West No Build Via BIA 6 &amp; ND 1806 (18.5 miles/24 minutes)</t>
  </si>
  <si>
    <t>North/South No Build Via ND 6 &amp; BIA 6 (33 miles/37 minutes)</t>
  </si>
  <si>
    <t>East/West No Build Via BIA 6 &amp; ND 1806 (18.5 miles/24 minutes)</t>
  </si>
  <si>
    <t xml:space="preserve">Travel times and trip distances were applied to year 2022 and year 2039 daily traffic forecasts to determine VHT and VMT, respectively. Benefits for the years between 2026 and 2039 were interpolated using an annual growth rate, and benefits for years beyond 2039 were extrapolated using the same growth rate. Total user costs per alternative is the sum of all user costs for the period from 2024 to 2045 (i.e., includes construction years and 20 years after last project opening). Benefits due to change in VMT and VHT were calculated using costs per mile and per hour that account for vehicle occupancy and different vehicle types. </t>
  </si>
  <si>
    <t>Year 2022 and year 2039 BIA 6 corridor VMT and VHT were developed using existing and forecast AADTs and travel time and route lengths were obtained using Google Maps.</t>
  </si>
  <si>
    <t>No Build - Additional Gravel Road VOC</t>
  </si>
  <si>
    <t>No Build Annual VMT on BIA 6</t>
  </si>
  <si>
    <t>Build Annual VMT on BIA 6</t>
  </si>
  <si>
    <t>Build - Additional Gravel Road VOC</t>
  </si>
  <si>
    <t>Gravel Road VOC Savings</t>
  </si>
  <si>
    <t>Table 5 - Total Annual VMT Cars &amp; Trucks on Gravel BIA 6</t>
  </si>
  <si>
    <t>*Note BIA 6 gravel condition is not present in the Build Condition</t>
  </si>
  <si>
    <t>Note: Assuming a posted speed on BIA 6 of 50 mph results in a conservative adjustment from baseline factor.</t>
  </si>
  <si>
    <t xml:space="preserve"> Additional Gravel Road VOC</t>
  </si>
  <si>
    <t>Delta Additional Gravel Road VOC</t>
  </si>
  <si>
    <t>Refer to the "Gravel Road VOC Citation" Tab of this BCA Workbook for additional details.</t>
  </si>
  <si>
    <t xml:space="preserve">Components of the initial capital costs have service lives beyond the 20-year analysis period, therefore remaining capital value was calculated for the Build Alternative. This value was expressed in terms of 2021 dollars and was added to other project benefits in accordance with USDOT guidance. The assumed service life for the Build Alternative was years (including periodical overlays or chip sealing). </t>
  </si>
  <si>
    <t>2022 Annual VMT (Excluding BIA 6)</t>
  </si>
  <si>
    <t>Crash History Along Build Routes ( Excluding on BIA 6) - 2012, 2013, 2015, 2016, and 2017</t>
  </si>
  <si>
    <t>Conversion Factor</t>
  </si>
  <si>
    <t>Convert Year $2022 to $2021</t>
  </si>
  <si>
    <r>
      <rPr>
        <u/>
        <sz val="11"/>
        <color theme="1"/>
        <rFont val="Calibri"/>
        <family val="2"/>
        <scheme val="minor"/>
      </rPr>
      <t>In the No Build</t>
    </r>
    <r>
      <rPr>
        <sz val="11"/>
        <color theme="1"/>
        <rFont val="Calibri"/>
        <family val="2"/>
        <scheme val="minor"/>
      </rPr>
      <t>: North/South BIA 6 Traffic - Natural Diversion (Fort Yates to Fallon, St Anthony, Breien, Lynwood, Lyons, Mandana and vice versa) - The natural diversion via ND 24 and ND 1806 begins in 2025, when BIA 6 is converted to gravel. The natural diversion in the No Build has the same travel time as the original route, even though it is roughly five miles longer. This is because the speed limit on the gravel BIA 6 roadway would be decreased which increases the travel time along that route. Additional travel time along BIA 6 was calculated assuming a posted speed limit of 65 mph along BIA 6 in the Build and 50 mph along BIA 6 in the No Build along with the assumed project length of 13.1 miles. All motorists are anticipated to take this natural diversion to reduce wear and tear on vehicles by traveling along the paved roadway. In the No Build, north/south users have two options : 
North/South No Build Via ND 6/BIA 6 is shown in Figure 2. This route is 33 miles and takes 37 minutes – Analysis assumes zero percent of users choose this route. This is the existing route users take with additional travel time along BIA 6 due to conversion to gravel roadway.
North/South No Build Natural Diversion via ND 24/ND 1806 is shown in Figure 3. This route is 37.9 miles and takes 37 minutes – Analysis assumes 100 percent of users choose this route.</t>
    </r>
  </si>
  <si>
    <t>East/West No Build Natural Diversion Via ND 6 &amp; ND 1806 (26 miles/26 minutes)</t>
  </si>
  <si>
    <t>2024 (in $2022)</t>
  </si>
  <si>
    <t>2025 (in $2021)</t>
  </si>
  <si>
    <t>Table 2 - GDP Deflator Method</t>
  </si>
  <si>
    <t>Table 3 - Total Project Cost ($2021)</t>
  </si>
  <si>
    <t>Table 4 - Project Schedule</t>
  </si>
  <si>
    <t>Table 5 - Service Life and RCV Assumptions</t>
  </si>
  <si>
    <t>BIA 6 - BCA Assumptions</t>
  </si>
  <si>
    <t>In the No Build condition, BIA 6 was assumed to convert to gravel in 2025. SRST anticipates that the pavement conditions will be in too poor of a condition to remedy by the year 2025 and will require conversion of the entire 13.1 mile segment of BIA 6 to a gravel roadway.</t>
  </si>
  <si>
    <t>CMF For Countermeasure: Install centerline and shoulder rumble strips (CMF ID: 6942  Study Citation: Lyon, Craig; Bhagwant Persaud; and Kimberly Eccles. "Safety Evaluation of Centerline Plus Shoulder Rumble Strips." Federal Highway Administration, Report FHWA-HRT-15-048 (June 2015). The base case in this study involved rural two lane roadways with no existing rumble strips. For additional details, refer to: https://www.cmfclearinghouse.org/detail.cfm?facid=6942. This CMF predicts an annual reduction of 35 percent for all applicable crash severities and all crash types.</t>
  </si>
  <si>
    <t>Table 4 - Applicable Crash Modification Factors (Install Centerline and Shoulder Rumble Strips)</t>
  </si>
  <si>
    <t>Applicable Manner of Collision</t>
  </si>
  <si>
    <t>Year 2022 and year 2025 BIA 6 corridor VHT was calculated using an assumed travel speed and project segment lengths obtained from the 2020 and 2021 project plan sets. The construction detour is assumed for 4 months per year during 2024 and 2025. Vehicles are assumed to travel at the posted speed mph of 25 mph during construction.</t>
  </si>
  <si>
    <t>Project cost estimates are provided with  the project grant application.</t>
  </si>
  <si>
    <t>Changes in annual roadway maintenance costs are expected due to the conversion of BIA 6 to a gravel roadway under the No-Build Scenario and maintain the newly reconstructed and resurfaced roadway</t>
  </si>
  <si>
    <t>Note: The existing AADT data shown below for the project corridor is shown in the table below. Existing traffic volume data was obtained through the NDDOT Interactive Traffic Mapping Application (refer to link below for additional details).</t>
  </si>
  <si>
    <t>BIA 6 - BCA SUMMARY</t>
  </si>
  <si>
    <t>HV VHT</t>
  </si>
  <si>
    <t>HV VMT</t>
  </si>
  <si>
    <t>HV VMT on Gravel BIA 6</t>
  </si>
  <si>
    <t>Note: The table above shows calculations for VMT and VHT based on how vehicles would reroute after conversion of BIA 6 to a gravel roadway. "HV" Denotes "Heavy Vehicles"</t>
  </si>
  <si>
    <t>Note: The table above shows the VMT and VHT calculations for how vehicles would route if this project is completed. "HV" Denotes "Heavy Vehicles"</t>
  </si>
  <si>
    <t>Factor</t>
  </si>
  <si>
    <r>
      <rPr>
        <u/>
        <sz val="11"/>
        <color theme="1"/>
        <rFont val="Calibri"/>
        <family val="2"/>
        <scheme val="minor"/>
      </rPr>
      <t>In the No Build:</t>
    </r>
    <r>
      <rPr>
        <sz val="11"/>
        <color theme="1"/>
        <rFont val="Calibri"/>
        <family val="2"/>
        <scheme val="minor"/>
      </rPr>
      <t xml:space="preserve"> East/West Vehicles (between Fort Yates and Porcupine/Rural Western reservation land) –This natural diversion via ND 6, and ND 1806 begins in 2025, when BIA 6 is converted to gravel. The natural diversion in the No Build is two minutes longer than the original route, however some drivers are assumed to take the natural diversion to reduce wear and tear on their vehicle. Additional travel time along BIA 6 was calculated assuming a posted speed limit of 65 mph along BIA 6 in the Build and 50 mph along BIA 6 in the No Build along with the assumed project length of 13.1 miles. This analysis assumed 100 percent of all east/west truck traffic  and 50 percent of all east/west automobile traffic along BIA 6 is anticipated to take this natural diversion to reduce wear and tear on vehicles by traveling along the paved roadway. The remaining 50 percent of east/west automobile traffic is anticipated the BIA 6 route. In the No Build, east/west users have two options : 
East/West No Build Via BIA 6 &amp; ND 1806 is shown in Figure 4. This route is 18.5 miles and takes 24 minutes – Analysis assumes 100 percent of all automobiles and zero percent of all trucks choose this route. This is the existing route users take with additional travel time along BIA 6 due to conversion to gravel roadway.
East/West No Build Natural Diversion Via ND 6 &amp; ND 1806 is shown in Figure 5. This route is 26 miles and takes 26 minutes – Analysis assumes zero percent of all automobiles and 100 percent of all trucks choose this route.</t>
    </r>
  </si>
  <si>
    <t>Phase 1 – BIA 6 Reconstruction (June 2024 to September 2024): This phase will consist of reconstructing the west portion of BIA 6, beginning from the ND Highway 6 intersection. This phase also includes the installation of centerline and shoulder rumble strips. During the 4 months of construction, vehicles are assumed to travel at the temporary construction speed zone of 25 mph for 24 hours a day.
Phase 2 – BIA 6 Resurfacing (June 2025 to September 2025): This phase involves a complete resurfacing (mill and overlay) on the east portion of the BIA 6 corridor, beginning at the ND Highway 1806/ND Highway 24 intersection and installation of centerline and shoulder rumble strips. During the 4 months of construction, vehicles are assumed to travel at the posted speed of 25 mph for 24 hours a day.</t>
  </si>
  <si>
    <t>SRST provided county wide crash data for years 2012, 2013, 2015, 2016, and 2017. Crash data reporting issues prevented use of crash data for the years 2014 and 2018-2021. Available five-year county wide crash data was used to determine the crash rates by severity along each reroute due to conversion of BIA 6 to a gravel roadway.  This tab monetizes crashes along the along the existing routes and diversion routes (excluding along the BIA 6 project corridor). Crash costs and crashes by severity along BIA 6 are located in the "Safety Improvements" Tab of this BCA Workbook. Crash history along each route is provided in the "VMT &amp; Crash Data by Route" tab of this BCA Workbook.</t>
  </si>
  <si>
    <t>SRST provided county wide crash data for years 2012, 2013, 2015, 2016, and 2017. Crash data reporting issues prevented use of crash data for the years 2014 and 2018-2021. Available five-year county wide crash data was used to determine the crash rates by severity along each reroute due to conversion of BIA 6 to a gravel roadway.  This tab monetizes crashes along the BIA 6 corridor. Crash costs and crashes by severity along diversion routes (excluding this segment of BIA 6) are located in the "Safety Impacts of Alt Routes" Tab of this BCA Workbook. Crash history along the BIA 6 corridor is provided in the "VMT &amp; Crash Data by Route" tab of this BCA Workbook.</t>
  </si>
  <si>
    <t>SAFETY - NETWORK CRASH SAVINGS ASSOCIATED WITH CONVERSION OF BIA 6 TO A GRAVEL ROADWAY (EXCLUDING ON BIA 6)</t>
  </si>
  <si>
    <r>
      <t>Air quality  CO</t>
    </r>
    <r>
      <rPr>
        <vertAlign val="subscript"/>
        <sz val="11"/>
        <color theme="1"/>
        <rFont val="Calibri"/>
        <family val="2"/>
        <scheme val="minor"/>
      </rPr>
      <t>2</t>
    </r>
  </si>
  <si>
    <r>
      <t>Air quality (no CO</t>
    </r>
    <r>
      <rPr>
        <vertAlign val="subscript"/>
        <sz val="11"/>
        <color theme="1"/>
        <rFont val="Calibri"/>
        <family val="2"/>
        <scheme val="minor"/>
      </rPr>
      <t>2</t>
    </r>
    <r>
      <rPr>
        <sz val="11"/>
        <color theme="1"/>
        <rFont val="Calibri"/>
        <family val="2"/>
        <scheme val="minor"/>
      </rPr>
      <t>)</t>
    </r>
  </si>
  <si>
    <r>
      <t>CO</t>
    </r>
    <r>
      <rPr>
        <vertAlign val="subscript"/>
        <sz val="11"/>
        <color theme="1"/>
        <rFont val="Calibri"/>
        <family val="2"/>
        <scheme val="minor"/>
      </rPr>
      <t>2</t>
    </r>
    <r>
      <rPr>
        <sz val="11"/>
        <color theme="1"/>
        <rFont val="Calibri"/>
        <family val="2"/>
        <scheme val="minor"/>
      </rPr>
      <t xml:space="preserve"> Discounted at 3%</t>
    </r>
  </si>
  <si>
    <t>Assumed Posted Speed on Existing &amp; Build BIA 6 (mph)</t>
  </si>
  <si>
    <t>Assumed Posted Speed on BIA 6 After Conversion to Gravel (mph)</t>
  </si>
  <si>
    <r>
      <t>Change in CO</t>
    </r>
    <r>
      <rPr>
        <vertAlign val="subscript"/>
        <sz val="11"/>
        <color theme="1"/>
        <rFont val="Calibri"/>
        <family val="2"/>
        <scheme val="minor"/>
      </rPr>
      <t xml:space="preserve">2 </t>
    </r>
    <r>
      <rPr>
        <sz val="11"/>
        <color theme="1"/>
        <rFont val="Calibri"/>
        <family val="2"/>
        <scheme val="minor"/>
      </rPr>
      <t>(metric tons)</t>
    </r>
  </si>
  <si>
    <r>
      <t>Change in NO</t>
    </r>
    <r>
      <rPr>
        <vertAlign val="subscript"/>
        <sz val="11"/>
        <color theme="1"/>
        <rFont val="Calibri"/>
        <family val="2"/>
        <scheme val="minor"/>
      </rPr>
      <t>x</t>
    </r>
    <r>
      <rPr>
        <sz val="11"/>
        <color theme="1"/>
        <rFont val="Calibri"/>
        <family val="2"/>
        <scheme val="minor"/>
      </rPr>
      <t xml:space="preserve"> (metric tons)</t>
    </r>
  </si>
  <si>
    <r>
      <t>Change in SO</t>
    </r>
    <r>
      <rPr>
        <vertAlign val="subscript"/>
        <sz val="11"/>
        <color theme="1"/>
        <rFont val="Calibri"/>
        <family val="2"/>
        <scheme val="minor"/>
      </rPr>
      <t>2</t>
    </r>
    <r>
      <rPr>
        <sz val="11"/>
        <color theme="1"/>
        <rFont val="Calibri"/>
        <family val="2"/>
        <scheme val="minor"/>
      </rPr>
      <t xml:space="preserve">
(metric tons)</t>
    </r>
  </si>
  <si>
    <r>
      <t>Change in PM</t>
    </r>
    <r>
      <rPr>
        <vertAlign val="subscript"/>
        <sz val="11"/>
        <color theme="1"/>
        <rFont val="Calibri"/>
        <family val="2"/>
        <scheme val="minor"/>
      </rPr>
      <t>2.5</t>
    </r>
    <r>
      <rPr>
        <sz val="11"/>
        <color theme="1"/>
        <rFont val="Calibri"/>
        <family val="2"/>
        <scheme val="minor"/>
      </rPr>
      <t xml:space="preserve">
(metric tons)</t>
    </r>
  </si>
  <si>
    <r>
      <t>Change in NO</t>
    </r>
    <r>
      <rPr>
        <vertAlign val="subscript"/>
        <sz val="11"/>
        <color theme="1"/>
        <rFont val="Calibri"/>
        <family val="2"/>
        <scheme val="minor"/>
      </rPr>
      <t>x</t>
    </r>
    <r>
      <rPr>
        <sz val="11"/>
        <color theme="1"/>
        <rFont val="Calibri"/>
        <family val="2"/>
        <scheme val="minor"/>
      </rPr>
      <t xml:space="preserve"> ($)</t>
    </r>
  </si>
  <si>
    <r>
      <t>Change in SO</t>
    </r>
    <r>
      <rPr>
        <vertAlign val="subscript"/>
        <sz val="11"/>
        <color theme="1"/>
        <rFont val="Calibri"/>
        <family val="2"/>
        <scheme val="minor"/>
      </rPr>
      <t xml:space="preserve">2 </t>
    </r>
    <r>
      <rPr>
        <sz val="11"/>
        <color theme="1"/>
        <rFont val="Calibri"/>
        <family val="2"/>
        <scheme val="minor"/>
      </rPr>
      <t>($)</t>
    </r>
  </si>
  <si>
    <r>
      <t>Change in PM</t>
    </r>
    <r>
      <rPr>
        <vertAlign val="subscript"/>
        <sz val="11"/>
        <color theme="1"/>
        <rFont val="Calibri"/>
        <family val="2"/>
        <scheme val="minor"/>
      </rPr>
      <t xml:space="preserve">2.5 </t>
    </r>
    <r>
      <rPr>
        <sz val="11"/>
        <color theme="1"/>
        <rFont val="Calibri"/>
        <family val="2"/>
        <scheme val="minor"/>
      </rPr>
      <t>($)</t>
    </r>
  </si>
  <si>
    <t>Table 5 - No-Build Crashes on BIA 6</t>
  </si>
  <si>
    <t>Table 6 - Build Crashes on BIA 6</t>
  </si>
  <si>
    <t>Table 8 - Annual Crash Calculations for Build &amp; No-Build</t>
  </si>
  <si>
    <t>Table 5 - Operation &amp; Maintenance/Rehab Costs No-Build</t>
  </si>
  <si>
    <t>Route Length (mi)</t>
  </si>
  <si>
    <t>Travel Time (min)</t>
  </si>
  <si>
    <t>% of Veh on Route*</t>
  </si>
  <si>
    <t>*The table above shows the assumed percentage breakdown of how vehicles would route if this project is completed. These assumptions are based on existing travel times and travel patterns. Route lengths were obtained from Google Earth. Existing travel time along the routes were obtained from Google Maps.</t>
  </si>
  <si>
    <t>**Refer to hyperlinks in the "Google Maps" column of the table above to view assumed routes, travel times and lengths under these links or in "Routes Tab" of this BCA Workbook.</t>
  </si>
  <si>
    <t>*The table above shows the assumed percentage breakdown of how vehicles would reroute after the conversion of BIA 6 to a gravel roadway. Route lengths were obtained from Google Earth. Existing travel time along the routes were obtained from Google Maps and additional travel time due to conversion of BIA 6 to a gravel roadway is shown in Table 4.</t>
  </si>
  <si>
    <t>Google Maps**</t>
  </si>
  <si>
    <t>Total change in emissions was valued in accordance with the Benefit Cost Analysis Guidance for Discretionary Grant Programs, dated January 2023.</t>
  </si>
  <si>
    <t>Expected number of crashes in year 2022 were calculated by multiplying the base year crashes by the percent change in traffic volumes between the base year (this analysis assumed 2022 being the center of the crash analysis period due to available AADT data) and forecast year 2039. Forecast year crashes by severity and crash costs were calculated for the No Build and Build.</t>
  </si>
  <si>
    <t>ECONOMIC COMPETITIVENESS - USER BENEFIT CALCULATION OF REGIONAL TRAVEL TIME CHANGE ASSOCIATED WITH CONSTRUCTION ON BIA 6</t>
  </si>
  <si>
    <t>STATE OF GOOD REPAIR - CAPITAL COST AND RESIDUAL PROJECT VALUE</t>
  </si>
  <si>
    <t>STATE OF GOOD REPAIR - OPERATION MAINTENANCE/REHAB</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</si>
</sst>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6" formatCode="&quot;$&quot;#,##0_);[Red]\(&quot;$&quot;#,##0\)"/>
    <numFmt numFmtId="44" formatCode="_(&quot;$&quot;* #,##0.00_);_(&quot;$&quot;* \(#,##0.00\);_(&quot;$&quot;* &quot;-&quot;??_);_(@_)"/>
    <numFmt numFmtId="43" formatCode="_(* #,##0.00_);_(* \(#,##0.00\);_(* &quot;-&quot;??_);_(@_)"/>
    <numFmt numFmtId="164" formatCode="&quot;$&quot;#,##0"/>
    <numFmt numFmtId="165" formatCode="&quot;$&quot;#,##0\ ;\(&quot;$&quot;#,##0\)"/>
    <numFmt numFmtId="166" formatCode="0.00000"/>
    <numFmt numFmtId="167" formatCode="#,##0_);\(#,##0_)"/>
    <numFmt numFmtId="168" formatCode="_(* #,##0_);_(* \(#,##0\);_(* &quot;-&quot;??_);_(@_)"/>
    <numFmt numFmtId="169" formatCode="&quot;$&quot;#,##0.00"/>
    <numFmt numFmtId="170" formatCode="0.0%"/>
    <numFmt numFmtId="171" formatCode="0.0"/>
    <numFmt numFmtId="172" formatCode="_(&quot;$&quot;* #,##0_);_(&quot;$&quot;* \(#,##0\);_(&quot;$&quot;* &quot;-&quot;??_);_(@_)"/>
    <numFmt numFmtId="173" formatCode="#,##0.000"/>
    <numFmt numFmtId="174" formatCode="0.0000"/>
    <numFmt numFmtId="175" formatCode="0.0E+00"/>
    <numFmt numFmtId="176" formatCode="0.000"/>
  </numFmts>
  <fonts count="31" x14ac:knownFonts="1">
    <font>
      <sz val="11"/>
      <color theme="1"/>
      <name val="Calibri"/>
      <family val="2"/>
      <scheme val="minor"/>
    </font>
    <font>
      <sz val="11"/>
      <color theme="1"/>
      <name val="Calibri"/>
      <family val="2"/>
      <scheme val="minor"/>
    </font>
    <font>
      <sz val="9"/>
      <color theme="1"/>
      <name val="Calibri"/>
      <family val="2"/>
      <scheme val="minor"/>
    </font>
    <font>
      <b/>
      <sz val="11"/>
      <color theme="1"/>
      <name val="Calibri"/>
      <family val="2"/>
      <scheme val="minor"/>
    </font>
    <font>
      <sz val="11"/>
      <name val="Calibri"/>
      <family val="2"/>
      <scheme val="minor"/>
    </font>
    <font>
      <sz val="10"/>
      <name val="Arial"/>
      <family val="2"/>
    </font>
    <font>
      <sz val="11"/>
      <color theme="0" tint="-0.249977111117893"/>
      <name val="Calibri"/>
      <family val="2"/>
      <scheme val="minor"/>
    </font>
    <font>
      <sz val="11"/>
      <name val="Arial Narrow"/>
      <family val="2"/>
    </font>
    <font>
      <b/>
      <sz val="11"/>
      <name val="Calibri"/>
      <family val="2"/>
      <scheme val="minor"/>
    </font>
    <font>
      <b/>
      <sz val="18"/>
      <color theme="1"/>
      <name val="Calibri"/>
      <family val="2"/>
      <scheme val="minor"/>
    </font>
    <font>
      <b/>
      <sz val="11"/>
      <color rgb="FFFF0000"/>
      <name val="Calibri"/>
      <family val="2"/>
      <scheme val="minor"/>
    </font>
    <font>
      <u/>
      <sz val="11"/>
      <color theme="10"/>
      <name val="Calibri"/>
      <family val="2"/>
      <scheme val="minor"/>
    </font>
    <font>
      <sz val="11"/>
      <color theme="0" tint="-0.499984740745262"/>
      <name val="Calibri"/>
      <family val="2"/>
      <scheme val="minor"/>
    </font>
    <font>
      <sz val="10"/>
      <name val="Arial"/>
      <family val="2"/>
    </font>
    <font>
      <sz val="8"/>
      <name val="Calibri"/>
      <family val="2"/>
      <scheme val="minor"/>
    </font>
    <font>
      <u/>
      <sz val="10"/>
      <color indexed="12"/>
      <name val="Arial"/>
      <family val="2"/>
    </font>
    <font>
      <sz val="9"/>
      <color theme="0" tint="-0.34998626667073579"/>
      <name val="Calibri"/>
      <family val="2"/>
      <scheme val="minor"/>
    </font>
    <font>
      <sz val="9"/>
      <color theme="0" tint="-0.499984740745262"/>
      <name val="Calibri"/>
      <family val="2"/>
      <scheme val="minor"/>
    </font>
    <font>
      <sz val="11"/>
      <color theme="0" tint="-0.34998626667073579"/>
      <name val="Calibri"/>
      <family val="2"/>
      <scheme val="minor"/>
    </font>
    <font>
      <sz val="11"/>
      <color rgb="FFFF0000"/>
      <name val="Calibri"/>
      <family val="2"/>
      <scheme val="minor"/>
    </font>
    <font>
      <b/>
      <sz val="20"/>
      <color theme="1"/>
      <name val="Calibri"/>
      <family val="2"/>
      <scheme val="minor"/>
    </font>
    <font>
      <sz val="11"/>
      <color theme="0" tint="-0.14999847407452621"/>
      <name val="Calibri"/>
      <family val="2"/>
      <scheme val="minor"/>
    </font>
    <font>
      <b/>
      <vertAlign val="subscript"/>
      <sz val="11"/>
      <color theme="1"/>
      <name val="Calibri"/>
      <family val="2"/>
      <scheme val="minor"/>
    </font>
    <font>
      <b/>
      <u/>
      <sz val="11"/>
      <color theme="1"/>
      <name val="Calibri"/>
      <family val="2"/>
      <scheme val="minor"/>
    </font>
    <font>
      <u/>
      <sz val="11"/>
      <color theme="1"/>
      <name val="Calibri"/>
      <family val="2"/>
      <scheme val="minor"/>
    </font>
    <font>
      <vertAlign val="subscript"/>
      <sz val="11"/>
      <color theme="1"/>
      <name val="Calibri"/>
      <family val="2"/>
      <scheme val="minor"/>
    </font>
    <font>
      <sz val="11"/>
      <name val="Arial"/>
      <family val="2"/>
    </font>
    <font>
      <b/>
      <sz val="16"/>
      <color theme="1"/>
      <name val="Calibri"/>
      <family val="2"/>
      <scheme val="minor"/>
    </font>
    <font>
      <sz val="11"/>
      <color theme="0"/>
      <name val="Calibri"/>
      <family val="2"/>
      <scheme val="minor"/>
    </font>
    <font>
      <b/>
      <i/>
      <sz val="11"/>
      <name val="Calibri"/>
      <family val="2"/>
      <scheme val="minor"/>
    </font>
    <font>
      <i/>
      <sz val="11"/>
      <name val="Calibri"/>
      <family val="2"/>
      <scheme val="minor"/>
    </font>
  </fonts>
  <fills count="12">
    <fill>
      <patternFill patternType="none"/>
    </fill>
    <fill>
      <patternFill patternType="gray125"/>
    </fill>
    <fill>
      <patternFill patternType="solid">
        <fgColor theme="0" tint="-0.249977111117893"/>
        <bgColor indexed="64"/>
      </patternFill>
    </fill>
    <fill>
      <patternFill patternType="solid">
        <fgColor theme="0" tint="-0.14999847407452621"/>
        <bgColor indexed="64"/>
      </patternFill>
    </fill>
    <fill>
      <patternFill patternType="solid">
        <fgColor theme="6" tint="0.79998168889431442"/>
        <bgColor indexed="64"/>
      </patternFill>
    </fill>
    <fill>
      <patternFill patternType="solid">
        <fgColor theme="9" tint="0.39997558519241921"/>
        <bgColor indexed="64"/>
      </patternFill>
    </fill>
    <fill>
      <patternFill patternType="solid">
        <fgColor theme="3" tint="0.59999389629810485"/>
        <bgColor indexed="64"/>
      </patternFill>
    </fill>
    <fill>
      <patternFill patternType="solid">
        <fgColor rgb="FFFFC000"/>
        <bgColor indexed="64"/>
      </patternFill>
    </fill>
    <fill>
      <patternFill patternType="solid">
        <fgColor theme="9" tint="0.79998168889431442"/>
        <bgColor indexed="64"/>
      </patternFill>
    </fill>
    <fill>
      <patternFill patternType="solid">
        <fgColor theme="3" tint="0.79998168889431442"/>
        <bgColor indexed="64"/>
      </patternFill>
    </fill>
    <fill>
      <patternFill patternType="solid">
        <fgColor theme="0" tint="-0.34998626667073579"/>
        <bgColor indexed="64"/>
      </patternFill>
    </fill>
    <fill>
      <patternFill patternType="solid">
        <fgColor theme="0" tint="-0.499984740745262"/>
        <bgColor indexed="64"/>
      </patternFill>
    </fill>
  </fills>
  <borders count="74">
    <border>
      <left/>
      <right/>
      <top/>
      <bottom/>
      <diagonal/>
    </border>
    <border>
      <left style="medium">
        <color indexed="64"/>
      </left>
      <right/>
      <top style="medium">
        <color indexed="64"/>
      </top>
      <bottom/>
      <diagonal/>
    </border>
    <border>
      <left/>
      <right/>
      <top style="medium">
        <color indexed="64"/>
      </top>
      <bottom/>
      <diagonal/>
    </border>
    <border>
      <left style="medium">
        <color indexed="64"/>
      </left>
      <right/>
      <top/>
      <bottom style="medium">
        <color indexed="64"/>
      </bottom>
      <diagonal/>
    </border>
    <border>
      <left/>
      <right/>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diagonal/>
    </border>
    <border>
      <left style="medium">
        <color indexed="64"/>
      </left>
      <right/>
      <top style="medium">
        <color indexed="64"/>
      </top>
      <bottom style="medium">
        <color indexed="64"/>
      </bottom>
      <diagonal/>
    </border>
    <border>
      <left style="thin">
        <color indexed="64"/>
      </left>
      <right style="medium">
        <color indexed="64"/>
      </right>
      <top style="thin">
        <color indexed="64"/>
      </top>
      <bottom style="double">
        <color indexed="64"/>
      </bottom>
      <diagonal/>
    </border>
    <border>
      <left style="medium">
        <color indexed="64"/>
      </left>
      <right/>
      <top style="thin">
        <color indexed="64"/>
      </top>
      <bottom style="double">
        <color indexed="64"/>
      </bottom>
      <diagonal/>
    </border>
    <border>
      <left style="medium">
        <color indexed="64"/>
      </left>
      <right/>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medium">
        <color indexed="64"/>
      </right>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top style="medium">
        <color indexed="64"/>
      </top>
      <bottom style="thin">
        <color indexed="64"/>
      </bottom>
      <diagonal/>
    </border>
    <border>
      <left/>
      <right/>
      <top style="medium">
        <color indexed="64"/>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
      <left/>
      <right style="thin">
        <color indexed="64"/>
      </right>
      <top style="thin">
        <color indexed="64"/>
      </top>
      <bottom style="thin">
        <color indexed="64"/>
      </bottom>
      <diagonal/>
    </border>
    <border>
      <left style="medium">
        <color indexed="64"/>
      </left>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style="thin">
        <color indexed="64"/>
      </top>
      <bottom/>
      <diagonal/>
    </border>
    <border>
      <left style="thin">
        <color indexed="64"/>
      </left>
      <right/>
      <top style="thin">
        <color indexed="64"/>
      </top>
      <bottom style="medium">
        <color indexed="64"/>
      </bottom>
      <diagonal/>
    </border>
    <border>
      <left style="thin">
        <color indexed="64"/>
      </left>
      <right/>
      <top style="medium">
        <color indexed="64"/>
      </top>
      <bottom/>
      <diagonal/>
    </border>
    <border>
      <left style="medium">
        <color indexed="64"/>
      </left>
      <right style="thin">
        <color indexed="64"/>
      </right>
      <top style="medium">
        <color indexed="64"/>
      </top>
      <bottom style="medium">
        <color indexed="64"/>
      </bottom>
      <diagonal/>
    </border>
    <border>
      <left style="thin">
        <color indexed="64"/>
      </left>
      <right/>
      <top/>
      <bottom style="medium">
        <color indexed="64"/>
      </bottom>
      <diagonal/>
    </border>
    <border>
      <left/>
      <right style="thin">
        <color indexed="64"/>
      </right>
      <top style="thin">
        <color indexed="64"/>
      </top>
      <bottom style="medium">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right style="medium">
        <color indexed="64"/>
      </right>
      <top style="medium">
        <color indexed="64"/>
      </top>
      <bottom/>
      <diagonal/>
    </border>
    <border>
      <left style="medium">
        <color indexed="64"/>
      </left>
      <right style="medium">
        <color indexed="64"/>
      </right>
      <top style="thin">
        <color indexed="64"/>
      </top>
      <bottom/>
      <diagonal/>
    </border>
    <border>
      <left style="medium">
        <color indexed="64"/>
      </left>
      <right style="medium">
        <color indexed="64"/>
      </right>
      <top/>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top/>
      <bottom/>
      <diagonal/>
    </border>
    <border>
      <left/>
      <right/>
      <top style="thin">
        <color indexed="64"/>
      </top>
      <bottom/>
      <diagonal/>
    </border>
    <border>
      <left/>
      <right/>
      <top/>
      <bottom style="double">
        <color indexed="64"/>
      </bottom>
      <diagonal/>
    </border>
    <border>
      <left/>
      <right style="thin">
        <color indexed="64"/>
      </right>
      <top/>
      <bottom/>
      <diagonal/>
    </border>
    <border>
      <left/>
      <right style="medium">
        <color indexed="64"/>
      </right>
      <top style="thin">
        <color indexed="64"/>
      </top>
      <bottom style="medium">
        <color indexed="64"/>
      </bottom>
      <diagonal/>
    </border>
    <border>
      <left style="thin">
        <color indexed="64"/>
      </left>
      <right/>
      <top/>
      <bottom style="thin">
        <color indexed="64"/>
      </bottom>
      <diagonal/>
    </border>
  </borders>
  <cellStyleXfs count="141">
    <xf numFmtId="0" fontId="0" fillId="0" borderId="0"/>
    <xf numFmtId="44" fontId="1" fillId="0" borderId="0" applyFont="0" applyFill="0" applyBorder="0" applyAlignment="0" applyProtection="0"/>
    <xf numFmtId="0" fontId="5" fillId="0" borderId="0"/>
    <xf numFmtId="0" fontId="5" fillId="0" borderId="0"/>
    <xf numFmtId="0" fontId="5" fillId="0" borderId="0"/>
    <xf numFmtId="0" fontId="5" fillId="0" borderId="0"/>
    <xf numFmtId="0" fontId="5" fillId="0" borderId="0"/>
    <xf numFmtId="43" fontId="5" fillId="0" borderId="0" applyFont="0" applyFill="0" applyBorder="0" applyAlignment="0" applyProtection="0"/>
    <xf numFmtId="3" fontId="5" fillId="0" borderId="0" applyFont="0" applyFill="0" applyBorder="0" applyAlignment="0" applyProtection="0"/>
    <xf numFmtId="165" fontId="5" fillId="0" borderId="0" applyFont="0" applyFill="0" applyBorder="0" applyAlignment="0" applyProtection="0"/>
    <xf numFmtId="0" fontId="5" fillId="0" borderId="0" applyFont="0" applyFill="0" applyBorder="0" applyAlignment="0" applyProtection="0"/>
    <xf numFmtId="2" fontId="5" fillId="0" borderId="0" applyFont="0" applyFill="0" applyBorder="0" applyAlignment="0" applyProtection="0"/>
    <xf numFmtId="0" fontId="1" fillId="0" borderId="0"/>
    <xf numFmtId="0" fontId="7" fillId="0" borderId="0"/>
    <xf numFmtId="9" fontId="1" fillId="0" borderId="0" applyFont="0" applyFill="0" applyBorder="0" applyAlignment="0" applyProtection="0"/>
    <xf numFmtId="9" fontId="5" fillId="0" borderId="0" applyFont="0" applyFill="0" applyBorder="0" applyAlignment="0" applyProtection="0"/>
    <xf numFmtId="44"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43" fontId="1" fillId="0" borderId="0" applyFont="0" applyFill="0" applyBorder="0" applyAlignment="0" applyProtection="0"/>
    <xf numFmtId="9" fontId="1" fillId="0" borderId="0" applyFont="0" applyFill="0" applyBorder="0" applyAlignment="0" applyProtection="0"/>
    <xf numFmtId="0" fontId="11" fillId="0" borderId="0" applyNumberFormat="0" applyFill="0" applyBorder="0" applyAlignment="0" applyProtection="0"/>
    <xf numFmtId="0" fontId="13" fillId="0" borderId="0"/>
    <xf numFmtId="0" fontId="15" fillId="0" borderId="0" applyNumberFormat="0" applyFill="0" applyBorder="0" applyAlignment="0" applyProtection="0">
      <alignment vertical="top"/>
      <protection locked="0"/>
    </xf>
  </cellStyleXfs>
  <cellXfs count="482">
    <xf numFmtId="0" fontId="0" fillId="0" borderId="0" xfId="0"/>
    <xf numFmtId="0" fontId="3" fillId="0" borderId="0" xfId="0" applyFont="1"/>
    <xf numFmtId="0" fontId="0" fillId="0" borderId="0" xfId="0" applyAlignment="1">
      <alignment horizontal="right"/>
    </xf>
    <xf numFmtId="0" fontId="0" fillId="0" borderId="0" xfId="0" applyAlignment="1">
      <alignment horizontal="center"/>
    </xf>
    <xf numFmtId="0" fontId="6" fillId="0" borderId="0" xfId="0" applyFont="1"/>
    <xf numFmtId="0" fontId="3" fillId="2" borderId="36" xfId="0" applyFont="1" applyFill="1" applyBorder="1"/>
    <xf numFmtId="0" fontId="3" fillId="2" borderId="35" xfId="0" applyFont="1" applyFill="1" applyBorder="1"/>
    <xf numFmtId="9" fontId="3" fillId="2" borderId="31" xfId="0" applyNumberFormat="1" applyFont="1" applyFill="1" applyBorder="1" applyAlignment="1">
      <alignment horizontal="center"/>
    </xf>
    <xf numFmtId="0" fontId="0" fillId="0" borderId="0" xfId="0" applyAlignment="1">
      <alignment vertical="top" wrapText="1"/>
    </xf>
    <xf numFmtId="0" fontId="9" fillId="0" borderId="0" xfId="0" applyFont="1"/>
    <xf numFmtId="0" fontId="10" fillId="0" borderId="0" xfId="0" applyFont="1" applyAlignment="1">
      <alignment horizontal="center"/>
    </xf>
    <xf numFmtId="0" fontId="4" fillId="0" borderId="0" xfId="0" applyFont="1" applyAlignment="1">
      <alignment horizontal="right"/>
    </xf>
    <xf numFmtId="0" fontId="8" fillId="0" borderId="0" xfId="0" applyFont="1" applyAlignment="1">
      <alignment horizontal="right"/>
    </xf>
    <xf numFmtId="0" fontId="4" fillId="0" borderId="0" xfId="2" applyFont="1" applyAlignment="1">
      <alignment horizontal="right"/>
    </xf>
    <xf numFmtId="0" fontId="4" fillId="0" borderId="0" xfId="2" applyFont="1" applyAlignment="1">
      <alignment vertical="top" wrapText="1"/>
    </xf>
    <xf numFmtId="0" fontId="0" fillId="0" borderId="0" xfId="0" applyAlignment="1">
      <alignment horizontal="left"/>
    </xf>
    <xf numFmtId="1" fontId="0" fillId="0" borderId="0" xfId="0" applyNumberFormat="1"/>
    <xf numFmtId="0" fontId="3" fillId="0" borderId="0" xfId="0" applyFont="1" applyAlignment="1">
      <alignment horizontal="right"/>
    </xf>
    <xf numFmtId="0" fontId="0" fillId="0" borderId="0" xfId="0" applyAlignment="1">
      <alignment wrapText="1"/>
    </xf>
    <xf numFmtId="0" fontId="3" fillId="0" borderId="26" xfId="0" applyFont="1" applyBorder="1" applyAlignment="1">
      <alignment horizontal="left"/>
    </xf>
    <xf numFmtId="6" fontId="0" fillId="0" borderId="0" xfId="0" applyNumberFormat="1"/>
    <xf numFmtId="2" fontId="0" fillId="0" borderId="25" xfId="137" applyNumberFormat="1" applyFont="1" applyFill="1" applyBorder="1" applyAlignment="1">
      <alignment horizontal="center"/>
    </xf>
    <xf numFmtId="169" fontId="0" fillId="0" borderId="25" xfId="1" applyNumberFormat="1" applyFont="1" applyFill="1" applyBorder="1" applyAlignment="1">
      <alignment horizontal="center"/>
    </xf>
    <xf numFmtId="0" fontId="3" fillId="2" borderId="48" xfId="0" applyFont="1" applyFill="1" applyBorder="1"/>
    <xf numFmtId="0" fontId="3" fillId="2" borderId="29" xfId="0" applyFont="1" applyFill="1" applyBorder="1"/>
    <xf numFmtId="0" fontId="0" fillId="0" borderId="25" xfId="0" applyBorder="1"/>
    <xf numFmtId="0" fontId="0" fillId="0" borderId="25" xfId="0" applyBorder="1" applyAlignment="1">
      <alignment horizontal="center"/>
    </xf>
    <xf numFmtId="0" fontId="0" fillId="0" borderId="25" xfId="0" applyBorder="1" applyAlignment="1">
      <alignment horizontal="left"/>
    </xf>
    <xf numFmtId="37" fontId="1" fillId="0" borderId="25" xfId="136" applyNumberFormat="1" applyFont="1" applyFill="1" applyBorder="1" applyAlignment="1">
      <alignment horizontal="center"/>
    </xf>
    <xf numFmtId="0" fontId="0" fillId="0" borderId="0" xfId="0" applyAlignment="1">
      <alignment horizontal="left" vertical="top" wrapText="1"/>
    </xf>
    <xf numFmtId="0" fontId="4" fillId="4" borderId="25" xfId="0" applyFont="1" applyFill="1" applyBorder="1" applyAlignment="1">
      <alignment horizontal="center"/>
    </xf>
    <xf numFmtId="164" fontId="0" fillId="0" borderId="25" xfId="0" applyNumberFormat="1" applyBorder="1" applyAlignment="1">
      <alignment horizontal="center"/>
    </xf>
    <xf numFmtId="6" fontId="2" fillId="0" borderId="0" xfId="0" applyNumberFormat="1" applyFont="1" applyAlignment="1">
      <alignment horizontal="right" indent="1"/>
    </xf>
    <xf numFmtId="168" fontId="0" fillId="0" borderId="0" xfId="136" applyNumberFormat="1" applyFont="1" applyBorder="1"/>
    <xf numFmtId="170" fontId="0" fillId="0" borderId="25" xfId="137" applyNumberFormat="1" applyFont="1" applyFill="1" applyBorder="1" applyAlignment="1">
      <alignment horizontal="center"/>
    </xf>
    <xf numFmtId="37" fontId="0" fillId="0" borderId="0" xfId="0" applyNumberFormat="1"/>
    <xf numFmtId="168" fontId="0" fillId="0" borderId="0" xfId="0" applyNumberFormat="1"/>
    <xf numFmtId="0" fontId="0" fillId="0" borderId="25" xfId="0" applyBorder="1" applyAlignment="1">
      <alignment horizontal="center" vertical="center"/>
    </xf>
    <xf numFmtId="0" fontId="3" fillId="0" borderId="0" xfId="0" applyFont="1" applyAlignment="1">
      <alignment horizontal="left"/>
    </xf>
    <xf numFmtId="0" fontId="3" fillId="0" borderId="25" xfId="0" applyFont="1" applyBorder="1" applyAlignment="1">
      <alignment horizontal="center"/>
    </xf>
    <xf numFmtId="0" fontId="8" fillId="0" borderId="0" xfId="2" applyFont="1" applyAlignment="1">
      <alignment horizontal="left"/>
    </xf>
    <xf numFmtId="0" fontId="3" fillId="0" borderId="33" xfId="0" applyFont="1" applyBorder="1" applyAlignment="1">
      <alignment horizontal="right"/>
    </xf>
    <xf numFmtId="0" fontId="0" fillId="0" borderId="21" xfId="0" applyBorder="1" applyAlignment="1">
      <alignment horizontal="center"/>
    </xf>
    <xf numFmtId="0" fontId="4" fillId="0" borderId="0" xfId="0" applyFont="1" applyAlignment="1">
      <alignment horizontal="left" vertical="top" wrapText="1"/>
    </xf>
    <xf numFmtId="0" fontId="0" fillId="0" borderId="47" xfId="0" applyBorder="1" applyAlignment="1">
      <alignment horizontal="center"/>
    </xf>
    <xf numFmtId="0" fontId="2" fillId="0" borderId="0" xfId="0" applyFont="1" applyAlignment="1">
      <alignment horizontal="center" vertical="center"/>
    </xf>
    <xf numFmtId="0" fontId="0" fillId="0" borderId="0" xfId="0" applyAlignment="1">
      <alignment horizontal="right" vertical="top"/>
    </xf>
    <xf numFmtId="0" fontId="4" fillId="0" borderId="0" xfId="0" applyFont="1" applyAlignment="1">
      <alignment vertical="top" wrapText="1"/>
    </xf>
    <xf numFmtId="0" fontId="4" fillId="0" borderId="0" xfId="2" applyFont="1" applyAlignment="1">
      <alignment horizontal="left" vertical="top" wrapText="1"/>
    </xf>
    <xf numFmtId="164" fontId="16" fillId="0" borderId="0" xfId="0" applyNumberFormat="1" applyFont="1" applyAlignment="1">
      <alignment horizontal="center"/>
    </xf>
    <xf numFmtId="0" fontId="0" fillId="4" borderId="25" xfId="0" applyFill="1" applyBorder="1" applyAlignment="1">
      <alignment horizontal="center"/>
    </xf>
    <xf numFmtId="0" fontId="12" fillId="0" borderId="0" xfId="0" applyFont="1" applyAlignment="1">
      <alignment horizontal="center" vertical="top"/>
    </xf>
    <xf numFmtId="43" fontId="17" fillId="0" borderId="0" xfId="136" applyFont="1" applyAlignment="1">
      <alignment horizontal="right" vertical="center"/>
    </xf>
    <xf numFmtId="164" fontId="18" fillId="0" borderId="0" xfId="0" applyNumberFormat="1" applyFont="1" applyAlignment="1">
      <alignment horizontal="center"/>
    </xf>
    <xf numFmtId="0" fontId="18" fillId="0" borderId="0" xfId="0" applyFont="1" applyAlignment="1">
      <alignment horizontal="center"/>
    </xf>
    <xf numFmtId="2" fontId="3" fillId="0" borderId="49" xfId="0" applyNumberFormat="1" applyFont="1" applyBorder="1" applyAlignment="1">
      <alignment horizontal="center"/>
    </xf>
    <xf numFmtId="0" fontId="19" fillId="0" borderId="0" xfId="0" applyFont="1"/>
    <xf numFmtId="0" fontId="2" fillId="0" borderId="25" xfId="0" applyFont="1" applyBorder="1" applyAlignment="1">
      <alignment horizontal="center"/>
    </xf>
    <xf numFmtId="2" fontId="2" fillId="0" borderId="25" xfId="0" applyNumberFormat="1" applyFont="1" applyBorder="1" applyAlignment="1">
      <alignment horizontal="center"/>
    </xf>
    <xf numFmtId="164" fontId="21" fillId="0" borderId="0" xfId="0" applyNumberFormat="1" applyFont="1"/>
    <xf numFmtId="0" fontId="0" fillId="0" borderId="26" xfId="0" applyBorder="1" applyAlignment="1">
      <alignment horizontal="center"/>
    </xf>
    <xf numFmtId="37" fontId="1" fillId="0" borderId="0" xfId="136" applyNumberFormat="1" applyFont="1" applyFill="1" applyBorder="1" applyAlignment="1">
      <alignment horizontal="center"/>
    </xf>
    <xf numFmtId="170" fontId="0" fillId="0" borderId="25" xfId="137" applyNumberFormat="1" applyFont="1" applyBorder="1" applyAlignment="1">
      <alignment horizontal="center"/>
    </xf>
    <xf numFmtId="169" fontId="0" fillId="0" borderId="0" xfId="0" applyNumberFormat="1" applyAlignment="1">
      <alignment horizontal="left"/>
    </xf>
    <xf numFmtId="0" fontId="3" fillId="0" borderId="25" xfId="0" applyFont="1" applyBorder="1"/>
    <xf numFmtId="0" fontId="3" fillId="0" borderId="25" xfId="0" applyFont="1" applyBorder="1" applyAlignment="1">
      <alignment horizontal="center" vertical="center"/>
    </xf>
    <xf numFmtId="0" fontId="4" fillId="0" borderId="0" xfId="0" applyFont="1" applyAlignment="1">
      <alignment horizontal="center"/>
    </xf>
    <xf numFmtId="0" fontId="8" fillId="0" borderId="0" xfId="0" applyFont="1" applyAlignment="1">
      <alignment horizontal="center"/>
    </xf>
    <xf numFmtId="0" fontId="4" fillId="0" borderId="0" xfId="0" applyFont="1" applyAlignment="1">
      <alignment horizontal="center" vertical="center"/>
    </xf>
    <xf numFmtId="0" fontId="3" fillId="0" borderId="0" xfId="0" applyFont="1" applyAlignment="1">
      <alignment horizontal="center" vertical="center" textRotation="90" wrapText="1"/>
    </xf>
    <xf numFmtId="0" fontId="10" fillId="0" borderId="0" xfId="0" applyFont="1"/>
    <xf numFmtId="168" fontId="0" fillId="0" borderId="45" xfId="136" applyNumberFormat="1" applyFont="1" applyBorder="1"/>
    <xf numFmtId="168" fontId="0" fillId="0" borderId="19" xfId="136" applyNumberFormat="1" applyFont="1" applyBorder="1"/>
    <xf numFmtId="168" fontId="0" fillId="0" borderId="29" xfId="136" applyNumberFormat="1" applyFont="1" applyBorder="1"/>
    <xf numFmtId="0" fontId="0" fillId="0" borderId="7" xfId="0" applyBorder="1"/>
    <xf numFmtId="0" fontId="0" fillId="0" borderId="9" xfId="0" applyBorder="1"/>
    <xf numFmtId="0" fontId="0" fillId="0" borderId="5" xfId="0" applyBorder="1"/>
    <xf numFmtId="168" fontId="0" fillId="0" borderId="28" xfId="136" applyNumberFormat="1" applyFont="1" applyBorder="1"/>
    <xf numFmtId="168" fontId="0" fillId="0" borderId="18" xfId="136" applyNumberFormat="1" applyFont="1" applyBorder="1"/>
    <xf numFmtId="2" fontId="0" fillId="0" borderId="25" xfId="0" applyNumberFormat="1" applyBorder="1"/>
    <xf numFmtId="2" fontId="0" fillId="0" borderId="44" xfId="0" applyNumberFormat="1" applyBorder="1"/>
    <xf numFmtId="2" fontId="0" fillId="0" borderId="45" xfId="0" applyNumberFormat="1" applyBorder="1"/>
    <xf numFmtId="2" fontId="0" fillId="0" borderId="29" xfId="0" applyNumberFormat="1" applyBorder="1"/>
    <xf numFmtId="175" fontId="0" fillId="0" borderId="0" xfId="0" applyNumberFormat="1"/>
    <xf numFmtId="0" fontId="3" fillId="0" borderId="13" xfId="0" applyFont="1" applyBorder="1" applyAlignment="1">
      <alignment horizontal="center"/>
    </xf>
    <xf numFmtId="164" fontId="0" fillId="0" borderId="0" xfId="0" applyNumberFormat="1"/>
    <xf numFmtId="0" fontId="21" fillId="0" borderId="0" xfId="0" applyFont="1" applyAlignment="1">
      <alignment horizontal="right"/>
    </xf>
    <xf numFmtId="0" fontId="0" fillId="3" borderId="25" xfId="0" applyFill="1" applyBorder="1" applyAlignment="1">
      <alignment horizontal="center"/>
    </xf>
    <xf numFmtId="0" fontId="11" fillId="0" borderId="0" xfId="138"/>
    <xf numFmtId="9" fontId="0" fillId="0" borderId="25" xfId="137" applyFont="1" applyBorder="1" applyAlignment="1">
      <alignment horizontal="center"/>
    </xf>
    <xf numFmtId="170" fontId="0" fillId="0" borderId="0" xfId="137" applyNumberFormat="1" applyFont="1" applyBorder="1" applyAlignment="1">
      <alignment horizontal="center"/>
    </xf>
    <xf numFmtId="1" fontId="0" fillId="4" borderId="25" xfId="0" applyNumberFormat="1" applyFill="1" applyBorder="1" applyAlignment="1">
      <alignment horizontal="center"/>
    </xf>
    <xf numFmtId="6" fontId="2" fillId="0" borderId="19" xfId="0" applyNumberFormat="1" applyFont="1" applyBorder="1" applyAlignment="1">
      <alignment horizontal="right" indent="1"/>
    </xf>
    <xf numFmtId="6" fontId="2" fillId="0" borderId="20" xfId="0" applyNumberFormat="1" applyFont="1" applyBorder="1" applyAlignment="1">
      <alignment horizontal="right" indent="1"/>
    </xf>
    <xf numFmtId="2" fontId="0" fillId="3" borderId="25" xfId="0" applyNumberFormat="1" applyFill="1" applyBorder="1"/>
    <xf numFmtId="9" fontId="0" fillId="0" borderId="0" xfId="137" applyFont="1" applyBorder="1" applyAlignment="1">
      <alignment horizontal="center"/>
    </xf>
    <xf numFmtId="168" fontId="0" fillId="0" borderId="51" xfId="136" applyNumberFormat="1" applyFont="1" applyBorder="1"/>
    <xf numFmtId="168" fontId="0" fillId="0" borderId="41" xfId="136" applyNumberFormat="1" applyFont="1" applyBorder="1"/>
    <xf numFmtId="0" fontId="0" fillId="0" borderId="52" xfId="0" applyBorder="1" applyAlignment="1">
      <alignment horizontal="center" vertical="center"/>
    </xf>
    <xf numFmtId="168" fontId="0" fillId="0" borderId="55" xfId="136" applyNumberFormat="1" applyFont="1" applyBorder="1"/>
    <xf numFmtId="172" fontId="0" fillId="0" borderId="20" xfId="1" applyNumberFormat="1" applyFont="1" applyBorder="1"/>
    <xf numFmtId="168" fontId="0" fillId="0" borderId="44" xfId="136" applyNumberFormat="1" applyFont="1" applyBorder="1"/>
    <xf numFmtId="168" fontId="0" fillId="0" borderId="47" xfId="136" applyNumberFormat="1" applyFont="1" applyBorder="1"/>
    <xf numFmtId="172" fontId="0" fillId="0" borderId="19" xfId="1" applyNumberFormat="1" applyFont="1" applyBorder="1"/>
    <xf numFmtId="168" fontId="0" fillId="0" borderId="25" xfId="136" applyNumberFormat="1" applyFont="1" applyBorder="1"/>
    <xf numFmtId="168" fontId="0" fillId="0" borderId="56" xfId="136" applyNumberFormat="1" applyFont="1" applyBorder="1"/>
    <xf numFmtId="172" fontId="0" fillId="0" borderId="18" xfId="1" applyNumberFormat="1" applyFont="1" applyBorder="1"/>
    <xf numFmtId="168" fontId="0" fillId="0" borderId="43" xfId="136" applyNumberFormat="1" applyFont="1" applyBorder="1"/>
    <xf numFmtId="0" fontId="0" fillId="0" borderId="46" xfId="0" applyBorder="1" applyAlignment="1">
      <alignment horizontal="center" vertical="center"/>
    </xf>
    <xf numFmtId="44" fontId="2" fillId="0" borderId="25" xfId="1" applyFont="1" applyFill="1" applyBorder="1" applyAlignment="1">
      <alignment horizontal="center"/>
    </xf>
    <xf numFmtId="168" fontId="0" fillId="0" borderId="21" xfId="136" applyNumberFormat="1" applyFont="1" applyBorder="1"/>
    <xf numFmtId="0" fontId="0" fillId="0" borderId="1" xfId="0" applyBorder="1" applyAlignment="1">
      <alignment horizontal="center" vertical="center"/>
    </xf>
    <xf numFmtId="0" fontId="0" fillId="0" borderId="32" xfId="0" applyBorder="1" applyAlignment="1">
      <alignment horizontal="center" vertical="center"/>
    </xf>
    <xf numFmtId="0" fontId="0" fillId="0" borderId="16" xfId="0" applyBorder="1" applyAlignment="1">
      <alignment horizontal="center" vertical="center"/>
    </xf>
    <xf numFmtId="0" fontId="0" fillId="3" borderId="21" xfId="0" applyFill="1" applyBorder="1" applyAlignment="1">
      <alignment horizontal="center"/>
    </xf>
    <xf numFmtId="0" fontId="3" fillId="0" borderId="25" xfId="0" applyFont="1" applyBorder="1" applyAlignment="1">
      <alignment horizontal="center" wrapText="1"/>
    </xf>
    <xf numFmtId="2" fontId="0" fillId="7" borderId="25" xfId="0" applyNumberFormat="1" applyFill="1" applyBorder="1"/>
    <xf numFmtId="2" fontId="0" fillId="0" borderId="25" xfId="0" applyNumberFormat="1" applyBorder="1" applyAlignment="1">
      <alignment horizontal="center"/>
    </xf>
    <xf numFmtId="44" fontId="0" fillId="0" borderId="25" xfId="1" applyFont="1" applyBorder="1" applyAlignment="1">
      <alignment horizontal="center"/>
    </xf>
    <xf numFmtId="0" fontId="0" fillId="0" borderId="62" xfId="0" applyBorder="1"/>
    <xf numFmtId="2" fontId="0" fillId="0" borderId="62" xfId="0" applyNumberFormat="1" applyBorder="1"/>
    <xf numFmtId="2" fontId="0" fillId="7" borderId="62" xfId="0" applyNumberFormat="1" applyFill="1" applyBorder="1"/>
    <xf numFmtId="2" fontId="0" fillId="0" borderId="62" xfId="0" applyNumberFormat="1" applyBorder="1" applyAlignment="1">
      <alignment horizontal="center"/>
    </xf>
    <xf numFmtId="44" fontId="0" fillId="0" borderId="62" xfId="1" applyFont="1" applyBorder="1" applyAlignment="1">
      <alignment horizontal="center"/>
    </xf>
    <xf numFmtId="0" fontId="0" fillId="0" borderId="0" xfId="0" applyAlignment="1">
      <alignment horizontal="center" vertical="center"/>
    </xf>
    <xf numFmtId="0" fontId="3" fillId="0" borderId="28" xfId="0" applyFont="1" applyBorder="1"/>
    <xf numFmtId="0" fontId="3" fillId="0" borderId="2" xfId="0" applyFont="1" applyBorder="1"/>
    <xf numFmtId="2" fontId="3" fillId="0" borderId="43" xfId="0" applyNumberFormat="1" applyFont="1" applyBorder="1"/>
    <xf numFmtId="2" fontId="3" fillId="7" borderId="43" xfId="0" applyNumberFormat="1" applyFont="1" applyFill="1" applyBorder="1"/>
    <xf numFmtId="2" fontId="3" fillId="0" borderId="43" xfId="0" applyNumberFormat="1" applyFont="1" applyBorder="1" applyAlignment="1">
      <alignment horizontal="center"/>
    </xf>
    <xf numFmtId="44" fontId="3" fillId="0" borderId="18" xfId="1" applyFont="1" applyBorder="1" applyAlignment="1">
      <alignment horizontal="center"/>
    </xf>
    <xf numFmtId="0" fontId="3" fillId="0" borderId="29" xfId="0" applyFont="1" applyBorder="1"/>
    <xf numFmtId="0" fontId="3" fillId="0" borderId="4" xfId="0" applyFont="1" applyBorder="1"/>
    <xf numFmtId="2" fontId="3" fillId="0" borderId="44" xfId="0" applyNumberFormat="1" applyFont="1" applyBorder="1"/>
    <xf numFmtId="2" fontId="3" fillId="7" borderId="44" xfId="0" applyNumberFormat="1" applyFont="1" applyFill="1" applyBorder="1"/>
    <xf numFmtId="2" fontId="3" fillId="0" borderId="44" xfId="0" applyNumberFormat="1" applyFont="1" applyBorder="1" applyAlignment="1">
      <alignment horizontal="center"/>
    </xf>
    <xf numFmtId="44" fontId="3" fillId="0" borderId="20" xfId="1" applyFont="1" applyBorder="1" applyAlignment="1">
      <alignment horizontal="center"/>
    </xf>
    <xf numFmtId="9" fontId="0" fillId="0" borderId="0" xfId="0" applyNumberFormat="1"/>
    <xf numFmtId="0" fontId="4" fillId="0" borderId="0" xfId="0" applyFont="1"/>
    <xf numFmtId="0" fontId="8" fillId="0" borderId="0" xfId="0" applyFont="1"/>
    <xf numFmtId="44" fontId="4" fillId="0" borderId="0" xfId="1" applyFont="1" applyFill="1"/>
    <xf numFmtId="176" fontId="3" fillId="0" borderId="43" xfId="0" applyNumberFormat="1" applyFont="1" applyBorder="1"/>
    <xf numFmtId="176" fontId="3" fillId="0" borderId="44" xfId="0" applyNumberFormat="1" applyFont="1" applyBorder="1"/>
    <xf numFmtId="1" fontId="3" fillId="0" borderId="43" xfId="0" applyNumberFormat="1" applyFont="1" applyBorder="1"/>
    <xf numFmtId="1" fontId="3" fillId="0" borderId="44" xfId="0" applyNumberFormat="1" applyFont="1" applyBorder="1"/>
    <xf numFmtId="1" fontId="0" fillId="0" borderId="25" xfId="0" applyNumberFormat="1" applyBorder="1" applyAlignment="1">
      <alignment horizontal="center"/>
    </xf>
    <xf numFmtId="168" fontId="0" fillId="0" borderId="25" xfId="136" applyNumberFormat="1" applyFont="1" applyBorder="1" applyAlignment="1">
      <alignment horizontal="right"/>
    </xf>
    <xf numFmtId="43" fontId="0" fillId="0" borderId="25" xfId="136" applyFont="1" applyBorder="1" applyAlignment="1">
      <alignment horizontal="right"/>
    </xf>
    <xf numFmtId="168" fontId="0" fillId="0" borderId="0" xfId="136" applyNumberFormat="1" applyFont="1"/>
    <xf numFmtId="2" fontId="0" fillId="3" borderId="25" xfId="0" applyNumberFormat="1" applyFill="1" applyBorder="1" applyAlignment="1">
      <alignment horizontal="center" vertical="center"/>
    </xf>
    <xf numFmtId="0" fontId="3" fillId="0" borderId="0" xfId="0" applyFont="1" applyAlignment="1">
      <alignment horizontal="center"/>
    </xf>
    <xf numFmtId="0" fontId="3" fillId="0" borderId="45" xfId="0" applyFont="1" applyBorder="1" applyAlignment="1">
      <alignment horizontal="center"/>
    </xf>
    <xf numFmtId="0" fontId="3" fillId="0" borderId="19" xfId="0" applyFont="1" applyBorder="1" applyAlignment="1">
      <alignment horizontal="center"/>
    </xf>
    <xf numFmtId="0" fontId="0" fillId="0" borderId="14" xfId="0" applyBorder="1" applyAlignment="1">
      <alignment horizontal="center"/>
    </xf>
    <xf numFmtId="0" fontId="0" fillId="0" borderId="15" xfId="0" applyBorder="1" applyAlignment="1">
      <alignment horizontal="center"/>
    </xf>
    <xf numFmtId="170" fontId="0" fillId="0" borderId="26" xfId="137" applyNumberFormat="1" applyFont="1" applyBorder="1" applyAlignment="1"/>
    <xf numFmtId="170" fontId="0" fillId="0" borderId="0" xfId="137" applyNumberFormat="1" applyFont="1" applyBorder="1" applyAlignment="1"/>
    <xf numFmtId="171" fontId="0" fillId="0" borderId="25" xfId="0" applyNumberFormat="1" applyBorder="1" applyAlignment="1">
      <alignment horizontal="center"/>
    </xf>
    <xf numFmtId="0" fontId="11" fillId="0" borderId="0" xfId="138" applyAlignment="1">
      <alignment horizontal="left"/>
    </xf>
    <xf numFmtId="9" fontId="0" fillId="0" borderId="0" xfId="137" applyFont="1" applyBorder="1"/>
    <xf numFmtId="0" fontId="23" fillId="0" borderId="0" xfId="0" applyFont="1"/>
    <xf numFmtId="14" fontId="0" fillId="0" borderId="0" xfId="0" applyNumberFormat="1"/>
    <xf numFmtId="22" fontId="0" fillId="0" borderId="0" xfId="0" applyNumberFormat="1"/>
    <xf numFmtId="3" fontId="0" fillId="0" borderId="0" xfId="0" applyNumberFormat="1"/>
    <xf numFmtId="14" fontId="0" fillId="0" borderId="25" xfId="0" applyNumberFormat="1" applyBorder="1"/>
    <xf numFmtId="22" fontId="0" fillId="0" borderId="25" xfId="0" applyNumberFormat="1" applyBorder="1"/>
    <xf numFmtId="3" fontId="0" fillId="0" borderId="25" xfId="0" applyNumberFormat="1" applyBorder="1"/>
    <xf numFmtId="0" fontId="0" fillId="0" borderId="70" xfId="0" applyBorder="1"/>
    <xf numFmtId="39" fontId="1" fillId="0" borderId="25" xfId="136" applyNumberFormat="1" applyFont="1" applyFill="1" applyBorder="1" applyAlignment="1">
      <alignment horizontal="center"/>
    </xf>
    <xf numFmtId="0" fontId="0" fillId="0" borderId="9" xfId="0" applyBorder="1" applyAlignment="1">
      <alignment horizontal="center"/>
    </xf>
    <xf numFmtId="0" fontId="0" fillId="0" borderId="5" xfId="0" applyBorder="1" applyAlignment="1">
      <alignment horizontal="center"/>
    </xf>
    <xf numFmtId="2" fontId="3" fillId="0" borderId="0" xfId="0" applyNumberFormat="1" applyFont="1"/>
    <xf numFmtId="0" fontId="4" fillId="0" borderId="0" xfId="2" applyFont="1" applyAlignment="1">
      <alignment horizontal="left"/>
    </xf>
    <xf numFmtId="0" fontId="4" fillId="0" borderId="0" xfId="2" applyFont="1"/>
    <xf numFmtId="170" fontId="0" fillId="8" borderId="25" xfId="137" applyNumberFormat="1" applyFont="1" applyFill="1" applyBorder="1" applyAlignment="1">
      <alignment horizontal="center" vertical="center"/>
    </xf>
    <xf numFmtId="171" fontId="0" fillId="8" borderId="25" xfId="0" applyNumberFormat="1" applyFill="1" applyBorder="1" applyAlignment="1">
      <alignment horizontal="left"/>
    </xf>
    <xf numFmtId="6" fontId="0" fillId="0" borderId="12" xfId="0" applyNumberFormat="1" applyBorder="1" applyAlignment="1">
      <alignment horizontal="right" indent="1"/>
    </xf>
    <xf numFmtId="6" fontId="3" fillId="0" borderId="0" xfId="0" applyNumberFormat="1" applyFont="1"/>
    <xf numFmtId="6" fontId="0" fillId="0" borderId="15" xfId="136" applyNumberFormat="1" applyFont="1" applyFill="1" applyBorder="1" applyAlignment="1">
      <alignment horizontal="right"/>
    </xf>
    <xf numFmtId="6" fontId="0" fillId="0" borderId="10" xfId="136" applyNumberFormat="1" applyFont="1" applyFill="1" applyBorder="1" applyAlignment="1">
      <alignment horizontal="right"/>
    </xf>
    <xf numFmtId="6" fontId="0" fillId="0" borderId="20" xfId="136" applyNumberFormat="1" applyFont="1" applyFill="1" applyBorder="1" applyAlignment="1">
      <alignment horizontal="right"/>
    </xf>
    <xf numFmtId="6" fontId="0" fillId="0" borderId="17" xfId="136" applyNumberFormat="1" applyFont="1" applyFill="1" applyBorder="1" applyAlignment="1">
      <alignment horizontal="right"/>
    </xf>
    <xf numFmtId="37" fontId="0" fillId="0" borderId="29" xfId="136" applyNumberFormat="1" applyFont="1" applyFill="1" applyBorder="1" applyAlignment="1">
      <alignment horizontal="right"/>
    </xf>
    <xf numFmtId="6" fontId="0" fillId="0" borderId="14" xfId="136" applyNumberFormat="1" applyFont="1" applyFill="1" applyBorder="1" applyAlignment="1">
      <alignment horizontal="right"/>
    </xf>
    <xf numFmtId="6" fontId="0" fillId="0" borderId="8" xfId="136" applyNumberFormat="1" applyFont="1" applyFill="1" applyBorder="1" applyAlignment="1">
      <alignment horizontal="right"/>
    </xf>
    <xf numFmtId="6" fontId="0" fillId="0" borderId="19" xfId="136" applyNumberFormat="1" applyFont="1" applyFill="1" applyBorder="1" applyAlignment="1">
      <alignment horizontal="right"/>
    </xf>
    <xf numFmtId="37" fontId="0" fillId="0" borderId="45" xfId="136" applyNumberFormat="1" applyFont="1" applyFill="1" applyBorder="1" applyAlignment="1">
      <alignment horizontal="right"/>
    </xf>
    <xf numFmtId="0" fontId="0" fillId="0" borderId="7" xfId="0" applyBorder="1" applyAlignment="1">
      <alignment horizontal="center"/>
    </xf>
    <xf numFmtId="6" fontId="0" fillId="0" borderId="13" xfId="136" applyNumberFormat="1" applyFont="1" applyFill="1" applyBorder="1" applyAlignment="1">
      <alignment horizontal="right"/>
    </xf>
    <xf numFmtId="6" fontId="0" fillId="0" borderId="6" xfId="136" applyNumberFormat="1" applyFont="1" applyFill="1" applyBorder="1" applyAlignment="1">
      <alignment horizontal="right"/>
    </xf>
    <xf numFmtId="6" fontId="0" fillId="0" borderId="38" xfId="136" applyNumberFormat="1" applyFont="1" applyFill="1" applyBorder="1" applyAlignment="1">
      <alignment horizontal="right"/>
    </xf>
    <xf numFmtId="37" fontId="0" fillId="0" borderId="37" xfId="136" applyNumberFormat="1" applyFont="1" applyFill="1" applyBorder="1" applyAlignment="1">
      <alignment horizontal="right"/>
    </xf>
    <xf numFmtId="0" fontId="0" fillId="3" borderId="25" xfId="0" applyFill="1" applyBorder="1" applyAlignment="1">
      <alignment horizontal="left"/>
    </xf>
    <xf numFmtId="6" fontId="2" fillId="0" borderId="0" xfId="0" applyNumberFormat="1" applyFont="1"/>
    <xf numFmtId="0" fontId="0" fillId="10" borderId="25" xfId="0" applyFill="1" applyBorder="1" applyAlignment="1">
      <alignment horizontal="left"/>
    </xf>
    <xf numFmtId="168" fontId="0" fillId="10" borderId="25" xfId="136" applyNumberFormat="1" applyFont="1" applyFill="1" applyBorder="1" applyAlignment="1">
      <alignment horizontal="right"/>
    </xf>
    <xf numFmtId="168" fontId="0" fillId="10" borderId="25" xfId="136" applyNumberFormat="1" applyFont="1" applyFill="1" applyBorder="1" applyAlignment="1">
      <alignment horizontal="center"/>
    </xf>
    <xf numFmtId="0" fontId="0" fillId="10" borderId="25" xfId="0" applyFill="1" applyBorder="1" applyAlignment="1">
      <alignment horizontal="center"/>
    </xf>
    <xf numFmtId="170" fontId="0" fillId="9" borderId="25" xfId="137" applyNumberFormat="1" applyFont="1" applyFill="1" applyBorder="1" applyAlignment="1">
      <alignment horizontal="left" vertical="center"/>
    </xf>
    <xf numFmtId="0" fontId="0" fillId="5" borderId="25" xfId="0" applyFill="1" applyBorder="1" applyAlignment="1">
      <alignment horizontal="left"/>
    </xf>
    <xf numFmtId="2" fontId="0" fillId="6" borderId="25" xfId="0" applyNumberFormat="1" applyFill="1" applyBorder="1"/>
    <xf numFmtId="2" fontId="0" fillId="6" borderId="25" xfId="0" applyNumberFormat="1" applyFill="1" applyBorder="1" applyAlignment="1">
      <alignment horizontal="right"/>
    </xf>
    <xf numFmtId="170" fontId="0" fillId="9" borderId="25" xfId="137" applyNumberFormat="1" applyFont="1" applyFill="1" applyBorder="1" applyAlignment="1">
      <alignment horizontal="center" vertical="center"/>
    </xf>
    <xf numFmtId="2" fontId="0" fillId="5" borderId="25" xfId="0" applyNumberFormat="1" applyFill="1" applyBorder="1" applyAlignment="1">
      <alignment horizontal="right"/>
    </xf>
    <xf numFmtId="0" fontId="8" fillId="0" borderId="25" xfId="0" applyFont="1" applyBorder="1" applyAlignment="1">
      <alignment horizontal="center"/>
    </xf>
    <xf numFmtId="2" fontId="0" fillId="4" borderId="25" xfId="137" applyNumberFormat="1" applyFont="1" applyFill="1" applyBorder="1" applyAlignment="1">
      <alignment horizontal="center"/>
    </xf>
    <xf numFmtId="0" fontId="4" fillId="0" borderId="25" xfId="0" applyFont="1" applyBorder="1" applyAlignment="1">
      <alignment horizontal="center"/>
    </xf>
    <xf numFmtId="170" fontId="4" fillId="0" borderId="25" xfId="137" applyNumberFormat="1" applyFont="1" applyFill="1" applyBorder="1" applyAlignment="1">
      <alignment horizontal="center"/>
    </xf>
    <xf numFmtId="168" fontId="0" fillId="0" borderId="20" xfId="136" applyNumberFormat="1" applyFont="1" applyBorder="1"/>
    <xf numFmtId="0" fontId="0" fillId="5" borderId="25" xfId="0" applyFill="1" applyBorder="1" applyAlignment="1">
      <alignment horizontal="center"/>
    </xf>
    <xf numFmtId="0" fontId="0" fillId="5" borderId="25" xfId="0" applyFill="1" applyBorder="1"/>
    <xf numFmtId="0" fontId="0" fillId="6" borderId="25" xfId="0" applyFill="1" applyBorder="1" applyAlignment="1">
      <alignment horizontal="center"/>
    </xf>
    <xf numFmtId="0" fontId="0" fillId="6" borderId="25" xfId="0" applyFill="1" applyBorder="1"/>
    <xf numFmtId="168" fontId="0" fillId="6" borderId="25" xfId="136" applyNumberFormat="1" applyFont="1" applyFill="1" applyBorder="1" applyAlignment="1">
      <alignment horizontal="right"/>
    </xf>
    <xf numFmtId="168" fontId="0" fillId="6" borderId="25" xfId="136" applyNumberFormat="1" applyFont="1" applyFill="1" applyBorder="1" applyAlignment="1">
      <alignment horizontal="center"/>
    </xf>
    <xf numFmtId="168" fontId="0" fillId="5" borderId="25" xfId="136" applyNumberFormat="1" applyFont="1" applyFill="1" applyBorder="1" applyAlignment="1">
      <alignment horizontal="center"/>
    </xf>
    <xf numFmtId="2" fontId="0" fillId="5" borderId="25" xfId="0" applyNumberFormat="1" applyFill="1" applyBorder="1"/>
    <xf numFmtId="168" fontId="0" fillId="5" borderId="25" xfId="136" applyNumberFormat="1" applyFont="1" applyFill="1" applyBorder="1" applyAlignment="1">
      <alignment horizontal="right"/>
    </xf>
    <xf numFmtId="44" fontId="0" fillId="0" borderId="0" xfId="1" applyFont="1" applyAlignment="1"/>
    <xf numFmtId="0" fontId="0" fillId="6" borderId="25" xfId="0" applyFill="1" applyBorder="1" applyAlignment="1">
      <alignment horizontal="left"/>
    </xf>
    <xf numFmtId="0" fontId="0" fillId="0" borderId="13" xfId="0" applyBorder="1" applyAlignment="1">
      <alignment horizontal="center" vertical="center" wrapText="1"/>
    </xf>
    <xf numFmtId="0" fontId="26" fillId="0" borderId="0" xfId="0" applyFont="1" applyAlignment="1">
      <alignment horizontal="right"/>
    </xf>
    <xf numFmtId="0" fontId="0" fillId="0" borderId="39" xfId="0" applyBorder="1" applyAlignment="1">
      <alignment horizontal="center"/>
    </xf>
    <xf numFmtId="49" fontId="0" fillId="0" borderId="14" xfId="0" applyNumberFormat="1" applyBorder="1" applyAlignment="1">
      <alignment horizontal="center"/>
    </xf>
    <xf numFmtId="0" fontId="0" fillId="0" borderId="25" xfId="0" applyBorder="1" applyAlignment="1">
      <alignment horizontal="right"/>
    </xf>
    <xf numFmtId="164" fontId="0" fillId="0" borderId="25" xfId="0" applyNumberFormat="1" applyBorder="1"/>
    <xf numFmtId="49" fontId="0" fillId="0" borderId="15" xfId="0" applyNumberFormat="1" applyBorder="1" applyAlignment="1">
      <alignment horizontal="center"/>
    </xf>
    <xf numFmtId="164" fontId="0" fillId="0" borderId="0" xfId="0" applyNumberFormat="1" applyAlignment="1">
      <alignment horizontal="center"/>
    </xf>
    <xf numFmtId="6" fontId="12" fillId="0" borderId="0" xfId="136" applyNumberFormat="1" applyFont="1" applyAlignment="1">
      <alignment horizontal="right" vertical="center"/>
    </xf>
    <xf numFmtId="0" fontId="0" fillId="0" borderId="0" xfId="0" applyAlignment="1">
      <alignment horizontal="center" vertical="center" wrapText="1"/>
    </xf>
    <xf numFmtId="0" fontId="3" fillId="0" borderId="25" xfId="0" applyFont="1" applyBorder="1" applyAlignment="1">
      <alignment horizontal="center" vertical="center" wrapText="1"/>
    </xf>
    <xf numFmtId="0" fontId="3" fillId="0" borderId="0" xfId="0" applyFont="1" applyAlignment="1">
      <alignment horizontal="center" vertical="center" wrapText="1"/>
    </xf>
    <xf numFmtId="164" fontId="0" fillId="0" borderId="0" xfId="0" applyNumberFormat="1" applyAlignment="1">
      <alignment horizontal="center" vertical="center"/>
    </xf>
    <xf numFmtId="44" fontId="0" fillId="0" borderId="25" xfId="1" applyFont="1" applyBorder="1"/>
    <xf numFmtId="1" fontId="0" fillId="0" borderId="25" xfId="0" applyNumberFormat="1" applyBorder="1" applyAlignment="1">
      <alignment horizontal="center" vertical="center"/>
    </xf>
    <xf numFmtId="164" fontId="0" fillId="4" borderId="25" xfId="0" applyNumberFormat="1" applyFill="1" applyBorder="1"/>
    <xf numFmtId="164" fontId="12" fillId="0" borderId="0" xfId="136" applyNumberFormat="1" applyFont="1" applyAlignment="1">
      <alignment horizontal="right" vertical="center"/>
    </xf>
    <xf numFmtId="164" fontId="3" fillId="0" borderId="25" xfId="0" applyNumberFormat="1" applyFont="1" applyBorder="1" applyAlignment="1">
      <alignment horizontal="center"/>
    </xf>
    <xf numFmtId="0" fontId="0" fillId="0" borderId="0" xfId="0" applyAlignment="1">
      <alignment horizontal="left" vertical="center"/>
    </xf>
    <xf numFmtId="0" fontId="0" fillId="0" borderId="25" xfId="0" applyBorder="1" applyAlignment="1">
      <alignment horizontal="left" vertical="center"/>
    </xf>
    <xf numFmtId="164" fontId="0" fillId="0" borderId="25" xfId="0" applyNumberFormat="1" applyBorder="1" applyAlignment="1">
      <alignment horizontal="right"/>
    </xf>
    <xf numFmtId="164" fontId="0" fillId="0" borderId="25" xfId="0" applyNumberFormat="1" applyBorder="1" applyAlignment="1">
      <alignment horizontal="left"/>
    </xf>
    <xf numFmtId="169" fontId="0" fillId="0" borderId="25" xfId="0" applyNumberFormat="1" applyBorder="1" applyAlignment="1">
      <alignment horizontal="center"/>
    </xf>
    <xf numFmtId="6" fontId="0" fillId="0" borderId="47" xfId="0" applyNumberFormat="1" applyBorder="1" applyAlignment="1">
      <alignment horizontal="right"/>
    </xf>
    <xf numFmtId="6" fontId="0" fillId="0" borderId="19" xfId="0" applyNumberFormat="1" applyBorder="1" applyAlignment="1">
      <alignment horizontal="right"/>
    </xf>
    <xf numFmtId="6" fontId="0" fillId="0" borderId="45" xfId="0" applyNumberFormat="1" applyBorder="1" applyAlignment="1">
      <alignment horizontal="right"/>
    </xf>
    <xf numFmtId="6" fontId="0" fillId="0" borderId="55" xfId="0" applyNumberFormat="1" applyBorder="1" applyAlignment="1">
      <alignment horizontal="right"/>
    </xf>
    <xf numFmtId="6" fontId="0" fillId="0" borderId="20" xfId="0" applyNumberFormat="1" applyBorder="1" applyAlignment="1">
      <alignment horizontal="right"/>
    </xf>
    <xf numFmtId="6" fontId="0" fillId="0" borderId="29" xfId="0" applyNumberFormat="1" applyBorder="1" applyAlignment="1">
      <alignment horizontal="right"/>
    </xf>
    <xf numFmtId="6" fontId="0" fillId="0" borderId="0" xfId="0" applyNumberFormat="1" applyAlignment="1">
      <alignment horizontal="right"/>
    </xf>
    <xf numFmtId="6" fontId="0" fillId="0" borderId="36" xfId="0" applyNumberFormat="1" applyBorder="1" applyAlignment="1">
      <alignment horizontal="right" vertical="center" wrapText="1"/>
    </xf>
    <xf numFmtId="164" fontId="0" fillId="0" borderId="38" xfId="0" applyNumberFormat="1" applyBorder="1" applyAlignment="1">
      <alignment horizontal="right"/>
    </xf>
    <xf numFmtId="164" fontId="0" fillId="0" borderId="47" xfId="0" applyNumberFormat="1" applyBorder="1" applyAlignment="1">
      <alignment horizontal="right"/>
    </xf>
    <xf numFmtId="164" fontId="0" fillId="0" borderId="19" xfId="0" applyNumberFormat="1" applyBorder="1" applyAlignment="1">
      <alignment horizontal="right"/>
    </xf>
    <xf numFmtId="6" fontId="0" fillId="0" borderId="3" xfId="0" applyNumberFormat="1" applyBorder="1" applyAlignment="1">
      <alignment horizontal="right" vertical="center" wrapText="1"/>
    </xf>
    <xf numFmtId="164" fontId="0" fillId="0" borderId="17" xfId="0" applyNumberFormat="1" applyBorder="1" applyAlignment="1">
      <alignment horizontal="right"/>
    </xf>
    <xf numFmtId="164" fontId="0" fillId="0" borderId="55" xfId="0" applyNumberFormat="1" applyBorder="1" applyAlignment="1">
      <alignment horizontal="right"/>
    </xf>
    <xf numFmtId="164" fontId="0" fillId="0" borderId="20" xfId="0" applyNumberFormat="1" applyBorder="1" applyAlignment="1">
      <alignment horizontal="right"/>
    </xf>
    <xf numFmtId="6" fontId="0" fillId="0" borderId="56" xfId="0" applyNumberFormat="1" applyBorder="1" applyAlignment="1">
      <alignment horizontal="right"/>
    </xf>
    <xf numFmtId="6" fontId="0" fillId="0" borderId="18" xfId="0" applyNumberFormat="1" applyBorder="1" applyAlignment="1">
      <alignment horizontal="right"/>
    </xf>
    <xf numFmtId="6" fontId="0" fillId="0" borderId="28" xfId="0" applyNumberFormat="1" applyBorder="1" applyAlignment="1">
      <alignment horizontal="right"/>
    </xf>
    <xf numFmtId="164" fontId="0" fillId="0" borderId="13" xfId="0" applyNumberFormat="1" applyBorder="1"/>
    <xf numFmtId="6" fontId="0" fillId="0" borderId="36" xfId="0" applyNumberFormat="1" applyBorder="1"/>
    <xf numFmtId="6" fontId="0" fillId="0" borderId="39" xfId="0" applyNumberFormat="1" applyBorder="1"/>
    <xf numFmtId="164" fontId="0" fillId="0" borderId="14" xfId="0" applyNumberFormat="1" applyBorder="1"/>
    <xf numFmtId="6" fontId="0" fillId="0" borderId="7" xfId="0" applyNumberFormat="1" applyBorder="1"/>
    <xf numFmtId="6" fontId="0" fillId="0" borderId="14" xfId="0" applyNumberFormat="1" applyBorder="1"/>
    <xf numFmtId="164" fontId="0" fillId="0" borderId="15" xfId="0" applyNumberFormat="1" applyBorder="1"/>
    <xf numFmtId="6" fontId="0" fillId="0" borderId="9" xfId="0" applyNumberFormat="1" applyBorder="1"/>
    <xf numFmtId="6" fontId="0" fillId="0" borderId="15" xfId="0" applyNumberFormat="1" applyBorder="1"/>
    <xf numFmtId="6" fontId="0" fillId="0" borderId="40" xfId="0" applyNumberFormat="1" applyBorder="1"/>
    <xf numFmtId="37" fontId="0" fillId="0" borderId="37" xfId="136" applyNumberFormat="1" applyFont="1" applyFill="1" applyBorder="1" applyAlignment="1"/>
    <xf numFmtId="6" fontId="0" fillId="0" borderId="38" xfId="136" applyNumberFormat="1" applyFont="1" applyFill="1" applyBorder="1" applyAlignment="1"/>
    <xf numFmtId="6" fontId="0" fillId="0" borderId="6" xfId="136" applyNumberFormat="1" applyFont="1" applyFill="1" applyBorder="1" applyAlignment="1"/>
    <xf numFmtId="6" fontId="0" fillId="0" borderId="13" xfId="136" applyNumberFormat="1" applyFont="1" applyFill="1" applyBorder="1" applyAlignment="1"/>
    <xf numFmtId="37" fontId="0" fillId="0" borderId="45" xfId="136" applyNumberFormat="1" applyFont="1" applyFill="1" applyBorder="1" applyAlignment="1"/>
    <xf numFmtId="6" fontId="0" fillId="0" borderId="19" xfId="136" applyNumberFormat="1" applyFont="1" applyFill="1" applyBorder="1" applyAlignment="1"/>
    <xf numFmtId="6" fontId="0" fillId="0" borderId="8" xfId="136" applyNumberFormat="1" applyFont="1" applyFill="1" applyBorder="1" applyAlignment="1"/>
    <xf numFmtId="6" fontId="0" fillId="0" borderId="14" xfId="136" applyNumberFormat="1" applyFont="1" applyFill="1" applyBorder="1" applyAlignment="1"/>
    <xf numFmtId="37" fontId="0" fillId="0" borderId="29" xfId="136" applyNumberFormat="1" applyFont="1" applyFill="1" applyBorder="1" applyAlignment="1"/>
    <xf numFmtId="6" fontId="0" fillId="0" borderId="17" xfId="136" applyNumberFormat="1" applyFont="1" applyFill="1" applyBorder="1" applyAlignment="1"/>
    <xf numFmtId="6" fontId="0" fillId="0" borderId="20" xfId="136" applyNumberFormat="1" applyFont="1" applyFill="1" applyBorder="1" applyAlignment="1"/>
    <xf numFmtId="6" fontId="0" fillId="0" borderId="10" xfId="136" applyNumberFormat="1" applyFont="1" applyFill="1" applyBorder="1" applyAlignment="1"/>
    <xf numFmtId="6" fontId="0" fillId="0" borderId="15" xfId="136" applyNumberFormat="1" applyFont="1" applyFill="1" applyBorder="1" applyAlignment="1"/>
    <xf numFmtId="6" fontId="0" fillId="0" borderId="12" xfId="0" applyNumberFormat="1" applyBorder="1"/>
    <xf numFmtId="0" fontId="27" fillId="0" borderId="0" xfId="0" applyFont="1"/>
    <xf numFmtId="6" fontId="3" fillId="0" borderId="0" xfId="0" applyNumberFormat="1" applyFont="1" applyAlignment="1">
      <alignment horizontal="right"/>
    </xf>
    <xf numFmtId="0" fontId="4" fillId="0" borderId="25" xfId="0" applyFont="1" applyBorder="1" applyAlignment="1">
      <alignment horizontal="left"/>
    </xf>
    <xf numFmtId="9" fontId="0" fillId="8" borderId="25" xfId="137" applyFont="1" applyFill="1" applyBorder="1" applyAlignment="1">
      <alignment horizontal="center" vertical="center"/>
    </xf>
    <xf numFmtId="9" fontId="0" fillId="9" borderId="25" xfId="137" applyFont="1" applyFill="1" applyBorder="1" applyAlignment="1">
      <alignment horizontal="center" vertical="center"/>
    </xf>
    <xf numFmtId="0" fontId="0" fillId="0" borderId="71" xfId="0" applyBorder="1"/>
    <xf numFmtId="164" fontId="0" fillId="0" borderId="68" xfId="0" applyNumberFormat="1" applyBorder="1"/>
    <xf numFmtId="164" fontId="4" fillId="4" borderId="25" xfId="0" applyNumberFormat="1" applyFont="1" applyFill="1" applyBorder="1" applyAlignment="1">
      <alignment horizontal="center"/>
    </xf>
    <xf numFmtId="164" fontId="4" fillId="0" borderId="25" xfId="0" applyNumberFormat="1" applyFont="1" applyBorder="1" applyAlignment="1">
      <alignment horizontal="center"/>
    </xf>
    <xf numFmtId="0" fontId="0" fillId="0" borderId="17" xfId="0" applyBorder="1" applyAlignment="1">
      <alignment horizontal="center" vertical="center"/>
    </xf>
    <xf numFmtId="0" fontId="0" fillId="0" borderId="5" xfId="0" applyBorder="1" applyAlignment="1">
      <alignment horizontal="center" vertical="center" wrapText="1"/>
    </xf>
    <xf numFmtId="6" fontId="0" fillId="0" borderId="43" xfId="0" applyNumberFormat="1" applyBorder="1" applyAlignment="1">
      <alignment horizontal="right"/>
    </xf>
    <xf numFmtId="6" fontId="0" fillId="0" borderId="41" xfId="0" applyNumberFormat="1" applyBorder="1" applyAlignment="1">
      <alignment horizontal="right"/>
    </xf>
    <xf numFmtId="6" fontId="0" fillId="0" borderId="13" xfId="0" applyNumberFormat="1" applyBorder="1" applyAlignment="1">
      <alignment horizontal="right"/>
    </xf>
    <xf numFmtId="6" fontId="0" fillId="0" borderId="57" xfId="0" applyNumberFormat="1" applyBorder="1" applyAlignment="1">
      <alignment horizontal="right"/>
    </xf>
    <xf numFmtId="0" fontId="0" fillId="0" borderId="7" xfId="0" applyBorder="1" applyAlignment="1">
      <alignment horizontal="center" vertical="center" wrapText="1"/>
    </xf>
    <xf numFmtId="6" fontId="0" fillId="0" borderId="25" xfId="0" applyNumberFormat="1" applyBorder="1" applyAlignment="1">
      <alignment horizontal="right"/>
    </xf>
    <xf numFmtId="6" fontId="0" fillId="0" borderId="21" xfId="0" applyNumberFormat="1" applyBorder="1" applyAlignment="1">
      <alignment horizontal="right"/>
    </xf>
    <xf numFmtId="6" fontId="0" fillId="0" borderId="14" xfId="0" applyNumberFormat="1" applyBorder="1" applyAlignment="1">
      <alignment horizontal="right"/>
    </xf>
    <xf numFmtId="6" fontId="0" fillId="0" borderId="59" xfId="0" applyNumberFormat="1" applyBorder="1" applyAlignment="1">
      <alignment horizontal="right"/>
    </xf>
    <xf numFmtId="6" fontId="0" fillId="0" borderId="44" xfId="0" applyNumberFormat="1" applyBorder="1" applyAlignment="1">
      <alignment horizontal="right"/>
    </xf>
    <xf numFmtId="6" fontId="0" fillId="0" borderId="51" xfId="0" applyNumberFormat="1" applyBorder="1" applyAlignment="1">
      <alignment horizontal="right"/>
    </xf>
    <xf numFmtId="6" fontId="0" fillId="0" borderId="15" xfId="0" applyNumberFormat="1" applyBorder="1" applyAlignment="1">
      <alignment horizontal="right"/>
    </xf>
    <xf numFmtId="6" fontId="0" fillId="0" borderId="72" xfId="0" applyNumberFormat="1" applyBorder="1" applyAlignment="1">
      <alignment horizontal="right"/>
    </xf>
    <xf numFmtId="164" fontId="18" fillId="0" borderId="0" xfId="0" applyNumberFormat="1" applyFont="1" applyAlignment="1">
      <alignment horizontal="right"/>
    </xf>
    <xf numFmtId="1" fontId="0" fillId="0" borderId="0" xfId="0" applyNumberFormat="1" applyAlignment="1">
      <alignment horizontal="center"/>
    </xf>
    <xf numFmtId="164" fontId="0" fillId="0" borderId="13" xfId="0" applyNumberFormat="1" applyBorder="1" applyAlignment="1">
      <alignment horizontal="center"/>
    </xf>
    <xf numFmtId="164" fontId="0" fillId="0" borderId="57" xfId="0" applyNumberFormat="1" applyBorder="1" applyAlignment="1">
      <alignment horizontal="center"/>
    </xf>
    <xf numFmtId="164" fontId="0" fillId="0" borderId="39" xfId="0" applyNumberFormat="1" applyBorder="1" applyAlignment="1">
      <alignment horizontal="center"/>
    </xf>
    <xf numFmtId="164" fontId="0" fillId="0" borderId="58" xfId="0" applyNumberFormat="1" applyBorder="1" applyAlignment="1">
      <alignment horizontal="center"/>
    </xf>
    <xf numFmtId="164" fontId="0" fillId="0" borderId="14" xfId="0" applyNumberFormat="1" applyBorder="1" applyAlignment="1">
      <alignment horizontal="center"/>
    </xf>
    <xf numFmtId="164" fontId="0" fillId="0" borderId="59" xfId="0" applyNumberFormat="1" applyBorder="1" applyAlignment="1">
      <alignment horizontal="center"/>
    </xf>
    <xf numFmtId="164" fontId="6" fillId="0" borderId="0" xfId="0" applyNumberFormat="1" applyFont="1" applyAlignment="1">
      <alignment horizontal="center"/>
    </xf>
    <xf numFmtId="164" fontId="0" fillId="0" borderId="40" xfId="0" applyNumberFormat="1" applyBorder="1" applyAlignment="1">
      <alignment horizontal="center"/>
    </xf>
    <xf numFmtId="164" fontId="0" fillId="0" borderId="27" xfId="0" applyNumberFormat="1" applyBorder="1" applyAlignment="1">
      <alignment horizontal="center"/>
    </xf>
    <xf numFmtId="2" fontId="0" fillId="0" borderId="0" xfId="0" applyNumberFormat="1" applyAlignment="1">
      <alignment horizontal="center"/>
    </xf>
    <xf numFmtId="0" fontId="0" fillId="0" borderId="33" xfId="0" applyBorder="1"/>
    <xf numFmtId="164" fontId="0" fillId="2" borderId="38" xfId="0" applyNumberFormat="1" applyFill="1" applyBorder="1" applyAlignment="1">
      <alignment horizontal="center"/>
    </xf>
    <xf numFmtId="164" fontId="0" fillId="2" borderId="34" xfId="0" applyNumberFormat="1" applyFill="1" applyBorder="1" applyAlignment="1">
      <alignment horizontal="center"/>
    </xf>
    <xf numFmtId="164" fontId="0" fillId="0" borderId="20" xfId="0" applyNumberFormat="1" applyBorder="1" applyAlignment="1">
      <alignment horizontal="center"/>
    </xf>
    <xf numFmtId="0" fontId="10" fillId="0" borderId="0" xfId="2" applyFont="1"/>
    <xf numFmtId="0" fontId="4" fillId="0" borderId="25" xfId="2" applyFont="1" applyBorder="1" applyAlignment="1">
      <alignment horizontal="left" vertical="center"/>
    </xf>
    <xf numFmtId="0" fontId="4" fillId="0" borderId="25" xfId="2" applyFont="1" applyBorder="1" applyAlignment="1">
      <alignment horizontal="center" vertical="center"/>
    </xf>
    <xf numFmtId="0" fontId="4" fillId="0" borderId="0" xfId="2" applyFont="1" applyAlignment="1">
      <alignment horizontal="left" vertical="center"/>
    </xf>
    <xf numFmtId="0" fontId="8" fillId="0" borderId="0" xfId="2" applyFont="1" applyAlignment="1">
      <alignment horizontal="left" vertical="center"/>
    </xf>
    <xf numFmtId="166" fontId="4" fillId="0" borderId="0" xfId="2" applyNumberFormat="1" applyFont="1" applyAlignment="1">
      <alignment horizontal="left"/>
    </xf>
    <xf numFmtId="0" fontId="4" fillId="4" borderId="25" xfId="2" applyFont="1" applyFill="1" applyBorder="1" applyAlignment="1">
      <alignment horizontal="center" vertical="center"/>
    </xf>
    <xf numFmtId="10" fontId="4" fillId="0" borderId="0" xfId="2" applyNumberFormat="1" applyFont="1" applyAlignment="1">
      <alignment horizontal="center" vertical="center"/>
    </xf>
    <xf numFmtId="0" fontId="8" fillId="0" borderId="25" xfId="2" applyFont="1" applyBorder="1" applyAlignment="1">
      <alignment horizontal="center" vertical="center"/>
    </xf>
    <xf numFmtId="170" fontId="4" fillId="0" borderId="25" xfId="2" applyNumberFormat="1" applyFont="1" applyBorder="1" applyAlignment="1">
      <alignment horizontal="center" vertical="center"/>
    </xf>
    <xf numFmtId="170" fontId="4" fillId="4" borderId="25" xfId="2" applyNumberFormat="1" applyFont="1" applyFill="1" applyBorder="1" applyAlignment="1">
      <alignment horizontal="center" vertical="center"/>
    </xf>
    <xf numFmtId="2" fontId="4" fillId="0" borderId="25" xfId="2" applyNumberFormat="1" applyFont="1" applyBorder="1" applyAlignment="1">
      <alignment horizontal="center" vertical="center"/>
    </xf>
    <xf numFmtId="0" fontId="29" fillId="0" borderId="0" xfId="2" applyFont="1" applyAlignment="1">
      <alignment horizontal="left"/>
    </xf>
    <xf numFmtId="169" fontId="4" fillId="0" borderId="25" xfId="2" applyNumberFormat="1" applyFont="1" applyBorder="1" applyAlignment="1">
      <alignment horizontal="center" vertical="center"/>
    </xf>
    <xf numFmtId="169" fontId="28" fillId="0" borderId="0" xfId="2" applyNumberFormat="1" applyFont="1" applyAlignment="1">
      <alignment horizontal="center" vertical="center"/>
    </xf>
    <xf numFmtId="10" fontId="4" fillId="4" borderId="25" xfId="2" applyNumberFormat="1" applyFont="1" applyFill="1" applyBorder="1" applyAlignment="1">
      <alignment horizontal="center" vertical="center"/>
    </xf>
    <xf numFmtId="37" fontId="1" fillId="4" borderId="25" xfId="136" applyNumberFormat="1" applyFont="1" applyFill="1" applyBorder="1" applyAlignment="1">
      <alignment horizontal="center"/>
    </xf>
    <xf numFmtId="0" fontId="4" fillId="0" borderId="0" xfId="2" applyFont="1" applyAlignment="1">
      <alignment horizontal="center" vertical="center"/>
    </xf>
    <xf numFmtId="0" fontId="8" fillId="0" borderId="0" xfId="0" applyFont="1" applyAlignment="1">
      <alignment horizontal="left"/>
    </xf>
    <xf numFmtId="0" fontId="19" fillId="0" borderId="0" xfId="2" applyFont="1" applyAlignment="1">
      <alignment horizontal="left"/>
    </xf>
    <xf numFmtId="167" fontId="30" fillId="0" borderId="0" xfId="2" applyNumberFormat="1" applyFont="1" applyAlignment="1">
      <alignment horizontal="left" vertical="center"/>
    </xf>
    <xf numFmtId="0" fontId="0" fillId="0" borderId="33" xfId="0" applyBorder="1" applyAlignment="1">
      <alignment horizontal="center" vertical="center"/>
    </xf>
    <xf numFmtId="0" fontId="0" fillId="0" borderId="30" xfId="0" applyBorder="1" applyAlignment="1">
      <alignment horizontal="center" vertical="center"/>
    </xf>
    <xf numFmtId="174" fontId="0" fillId="0" borderId="25" xfId="0" applyNumberFormat="1" applyBorder="1" applyAlignment="1">
      <alignment horizontal="center" vertical="center"/>
    </xf>
    <xf numFmtId="0" fontId="0" fillId="0" borderId="13" xfId="0" applyBorder="1" applyAlignment="1">
      <alignment horizontal="center"/>
    </xf>
    <xf numFmtId="171" fontId="0" fillId="0" borderId="5" xfId="0" applyNumberFormat="1" applyBorder="1" applyAlignment="1">
      <alignment horizontal="right"/>
    </xf>
    <xf numFmtId="173" fontId="0" fillId="0" borderId="28" xfId="0" applyNumberFormat="1" applyBorder="1" applyAlignment="1">
      <alignment horizontal="right"/>
    </xf>
    <xf numFmtId="173" fontId="0" fillId="0" borderId="43" xfId="0" applyNumberFormat="1" applyBorder="1" applyAlignment="1">
      <alignment horizontal="right"/>
    </xf>
    <xf numFmtId="173" fontId="0" fillId="0" borderId="18" xfId="0" applyNumberFormat="1" applyBorder="1" applyAlignment="1">
      <alignment horizontal="right"/>
    </xf>
    <xf numFmtId="6" fontId="0" fillId="0" borderId="6" xfId="0" applyNumberFormat="1" applyBorder="1" applyAlignment="1">
      <alignment horizontal="right"/>
    </xf>
    <xf numFmtId="171" fontId="0" fillId="0" borderId="36" xfId="0" applyNumberFormat="1" applyBorder="1" applyAlignment="1">
      <alignment horizontal="right"/>
    </xf>
    <xf numFmtId="6" fontId="0" fillId="0" borderId="37" xfId="0" applyNumberFormat="1" applyBorder="1" applyAlignment="1">
      <alignment horizontal="right"/>
    </xf>
    <xf numFmtId="6" fontId="0" fillId="0" borderId="38" xfId="0" applyNumberFormat="1" applyBorder="1" applyAlignment="1">
      <alignment horizontal="right"/>
    </xf>
    <xf numFmtId="173" fontId="0" fillId="0" borderId="45" xfId="0" applyNumberFormat="1" applyBorder="1" applyAlignment="1">
      <alignment horizontal="right"/>
    </xf>
    <xf numFmtId="173" fontId="0" fillId="0" borderId="25" xfId="0" applyNumberFormat="1" applyBorder="1" applyAlignment="1">
      <alignment horizontal="right"/>
    </xf>
    <xf numFmtId="173" fontId="0" fillId="0" borderId="19" xfId="0" applyNumberFormat="1" applyBorder="1" applyAlignment="1">
      <alignment horizontal="right"/>
    </xf>
    <xf numFmtId="6" fontId="0" fillId="0" borderId="8" xfId="0" applyNumberFormat="1" applyBorder="1" applyAlignment="1">
      <alignment horizontal="right"/>
    </xf>
    <xf numFmtId="0" fontId="0" fillId="0" borderId="25" xfId="0" applyBorder="1" applyAlignment="1">
      <alignment vertical="center"/>
    </xf>
    <xf numFmtId="6" fontId="0" fillId="0" borderId="25" xfId="0" applyNumberFormat="1" applyBorder="1"/>
    <xf numFmtId="0" fontId="0" fillId="2" borderId="25" xfId="0" applyFill="1" applyBorder="1" applyAlignment="1">
      <alignment vertical="center"/>
    </xf>
    <xf numFmtId="6" fontId="0" fillId="2" borderId="25" xfId="0" applyNumberFormat="1" applyFill="1" applyBorder="1"/>
    <xf numFmtId="171" fontId="0" fillId="0" borderId="3" xfId="0" applyNumberFormat="1" applyBorder="1" applyAlignment="1">
      <alignment horizontal="right"/>
    </xf>
    <xf numFmtId="6" fontId="0" fillId="0" borderId="30" xfId="0" applyNumberFormat="1" applyBorder="1" applyAlignment="1">
      <alignment horizontal="right"/>
    </xf>
    <xf numFmtId="6" fontId="0" fillId="0" borderId="17" xfId="0" applyNumberFormat="1" applyBorder="1" applyAlignment="1">
      <alignment horizontal="right"/>
    </xf>
    <xf numFmtId="173" fontId="0" fillId="0" borderId="29" xfId="0" applyNumberFormat="1" applyBorder="1" applyAlignment="1">
      <alignment horizontal="right"/>
    </xf>
    <xf numFmtId="173" fontId="0" fillId="0" borderId="44" xfId="0" applyNumberFormat="1" applyBorder="1" applyAlignment="1">
      <alignment horizontal="right"/>
    </xf>
    <xf numFmtId="173" fontId="0" fillId="0" borderId="20" xfId="0" applyNumberFormat="1" applyBorder="1" applyAlignment="1">
      <alignment horizontal="right"/>
    </xf>
    <xf numFmtId="6" fontId="0" fillId="0" borderId="10" xfId="0" applyNumberFormat="1" applyBorder="1" applyAlignment="1">
      <alignment horizontal="right"/>
    </xf>
    <xf numFmtId="6" fontId="0" fillId="0" borderId="0" xfId="0" applyNumberFormat="1" applyAlignment="1">
      <alignment horizontal="center"/>
    </xf>
    <xf numFmtId="6" fontId="0" fillId="0" borderId="40" xfId="0" applyNumberFormat="1" applyBorder="1" applyAlignment="1">
      <alignment horizontal="right" indent="1"/>
    </xf>
    <xf numFmtId="6" fontId="0" fillId="0" borderId="0" xfId="0" applyNumberFormat="1" applyAlignment="1">
      <alignment horizontal="right" indent="1"/>
    </xf>
    <xf numFmtId="43" fontId="12" fillId="0" borderId="0" xfId="136" applyFont="1" applyAlignment="1">
      <alignment horizontal="right" vertical="center"/>
    </xf>
    <xf numFmtId="0" fontId="0" fillId="0" borderId="22" xfId="0" applyBorder="1" applyAlignment="1">
      <alignment vertical="top" wrapText="1"/>
    </xf>
    <xf numFmtId="0" fontId="0" fillId="0" borderId="0" xfId="0" applyAlignment="1">
      <alignment vertical="top"/>
    </xf>
    <xf numFmtId="0" fontId="11" fillId="0" borderId="0" xfId="138" applyFill="1"/>
    <xf numFmtId="0" fontId="8" fillId="0" borderId="25" xfId="0" applyFont="1" applyBorder="1" applyAlignment="1">
      <alignment horizontal="center" vertical="center"/>
    </xf>
    <xf numFmtId="164" fontId="4" fillId="0" borderId="25" xfId="0" applyNumberFormat="1" applyFont="1" applyBorder="1" applyAlignment="1">
      <alignment horizontal="right"/>
    </xf>
    <xf numFmtId="6" fontId="0" fillId="0" borderId="24" xfId="0" applyNumberFormat="1" applyBorder="1" applyAlignment="1">
      <alignment horizontal="right"/>
    </xf>
    <xf numFmtId="6" fontId="0" fillId="0" borderId="73" xfId="0" applyNumberFormat="1" applyBorder="1" applyAlignment="1">
      <alignment horizontal="right"/>
    </xf>
    <xf numFmtId="1" fontId="0" fillId="5" borderId="25" xfId="0" applyNumberFormat="1" applyFill="1" applyBorder="1" applyAlignment="1">
      <alignment horizontal="center"/>
    </xf>
    <xf numFmtId="1" fontId="0" fillId="6" borderId="25" xfId="0" applyNumberFormat="1" applyFill="1" applyBorder="1" applyAlignment="1">
      <alignment horizontal="center"/>
    </xf>
    <xf numFmtId="0" fontId="11" fillId="11" borderId="25" xfId="138" applyFill="1" applyBorder="1" applyAlignment="1">
      <alignment horizontal="right"/>
    </xf>
    <xf numFmtId="0" fontId="4" fillId="0" borderId="0" xfId="2" applyFont="1" applyAlignment="1">
      <alignment horizontal="left" vertical="top" wrapText="1"/>
    </xf>
    <xf numFmtId="0" fontId="4" fillId="0" borderId="0" xfId="0" applyFont="1" applyAlignment="1">
      <alignment horizontal="left" vertical="top" wrapText="1"/>
    </xf>
    <xf numFmtId="0" fontId="0" fillId="2" borderId="1" xfId="0" applyFill="1" applyBorder="1" applyAlignment="1">
      <alignment horizontal="center" vertical="center" wrapText="1"/>
    </xf>
    <xf numFmtId="0" fontId="0" fillId="2" borderId="3" xfId="0" applyFill="1" applyBorder="1" applyAlignment="1">
      <alignment horizontal="center" vertical="center" wrapText="1"/>
    </xf>
    <xf numFmtId="0" fontId="0" fillId="2" borderId="11" xfId="0" applyFill="1" applyBorder="1" applyAlignment="1">
      <alignment horizontal="center" vertical="center" wrapText="1"/>
    </xf>
    <xf numFmtId="0" fontId="0" fillId="2" borderId="12" xfId="0" applyFill="1" applyBorder="1" applyAlignment="1">
      <alignment horizontal="center" vertical="center" wrapText="1"/>
    </xf>
    <xf numFmtId="0" fontId="0" fillId="2" borderId="18" xfId="0" applyFill="1" applyBorder="1" applyAlignment="1">
      <alignment horizontal="center" vertical="center" wrapText="1"/>
    </xf>
    <xf numFmtId="0" fontId="0" fillId="2" borderId="20" xfId="0" applyFill="1" applyBorder="1" applyAlignment="1">
      <alignment horizontal="center" vertical="center" wrapText="1"/>
    </xf>
    <xf numFmtId="0" fontId="0" fillId="2" borderId="60" xfId="0" applyFill="1" applyBorder="1" applyAlignment="1">
      <alignment horizontal="center" vertical="center" wrapText="1"/>
    </xf>
    <xf numFmtId="0" fontId="0" fillId="2" borderId="71" xfId="0" applyFill="1" applyBorder="1" applyAlignment="1">
      <alignment horizontal="center" vertical="center" wrapText="1"/>
    </xf>
    <xf numFmtId="0" fontId="0" fillId="2" borderId="28" xfId="0" applyFill="1" applyBorder="1" applyAlignment="1">
      <alignment horizontal="center" vertical="center" wrapText="1"/>
    </xf>
    <xf numFmtId="0" fontId="0" fillId="2" borderId="29" xfId="0" applyFill="1" applyBorder="1" applyAlignment="1">
      <alignment horizontal="center" vertical="center" wrapText="1"/>
    </xf>
    <xf numFmtId="0" fontId="0" fillId="2" borderId="16" xfId="0" applyFill="1" applyBorder="1" applyAlignment="1">
      <alignment horizontal="center" vertical="center" wrapText="1"/>
    </xf>
    <xf numFmtId="0" fontId="0" fillId="2" borderId="67" xfId="0" applyFill="1" applyBorder="1" applyAlignment="1">
      <alignment horizontal="center" vertical="center" wrapText="1"/>
    </xf>
    <xf numFmtId="0" fontId="0" fillId="2" borderId="46" xfId="0" applyFill="1" applyBorder="1" applyAlignment="1">
      <alignment horizontal="center" vertical="center" wrapText="1"/>
    </xf>
    <xf numFmtId="0" fontId="0" fillId="2" borderId="23" xfId="0" applyFill="1" applyBorder="1" applyAlignment="1">
      <alignment horizontal="center" vertical="center" wrapText="1"/>
    </xf>
    <xf numFmtId="0" fontId="0" fillId="2" borderId="43" xfId="0" applyFill="1" applyBorder="1" applyAlignment="1">
      <alignment horizontal="center" vertical="center" wrapText="1"/>
    </xf>
    <xf numFmtId="0" fontId="0" fillId="2" borderId="44" xfId="0" applyFill="1" applyBorder="1" applyAlignment="1">
      <alignment horizontal="center" vertical="center" wrapText="1"/>
    </xf>
    <xf numFmtId="0" fontId="0" fillId="2" borderId="52" xfId="0" applyFill="1" applyBorder="1" applyAlignment="1">
      <alignment horizontal="center" vertical="center" wrapText="1"/>
    </xf>
    <xf numFmtId="0" fontId="0" fillId="2" borderId="54" xfId="0" applyFill="1" applyBorder="1" applyAlignment="1">
      <alignment horizontal="center" vertical="center" wrapText="1"/>
    </xf>
    <xf numFmtId="0" fontId="3" fillId="0" borderId="53" xfId="0" applyFont="1" applyBorder="1" applyAlignment="1">
      <alignment horizontal="center" vertical="center" wrapText="1"/>
    </xf>
    <xf numFmtId="0" fontId="3" fillId="0" borderId="31" xfId="0" applyFont="1" applyBorder="1" applyAlignment="1">
      <alignment horizontal="center" vertical="center" wrapText="1"/>
    </xf>
    <xf numFmtId="0" fontId="3" fillId="0" borderId="33" xfId="0" applyFont="1" applyBorder="1" applyAlignment="1">
      <alignment horizontal="center" vertical="center" wrapText="1"/>
    </xf>
    <xf numFmtId="0" fontId="3" fillId="0" borderId="42" xfId="0" applyFont="1" applyBorder="1" applyAlignment="1">
      <alignment horizontal="center" vertical="center" wrapText="1"/>
    </xf>
    <xf numFmtId="0" fontId="3" fillId="0" borderId="27" xfId="0" applyFont="1" applyBorder="1" applyAlignment="1">
      <alignment horizontal="center" vertical="center" wrapText="1"/>
    </xf>
    <xf numFmtId="0" fontId="3" fillId="0" borderId="1" xfId="0" applyFont="1" applyBorder="1" applyAlignment="1">
      <alignment horizontal="center" vertical="center" wrapText="1"/>
    </xf>
    <xf numFmtId="0" fontId="3" fillId="0" borderId="2" xfId="0" applyFont="1" applyBorder="1" applyAlignment="1">
      <alignment horizontal="center" vertical="center" wrapText="1"/>
    </xf>
    <xf numFmtId="0" fontId="3" fillId="0" borderId="63" xfId="0" applyFont="1" applyBorder="1" applyAlignment="1">
      <alignment horizontal="center" vertical="center" wrapText="1"/>
    </xf>
    <xf numFmtId="0" fontId="0" fillId="0" borderId="0" xfId="0" applyAlignment="1">
      <alignment horizontal="left" vertical="top" wrapText="1"/>
    </xf>
    <xf numFmtId="0" fontId="3" fillId="0" borderId="1" xfId="0" applyFont="1" applyBorder="1" applyAlignment="1">
      <alignment horizontal="center" vertical="center"/>
    </xf>
    <xf numFmtId="0" fontId="3" fillId="0" borderId="2" xfId="0" applyFont="1" applyBorder="1" applyAlignment="1">
      <alignment horizontal="center" vertical="center"/>
    </xf>
    <xf numFmtId="0" fontId="3" fillId="0" borderId="63" xfId="0" applyFont="1" applyBorder="1" applyAlignment="1">
      <alignment horizontal="center" vertical="center"/>
    </xf>
    <xf numFmtId="0" fontId="0" fillId="0" borderId="11" xfId="0" applyBorder="1" applyAlignment="1">
      <alignment horizontal="center" vertical="center"/>
    </xf>
    <xf numFmtId="0" fontId="0" fillId="0" borderId="12" xfId="0" applyBorder="1" applyAlignment="1">
      <alignment horizontal="center" vertical="center"/>
    </xf>
    <xf numFmtId="0" fontId="3" fillId="0" borderId="26" xfId="0" applyFont="1" applyBorder="1" applyAlignment="1">
      <alignment horizontal="left"/>
    </xf>
    <xf numFmtId="0" fontId="0" fillId="0" borderId="11" xfId="0" applyBorder="1" applyAlignment="1">
      <alignment horizontal="center" vertical="center" wrapText="1"/>
    </xf>
    <xf numFmtId="0" fontId="0" fillId="0" borderId="12" xfId="0" applyBorder="1" applyAlignment="1">
      <alignment horizontal="center" vertical="center" wrapText="1"/>
    </xf>
    <xf numFmtId="0" fontId="0" fillId="0" borderId="32" xfId="0" applyBorder="1" applyAlignment="1">
      <alignment horizontal="center" vertical="center" wrapText="1"/>
    </xf>
    <xf numFmtId="0" fontId="0" fillId="0" borderId="30" xfId="0" applyBorder="1" applyAlignment="1">
      <alignment horizontal="center" vertical="center" wrapText="1"/>
    </xf>
    <xf numFmtId="0" fontId="0" fillId="0" borderId="16" xfId="0" applyBorder="1" applyAlignment="1">
      <alignment horizontal="center" vertical="center" wrapText="1"/>
    </xf>
    <xf numFmtId="0" fontId="0" fillId="0" borderId="17" xfId="0" applyBorder="1" applyAlignment="1">
      <alignment horizontal="center" vertical="center" wrapText="1"/>
    </xf>
    <xf numFmtId="0" fontId="0" fillId="0" borderId="2" xfId="0" applyBorder="1" applyAlignment="1">
      <alignment horizontal="center" vertical="center" wrapText="1"/>
    </xf>
    <xf numFmtId="0" fontId="0" fillId="0" borderId="4" xfId="0" applyBorder="1" applyAlignment="1">
      <alignment horizontal="center" vertical="center" wrapText="1"/>
    </xf>
    <xf numFmtId="0" fontId="3" fillId="0" borderId="33" xfId="0" applyFont="1" applyBorder="1" applyAlignment="1">
      <alignment horizontal="center"/>
    </xf>
    <xf numFmtId="0" fontId="3" fillId="0" borderId="42" xfId="0" applyFont="1" applyBorder="1" applyAlignment="1">
      <alignment horizontal="center"/>
    </xf>
    <xf numFmtId="0" fontId="3" fillId="0" borderId="27" xfId="0" applyFont="1" applyBorder="1" applyAlignment="1">
      <alignment horizontal="center"/>
    </xf>
    <xf numFmtId="0" fontId="0" fillId="0" borderId="1" xfId="0" applyBorder="1" applyAlignment="1">
      <alignment horizontal="center" vertical="center" wrapText="1"/>
    </xf>
    <xf numFmtId="0" fontId="0" fillId="0" borderId="3" xfId="0" applyBorder="1" applyAlignment="1">
      <alignment horizontal="center" vertical="center" wrapText="1"/>
    </xf>
    <xf numFmtId="0" fontId="20" fillId="0" borderId="62" xfId="0" applyFont="1" applyBorder="1" applyAlignment="1">
      <alignment horizontal="center" vertical="center" textRotation="90"/>
    </xf>
    <xf numFmtId="0" fontId="20" fillId="0" borderId="23" xfId="0" applyFont="1" applyBorder="1" applyAlignment="1">
      <alignment horizontal="center" vertical="center" textRotation="90"/>
    </xf>
    <xf numFmtId="0" fontId="20" fillId="0" borderId="24" xfId="0" applyFont="1" applyBorder="1" applyAlignment="1">
      <alignment horizontal="center" vertical="center" textRotation="90"/>
    </xf>
    <xf numFmtId="0" fontId="20" fillId="0" borderId="25" xfId="0" applyFont="1" applyBorder="1" applyAlignment="1">
      <alignment horizontal="center" vertical="center" textRotation="90"/>
    </xf>
    <xf numFmtId="0" fontId="3" fillId="0" borderId="28" xfId="0" applyFont="1" applyBorder="1" applyAlignment="1">
      <alignment horizontal="center"/>
    </xf>
    <xf numFmtId="0" fontId="3" fillId="0" borderId="43" xfId="0" applyFont="1" applyBorder="1" applyAlignment="1">
      <alignment horizontal="center"/>
    </xf>
    <xf numFmtId="0" fontId="3" fillId="0" borderId="18" xfId="0" applyFont="1" applyBorder="1" applyAlignment="1">
      <alignment horizontal="center"/>
    </xf>
    <xf numFmtId="0" fontId="0" fillId="0" borderId="69" xfId="0" applyBorder="1" applyAlignment="1">
      <alignment horizontal="left" vertical="top" wrapText="1"/>
    </xf>
    <xf numFmtId="0" fontId="0" fillId="0" borderId="67" xfId="0" applyBorder="1" applyAlignment="1">
      <alignment horizontal="center" vertical="center" wrapText="1"/>
    </xf>
    <xf numFmtId="0" fontId="0" fillId="0" borderId="66" xfId="0" applyBorder="1" applyAlignment="1">
      <alignment horizontal="center" vertical="center" wrapText="1"/>
    </xf>
    <xf numFmtId="0" fontId="0" fillId="0" borderId="46" xfId="0" applyBorder="1" applyAlignment="1">
      <alignment horizontal="center" vertical="center" wrapText="1"/>
    </xf>
    <xf numFmtId="0" fontId="0" fillId="0" borderId="23" xfId="0" applyBorder="1" applyAlignment="1">
      <alignment horizontal="center" vertical="center" wrapText="1"/>
    </xf>
    <xf numFmtId="0" fontId="0" fillId="0" borderId="65" xfId="0" applyBorder="1" applyAlignment="1">
      <alignment horizontal="center" vertical="center" wrapText="1"/>
    </xf>
    <xf numFmtId="0" fontId="0" fillId="0" borderId="1" xfId="0" applyBorder="1" applyAlignment="1">
      <alignment horizontal="center" vertical="center"/>
    </xf>
    <xf numFmtId="0" fontId="0" fillId="0" borderId="68" xfId="0" applyBorder="1" applyAlignment="1">
      <alignment horizontal="center" vertical="center"/>
    </xf>
    <xf numFmtId="0" fontId="3" fillId="0" borderId="33" xfId="0" applyFont="1" applyBorder="1" applyAlignment="1">
      <alignment horizontal="center" vertical="center"/>
    </xf>
    <xf numFmtId="0" fontId="3" fillId="0" borderId="27" xfId="0" applyFont="1" applyBorder="1" applyAlignment="1">
      <alignment horizontal="center" vertical="center"/>
    </xf>
    <xf numFmtId="0" fontId="0" fillId="0" borderId="28" xfId="0" applyBorder="1" applyAlignment="1">
      <alignment horizontal="center" vertical="center"/>
    </xf>
    <xf numFmtId="0" fontId="0" fillId="0" borderId="61" xfId="0" applyBorder="1" applyAlignment="1">
      <alignment horizontal="center" vertical="center"/>
    </xf>
    <xf numFmtId="49" fontId="0" fillId="0" borderId="18" xfId="0" applyNumberFormat="1" applyBorder="1" applyAlignment="1">
      <alignment horizontal="center" vertical="center" wrapText="1"/>
    </xf>
    <xf numFmtId="49" fontId="0" fillId="0" borderId="50" xfId="0" applyNumberFormat="1" applyBorder="1" applyAlignment="1">
      <alignment horizontal="center" vertical="center" wrapText="1"/>
    </xf>
    <xf numFmtId="0" fontId="3" fillId="0" borderId="42" xfId="0" applyFont="1" applyBorder="1" applyAlignment="1">
      <alignment horizontal="center" vertical="center"/>
    </xf>
    <xf numFmtId="0" fontId="3" fillId="0" borderId="1" xfId="0" applyFont="1" applyBorder="1" applyAlignment="1">
      <alignment horizontal="center"/>
    </xf>
    <xf numFmtId="0" fontId="3" fillId="0" borderId="63" xfId="0" applyFont="1" applyBorder="1" applyAlignment="1">
      <alignment horizontal="center"/>
    </xf>
    <xf numFmtId="0" fontId="0" fillId="0" borderId="13" xfId="0" applyBorder="1" applyAlignment="1">
      <alignment horizontal="center" vertical="center" wrapText="1"/>
    </xf>
    <xf numFmtId="0" fontId="0" fillId="0" borderId="64" xfId="0" applyBorder="1" applyAlignment="1">
      <alignment horizontal="center" vertical="center" wrapText="1"/>
    </xf>
    <xf numFmtId="0" fontId="0" fillId="0" borderId="18" xfId="0" applyBorder="1" applyAlignment="1">
      <alignment horizontal="center" vertical="center"/>
    </xf>
    <xf numFmtId="0" fontId="0" fillId="0" borderId="50" xfId="0" applyBorder="1" applyAlignment="1">
      <alignment horizontal="center" vertical="center"/>
    </xf>
    <xf numFmtId="0" fontId="0" fillId="0" borderId="16" xfId="0" applyBorder="1" applyAlignment="1">
      <alignment horizontal="center" vertical="center"/>
    </xf>
    <xf numFmtId="0" fontId="0" fillId="0" borderId="17" xfId="0" applyBorder="1" applyAlignment="1">
      <alignment horizontal="center" vertical="center"/>
    </xf>
    <xf numFmtId="0" fontId="0" fillId="0" borderId="56" xfId="0" applyBorder="1" applyAlignment="1">
      <alignment horizontal="center" vertical="center" wrapText="1"/>
    </xf>
    <xf numFmtId="0" fontId="0" fillId="0" borderId="55" xfId="0" applyBorder="1" applyAlignment="1">
      <alignment horizontal="center" vertical="center" wrapText="1"/>
    </xf>
    <xf numFmtId="0" fontId="0" fillId="0" borderId="18" xfId="0" applyBorder="1" applyAlignment="1">
      <alignment horizontal="center" vertical="center" wrapText="1"/>
    </xf>
    <xf numFmtId="0" fontId="0" fillId="0" borderId="20" xfId="0" applyBorder="1" applyAlignment="1">
      <alignment horizontal="center" vertical="center" wrapText="1"/>
    </xf>
    <xf numFmtId="0" fontId="0" fillId="0" borderId="28" xfId="0" applyBorder="1" applyAlignment="1">
      <alignment horizontal="center" vertical="center" wrapText="1"/>
    </xf>
    <xf numFmtId="0" fontId="0" fillId="0" borderId="29" xfId="0" applyBorder="1" applyAlignment="1">
      <alignment horizontal="center" vertical="center" wrapText="1"/>
    </xf>
    <xf numFmtId="0" fontId="0" fillId="0" borderId="25" xfId="0" applyBorder="1" applyAlignment="1">
      <alignment horizontal="center"/>
    </xf>
    <xf numFmtId="0" fontId="3" fillId="0" borderId="25" xfId="0" applyFont="1" applyBorder="1" applyAlignment="1">
      <alignment horizontal="center" wrapText="1"/>
    </xf>
    <xf numFmtId="0" fontId="0" fillId="0" borderId="62" xfId="0" applyBorder="1" applyAlignment="1">
      <alignment horizontal="center" vertical="center"/>
    </xf>
    <xf numFmtId="0" fontId="0" fillId="0" borderId="23" xfId="0" applyBorder="1" applyAlignment="1">
      <alignment horizontal="center" vertical="center"/>
    </xf>
    <xf numFmtId="0" fontId="0" fillId="0" borderId="24" xfId="0" applyBorder="1" applyAlignment="1">
      <alignment horizontal="center" vertical="center"/>
    </xf>
    <xf numFmtId="0" fontId="3" fillId="0" borderId="62" xfId="0" applyFont="1" applyBorder="1" applyAlignment="1">
      <alignment horizontal="center"/>
    </xf>
    <xf numFmtId="0" fontId="3" fillId="0" borderId="23" xfId="0" applyFont="1" applyBorder="1" applyAlignment="1">
      <alignment horizontal="center"/>
    </xf>
    <xf numFmtId="0" fontId="3" fillId="0" borderId="24" xfId="0" applyFont="1" applyBorder="1" applyAlignment="1">
      <alignment horizontal="center"/>
    </xf>
    <xf numFmtId="0" fontId="3" fillId="0" borderId="62" xfId="0" applyFont="1" applyBorder="1" applyAlignment="1">
      <alignment horizontal="center" wrapText="1"/>
    </xf>
    <xf numFmtId="0" fontId="3" fillId="0" borderId="23" xfId="0" applyFont="1" applyBorder="1" applyAlignment="1">
      <alignment horizontal="center" wrapText="1"/>
    </xf>
    <xf numFmtId="0" fontId="3" fillId="0" borderId="24" xfId="0" applyFont="1" applyBorder="1" applyAlignment="1">
      <alignment horizontal="center" wrapText="1"/>
    </xf>
  </cellXfs>
  <cellStyles count="141">
    <cellStyle name="Comma" xfId="136" builtinId="3"/>
    <cellStyle name="Comma 2" xfId="7" xr:uid="{00000000-0005-0000-0000-000001000000}"/>
    <cellStyle name="Comma 47 2" xfId="17" xr:uid="{00000000-0005-0000-0000-000002000000}"/>
    <cellStyle name="Comma 47 3" xfId="18" xr:uid="{00000000-0005-0000-0000-000003000000}"/>
    <cellStyle name="Comma 47 4" xfId="19" xr:uid="{00000000-0005-0000-0000-000004000000}"/>
    <cellStyle name="Comma0" xfId="8" xr:uid="{00000000-0005-0000-0000-000005000000}"/>
    <cellStyle name="Currency" xfId="1" builtinId="4"/>
    <cellStyle name="Currency 2" xfId="16" xr:uid="{00000000-0005-0000-0000-000007000000}"/>
    <cellStyle name="Currency0" xfId="9" xr:uid="{00000000-0005-0000-0000-000008000000}"/>
    <cellStyle name="Date" xfId="10" xr:uid="{00000000-0005-0000-0000-000009000000}"/>
    <cellStyle name="Fixed" xfId="11" xr:uid="{00000000-0005-0000-0000-00000A000000}"/>
    <cellStyle name="Hyperlink" xfId="138" builtinId="8"/>
    <cellStyle name="Hyperlink 2" xfId="140" xr:uid="{AD4A4CA1-0933-4496-9F39-DCD9244CC876}"/>
    <cellStyle name="Normal" xfId="0" builtinId="0"/>
    <cellStyle name="Normal 11" xfId="20" xr:uid="{00000000-0005-0000-0000-00000D000000}"/>
    <cellStyle name="Normal 11 2" xfId="21" xr:uid="{00000000-0005-0000-0000-00000E000000}"/>
    <cellStyle name="Normal 11 3" xfId="22" xr:uid="{00000000-0005-0000-0000-00000F000000}"/>
    <cellStyle name="Normal 11 4" xfId="23" xr:uid="{00000000-0005-0000-0000-000010000000}"/>
    <cellStyle name="Normal 11 5" xfId="24" xr:uid="{00000000-0005-0000-0000-000011000000}"/>
    <cellStyle name="Normal 12" xfId="25" xr:uid="{00000000-0005-0000-0000-000012000000}"/>
    <cellStyle name="Normal 12 2" xfId="26" xr:uid="{00000000-0005-0000-0000-000013000000}"/>
    <cellStyle name="Normal 12 3" xfId="27" xr:uid="{00000000-0005-0000-0000-000014000000}"/>
    <cellStyle name="Normal 12 4" xfId="28" xr:uid="{00000000-0005-0000-0000-000015000000}"/>
    <cellStyle name="Normal 12 5" xfId="29" xr:uid="{00000000-0005-0000-0000-000016000000}"/>
    <cellStyle name="Normal 13" xfId="30" xr:uid="{00000000-0005-0000-0000-000017000000}"/>
    <cellStyle name="Normal 13 2" xfId="31" xr:uid="{00000000-0005-0000-0000-000018000000}"/>
    <cellStyle name="Normal 13 3" xfId="32" xr:uid="{00000000-0005-0000-0000-000019000000}"/>
    <cellStyle name="Normal 13 4" xfId="33" xr:uid="{00000000-0005-0000-0000-00001A000000}"/>
    <cellStyle name="Normal 13 5" xfId="34" xr:uid="{00000000-0005-0000-0000-00001B000000}"/>
    <cellStyle name="Normal 14" xfId="35" xr:uid="{00000000-0005-0000-0000-00001C000000}"/>
    <cellStyle name="Normal 14 2" xfId="36" xr:uid="{00000000-0005-0000-0000-00001D000000}"/>
    <cellStyle name="Normal 14 3" xfId="37" xr:uid="{00000000-0005-0000-0000-00001E000000}"/>
    <cellStyle name="Normal 14 4" xfId="38" xr:uid="{00000000-0005-0000-0000-00001F000000}"/>
    <cellStyle name="Normal 14 5" xfId="39" xr:uid="{00000000-0005-0000-0000-000020000000}"/>
    <cellStyle name="Normal 15" xfId="40" xr:uid="{00000000-0005-0000-0000-000021000000}"/>
    <cellStyle name="Normal 15 2" xfId="41" xr:uid="{00000000-0005-0000-0000-000022000000}"/>
    <cellStyle name="Normal 15 3" xfId="42" xr:uid="{00000000-0005-0000-0000-000023000000}"/>
    <cellStyle name="Normal 15 4" xfId="43" xr:uid="{00000000-0005-0000-0000-000024000000}"/>
    <cellStyle name="Normal 15 5" xfId="44" xr:uid="{00000000-0005-0000-0000-000025000000}"/>
    <cellStyle name="Normal 16" xfId="2" xr:uid="{00000000-0005-0000-0000-000026000000}"/>
    <cellStyle name="Normal 16 2" xfId="45" xr:uid="{00000000-0005-0000-0000-000027000000}"/>
    <cellStyle name="Normal 16 3" xfId="46" xr:uid="{00000000-0005-0000-0000-000028000000}"/>
    <cellStyle name="Normal 16 4" xfId="47" xr:uid="{00000000-0005-0000-0000-000029000000}"/>
    <cellStyle name="Normal 16 5" xfId="48" xr:uid="{00000000-0005-0000-0000-00002A000000}"/>
    <cellStyle name="Normal 17" xfId="4" xr:uid="{00000000-0005-0000-0000-00002B000000}"/>
    <cellStyle name="Normal 17 2" xfId="49" xr:uid="{00000000-0005-0000-0000-00002C000000}"/>
    <cellStyle name="Normal 17 3" xfId="50" xr:uid="{00000000-0005-0000-0000-00002D000000}"/>
    <cellStyle name="Normal 17 4" xfId="51" xr:uid="{00000000-0005-0000-0000-00002E000000}"/>
    <cellStyle name="Normal 17 5" xfId="52" xr:uid="{00000000-0005-0000-0000-00002F000000}"/>
    <cellStyle name="Normal 18" xfId="3" xr:uid="{00000000-0005-0000-0000-000030000000}"/>
    <cellStyle name="Normal 18 2" xfId="53" xr:uid="{00000000-0005-0000-0000-000031000000}"/>
    <cellStyle name="Normal 18 3" xfId="54" xr:uid="{00000000-0005-0000-0000-000032000000}"/>
    <cellStyle name="Normal 18 4" xfId="55" xr:uid="{00000000-0005-0000-0000-000033000000}"/>
    <cellStyle name="Normal 18 5" xfId="56" xr:uid="{00000000-0005-0000-0000-000034000000}"/>
    <cellStyle name="Normal 19" xfId="5" xr:uid="{00000000-0005-0000-0000-000035000000}"/>
    <cellStyle name="Normal 19 2" xfId="57" xr:uid="{00000000-0005-0000-0000-000036000000}"/>
    <cellStyle name="Normal 19 3" xfId="58" xr:uid="{00000000-0005-0000-0000-000037000000}"/>
    <cellStyle name="Normal 19 4" xfId="59" xr:uid="{00000000-0005-0000-0000-000038000000}"/>
    <cellStyle name="Normal 19 5" xfId="60" xr:uid="{00000000-0005-0000-0000-000039000000}"/>
    <cellStyle name="Normal 2" xfId="6" xr:uid="{00000000-0005-0000-0000-00003A000000}"/>
    <cellStyle name="Normal 2 2" xfId="61" xr:uid="{00000000-0005-0000-0000-00003B000000}"/>
    <cellStyle name="Normal 2 3" xfId="62" xr:uid="{00000000-0005-0000-0000-00003C000000}"/>
    <cellStyle name="Normal 2 4" xfId="63" xr:uid="{00000000-0005-0000-0000-00003D000000}"/>
    <cellStyle name="Normal 2 5" xfId="64" xr:uid="{00000000-0005-0000-0000-00003E000000}"/>
    <cellStyle name="Normal 20" xfId="65" xr:uid="{00000000-0005-0000-0000-00003F000000}"/>
    <cellStyle name="Normal 20 2" xfId="66" xr:uid="{00000000-0005-0000-0000-000040000000}"/>
    <cellStyle name="Normal 20 3" xfId="67" xr:uid="{00000000-0005-0000-0000-000041000000}"/>
    <cellStyle name="Normal 20 4" xfId="68" xr:uid="{00000000-0005-0000-0000-000042000000}"/>
    <cellStyle name="Normal 20 5" xfId="69" xr:uid="{00000000-0005-0000-0000-000043000000}"/>
    <cellStyle name="Normal 21" xfId="70" xr:uid="{00000000-0005-0000-0000-000044000000}"/>
    <cellStyle name="Normal 21 2" xfId="71" xr:uid="{00000000-0005-0000-0000-000045000000}"/>
    <cellStyle name="Normal 21 3" xfId="72" xr:uid="{00000000-0005-0000-0000-000046000000}"/>
    <cellStyle name="Normal 21 4" xfId="73" xr:uid="{00000000-0005-0000-0000-000047000000}"/>
    <cellStyle name="Normal 21 5" xfId="74" xr:uid="{00000000-0005-0000-0000-000048000000}"/>
    <cellStyle name="Normal 23" xfId="75" xr:uid="{00000000-0005-0000-0000-000049000000}"/>
    <cellStyle name="Normal 23 2" xfId="76" xr:uid="{00000000-0005-0000-0000-00004A000000}"/>
    <cellStyle name="Normal 23 3" xfId="77" xr:uid="{00000000-0005-0000-0000-00004B000000}"/>
    <cellStyle name="Normal 23 4" xfId="78" xr:uid="{00000000-0005-0000-0000-00004C000000}"/>
    <cellStyle name="Normal 23 5" xfId="79" xr:uid="{00000000-0005-0000-0000-00004D000000}"/>
    <cellStyle name="Normal 24" xfId="80" xr:uid="{00000000-0005-0000-0000-00004E000000}"/>
    <cellStyle name="Normal 24 2" xfId="81" xr:uid="{00000000-0005-0000-0000-00004F000000}"/>
    <cellStyle name="Normal 24 3" xfId="82" xr:uid="{00000000-0005-0000-0000-000050000000}"/>
    <cellStyle name="Normal 24 4" xfId="83" xr:uid="{00000000-0005-0000-0000-000051000000}"/>
    <cellStyle name="Normal 24 5" xfId="84" xr:uid="{00000000-0005-0000-0000-000052000000}"/>
    <cellStyle name="Normal 25" xfId="85" xr:uid="{00000000-0005-0000-0000-000053000000}"/>
    <cellStyle name="Normal 25 2" xfId="86" xr:uid="{00000000-0005-0000-0000-000054000000}"/>
    <cellStyle name="Normal 25 3" xfId="87" xr:uid="{00000000-0005-0000-0000-000055000000}"/>
    <cellStyle name="Normal 25 4" xfId="88" xr:uid="{00000000-0005-0000-0000-000056000000}"/>
    <cellStyle name="Normal 25 5" xfId="89" xr:uid="{00000000-0005-0000-0000-000057000000}"/>
    <cellStyle name="Normal 26" xfId="90" xr:uid="{00000000-0005-0000-0000-000058000000}"/>
    <cellStyle name="Normal 26 2" xfId="91" xr:uid="{00000000-0005-0000-0000-000059000000}"/>
    <cellStyle name="Normal 26 3" xfId="92" xr:uid="{00000000-0005-0000-0000-00005A000000}"/>
    <cellStyle name="Normal 26 4" xfId="93" xr:uid="{00000000-0005-0000-0000-00005B000000}"/>
    <cellStyle name="Normal 26 5" xfId="94" xr:uid="{00000000-0005-0000-0000-00005C000000}"/>
    <cellStyle name="Normal 27" xfId="95" xr:uid="{00000000-0005-0000-0000-00005D000000}"/>
    <cellStyle name="Normal 27 2" xfId="96" xr:uid="{00000000-0005-0000-0000-00005E000000}"/>
    <cellStyle name="Normal 27 3" xfId="97" xr:uid="{00000000-0005-0000-0000-00005F000000}"/>
    <cellStyle name="Normal 27 4" xfId="98" xr:uid="{00000000-0005-0000-0000-000060000000}"/>
    <cellStyle name="Normal 27 5" xfId="99" xr:uid="{00000000-0005-0000-0000-000061000000}"/>
    <cellStyle name="Normal 28 2" xfId="100" xr:uid="{00000000-0005-0000-0000-000062000000}"/>
    <cellStyle name="Normal 28 3" xfId="101" xr:uid="{00000000-0005-0000-0000-000063000000}"/>
    <cellStyle name="Normal 28 4" xfId="102" xr:uid="{00000000-0005-0000-0000-000064000000}"/>
    <cellStyle name="Normal 29" xfId="103" xr:uid="{00000000-0005-0000-0000-000065000000}"/>
    <cellStyle name="Normal 3" xfId="12" xr:uid="{00000000-0005-0000-0000-000066000000}"/>
    <cellStyle name="Normal 3 2" xfId="104" xr:uid="{00000000-0005-0000-0000-000067000000}"/>
    <cellStyle name="Normal 3 3" xfId="105" xr:uid="{00000000-0005-0000-0000-000068000000}"/>
    <cellStyle name="Normal 3 4" xfId="106" xr:uid="{00000000-0005-0000-0000-000069000000}"/>
    <cellStyle name="Normal 3 5" xfId="107" xr:uid="{00000000-0005-0000-0000-00006A000000}"/>
    <cellStyle name="Normal 30" xfId="108" xr:uid="{00000000-0005-0000-0000-00006B000000}"/>
    <cellStyle name="Normal 32" xfId="109" xr:uid="{00000000-0005-0000-0000-00006C000000}"/>
    <cellStyle name="Normal 4" xfId="13" xr:uid="{00000000-0005-0000-0000-00006D000000}"/>
    <cellStyle name="Normal 4 2" xfId="110" xr:uid="{00000000-0005-0000-0000-00006E000000}"/>
    <cellStyle name="Normal 4 3" xfId="111" xr:uid="{00000000-0005-0000-0000-00006F000000}"/>
    <cellStyle name="Normal 4 4" xfId="112" xr:uid="{00000000-0005-0000-0000-000070000000}"/>
    <cellStyle name="Normal 4 5" xfId="113" xr:uid="{00000000-0005-0000-0000-000071000000}"/>
    <cellStyle name="Normal 5" xfId="139" xr:uid="{800F61AB-3829-4A8A-A3A9-0D3639B5EA4F}"/>
    <cellStyle name="Normal 5 2" xfId="114" xr:uid="{00000000-0005-0000-0000-000072000000}"/>
    <cellStyle name="Normal 5 3" xfId="115" xr:uid="{00000000-0005-0000-0000-000073000000}"/>
    <cellStyle name="Normal 5 4" xfId="116" xr:uid="{00000000-0005-0000-0000-000074000000}"/>
    <cellStyle name="Normal 5 5" xfId="117" xr:uid="{00000000-0005-0000-0000-000075000000}"/>
    <cellStyle name="Normal 6" xfId="118" xr:uid="{00000000-0005-0000-0000-000076000000}"/>
    <cellStyle name="Normal 6 2" xfId="119" xr:uid="{00000000-0005-0000-0000-000077000000}"/>
    <cellStyle name="Normal 6 3" xfId="120" xr:uid="{00000000-0005-0000-0000-000078000000}"/>
    <cellStyle name="Normal 6 4" xfId="121" xr:uid="{00000000-0005-0000-0000-000079000000}"/>
    <cellStyle name="Normal 6 5" xfId="122" xr:uid="{00000000-0005-0000-0000-00007A000000}"/>
    <cellStyle name="Normal 7 2" xfId="123" xr:uid="{00000000-0005-0000-0000-00007B000000}"/>
    <cellStyle name="Normal 7 3" xfId="124" xr:uid="{00000000-0005-0000-0000-00007C000000}"/>
    <cellStyle name="Normal 7 4" xfId="125" xr:uid="{00000000-0005-0000-0000-00007D000000}"/>
    <cellStyle name="Normal 7 5" xfId="126" xr:uid="{00000000-0005-0000-0000-00007E000000}"/>
    <cellStyle name="Normal 8 2" xfId="127" xr:uid="{00000000-0005-0000-0000-00007F000000}"/>
    <cellStyle name="Normal 8 3" xfId="128" xr:uid="{00000000-0005-0000-0000-000080000000}"/>
    <cellStyle name="Normal 8 4" xfId="129" xr:uid="{00000000-0005-0000-0000-000081000000}"/>
    <cellStyle name="Normal 8 5" xfId="130" xr:uid="{00000000-0005-0000-0000-000082000000}"/>
    <cellStyle name="Normal 9" xfId="131" xr:uid="{00000000-0005-0000-0000-000083000000}"/>
    <cellStyle name="Normal 9 2" xfId="132" xr:uid="{00000000-0005-0000-0000-000084000000}"/>
    <cellStyle name="Normal 9 3" xfId="133" xr:uid="{00000000-0005-0000-0000-000085000000}"/>
    <cellStyle name="Normal 9 4" xfId="134" xr:uid="{00000000-0005-0000-0000-000086000000}"/>
    <cellStyle name="Normal 9 5" xfId="135" xr:uid="{00000000-0005-0000-0000-000087000000}"/>
    <cellStyle name="Percent" xfId="137" builtinId="5"/>
    <cellStyle name="Percent 2" xfId="14" xr:uid="{00000000-0005-0000-0000-000089000000}"/>
    <cellStyle name="Percent 3" xfId="15" xr:uid="{00000000-0005-0000-0000-00008A000000}"/>
  </cellStyles>
  <dxfs count="0"/>
  <tableStyles count="0" defaultTableStyle="TableStyleMedium2" defaultPivotStyle="PivotStyleLight16"/>
  <colors>
    <mruColors>
      <color rgb="FFFF9933"/>
      <color rgb="FFF76F65"/>
      <color rgb="FFF97B7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2.xml"/><Relationship Id="rId26" Type="http://schemas.openxmlformats.org/officeDocument/2006/relationships/externalLink" Target="externalLinks/externalLink10.xml"/><Relationship Id="rId3" Type="http://schemas.openxmlformats.org/officeDocument/2006/relationships/worksheet" Target="worksheets/sheet3.xml"/><Relationship Id="rId21" Type="http://schemas.openxmlformats.org/officeDocument/2006/relationships/externalLink" Target="externalLinks/externalLink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5" Type="http://schemas.openxmlformats.org/officeDocument/2006/relationships/externalLink" Target="externalLinks/externalLink9.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4.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8.xml"/><Relationship Id="rId32" Type="http://schemas.openxmlformats.org/officeDocument/2006/relationships/sheetMetadata" Target="metadata.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7.xml"/><Relationship Id="rId28" Type="http://schemas.openxmlformats.org/officeDocument/2006/relationships/externalLink" Target="externalLinks/externalLink12.xml"/><Relationship Id="rId10" Type="http://schemas.openxmlformats.org/officeDocument/2006/relationships/worksheet" Target="worksheets/sheet10.xml"/><Relationship Id="rId19" Type="http://schemas.openxmlformats.org/officeDocument/2006/relationships/externalLink" Target="externalLinks/externalLink3.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6.xml"/><Relationship Id="rId27" Type="http://schemas.openxmlformats.org/officeDocument/2006/relationships/externalLink" Target="externalLinks/externalLink11.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1" Type="http://schemas.openxmlformats.org/officeDocument/2006/relationships/image" Target="../media/image6.emf"/></Relationships>
</file>

<file path=xl/drawings/_rels/drawing4.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emf"/></Relationships>
</file>

<file path=xl/drawings/_rels/drawing7.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12.png"/><Relationship Id="rId5" Type="http://schemas.openxmlformats.org/officeDocument/2006/relationships/image" Target="../media/image3.png"/><Relationship Id="rId4" Type="http://schemas.openxmlformats.org/officeDocument/2006/relationships/image" Target="../media/image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7.emf"/></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5</xdr:row>
      <xdr:rowOff>0</xdr:rowOff>
    </xdr:from>
    <xdr:to>
      <xdr:col>9</xdr:col>
      <xdr:colOff>1219835</xdr:colOff>
      <xdr:row>29</xdr:row>
      <xdr:rowOff>131856</xdr:rowOff>
    </xdr:to>
    <xdr:pic>
      <xdr:nvPicPr>
        <xdr:cNvPr id="3" name="Picture 2" descr="Map&#10;&#10;Description automatically generated">
          <a:extLst>
            <a:ext uri="{FF2B5EF4-FFF2-40B4-BE49-F238E27FC236}">
              <a16:creationId xmlns:a16="http://schemas.microsoft.com/office/drawing/2014/main" id="{A8E48A74-84D2-CCCE-CDBE-01311F69858D}"/>
            </a:ext>
          </a:extLst>
        </xdr:cNvPr>
        <xdr:cNvPicPr>
          <a:picLocks noChangeAspect="1"/>
        </xdr:cNvPicPr>
      </xdr:nvPicPr>
      <xdr:blipFill>
        <a:blip xmlns:r="http://schemas.openxmlformats.org/officeDocument/2006/relationships" r:embed="rId1"/>
        <a:stretch>
          <a:fillRect/>
        </a:stretch>
      </xdr:blipFill>
      <xdr:spPr>
        <a:xfrm>
          <a:off x="6779559" y="1053353"/>
          <a:ext cx="5982335" cy="46926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69273</xdr:colOff>
      <xdr:row>103</xdr:row>
      <xdr:rowOff>34637</xdr:rowOff>
    </xdr:from>
    <xdr:ext cx="7208465" cy="7315200"/>
    <xdr:pic>
      <xdr:nvPicPr>
        <xdr:cNvPr id="2" name="Picture 1" descr="Map&#10;&#10;Description automatically generated">
          <a:extLst>
            <a:ext uri="{FF2B5EF4-FFF2-40B4-BE49-F238E27FC236}">
              <a16:creationId xmlns:a16="http://schemas.microsoft.com/office/drawing/2014/main" id="{607AD7F7-2F47-45ED-B822-E8B596EAC188}"/>
            </a:ext>
          </a:extLst>
        </xdr:cNvPr>
        <xdr:cNvPicPr>
          <a:picLocks noChangeAspect="1"/>
        </xdr:cNvPicPr>
      </xdr:nvPicPr>
      <xdr:blipFill>
        <a:blip xmlns:r="http://schemas.openxmlformats.org/officeDocument/2006/relationships" r:embed="rId1"/>
        <a:stretch>
          <a:fillRect/>
        </a:stretch>
      </xdr:blipFill>
      <xdr:spPr>
        <a:xfrm>
          <a:off x="952500" y="16989137"/>
          <a:ext cx="7208465" cy="7315200"/>
        </a:xfrm>
        <a:prstGeom prst="rect">
          <a:avLst/>
        </a:prstGeom>
      </xdr:spPr>
    </xdr:pic>
    <xdr:clientData/>
  </xdr:oneCellAnchor>
  <xdr:oneCellAnchor>
    <xdr:from>
      <xdr:col>5</xdr:col>
      <xdr:colOff>0</xdr:colOff>
      <xdr:row>103</xdr:row>
      <xdr:rowOff>0</xdr:rowOff>
    </xdr:from>
    <xdr:ext cx="7217124" cy="7315200"/>
    <xdr:pic>
      <xdr:nvPicPr>
        <xdr:cNvPr id="6" name="Picture 5" descr="Map&#10;&#10;Description automatically generated">
          <a:extLst>
            <a:ext uri="{FF2B5EF4-FFF2-40B4-BE49-F238E27FC236}">
              <a16:creationId xmlns:a16="http://schemas.microsoft.com/office/drawing/2014/main" id="{E4AAB786-7028-41E4-8351-9EC554FFFC89}"/>
            </a:ext>
          </a:extLst>
        </xdr:cNvPr>
        <xdr:cNvPicPr>
          <a:picLocks noChangeAspect="1"/>
        </xdr:cNvPicPr>
      </xdr:nvPicPr>
      <xdr:blipFill>
        <a:blip xmlns:r="http://schemas.openxmlformats.org/officeDocument/2006/relationships" r:embed="rId2"/>
        <a:stretch>
          <a:fillRect/>
        </a:stretch>
      </xdr:blipFill>
      <xdr:spPr>
        <a:xfrm>
          <a:off x="1219200" y="9544050"/>
          <a:ext cx="7217124" cy="7315200"/>
        </a:xfrm>
        <a:prstGeom prst="rect">
          <a:avLst/>
        </a:prstGeom>
      </xdr:spPr>
    </xdr:pic>
    <xdr:clientData/>
  </xdr:oneCellAnchor>
  <xdr:oneCellAnchor>
    <xdr:from>
      <xdr:col>2</xdr:col>
      <xdr:colOff>1</xdr:colOff>
      <xdr:row>155</xdr:row>
      <xdr:rowOff>0</xdr:rowOff>
    </xdr:from>
    <xdr:ext cx="7206733" cy="7315200"/>
    <xdr:pic>
      <xdr:nvPicPr>
        <xdr:cNvPr id="7" name="Picture 6" descr="Map&#10;&#10;Description automatically generated">
          <a:extLst>
            <a:ext uri="{FF2B5EF4-FFF2-40B4-BE49-F238E27FC236}">
              <a16:creationId xmlns:a16="http://schemas.microsoft.com/office/drawing/2014/main" id="{04E1C58E-2DCF-49FD-970F-7311277996E7}"/>
            </a:ext>
          </a:extLst>
        </xdr:cNvPr>
        <xdr:cNvPicPr>
          <a:picLocks noChangeAspect="1"/>
        </xdr:cNvPicPr>
      </xdr:nvPicPr>
      <xdr:blipFill>
        <a:blip xmlns:r="http://schemas.openxmlformats.org/officeDocument/2006/relationships" r:embed="rId3"/>
        <a:stretch>
          <a:fillRect/>
        </a:stretch>
      </xdr:blipFill>
      <xdr:spPr>
        <a:xfrm>
          <a:off x="1219201" y="19678650"/>
          <a:ext cx="7217124" cy="7315200"/>
        </a:xfrm>
        <a:prstGeom prst="rect">
          <a:avLst/>
        </a:prstGeom>
      </xdr:spPr>
    </xdr:pic>
    <xdr:clientData/>
  </xdr:oneCellAnchor>
  <xdr:oneCellAnchor>
    <xdr:from>
      <xdr:col>5</xdr:col>
      <xdr:colOff>0</xdr:colOff>
      <xdr:row>155</xdr:row>
      <xdr:rowOff>0</xdr:rowOff>
    </xdr:from>
    <xdr:ext cx="7217124" cy="7315200"/>
    <xdr:pic>
      <xdr:nvPicPr>
        <xdr:cNvPr id="9" name="Picture 8" descr="Map&#10;&#10;Description automatically generated">
          <a:extLst>
            <a:ext uri="{FF2B5EF4-FFF2-40B4-BE49-F238E27FC236}">
              <a16:creationId xmlns:a16="http://schemas.microsoft.com/office/drawing/2014/main" id="{9B348C08-2EF7-4D2E-8954-D725C4232291}"/>
            </a:ext>
          </a:extLst>
        </xdr:cNvPr>
        <xdr:cNvPicPr>
          <a:picLocks noChangeAspect="1"/>
        </xdr:cNvPicPr>
      </xdr:nvPicPr>
      <xdr:blipFill>
        <a:blip xmlns:r="http://schemas.openxmlformats.org/officeDocument/2006/relationships" r:embed="rId4"/>
        <a:stretch>
          <a:fillRect/>
        </a:stretch>
      </xdr:blipFill>
      <xdr:spPr>
        <a:xfrm>
          <a:off x="11118273" y="27051000"/>
          <a:ext cx="7217124" cy="731520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9</xdr:col>
          <xdr:colOff>190500</xdr:colOff>
          <xdr:row>35</xdr:row>
          <xdr:rowOff>95250</xdr:rowOff>
        </xdr:from>
        <xdr:to>
          <xdr:col>13</xdr:col>
          <xdr:colOff>1573382</xdr:colOff>
          <xdr:row>49</xdr:row>
          <xdr:rowOff>27214</xdr:rowOff>
        </xdr:to>
        <xdr:pic>
          <xdr:nvPicPr>
            <xdr:cNvPr id="2" name="Picture 1">
              <a:extLst>
                <a:ext uri="{FF2B5EF4-FFF2-40B4-BE49-F238E27FC236}">
                  <a16:creationId xmlns:a16="http://schemas.microsoft.com/office/drawing/2014/main" id="{15719148-AE5E-E629-1E86-88F52ED124F9}"/>
                </a:ext>
              </a:extLst>
            </xdr:cNvPr>
            <xdr:cNvPicPr>
              <a:picLocks noChangeAspect="1" noChangeArrowheads="1"/>
              <a:extLst>
                <a:ext uri="{84589F7E-364E-4C9E-8A38-B11213B215E9}">
                  <a14:cameraTool cellRange="'Gravel Road VOC Citation'!$K$39:$R$48" spid="_x0000_s13384"/>
                </a:ext>
              </a:extLst>
            </xdr:cNvPicPr>
          </xdr:nvPicPr>
          <xdr:blipFill>
            <a:blip xmlns:r="http://schemas.openxmlformats.org/officeDocument/2006/relationships" r:embed="rId1"/>
            <a:srcRect/>
            <a:stretch>
              <a:fillRect/>
            </a:stretch>
          </xdr:blipFill>
          <xdr:spPr bwMode="auto">
            <a:xfrm>
              <a:off x="10531929" y="7375071"/>
              <a:ext cx="8771560" cy="2612572"/>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600809</xdr:colOff>
      <xdr:row>19</xdr:row>
      <xdr:rowOff>36635</xdr:rowOff>
    </xdr:from>
    <xdr:to>
      <xdr:col>18</xdr:col>
      <xdr:colOff>216175</xdr:colOff>
      <xdr:row>49</xdr:row>
      <xdr:rowOff>118278</xdr:rowOff>
    </xdr:to>
    <xdr:pic>
      <xdr:nvPicPr>
        <xdr:cNvPr id="2" name="Picture 1">
          <a:extLst>
            <a:ext uri="{FF2B5EF4-FFF2-40B4-BE49-F238E27FC236}">
              <a16:creationId xmlns:a16="http://schemas.microsoft.com/office/drawing/2014/main" id="{73552B87-CD7B-458A-5512-E6792F929AED}"/>
            </a:ext>
          </a:extLst>
        </xdr:cNvPr>
        <xdr:cNvPicPr>
          <a:picLocks noChangeAspect="1"/>
        </xdr:cNvPicPr>
      </xdr:nvPicPr>
      <xdr:blipFill>
        <a:blip xmlns:r="http://schemas.openxmlformats.org/officeDocument/2006/relationships" r:embed="rId1"/>
        <a:stretch>
          <a:fillRect/>
        </a:stretch>
      </xdr:blipFill>
      <xdr:spPr>
        <a:xfrm>
          <a:off x="600809" y="1370135"/>
          <a:ext cx="11809520" cy="5796643"/>
        </a:xfrm>
        <a:prstGeom prst="rect">
          <a:avLst/>
        </a:prstGeom>
      </xdr:spPr>
    </xdr:pic>
    <xdr:clientData/>
  </xdr:twoCellAnchor>
  <xdr:twoCellAnchor editAs="oneCell">
    <xdr:from>
      <xdr:col>2</xdr:col>
      <xdr:colOff>1</xdr:colOff>
      <xdr:row>57</xdr:row>
      <xdr:rowOff>0</xdr:rowOff>
    </xdr:from>
    <xdr:to>
      <xdr:col>18</xdr:col>
      <xdr:colOff>257646</xdr:colOff>
      <xdr:row>87</xdr:row>
      <xdr:rowOff>82296</xdr:rowOff>
    </xdr:to>
    <xdr:pic>
      <xdr:nvPicPr>
        <xdr:cNvPr id="3" name="Picture 2">
          <a:extLst>
            <a:ext uri="{FF2B5EF4-FFF2-40B4-BE49-F238E27FC236}">
              <a16:creationId xmlns:a16="http://schemas.microsoft.com/office/drawing/2014/main" id="{B9AFB9D1-251C-BFB1-C708-7490EBBC3133}"/>
            </a:ext>
          </a:extLst>
        </xdr:cNvPr>
        <xdr:cNvPicPr>
          <a:picLocks noChangeAspect="1"/>
        </xdr:cNvPicPr>
      </xdr:nvPicPr>
      <xdr:blipFill>
        <a:blip xmlns:r="http://schemas.openxmlformats.org/officeDocument/2006/relationships" r:embed="rId2"/>
        <a:stretch>
          <a:fillRect/>
        </a:stretch>
      </xdr:blipFill>
      <xdr:spPr>
        <a:xfrm>
          <a:off x="605119" y="8393206"/>
          <a:ext cx="11810909" cy="579729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0</xdr:colOff>
      <xdr:row>15</xdr:row>
      <xdr:rowOff>0</xdr:rowOff>
    </xdr:from>
    <xdr:to>
      <xdr:col>31</xdr:col>
      <xdr:colOff>578743</xdr:colOff>
      <xdr:row>63</xdr:row>
      <xdr:rowOff>56000</xdr:rowOff>
    </xdr:to>
    <xdr:pic>
      <xdr:nvPicPr>
        <xdr:cNvPr id="2" name="Picture 1">
          <a:extLst>
            <a:ext uri="{FF2B5EF4-FFF2-40B4-BE49-F238E27FC236}">
              <a16:creationId xmlns:a16="http://schemas.microsoft.com/office/drawing/2014/main" id="{11268E31-0356-4AC6-AC92-18693D69BE1E}"/>
            </a:ext>
          </a:extLst>
        </xdr:cNvPr>
        <xdr:cNvPicPr>
          <a:picLocks noChangeAspect="1"/>
        </xdr:cNvPicPr>
      </xdr:nvPicPr>
      <xdr:blipFill>
        <a:blip xmlns:r="http://schemas.openxmlformats.org/officeDocument/2006/relationships" r:embed="rId1"/>
        <a:stretch>
          <a:fillRect/>
        </a:stretch>
      </xdr:blipFill>
      <xdr:spPr>
        <a:xfrm>
          <a:off x="612321" y="2857500"/>
          <a:ext cx="18336065" cy="920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9</xdr:row>
      <xdr:rowOff>152400</xdr:rowOff>
    </xdr:from>
    <xdr:ext cx="7406496" cy="4997822"/>
    <xdr:pic>
      <xdr:nvPicPr>
        <xdr:cNvPr id="6" name="Picture 5">
          <a:extLst>
            <a:ext uri="{FF2B5EF4-FFF2-40B4-BE49-F238E27FC236}">
              <a16:creationId xmlns:a16="http://schemas.microsoft.com/office/drawing/2014/main" id="{09537AAF-704F-4BC0-8ABE-6CB1236ECEE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2819400"/>
          <a:ext cx="7406496" cy="4997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201</xdr:row>
      <xdr:rowOff>0</xdr:rowOff>
    </xdr:from>
    <xdr:to>
      <xdr:col>10</xdr:col>
      <xdr:colOff>360645</xdr:colOff>
      <xdr:row>239</xdr:row>
      <xdr:rowOff>76200</xdr:rowOff>
    </xdr:to>
    <xdr:pic>
      <xdr:nvPicPr>
        <xdr:cNvPr id="2" name="Picture 1">
          <a:extLst>
            <a:ext uri="{FF2B5EF4-FFF2-40B4-BE49-F238E27FC236}">
              <a16:creationId xmlns:a16="http://schemas.microsoft.com/office/drawing/2014/main" id="{AD00DD4F-71C4-4CF7-9434-9316D1034825}"/>
            </a:ext>
          </a:extLst>
        </xdr:cNvPr>
        <xdr:cNvPicPr>
          <a:picLocks noChangeAspect="1"/>
        </xdr:cNvPicPr>
      </xdr:nvPicPr>
      <xdr:blipFill>
        <a:blip xmlns:r="http://schemas.openxmlformats.org/officeDocument/2006/relationships" r:embed="rId1"/>
        <a:stretch>
          <a:fillRect/>
        </a:stretch>
      </xdr:blipFill>
      <xdr:spPr>
        <a:xfrm>
          <a:off x="1224643" y="38426571"/>
          <a:ext cx="8007859" cy="7315200"/>
        </a:xfrm>
        <a:prstGeom prst="rect">
          <a:avLst/>
        </a:prstGeom>
      </xdr:spPr>
    </xdr:pic>
    <xdr:clientData/>
  </xdr:twoCellAnchor>
  <xdr:twoCellAnchor editAs="oneCell">
    <xdr:from>
      <xdr:col>2</xdr:col>
      <xdr:colOff>1</xdr:colOff>
      <xdr:row>103</xdr:row>
      <xdr:rowOff>0</xdr:rowOff>
    </xdr:from>
    <xdr:to>
      <xdr:col>9</xdr:col>
      <xdr:colOff>1111600</xdr:colOff>
      <xdr:row>141</xdr:row>
      <xdr:rowOff>76200</xdr:rowOff>
    </xdr:to>
    <xdr:pic>
      <xdr:nvPicPr>
        <xdr:cNvPr id="7" name="Picture 6" descr="Map&#10;&#10;Description automatically generated">
          <a:extLst>
            <a:ext uri="{FF2B5EF4-FFF2-40B4-BE49-F238E27FC236}">
              <a16:creationId xmlns:a16="http://schemas.microsoft.com/office/drawing/2014/main" id="{BBBBC7D2-9885-2592-520A-DDCE54EDE930}"/>
            </a:ext>
          </a:extLst>
        </xdr:cNvPr>
        <xdr:cNvPicPr>
          <a:picLocks noChangeAspect="1"/>
        </xdr:cNvPicPr>
      </xdr:nvPicPr>
      <xdr:blipFill>
        <a:blip xmlns:r="http://schemas.openxmlformats.org/officeDocument/2006/relationships" r:embed="rId2"/>
        <a:stretch>
          <a:fillRect/>
        </a:stretch>
      </xdr:blipFill>
      <xdr:spPr>
        <a:xfrm>
          <a:off x="1224644" y="381000"/>
          <a:ext cx="7234813" cy="7315200"/>
        </a:xfrm>
        <a:prstGeom prst="rect">
          <a:avLst/>
        </a:prstGeom>
      </xdr:spPr>
    </xdr:pic>
    <xdr:clientData/>
  </xdr:twoCellAnchor>
  <xdr:twoCellAnchor editAs="oneCell">
    <xdr:from>
      <xdr:col>2</xdr:col>
      <xdr:colOff>0</xdr:colOff>
      <xdr:row>151</xdr:row>
      <xdr:rowOff>0</xdr:rowOff>
    </xdr:from>
    <xdr:to>
      <xdr:col>9</xdr:col>
      <xdr:colOff>1111599</xdr:colOff>
      <xdr:row>189</xdr:row>
      <xdr:rowOff>76200</xdr:rowOff>
    </xdr:to>
    <xdr:pic>
      <xdr:nvPicPr>
        <xdr:cNvPr id="8" name="Picture 7" descr="Map&#10;&#10;Description automatically generated">
          <a:extLst>
            <a:ext uri="{FF2B5EF4-FFF2-40B4-BE49-F238E27FC236}">
              <a16:creationId xmlns:a16="http://schemas.microsoft.com/office/drawing/2014/main" id="{29567867-C80B-3DEC-B1A5-C90DB375025D}"/>
            </a:ext>
          </a:extLst>
        </xdr:cNvPr>
        <xdr:cNvPicPr>
          <a:picLocks noChangeAspect="1"/>
        </xdr:cNvPicPr>
      </xdr:nvPicPr>
      <xdr:blipFill>
        <a:blip xmlns:r="http://schemas.openxmlformats.org/officeDocument/2006/relationships" r:embed="rId3"/>
        <a:stretch>
          <a:fillRect/>
        </a:stretch>
      </xdr:blipFill>
      <xdr:spPr>
        <a:xfrm>
          <a:off x="1224643" y="9552214"/>
          <a:ext cx="7234813" cy="7315200"/>
        </a:xfrm>
        <a:prstGeom prst="rect">
          <a:avLst/>
        </a:prstGeom>
      </xdr:spPr>
    </xdr:pic>
    <xdr:clientData/>
  </xdr:twoCellAnchor>
  <xdr:twoCellAnchor editAs="oneCell">
    <xdr:from>
      <xdr:col>2</xdr:col>
      <xdr:colOff>0</xdr:colOff>
      <xdr:row>2</xdr:row>
      <xdr:rowOff>0</xdr:rowOff>
    </xdr:from>
    <xdr:to>
      <xdr:col>9</xdr:col>
      <xdr:colOff>1111599</xdr:colOff>
      <xdr:row>40</xdr:row>
      <xdr:rowOff>76200</xdr:rowOff>
    </xdr:to>
    <xdr:pic>
      <xdr:nvPicPr>
        <xdr:cNvPr id="9" name="Picture 8" descr="Map&#10;&#10;Description automatically generated">
          <a:extLst>
            <a:ext uri="{FF2B5EF4-FFF2-40B4-BE49-F238E27FC236}">
              <a16:creationId xmlns:a16="http://schemas.microsoft.com/office/drawing/2014/main" id="{8050B74A-9EF3-C439-3C8E-FEBB9D0C3F70}"/>
            </a:ext>
          </a:extLst>
        </xdr:cNvPr>
        <xdr:cNvPicPr>
          <a:picLocks noChangeAspect="1"/>
        </xdr:cNvPicPr>
      </xdr:nvPicPr>
      <xdr:blipFill>
        <a:blip xmlns:r="http://schemas.openxmlformats.org/officeDocument/2006/relationships" r:embed="rId4"/>
        <a:stretch>
          <a:fillRect/>
        </a:stretch>
      </xdr:blipFill>
      <xdr:spPr>
        <a:xfrm>
          <a:off x="1224643" y="18723429"/>
          <a:ext cx="7234813" cy="7315200"/>
        </a:xfrm>
        <a:prstGeom prst="rect">
          <a:avLst/>
        </a:prstGeom>
      </xdr:spPr>
    </xdr:pic>
    <xdr:clientData/>
  </xdr:twoCellAnchor>
  <xdr:twoCellAnchor editAs="oneCell">
    <xdr:from>
      <xdr:col>2</xdr:col>
      <xdr:colOff>0</xdr:colOff>
      <xdr:row>50</xdr:row>
      <xdr:rowOff>0</xdr:rowOff>
    </xdr:from>
    <xdr:to>
      <xdr:col>9</xdr:col>
      <xdr:colOff>1111599</xdr:colOff>
      <xdr:row>88</xdr:row>
      <xdr:rowOff>76200</xdr:rowOff>
    </xdr:to>
    <xdr:pic>
      <xdr:nvPicPr>
        <xdr:cNvPr id="10" name="Picture 9" descr="Map&#10;&#10;Description automatically generated">
          <a:extLst>
            <a:ext uri="{FF2B5EF4-FFF2-40B4-BE49-F238E27FC236}">
              <a16:creationId xmlns:a16="http://schemas.microsoft.com/office/drawing/2014/main" id="{FC215575-6DBD-C022-826C-25C618327913}"/>
            </a:ext>
          </a:extLst>
        </xdr:cNvPr>
        <xdr:cNvPicPr>
          <a:picLocks noChangeAspect="1"/>
        </xdr:cNvPicPr>
      </xdr:nvPicPr>
      <xdr:blipFill>
        <a:blip xmlns:r="http://schemas.openxmlformats.org/officeDocument/2006/relationships" r:embed="rId5"/>
        <a:stretch>
          <a:fillRect/>
        </a:stretch>
      </xdr:blipFill>
      <xdr:spPr>
        <a:xfrm>
          <a:off x="1224643" y="27894643"/>
          <a:ext cx="7234813" cy="73152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SFS\Exposure%20Packet%20as%20of%20February%202003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CONTROLLER\Plan\Debt1\Debt\Other\UAM_2750%20FY2008.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MN\MN%20-%20BNSF%20TIGER%202014\400-Technical\402%20BCA\New%20Analysis%20Network%20Grade%20Crossings\MGCAM12032009%20-%20Test42614_Staples1.xlsm"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Trans/Grant%20Applications/2020%20Grants/INFRA/TH%2010%20Rum%20River/BCA/Example%20Workbook/DRAFT_BCA%20Workbook%20-%20Base.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rfgroup.loc\DFSMapK\Trans\Grant%20Applications\2020%20Grants\INFRA\TH%2010%20Rum%20River\BCA\Copy%20of%20TH%2010%20Rum%20River%20BCA%20Workbook_updated%20costs.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V:\CONTROLLER\AcctFin%20Report\Internal%20Rptg\CBS\2009\4th%20Quarter\CBS%20-%20Q4%202009.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CONTROLLER\Property%20Accounting\Reporting%20&amp;%20Analysis\Annual%20Reports\2006\R-1\330\Diverted%20WR.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F:\JunBAK\Atlanta\FINAL%20RUNS\Atlanta%20Optimization%202016\AMPK_fixtoll25_sellink\Create%20Summaries\AMPK_OD%20Markets_v2X.xlsm"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Documents%20and%20Settings\b145489\Local%20Settings\Temporary%20Internet%20Files\OLKB2\Purchase%20Accounting%20Run%20Off%204.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WINNT\Loco%20Depr%20Final.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Current\CurrentProperty\2006%20Depr%20Recalc.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Projects\09000\9320\TS\INFRA%20Grant\BCA%20Workbook%20-%20Bas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A-1 Portfolio Selling Costs"/>
      <sheetName val="A-2 Asset Disposition - Road"/>
      <sheetName val="A-2A Equipment Disposition"/>
      <sheetName val="A-2B Asset Disposition - Equip"/>
      <sheetName val="A-2B Equipment Disposition"/>
      <sheetName val="A-2C Amory South"/>
      <sheetName val="A-3 Star Lake Railroad"/>
      <sheetName val="A-4 At&amp;T Easement Refund"/>
      <sheetName val="A-5 Loco Overhal Accrual"/>
      <sheetName val="A-5a Overhaul Accrl"/>
      <sheetName val="A-6 CBM"/>
      <sheetName val="A-6a CBM Accounting Issues"/>
      <sheetName val="A-7 Depreciation Expense"/>
      <sheetName val="A-7a 2003 Depreciation"/>
      <sheetName val="A-8 Depr Rate Study"/>
      <sheetName val="A-7c Road Retirements"/>
      <sheetName val="A-7d Equip Retirements"/>
      <sheetName val="A-9 ARO"/>
      <sheetName val="A-10 Easement Sales"/>
      <sheetName val="A-11 Balance Sheet Recons"/>
      <sheetName val="A-11a Balance Sheet Recons"/>
      <sheetName val="DataValidation"/>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11">
          <cell r="B11">
            <v>2016</v>
          </cell>
          <cell r="C11">
            <v>11</v>
          </cell>
          <cell r="D11" t="str">
            <v>PROPERTY - PURCHASE ACCOUNTING ADJ</v>
          </cell>
          <cell r="E11" t="str">
            <v>JLN</v>
          </cell>
          <cell r="F11">
            <v>1475975340.6400001</v>
          </cell>
          <cell r="G11">
            <v>1475975340.6400001</v>
          </cell>
          <cell r="I11">
            <v>0</v>
          </cell>
          <cell r="J11" t="str">
            <v>Amortization Schedule</v>
          </cell>
        </row>
        <row r="12">
          <cell r="B12">
            <v>2150</v>
          </cell>
          <cell r="C12">
            <v>11</v>
          </cell>
          <cell r="D12" t="str">
            <v>CAPITALIZED LEASES - PASCO FUELING FACILITY</v>
          </cell>
          <cell r="E12" t="str">
            <v>LMH</v>
          </cell>
          <cell r="F12">
            <v>1159011</v>
          </cell>
          <cell r="G12">
            <v>1159011</v>
          </cell>
          <cell r="I12">
            <v>0</v>
          </cell>
          <cell r="J12" t="str">
            <v>No activity recorded until retirement; history.</v>
          </cell>
        </row>
        <row r="13">
          <cell r="B13">
            <v>2151</v>
          </cell>
          <cell r="C13">
            <v>11</v>
          </cell>
          <cell r="D13" t="str">
            <v>CAPITALIZED LEASES - EQUIPMENT</v>
          </cell>
          <cell r="E13" t="str">
            <v>LMH</v>
          </cell>
          <cell r="F13">
            <v>20643026.460000001</v>
          </cell>
          <cell r="G13">
            <v>20643026.460000001</v>
          </cell>
          <cell r="I13">
            <v>0</v>
          </cell>
          <cell r="J13" t="str">
            <v>No activity recorded until retirement; history.</v>
          </cell>
        </row>
        <row r="14">
          <cell r="B14">
            <v>2152</v>
          </cell>
          <cell r="C14">
            <v>11</v>
          </cell>
          <cell r="D14" t="str">
            <v>CAPITALIZED LEASES - BN DOCK</v>
          </cell>
          <cell r="E14" t="str">
            <v>JLN</v>
          </cell>
          <cell r="F14">
            <v>8400000</v>
          </cell>
          <cell r="G14">
            <v>8400000</v>
          </cell>
          <cell r="I14">
            <v>0</v>
          </cell>
          <cell r="J14" t="str">
            <v>Amortization Schedule</v>
          </cell>
        </row>
        <row r="15">
          <cell r="B15">
            <v>2153</v>
          </cell>
          <cell r="C15">
            <v>11</v>
          </cell>
          <cell r="D15" t="str">
            <v>CAPITALIZED LEASES - SIDLOADER</v>
          </cell>
          <cell r="E15" t="str">
            <v>HKL</v>
          </cell>
          <cell r="F15">
            <v>629303</v>
          </cell>
          <cell r="G15">
            <v>629303</v>
          </cell>
          <cell r="I15">
            <v>0</v>
          </cell>
          <cell r="J15" t="str">
            <v>Amortization Schedule</v>
          </cell>
        </row>
        <row r="16">
          <cell r="B16">
            <v>2154</v>
          </cell>
          <cell r="C16">
            <v>11</v>
          </cell>
          <cell r="D16" t="str">
            <v>CAPITALIZED LEASES - JOLIET ARSENAL</v>
          </cell>
          <cell r="E16" t="str">
            <v>LMH</v>
          </cell>
          <cell r="F16">
            <v>138231000</v>
          </cell>
          <cell r="G16">
            <v>138231000</v>
          </cell>
          <cell r="I16">
            <v>0</v>
          </cell>
          <cell r="J16" t="str">
            <v>Amortization Schedule</v>
          </cell>
        </row>
        <row r="17">
          <cell r="B17">
            <v>2165</v>
          </cell>
          <cell r="C17">
            <v>11</v>
          </cell>
          <cell r="D17" t="str">
            <v>CAPITALIZED LEASES - LOCOMOTIVES</v>
          </cell>
          <cell r="E17" t="str">
            <v>HKL</v>
          </cell>
          <cell r="F17">
            <v>1198965775</v>
          </cell>
          <cell r="G17">
            <v>1198965775</v>
          </cell>
          <cell r="I17">
            <v>0</v>
          </cell>
          <cell r="J17" t="str">
            <v>Mechanical's Forecast</v>
          </cell>
        </row>
        <row r="18">
          <cell r="B18" t="str">
            <v>2180</v>
          </cell>
          <cell r="C18">
            <v>11</v>
          </cell>
          <cell r="D18" t="str">
            <v>CAPITALIZATION OF INT ROAD</v>
          </cell>
          <cell r="E18" t="str">
            <v>JLN</v>
          </cell>
          <cell r="F18">
            <v>164570221.06</v>
          </cell>
          <cell r="G18">
            <v>164570221.06</v>
          </cell>
          <cell r="I18">
            <v>0</v>
          </cell>
          <cell r="J18" t="str">
            <v>Amortization Schedule</v>
          </cell>
        </row>
        <row r="19">
          <cell r="B19" t="str">
            <v>2181</v>
          </cell>
          <cell r="C19">
            <v>11</v>
          </cell>
          <cell r="D19" t="str">
            <v>CAPITALIZATION OF INT EQPM</v>
          </cell>
          <cell r="E19" t="str">
            <v>JLN</v>
          </cell>
          <cell r="F19">
            <v>4569684.6399999997</v>
          </cell>
          <cell r="G19">
            <v>4569684.6399999997</v>
          </cell>
          <cell r="I19">
            <v>0</v>
          </cell>
          <cell r="J19" t="str">
            <v>Amortization Schedule</v>
          </cell>
        </row>
        <row r="20">
          <cell r="B20" t="str">
            <v>2190</v>
          </cell>
          <cell r="C20">
            <v>11</v>
          </cell>
          <cell r="D20" t="str">
            <v>AMORT OF CAPITALIZED INT-RD</v>
          </cell>
          <cell r="E20" t="str">
            <v>JLN</v>
          </cell>
          <cell r="F20">
            <v>-47740887.450000003</v>
          </cell>
          <cell r="G20">
            <v>-47740887.450000003</v>
          </cell>
          <cell r="I20">
            <v>0</v>
          </cell>
          <cell r="J20" t="str">
            <v>Amortization Schedule</v>
          </cell>
        </row>
        <row r="21">
          <cell r="B21" t="str">
            <v>2191</v>
          </cell>
          <cell r="C21">
            <v>11</v>
          </cell>
          <cell r="D21" t="str">
            <v>AMORT OF CAPITALIZED INT -EQ</v>
          </cell>
          <cell r="E21" t="str">
            <v>JLN</v>
          </cell>
          <cell r="F21">
            <v>-3379385.94</v>
          </cell>
          <cell r="G21">
            <v>-3379385.94</v>
          </cell>
          <cell r="I21">
            <v>0</v>
          </cell>
          <cell r="J21" t="str">
            <v>Amortization Schedule</v>
          </cell>
        </row>
        <row r="22">
          <cell r="B22">
            <v>2329</v>
          </cell>
          <cell r="C22">
            <v>11</v>
          </cell>
          <cell r="D22" t="str">
            <v>DEPRECIATION - PURCHASE ACCTG ADJ</v>
          </cell>
          <cell r="E22" t="str">
            <v>JLN</v>
          </cell>
          <cell r="F22">
            <v>1301601706.1400001</v>
          </cell>
          <cell r="G22">
            <v>1301601706.1400001</v>
          </cell>
          <cell r="I22">
            <v>0</v>
          </cell>
          <cell r="J22" t="str">
            <v>Schedule</v>
          </cell>
        </row>
        <row r="23">
          <cell r="B23" t="str">
            <v>2650</v>
          </cell>
          <cell r="C23">
            <v>8</v>
          </cell>
          <cell r="D23" t="str">
            <v>OTHER TAX PLANNING INVESTMENTS</v>
          </cell>
          <cell r="E23" t="str">
            <v>LMH</v>
          </cell>
          <cell r="F23">
            <v>22906207.09</v>
          </cell>
          <cell r="G23">
            <v>22906207.09</v>
          </cell>
          <cell r="I23">
            <v>0</v>
          </cell>
          <cell r="J23" t="str">
            <v>Capital, Apex, Tax, and Property magt. Forecast</v>
          </cell>
        </row>
        <row r="24">
          <cell r="B24">
            <v>2651</v>
          </cell>
          <cell r="C24">
            <v>8</v>
          </cell>
          <cell r="D24" t="str">
            <v>LIKE-KIND EXCHANGE PROPERTIES</v>
          </cell>
          <cell r="E24" t="str">
            <v>LMH</v>
          </cell>
          <cell r="F24">
            <v>0</v>
          </cell>
          <cell r="G24">
            <v>0</v>
          </cell>
          <cell r="I24">
            <v>0</v>
          </cell>
          <cell r="J24" t="str">
            <v>History</v>
          </cell>
        </row>
        <row r="25">
          <cell r="B25">
            <v>2652</v>
          </cell>
          <cell r="C25">
            <v>8</v>
          </cell>
          <cell r="D25" t="str">
            <v>EQUIPMENT INVESTING ACTIVITY</v>
          </cell>
          <cell r="E25" t="str">
            <v>HKL</v>
          </cell>
          <cell r="F25">
            <v>168253.2</v>
          </cell>
          <cell r="G25">
            <v>168253.2</v>
          </cell>
          <cell r="I25">
            <v>0</v>
          </cell>
          <cell r="J25" t="str">
            <v>Financing schedules</v>
          </cell>
        </row>
        <row r="26">
          <cell r="B26">
            <v>2657</v>
          </cell>
          <cell r="C26">
            <v>8</v>
          </cell>
          <cell r="D26" t="str">
            <v>GE EQUIPMENT VOUCHERS</v>
          </cell>
          <cell r="E26" t="str">
            <v>HKL</v>
          </cell>
          <cell r="F26">
            <v>3701845</v>
          </cell>
          <cell r="G26">
            <v>3701845</v>
          </cell>
          <cell r="I26">
            <v>0</v>
          </cell>
          <cell r="J26" t="str">
            <v>Interest Schedule</v>
          </cell>
        </row>
        <row r="27">
          <cell r="B27">
            <v>2811</v>
          </cell>
          <cell r="C27">
            <v>9</v>
          </cell>
          <cell r="D27" t="str">
            <v>APEX ASSETS</v>
          </cell>
          <cell r="E27" t="str">
            <v>LMH</v>
          </cell>
          <cell r="F27">
            <v>18024796.41</v>
          </cell>
          <cell r="I27">
            <v>6583737</v>
          </cell>
          <cell r="J27" t="str">
            <v>Land reconciliation, APEX Summary, APEX Forecast</v>
          </cell>
        </row>
        <row r="28">
          <cell r="B28">
            <v>2902</v>
          </cell>
          <cell r="C28">
            <v>8</v>
          </cell>
          <cell r="D28" t="str">
            <v>OTHER EXPEND. ON NON-RAIL PROPERTY</v>
          </cell>
          <cell r="E28" t="str">
            <v>LMH</v>
          </cell>
          <cell r="F28">
            <v>39328559.509999998</v>
          </cell>
          <cell r="G28">
            <v>39328559.509999998</v>
          </cell>
          <cell r="I28">
            <v>0</v>
          </cell>
          <cell r="J28" t="str">
            <v>Schedule</v>
          </cell>
        </row>
        <row r="29">
          <cell r="B29">
            <v>2907</v>
          </cell>
          <cell r="C29">
            <v>9</v>
          </cell>
          <cell r="D29" t="str">
            <v>CAPITAL LEASE - ARGENTINE FLYOVER</v>
          </cell>
          <cell r="E29" t="str">
            <v>LMH</v>
          </cell>
          <cell r="F29">
            <v>15795289.48</v>
          </cell>
          <cell r="G29">
            <v>15795289.48</v>
          </cell>
          <cell r="I29">
            <v>0</v>
          </cell>
          <cell r="J29" t="str">
            <v>Schedule</v>
          </cell>
        </row>
        <row r="30">
          <cell r="B30" t="str">
            <v>340E</v>
          </cell>
          <cell r="C30">
            <v>14</v>
          </cell>
          <cell r="D30" t="str">
            <v>PORTFOLIO SELLING COSTS</v>
          </cell>
          <cell r="E30" t="str">
            <v>DLB</v>
          </cell>
          <cell r="F30">
            <v>1522235.48</v>
          </cell>
          <cell r="G30">
            <v>1522235.48</v>
          </cell>
          <cell r="I30">
            <v>0</v>
          </cell>
          <cell r="J30" t="str">
            <v>History, AP Millennium Query</v>
          </cell>
        </row>
        <row r="31">
          <cell r="B31" t="str">
            <v>340L</v>
          </cell>
          <cell r="C31">
            <v>14</v>
          </cell>
          <cell r="D31" t="str">
            <v>FIBER OPTIC SELLING COSTS</v>
          </cell>
          <cell r="E31" t="str">
            <v>DLB</v>
          </cell>
          <cell r="F31">
            <v>0</v>
          </cell>
          <cell r="G31">
            <v>0</v>
          </cell>
          <cell r="I31">
            <v>0</v>
          </cell>
          <cell r="J31" t="str">
            <v>History, AP Millennium Query</v>
          </cell>
        </row>
        <row r="32">
          <cell r="B32">
            <v>3401</v>
          </cell>
          <cell r="C32">
            <v>18</v>
          </cell>
          <cell r="D32" t="str">
            <v>LOCOMOTIVE FREIGHT CAR PURCHASES</v>
          </cell>
          <cell r="E32" t="str">
            <v>HKL</v>
          </cell>
          <cell r="F32">
            <v>0</v>
          </cell>
          <cell r="G32">
            <v>0</v>
          </cell>
          <cell r="I32">
            <v>0</v>
          </cell>
          <cell r="J32" t="str">
            <v>Financing schedules, invoices</v>
          </cell>
        </row>
        <row r="33">
          <cell r="B33">
            <v>3475</v>
          </cell>
          <cell r="C33">
            <v>16</v>
          </cell>
          <cell r="D33" t="str">
            <v>LOCOMOTIVE LEASES - SHORT TERM</v>
          </cell>
          <cell r="E33" t="str">
            <v>HKL</v>
          </cell>
          <cell r="F33">
            <v>8373388</v>
          </cell>
          <cell r="G33">
            <v>8373387</v>
          </cell>
          <cell r="I33">
            <v>1</v>
          </cell>
          <cell r="J33" t="str">
            <v>Forecast, invoices</v>
          </cell>
        </row>
        <row r="34">
          <cell r="B34">
            <v>3477</v>
          </cell>
          <cell r="C34">
            <v>16</v>
          </cell>
          <cell r="D34" t="str">
            <v>LOCOMOTIVE LEASES - CURRENT</v>
          </cell>
          <cell r="E34" t="str">
            <v>HKL</v>
          </cell>
          <cell r="F34">
            <v>35750894</v>
          </cell>
          <cell r="G34">
            <v>35750894</v>
          </cell>
          <cell r="I34">
            <v>0</v>
          </cell>
          <cell r="J34" t="str">
            <v>Forecast, invoices</v>
          </cell>
        </row>
        <row r="35">
          <cell r="B35" t="str">
            <v>3920</v>
          </cell>
          <cell r="C35">
            <v>17</v>
          </cell>
          <cell r="D35" t="str">
            <v>LEASE OVERHAUL LIABILITY - CURRENT</v>
          </cell>
          <cell r="E35" t="str">
            <v>HKL</v>
          </cell>
          <cell r="F35">
            <v>-43961530</v>
          </cell>
          <cell r="G35">
            <v>-43961530</v>
          </cell>
          <cell r="I35">
            <v>0</v>
          </cell>
          <cell r="J35" t="str">
            <v>Mechanical's Forecast, Millennium Query</v>
          </cell>
        </row>
        <row r="36">
          <cell r="B36">
            <v>4744</v>
          </cell>
          <cell r="C36">
            <v>25</v>
          </cell>
          <cell r="D36" t="str">
            <v>LOCOMOTIVE LEASES - LONG TERM</v>
          </cell>
          <cell r="E36" t="str">
            <v>HKL</v>
          </cell>
          <cell r="F36">
            <v>104005382</v>
          </cell>
          <cell r="G36">
            <v>104005382</v>
          </cell>
          <cell r="I36">
            <v>0</v>
          </cell>
          <cell r="J36" t="str">
            <v>Forecast, invoices and Millennium Query</v>
          </cell>
        </row>
        <row r="37">
          <cell r="B37">
            <v>4915</v>
          </cell>
          <cell r="C37">
            <v>26</v>
          </cell>
          <cell r="D37" t="str">
            <v>DEFERRED GAINS ON EQUIPMENT</v>
          </cell>
          <cell r="E37" t="str">
            <v>HKL</v>
          </cell>
          <cell r="F37">
            <v>101061552</v>
          </cell>
          <cell r="G37">
            <v>101061552</v>
          </cell>
          <cell r="I37">
            <v>0</v>
          </cell>
          <cell r="J37" t="str">
            <v>Amortization Schedule</v>
          </cell>
        </row>
        <row r="38">
          <cell r="B38" t="str">
            <v>4918</v>
          </cell>
          <cell r="C38">
            <v>26</v>
          </cell>
          <cell r="D38" t="str">
            <v>LEASE OVERHAUL LIABILITY-DEFERRED</v>
          </cell>
          <cell r="E38" t="str">
            <v>HKL</v>
          </cell>
          <cell r="F38">
            <v>-52807920</v>
          </cell>
          <cell r="G38">
            <v>-52807920</v>
          </cell>
          <cell r="I38">
            <v>0</v>
          </cell>
          <cell r="J38" t="str">
            <v>Mechanical's Forecast, Millennium Query</v>
          </cell>
        </row>
        <row r="40">
          <cell r="B40" t="str">
            <v>Various</v>
          </cell>
          <cell r="C40">
            <v>11</v>
          </cell>
          <cell r="D40" t="str">
            <v>PROPERTY INVESTMENT</v>
          </cell>
          <cell r="E40" t="str">
            <v>JLN</v>
          </cell>
          <cell r="F40">
            <v>28904858347.290001</v>
          </cell>
          <cell r="H40" t="str">
            <v>B</v>
          </cell>
          <cell r="I40">
            <v>28904858347.290001</v>
          </cell>
          <cell r="J40" t="str">
            <v>Accts 2010, 2011, 2012, 2013, 2014, 2016, 2031, 2100, 2101, 2102, 2103, 2121, 2131, 2150, 2151, 2165, 2180, 2181, 2200, 2201, 2202, 2203, 2250, 2251, 2252</v>
          </cell>
        </row>
        <row r="42">
          <cell r="B42" t="str">
            <v>Various</v>
          </cell>
          <cell r="C42">
            <v>12</v>
          </cell>
          <cell r="D42" t="str">
            <v>PROPERTY ACCUMULATED DEPRECIATION</v>
          </cell>
          <cell r="E42" t="str">
            <v>JLN</v>
          </cell>
          <cell r="F42">
            <v>-4883391731.2799997</v>
          </cell>
          <cell r="H42" t="str">
            <v>B</v>
          </cell>
          <cell r="I42">
            <v>-4883391731.2799997</v>
          </cell>
          <cell r="J42" t="str">
            <v>Accts 2300, 2301, 2302, 2303, 2314, 2328, 2329, 2330, 2350, 2351, 2361, 2364, 2365, 2400, 2401, 2402, 2403, 2450, 2452, 2470</v>
          </cell>
        </row>
      </sheetData>
      <sheetData sheetId="22"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January 08"/>
      <sheetName val="February 08"/>
      <sheetName val="March 08"/>
      <sheetName val="April 08"/>
      <sheetName val="May 08"/>
      <sheetName val="June 08"/>
      <sheetName val="July 08"/>
      <sheetName val="August 08"/>
      <sheetName val="September 08"/>
      <sheetName val="October 08"/>
      <sheetName val="November 08"/>
      <sheetName val="YTD08"/>
      <sheetName val="December 08"/>
      <sheetName val="Journal Entry"/>
      <sheetName val="Non-Cash Entry"/>
    </sheetNames>
    <sheetDataSet>
      <sheetData sheetId="0"/>
      <sheetData sheetId="1"/>
      <sheetData sheetId="2"/>
      <sheetData sheetId="3"/>
      <sheetData sheetId="4"/>
      <sheetData sheetId="5"/>
      <sheetData sheetId="6"/>
      <sheetData sheetId="7"/>
      <sheetData sheetId="8"/>
      <sheetData sheetId="9"/>
      <sheetData sheetId="10"/>
      <sheetData sheetId="11" refreshError="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del Overview &amp; Paramters"/>
      <sheetName val="Spreadsheet Overview"/>
      <sheetName val="Data Dictionary"/>
      <sheetName val="Assumptions"/>
      <sheetName val="Improvement Types"/>
      <sheetName val="Data"/>
      <sheetName val="Crossing Improvements"/>
      <sheetName val="Model"/>
      <sheetName val="Crossing Model Summary"/>
      <sheetName val="County Level Summary"/>
      <sheetName val="Summary"/>
      <sheetName val="Summary wo Surfacing"/>
      <sheetName val="EF Calcs"/>
      <sheetName val="Accident Calcs"/>
      <sheetName val="Delay &amp; Time-in-Queue"/>
      <sheetName val="VOC &amp; Emissions Savings"/>
      <sheetName val="CPI Raw Data"/>
      <sheetName val="PPI Raw Data"/>
      <sheetName val="hpms_2007"/>
      <sheetName val="ACCIDENT DATA 2000"/>
      <sheetName val="ACCIDENT DATA 2001"/>
      <sheetName val="ACCIDENT DATA 2002"/>
      <sheetName val="ACCIDENT DATA 2003"/>
      <sheetName val="ACCIDENT DATA 2004"/>
      <sheetName val="ACCIDENT DATA 2005"/>
      <sheetName val="ACCIDENT DATA 2006"/>
      <sheetName val="ACCIDENT DATA 2007"/>
      <sheetName val="ACCIDENT DATA 2008"/>
    </sheetNames>
    <sheetDataSet>
      <sheetData sheetId="0" refreshError="1"/>
      <sheetData sheetId="1" refreshError="1"/>
      <sheetData sheetId="2" refreshError="1"/>
      <sheetData sheetId="3">
        <row r="3">
          <cell r="C3">
            <v>2.5000000000000001E-3</v>
          </cell>
        </row>
        <row r="5">
          <cell r="C5">
            <v>7.0000000000000007E-2</v>
          </cell>
        </row>
        <row r="6">
          <cell r="C6">
            <v>1.6</v>
          </cell>
        </row>
      </sheetData>
      <sheetData sheetId="4" refreshError="1"/>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ssumptions"/>
      <sheetName val="BCA Summary"/>
      <sheetName val="Annualized Operations"/>
      <sheetName val="User Benefits (VHT) - Network"/>
      <sheetName val="User Benefits (VHT) - Corridor"/>
      <sheetName val="User Benefits (VHT) - Nodal"/>
      <sheetName val="Operation Benefits (VMT) - Netw"/>
      <sheetName val="Operation Benefits (VMT) - Corr"/>
      <sheetName val="Safety Benefits"/>
      <sheetName val="Air Quality"/>
      <sheetName val="RCV Calc"/>
      <sheetName val="Operation and Maintenance"/>
      <sheetName val="WisDOT TT Tool Input - No Build"/>
      <sheetName val="WisDOT TT Tool Input - Build"/>
      <sheetName val="WisDOT Travel Time Tool Output"/>
      <sheetName val="GDP Deflator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ssumptions"/>
      <sheetName val="BCA Summary"/>
      <sheetName val="Safety Benefits"/>
      <sheetName val="Travel Time Savings (Summary)"/>
      <sheetName val="Travel Time Savings (Ferry St)"/>
      <sheetName val="Travel Time Savings (TH 10)"/>
      <sheetName val="Travel Time Savings (4th Ave)"/>
      <sheetName val="Capital Cost and RCV Calc"/>
      <sheetName val="Operation and Maintenance"/>
      <sheetName val="RCV Calculator"/>
    </sheetNames>
    <sheetDataSet>
      <sheetData sheetId="0">
        <row r="5">
          <cell r="D5">
            <v>2020</v>
          </cell>
        </row>
      </sheetData>
      <sheetData sheetId="1"/>
      <sheetData sheetId="2"/>
      <sheetData sheetId="3"/>
      <sheetData sheetId="4"/>
      <sheetData sheetId="5"/>
      <sheetData sheetId="6"/>
      <sheetData sheetId="7"/>
      <sheetData sheetId="8"/>
      <sheetData sheetId="9">
        <row r="15">
          <cell r="N15">
            <v>0.99668901533542642</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ExRepositorySheet"/>
      <sheetName val="CBS"/>
      <sheetName val="Signature-not used"/>
      <sheetName val="Q4 09 BS Leads"/>
      <sheetName val="Current"/>
      <sheetName val="PPE-Other Current 10-Q Recon"/>
      <sheetName val="Current 10-K Recon"/>
      <sheetName val="12.31.08"/>
      <sheetName val="12.31.08 10-K Recon"/>
      <sheetName val="12.31.08 PPE 10-K Recon"/>
      <sheetName val="Q3 09 Rail BS Leads"/>
      <sheetName val="Q2 09 Rail BS Leads"/>
      <sheetName val="PriorQ4"/>
      <sheetName val="PriorQ3"/>
      <sheetName val="Prior Q2"/>
      <sheetName val="PriorQ1"/>
      <sheetName val="PPE-Other Q3-09 10-Q Recon"/>
      <sheetName val="PPE-Other Q2-09 10-Q Recon"/>
      <sheetName val="PPE-Other Sep08 10-Q Recon"/>
      <sheetName val="Prior 10-Q Recon"/>
      <sheetName val="R-1 220"/>
      <sheetName val="R-1 220 revised 021710"/>
      <sheetName val="R-1 220 revised 022610"/>
      <sheetName val="220 Support"/>
      <sheetName val="R-1 230"/>
      <sheetName val="R-1 460"/>
      <sheetName val="Variance Analysis Q409 vs Q408"/>
      <sheetName val="Variance Analysis-old"/>
      <sheetName val="Q3.09 vs Q3.08 &amp; Q4.08"/>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CC Conversion"/>
      <sheetName val="Historical"/>
      <sheetName val="Current"/>
      <sheetName val="Sheet3"/>
    </sheetNames>
    <sheetDataSet>
      <sheetData sheetId="0">
        <row r="1">
          <cell r="A1">
            <v>100</v>
          </cell>
          <cell r="B1">
            <v>2</v>
          </cell>
        </row>
        <row r="2">
          <cell r="A2">
            <v>105</v>
          </cell>
          <cell r="B2">
            <v>3</v>
          </cell>
        </row>
        <row r="3">
          <cell r="A3">
            <v>106</v>
          </cell>
          <cell r="B3">
            <v>3</v>
          </cell>
        </row>
        <row r="4">
          <cell r="A4">
            <v>120</v>
          </cell>
          <cell r="B4">
            <v>4</v>
          </cell>
        </row>
        <row r="5">
          <cell r="A5">
            <v>121</v>
          </cell>
          <cell r="B5">
            <v>4</v>
          </cell>
        </row>
        <row r="6">
          <cell r="A6">
            <v>122</v>
          </cell>
          <cell r="B6">
            <v>4</v>
          </cell>
        </row>
        <row r="7">
          <cell r="A7">
            <v>123</v>
          </cell>
          <cell r="B7">
            <v>4</v>
          </cell>
        </row>
        <row r="8">
          <cell r="A8">
            <v>125</v>
          </cell>
          <cell r="B8">
            <v>5</v>
          </cell>
        </row>
        <row r="9">
          <cell r="A9">
            <v>126</v>
          </cell>
          <cell r="B9">
            <v>5</v>
          </cell>
        </row>
        <row r="10">
          <cell r="A10">
            <v>130</v>
          </cell>
          <cell r="B10">
            <v>6</v>
          </cell>
        </row>
        <row r="11">
          <cell r="A11">
            <v>150</v>
          </cell>
          <cell r="B11">
            <v>8</v>
          </cell>
        </row>
        <row r="12">
          <cell r="A12">
            <v>151</v>
          </cell>
          <cell r="B12">
            <v>8</v>
          </cell>
        </row>
        <row r="13">
          <cell r="A13">
            <v>152</v>
          </cell>
          <cell r="B13">
            <v>8</v>
          </cell>
        </row>
        <row r="14">
          <cell r="A14">
            <v>153</v>
          </cell>
          <cell r="B14">
            <v>8</v>
          </cell>
        </row>
        <row r="15">
          <cell r="A15">
            <v>154</v>
          </cell>
          <cell r="B15">
            <v>8</v>
          </cell>
        </row>
        <row r="16">
          <cell r="A16">
            <v>155</v>
          </cell>
          <cell r="B16">
            <v>8</v>
          </cell>
        </row>
        <row r="17">
          <cell r="A17">
            <v>156</v>
          </cell>
          <cell r="B17">
            <v>8</v>
          </cell>
        </row>
        <row r="18">
          <cell r="A18">
            <v>157</v>
          </cell>
          <cell r="B18">
            <v>8</v>
          </cell>
        </row>
        <row r="19">
          <cell r="A19">
            <v>158</v>
          </cell>
          <cell r="B19">
            <v>8</v>
          </cell>
        </row>
        <row r="20">
          <cell r="A20">
            <v>159</v>
          </cell>
          <cell r="B20">
            <v>8</v>
          </cell>
        </row>
        <row r="21">
          <cell r="A21">
            <v>160</v>
          </cell>
          <cell r="B21">
            <v>8</v>
          </cell>
        </row>
        <row r="22">
          <cell r="A22">
            <v>161</v>
          </cell>
          <cell r="B22">
            <v>8</v>
          </cell>
        </row>
        <row r="23">
          <cell r="A23">
            <v>162</v>
          </cell>
          <cell r="B23">
            <v>8</v>
          </cell>
        </row>
        <row r="24">
          <cell r="A24">
            <v>163</v>
          </cell>
          <cell r="B24">
            <v>8</v>
          </cell>
        </row>
        <row r="25">
          <cell r="A25">
            <v>164</v>
          </cell>
          <cell r="B25">
            <v>8</v>
          </cell>
        </row>
        <row r="26">
          <cell r="A26">
            <v>165</v>
          </cell>
          <cell r="B26">
            <v>8</v>
          </cell>
        </row>
        <row r="27">
          <cell r="A27">
            <v>166</v>
          </cell>
          <cell r="B27">
            <v>8</v>
          </cell>
        </row>
        <row r="28">
          <cell r="A28">
            <v>167</v>
          </cell>
          <cell r="B28">
            <v>8</v>
          </cell>
        </row>
        <row r="29">
          <cell r="A29">
            <v>168</v>
          </cell>
          <cell r="B29">
            <v>8</v>
          </cell>
        </row>
        <row r="30">
          <cell r="A30">
            <v>169</v>
          </cell>
          <cell r="B30">
            <v>8</v>
          </cell>
        </row>
        <row r="31">
          <cell r="A31">
            <v>170</v>
          </cell>
          <cell r="B31">
            <v>8</v>
          </cell>
        </row>
        <row r="32">
          <cell r="A32">
            <v>171</v>
          </cell>
          <cell r="B32">
            <v>8</v>
          </cell>
        </row>
        <row r="33">
          <cell r="A33">
            <v>172</v>
          </cell>
          <cell r="B33">
            <v>8</v>
          </cell>
        </row>
        <row r="34">
          <cell r="A34">
            <v>173</v>
          </cell>
          <cell r="B34">
            <v>8</v>
          </cell>
        </row>
        <row r="35">
          <cell r="A35">
            <v>174</v>
          </cell>
          <cell r="B35">
            <v>8</v>
          </cell>
        </row>
        <row r="36">
          <cell r="A36">
            <v>175</v>
          </cell>
          <cell r="B36">
            <v>8</v>
          </cell>
        </row>
        <row r="37">
          <cell r="A37">
            <v>176</v>
          </cell>
          <cell r="B37">
            <v>8</v>
          </cell>
        </row>
        <row r="38">
          <cell r="A38">
            <v>177</v>
          </cell>
          <cell r="B38">
            <v>8</v>
          </cell>
        </row>
        <row r="39">
          <cell r="A39">
            <v>178</v>
          </cell>
          <cell r="B39">
            <v>8</v>
          </cell>
        </row>
        <row r="40">
          <cell r="A40">
            <v>179</v>
          </cell>
          <cell r="B40">
            <v>8</v>
          </cell>
        </row>
        <row r="41">
          <cell r="A41">
            <v>180</v>
          </cell>
          <cell r="B41">
            <v>8</v>
          </cell>
        </row>
        <row r="42">
          <cell r="A42">
            <v>181</v>
          </cell>
          <cell r="B42">
            <v>8</v>
          </cell>
        </row>
        <row r="43">
          <cell r="A43">
            <v>182</v>
          </cell>
          <cell r="B43">
            <v>8</v>
          </cell>
        </row>
        <row r="44">
          <cell r="A44">
            <v>183</v>
          </cell>
          <cell r="B44">
            <v>8</v>
          </cell>
        </row>
        <row r="45">
          <cell r="A45">
            <v>184</v>
          </cell>
          <cell r="B45">
            <v>8</v>
          </cell>
        </row>
        <row r="46">
          <cell r="A46">
            <v>185</v>
          </cell>
          <cell r="B46">
            <v>8</v>
          </cell>
        </row>
        <row r="47">
          <cell r="A47">
            <v>186</v>
          </cell>
          <cell r="B47">
            <v>8</v>
          </cell>
        </row>
        <row r="48">
          <cell r="A48">
            <v>187</v>
          </cell>
          <cell r="B48">
            <v>8</v>
          </cell>
        </row>
        <row r="49">
          <cell r="A49">
            <v>188</v>
          </cell>
          <cell r="B49">
            <v>8</v>
          </cell>
        </row>
        <row r="50">
          <cell r="A50">
            <v>189</v>
          </cell>
          <cell r="B50">
            <v>8</v>
          </cell>
        </row>
        <row r="51">
          <cell r="A51">
            <v>190</v>
          </cell>
          <cell r="B51">
            <v>8</v>
          </cell>
        </row>
        <row r="52">
          <cell r="A52">
            <v>191</v>
          </cell>
          <cell r="B52">
            <v>8</v>
          </cell>
        </row>
        <row r="53">
          <cell r="A53">
            <v>192</v>
          </cell>
          <cell r="B53">
            <v>8</v>
          </cell>
        </row>
        <row r="54">
          <cell r="A54">
            <v>193</v>
          </cell>
          <cell r="B54">
            <v>8</v>
          </cell>
        </row>
        <row r="55">
          <cell r="A55">
            <v>194</v>
          </cell>
          <cell r="B55">
            <v>8</v>
          </cell>
        </row>
        <row r="56">
          <cell r="A56">
            <v>200</v>
          </cell>
          <cell r="B56">
            <v>9</v>
          </cell>
        </row>
        <row r="57">
          <cell r="A57">
            <v>201</v>
          </cell>
          <cell r="B57">
            <v>9</v>
          </cell>
        </row>
        <row r="58">
          <cell r="A58">
            <v>202</v>
          </cell>
          <cell r="B58">
            <v>9</v>
          </cell>
        </row>
        <row r="59">
          <cell r="A59">
            <v>203</v>
          </cell>
          <cell r="B59">
            <v>9</v>
          </cell>
        </row>
        <row r="60">
          <cell r="A60">
            <v>204</v>
          </cell>
          <cell r="B60">
            <v>9</v>
          </cell>
        </row>
        <row r="61">
          <cell r="A61">
            <v>205</v>
          </cell>
          <cell r="B61">
            <v>9</v>
          </cell>
        </row>
        <row r="62">
          <cell r="A62">
            <v>206</v>
          </cell>
          <cell r="B62">
            <v>9</v>
          </cell>
        </row>
        <row r="63">
          <cell r="A63">
            <v>207</v>
          </cell>
          <cell r="B63">
            <v>9</v>
          </cell>
        </row>
        <row r="64">
          <cell r="A64">
            <v>208</v>
          </cell>
          <cell r="B64">
            <v>9</v>
          </cell>
        </row>
        <row r="65">
          <cell r="A65">
            <v>209</v>
          </cell>
          <cell r="B65">
            <v>9</v>
          </cell>
        </row>
        <row r="66">
          <cell r="A66">
            <v>210</v>
          </cell>
          <cell r="B66">
            <v>9</v>
          </cell>
        </row>
        <row r="67">
          <cell r="A67">
            <v>211</v>
          </cell>
          <cell r="B67">
            <v>9</v>
          </cell>
        </row>
        <row r="68">
          <cell r="A68">
            <v>212</v>
          </cell>
          <cell r="B68">
            <v>9</v>
          </cell>
        </row>
        <row r="69">
          <cell r="A69">
            <v>213</v>
          </cell>
          <cell r="B69">
            <v>9</v>
          </cell>
        </row>
        <row r="70">
          <cell r="A70">
            <v>214</v>
          </cell>
          <cell r="B70">
            <v>9</v>
          </cell>
        </row>
        <row r="71">
          <cell r="A71">
            <v>215</v>
          </cell>
          <cell r="B71">
            <v>9</v>
          </cell>
        </row>
        <row r="72">
          <cell r="A72">
            <v>216</v>
          </cell>
          <cell r="B72">
            <v>9</v>
          </cell>
        </row>
        <row r="73">
          <cell r="A73">
            <v>217</v>
          </cell>
          <cell r="B73">
            <v>9</v>
          </cell>
        </row>
        <row r="74">
          <cell r="A74">
            <v>218</v>
          </cell>
          <cell r="B74">
            <v>9</v>
          </cell>
        </row>
        <row r="75">
          <cell r="A75">
            <v>219</v>
          </cell>
          <cell r="B75">
            <v>9</v>
          </cell>
        </row>
        <row r="76">
          <cell r="A76">
            <v>220</v>
          </cell>
          <cell r="B76">
            <v>9</v>
          </cell>
        </row>
        <row r="77">
          <cell r="A77">
            <v>221</v>
          </cell>
          <cell r="B77">
            <v>9</v>
          </cell>
        </row>
        <row r="78">
          <cell r="A78">
            <v>222</v>
          </cell>
          <cell r="B78">
            <v>9</v>
          </cell>
        </row>
        <row r="79">
          <cell r="A79">
            <v>223</v>
          </cell>
          <cell r="B79">
            <v>9</v>
          </cell>
        </row>
        <row r="80">
          <cell r="A80">
            <v>224</v>
          </cell>
          <cell r="B80">
            <v>9</v>
          </cell>
        </row>
        <row r="81">
          <cell r="A81">
            <v>225</v>
          </cell>
          <cell r="B81">
            <v>9</v>
          </cell>
        </row>
        <row r="82">
          <cell r="A82">
            <v>226</v>
          </cell>
          <cell r="B82">
            <v>9</v>
          </cell>
        </row>
        <row r="83">
          <cell r="A83">
            <v>227</v>
          </cell>
          <cell r="B83">
            <v>9</v>
          </cell>
        </row>
        <row r="84">
          <cell r="A84">
            <v>228</v>
          </cell>
          <cell r="B84">
            <v>9</v>
          </cell>
        </row>
        <row r="85">
          <cell r="A85">
            <v>229</v>
          </cell>
          <cell r="B85">
            <v>9</v>
          </cell>
        </row>
        <row r="86">
          <cell r="A86">
            <v>230</v>
          </cell>
          <cell r="B86">
            <v>9</v>
          </cell>
        </row>
        <row r="87">
          <cell r="A87">
            <v>231</v>
          </cell>
          <cell r="B87">
            <v>9</v>
          </cell>
        </row>
        <row r="88">
          <cell r="A88">
            <v>232</v>
          </cell>
          <cell r="B88">
            <v>9</v>
          </cell>
        </row>
        <row r="89">
          <cell r="A89">
            <v>233</v>
          </cell>
          <cell r="B89">
            <v>9</v>
          </cell>
        </row>
        <row r="90">
          <cell r="A90">
            <v>234</v>
          </cell>
          <cell r="B90">
            <v>9</v>
          </cell>
        </row>
        <row r="91">
          <cell r="A91">
            <v>235</v>
          </cell>
          <cell r="B91">
            <v>9</v>
          </cell>
        </row>
        <row r="92">
          <cell r="A92">
            <v>236</v>
          </cell>
          <cell r="B92">
            <v>9</v>
          </cell>
        </row>
        <row r="93">
          <cell r="A93">
            <v>237</v>
          </cell>
          <cell r="B93">
            <v>9</v>
          </cell>
        </row>
        <row r="94">
          <cell r="A94">
            <v>238</v>
          </cell>
          <cell r="B94">
            <v>9</v>
          </cell>
        </row>
        <row r="95">
          <cell r="A95">
            <v>239</v>
          </cell>
          <cell r="B95">
            <v>9</v>
          </cell>
        </row>
        <row r="96">
          <cell r="A96">
            <v>240</v>
          </cell>
          <cell r="B96">
            <v>9</v>
          </cell>
        </row>
        <row r="97">
          <cell r="A97">
            <v>241</v>
          </cell>
          <cell r="B97">
            <v>9</v>
          </cell>
        </row>
        <row r="98">
          <cell r="A98">
            <v>242</v>
          </cell>
          <cell r="B98">
            <v>9</v>
          </cell>
        </row>
        <row r="99">
          <cell r="A99">
            <v>243</v>
          </cell>
          <cell r="B99">
            <v>9</v>
          </cell>
        </row>
        <row r="100">
          <cell r="A100">
            <v>244</v>
          </cell>
          <cell r="B100">
            <v>9</v>
          </cell>
        </row>
        <row r="101">
          <cell r="A101">
            <v>245</v>
          </cell>
          <cell r="B101">
            <v>9</v>
          </cell>
        </row>
        <row r="102">
          <cell r="A102">
            <v>246</v>
          </cell>
          <cell r="B102">
            <v>9</v>
          </cell>
        </row>
        <row r="103">
          <cell r="A103">
            <v>247</v>
          </cell>
          <cell r="B103">
            <v>9</v>
          </cell>
        </row>
        <row r="104">
          <cell r="A104">
            <v>248</v>
          </cell>
          <cell r="B104">
            <v>9</v>
          </cell>
        </row>
        <row r="105">
          <cell r="A105">
            <v>249</v>
          </cell>
          <cell r="B105">
            <v>9</v>
          </cell>
        </row>
        <row r="106">
          <cell r="A106">
            <v>250</v>
          </cell>
          <cell r="B106">
            <v>9</v>
          </cell>
        </row>
        <row r="107">
          <cell r="A107">
            <v>251</v>
          </cell>
          <cell r="B107">
            <v>9</v>
          </cell>
        </row>
        <row r="108">
          <cell r="A108">
            <v>252</v>
          </cell>
          <cell r="B108">
            <v>9</v>
          </cell>
        </row>
        <row r="109">
          <cell r="A109">
            <v>253</v>
          </cell>
          <cell r="B109">
            <v>9</v>
          </cell>
        </row>
        <row r="110">
          <cell r="A110">
            <v>254</v>
          </cell>
          <cell r="B110">
            <v>9</v>
          </cell>
        </row>
        <row r="111">
          <cell r="A111">
            <v>255</v>
          </cell>
          <cell r="B111">
            <v>9</v>
          </cell>
        </row>
        <row r="112">
          <cell r="A112">
            <v>256</v>
          </cell>
          <cell r="B112">
            <v>9</v>
          </cell>
        </row>
        <row r="113">
          <cell r="A113">
            <v>257</v>
          </cell>
          <cell r="B113">
            <v>9</v>
          </cell>
        </row>
        <row r="114">
          <cell r="A114">
            <v>258</v>
          </cell>
          <cell r="B114">
            <v>9</v>
          </cell>
        </row>
        <row r="115">
          <cell r="A115">
            <v>259</v>
          </cell>
          <cell r="B115">
            <v>9</v>
          </cell>
        </row>
        <row r="116">
          <cell r="A116">
            <v>260</v>
          </cell>
          <cell r="B116">
            <v>9</v>
          </cell>
        </row>
        <row r="117">
          <cell r="A117">
            <v>261</v>
          </cell>
          <cell r="B117">
            <v>9</v>
          </cell>
        </row>
        <row r="118">
          <cell r="A118">
            <v>262</v>
          </cell>
          <cell r="B118">
            <v>9</v>
          </cell>
        </row>
        <row r="119">
          <cell r="A119">
            <v>263</v>
          </cell>
          <cell r="B119">
            <v>9</v>
          </cell>
        </row>
        <row r="120">
          <cell r="A120">
            <v>264</v>
          </cell>
          <cell r="B120">
            <v>9</v>
          </cell>
        </row>
        <row r="121">
          <cell r="A121">
            <v>265</v>
          </cell>
          <cell r="B121">
            <v>9</v>
          </cell>
        </row>
        <row r="122">
          <cell r="A122">
            <v>266</v>
          </cell>
          <cell r="B122">
            <v>9</v>
          </cell>
        </row>
        <row r="123">
          <cell r="A123">
            <v>267</v>
          </cell>
          <cell r="B123">
            <v>9</v>
          </cell>
        </row>
        <row r="124">
          <cell r="A124">
            <v>280</v>
          </cell>
          <cell r="B124">
            <v>11</v>
          </cell>
        </row>
        <row r="125">
          <cell r="A125">
            <v>281</v>
          </cell>
          <cell r="B125">
            <v>11</v>
          </cell>
        </row>
        <row r="126">
          <cell r="A126">
            <v>282</v>
          </cell>
          <cell r="B126">
            <v>11</v>
          </cell>
        </row>
        <row r="127">
          <cell r="A127">
            <v>283</v>
          </cell>
          <cell r="B127">
            <v>11</v>
          </cell>
        </row>
        <row r="128">
          <cell r="A128">
            <v>284</v>
          </cell>
          <cell r="B128">
            <v>11</v>
          </cell>
        </row>
        <row r="129">
          <cell r="A129">
            <v>285</v>
          </cell>
          <cell r="B129">
            <v>11</v>
          </cell>
        </row>
        <row r="130">
          <cell r="A130">
            <v>286</v>
          </cell>
          <cell r="B130">
            <v>11</v>
          </cell>
        </row>
        <row r="131">
          <cell r="A131">
            <v>287</v>
          </cell>
          <cell r="B131">
            <v>11</v>
          </cell>
        </row>
        <row r="132">
          <cell r="A132">
            <v>288</v>
          </cell>
          <cell r="B132">
            <v>11</v>
          </cell>
        </row>
        <row r="133">
          <cell r="A133">
            <v>289</v>
          </cell>
          <cell r="B133">
            <v>11</v>
          </cell>
        </row>
        <row r="134">
          <cell r="A134">
            <v>290</v>
          </cell>
          <cell r="B134">
            <v>11</v>
          </cell>
        </row>
        <row r="135">
          <cell r="A135">
            <v>291</v>
          </cell>
          <cell r="B135">
            <v>11</v>
          </cell>
        </row>
        <row r="136">
          <cell r="A136">
            <v>292</v>
          </cell>
          <cell r="B136">
            <v>11</v>
          </cell>
        </row>
        <row r="137">
          <cell r="A137">
            <v>293</v>
          </cell>
          <cell r="B137">
            <v>11</v>
          </cell>
        </row>
        <row r="138">
          <cell r="A138">
            <v>294</v>
          </cell>
          <cell r="B138">
            <v>11</v>
          </cell>
        </row>
        <row r="139">
          <cell r="A139">
            <v>295</v>
          </cell>
          <cell r="B139">
            <v>11</v>
          </cell>
        </row>
        <row r="140">
          <cell r="A140">
            <v>296</v>
          </cell>
          <cell r="B140">
            <v>11</v>
          </cell>
        </row>
        <row r="141">
          <cell r="A141">
            <v>297</v>
          </cell>
          <cell r="B141">
            <v>11</v>
          </cell>
        </row>
        <row r="142">
          <cell r="A142">
            <v>298</v>
          </cell>
          <cell r="B142">
            <v>11</v>
          </cell>
        </row>
        <row r="143">
          <cell r="A143">
            <v>299</v>
          </cell>
          <cell r="B143">
            <v>11</v>
          </cell>
        </row>
        <row r="144">
          <cell r="A144">
            <v>300</v>
          </cell>
          <cell r="B144">
            <v>11</v>
          </cell>
        </row>
        <row r="145">
          <cell r="A145">
            <v>301</v>
          </cell>
          <cell r="B145">
            <v>11</v>
          </cell>
        </row>
        <row r="146">
          <cell r="A146">
            <v>302</v>
          </cell>
          <cell r="B146">
            <v>11</v>
          </cell>
        </row>
        <row r="147">
          <cell r="A147">
            <v>303</v>
          </cell>
          <cell r="B147">
            <v>11</v>
          </cell>
        </row>
        <row r="148">
          <cell r="A148">
            <v>304</v>
          </cell>
          <cell r="B148">
            <v>11</v>
          </cell>
        </row>
        <row r="149">
          <cell r="A149">
            <v>305</v>
          </cell>
          <cell r="B149">
            <v>11</v>
          </cell>
        </row>
        <row r="150">
          <cell r="A150">
            <v>306</v>
          </cell>
          <cell r="B150">
            <v>11</v>
          </cell>
        </row>
        <row r="151">
          <cell r="A151">
            <v>307</v>
          </cell>
          <cell r="B151">
            <v>11</v>
          </cell>
        </row>
        <row r="152">
          <cell r="A152">
            <v>308</v>
          </cell>
          <cell r="B152">
            <v>11</v>
          </cell>
        </row>
        <row r="153">
          <cell r="A153">
            <v>309</v>
          </cell>
          <cell r="B153">
            <v>11</v>
          </cell>
        </row>
        <row r="154">
          <cell r="A154">
            <v>310</v>
          </cell>
          <cell r="B154">
            <v>11</v>
          </cell>
        </row>
        <row r="155">
          <cell r="A155">
            <v>311</v>
          </cell>
          <cell r="B155">
            <v>11</v>
          </cell>
        </row>
        <row r="156">
          <cell r="A156">
            <v>312</v>
          </cell>
          <cell r="B156">
            <v>11</v>
          </cell>
        </row>
        <row r="157">
          <cell r="A157">
            <v>313</v>
          </cell>
          <cell r="B157">
            <v>11</v>
          </cell>
        </row>
        <row r="158">
          <cell r="A158">
            <v>314</v>
          </cell>
          <cell r="B158">
            <v>11</v>
          </cell>
        </row>
        <row r="159">
          <cell r="A159">
            <v>320</v>
          </cell>
          <cell r="B159">
            <v>12</v>
          </cell>
        </row>
        <row r="160">
          <cell r="A160">
            <v>340</v>
          </cell>
          <cell r="B160">
            <v>16</v>
          </cell>
        </row>
        <row r="161">
          <cell r="A161">
            <v>341</v>
          </cell>
          <cell r="B161">
            <v>17</v>
          </cell>
        </row>
        <row r="162">
          <cell r="A162">
            <v>342</v>
          </cell>
          <cell r="B162">
            <v>35</v>
          </cell>
        </row>
        <row r="163">
          <cell r="A163">
            <v>343</v>
          </cell>
          <cell r="B163">
            <v>13</v>
          </cell>
        </row>
        <row r="164">
          <cell r="A164">
            <v>355</v>
          </cell>
          <cell r="B164">
            <v>18</v>
          </cell>
        </row>
        <row r="165">
          <cell r="A165">
            <v>356</v>
          </cell>
          <cell r="B165">
            <v>19</v>
          </cell>
        </row>
        <row r="166">
          <cell r="A166">
            <v>365</v>
          </cell>
          <cell r="B166">
            <v>20</v>
          </cell>
        </row>
        <row r="167">
          <cell r="A167">
            <v>370</v>
          </cell>
          <cell r="B167">
            <v>23</v>
          </cell>
        </row>
        <row r="168">
          <cell r="A168">
            <v>372</v>
          </cell>
          <cell r="B168">
            <v>24</v>
          </cell>
        </row>
        <row r="169">
          <cell r="A169">
            <v>375</v>
          </cell>
          <cell r="B169">
            <v>25</v>
          </cell>
        </row>
        <row r="170">
          <cell r="A170">
            <v>380</v>
          </cell>
          <cell r="B170">
            <v>26</v>
          </cell>
        </row>
        <row r="171">
          <cell r="A171">
            <v>389</v>
          </cell>
          <cell r="B171">
            <v>26</v>
          </cell>
        </row>
        <row r="172">
          <cell r="A172">
            <v>400</v>
          </cell>
          <cell r="B172">
            <v>27</v>
          </cell>
        </row>
        <row r="173">
          <cell r="A173">
            <v>410</v>
          </cell>
          <cell r="B173">
            <v>29</v>
          </cell>
        </row>
        <row r="174">
          <cell r="A174">
            <v>411</v>
          </cell>
          <cell r="B174">
            <v>31</v>
          </cell>
        </row>
        <row r="175">
          <cell r="A175">
            <v>419</v>
          </cell>
          <cell r="B175">
            <v>37</v>
          </cell>
        </row>
        <row r="176">
          <cell r="A176">
            <v>420</v>
          </cell>
          <cell r="B176">
            <v>37</v>
          </cell>
        </row>
        <row r="177">
          <cell r="A177">
            <v>430</v>
          </cell>
          <cell r="B177">
            <v>39</v>
          </cell>
        </row>
        <row r="178">
          <cell r="A178">
            <v>431</v>
          </cell>
          <cell r="B178">
            <v>39</v>
          </cell>
        </row>
        <row r="179">
          <cell r="A179">
            <v>432</v>
          </cell>
          <cell r="B179">
            <v>39</v>
          </cell>
        </row>
        <row r="180">
          <cell r="A180">
            <v>433</v>
          </cell>
          <cell r="B180">
            <v>39</v>
          </cell>
        </row>
        <row r="181">
          <cell r="A181">
            <v>434</v>
          </cell>
          <cell r="B181">
            <v>39</v>
          </cell>
        </row>
        <row r="182">
          <cell r="A182">
            <v>440</v>
          </cell>
          <cell r="B182">
            <v>44</v>
          </cell>
        </row>
        <row r="183">
          <cell r="A183">
            <v>445</v>
          </cell>
          <cell r="B183">
            <v>45</v>
          </cell>
        </row>
        <row r="184">
          <cell r="A184">
            <v>465</v>
          </cell>
          <cell r="B184">
            <v>76</v>
          </cell>
        </row>
        <row r="185">
          <cell r="A185">
            <v>536</v>
          </cell>
          <cell r="B185">
            <v>52</v>
          </cell>
        </row>
        <row r="186">
          <cell r="A186">
            <v>556</v>
          </cell>
          <cell r="B186">
            <v>53</v>
          </cell>
        </row>
        <row r="187">
          <cell r="A187">
            <v>613</v>
          </cell>
          <cell r="B187">
            <v>55</v>
          </cell>
        </row>
        <row r="188">
          <cell r="A188">
            <v>635</v>
          </cell>
          <cell r="B188">
            <v>57</v>
          </cell>
        </row>
        <row r="189">
          <cell r="A189">
            <v>656</v>
          </cell>
          <cell r="B189">
            <v>58</v>
          </cell>
        </row>
        <row r="190">
          <cell r="A190">
            <v>690</v>
          </cell>
          <cell r="B190">
            <v>59</v>
          </cell>
        </row>
        <row r="191">
          <cell r="A191">
            <v>468</v>
          </cell>
          <cell r="B191">
            <v>76</v>
          </cell>
        </row>
      </sheetData>
      <sheetData sheetId="1"/>
      <sheetData sheetId="2"/>
      <sheetData sheetId="3"/>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ETUP"/>
      <sheetName val="Input"/>
      <sheetName val="Summary"/>
    </sheetNames>
    <sheetDataSet>
      <sheetData sheetId="0">
        <row r="28">
          <cell r="B28" t="str">
            <v>AM Peak</v>
          </cell>
        </row>
      </sheetData>
      <sheetData sheetId="1">
        <row r="1">
          <cell r="C1" t="str">
            <v>TRIP</v>
          </cell>
        </row>
      </sheetData>
      <sheetData sheetId="2"/>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Year Comparisons"/>
      <sheetName val="Annual Amort"/>
      <sheetName val="Runoff 2003 On"/>
      <sheetName val="2003 - 2016"/>
      <sheetName val="2003 - 2329"/>
      <sheetName val="2002 EB"/>
      <sheetName val="2001 EB"/>
      <sheetName val="PA Run Off"/>
      <sheetName val="1995"/>
      <sheetName val="1998"/>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1">
          <cell r="A1" t="str">
            <v>ATSF</v>
          </cell>
        </row>
        <row r="2">
          <cell r="A2" t="str">
            <v>Purchase Accounting Adjustment</v>
          </cell>
        </row>
        <row r="3">
          <cell r="A3" t="str">
            <v>(In Thousands)</v>
          </cell>
        </row>
        <row r="4">
          <cell r="A4" t="str">
            <v>N:\CONTROLLER\Property Accounting\Reporting &amp; Analysis\Annual Reports\2002\R-1 Schedules\Submitted\[SCHED 352 A - INVESTMENT IN RR PROP (by company).xls]P - 42</v>
          </cell>
        </row>
        <row r="5">
          <cell r="A5">
            <v>35829.575497685182</v>
          </cell>
        </row>
        <row r="6">
          <cell r="A6">
            <v>35829.575497685182</v>
          </cell>
        </row>
        <row r="7">
          <cell r="D7" t="str">
            <v>Revised</v>
          </cell>
        </row>
        <row r="8">
          <cell r="B8" t="str">
            <v>Purchase</v>
          </cell>
          <cell r="D8" t="str">
            <v>Purchase</v>
          </cell>
          <cell r="E8" t="str">
            <v>Remaining</v>
          </cell>
        </row>
        <row r="9">
          <cell r="B9" t="str">
            <v>Acctg</v>
          </cell>
          <cell r="D9" t="str">
            <v>Acctg</v>
          </cell>
          <cell r="E9" t="str">
            <v>Useful</v>
          </cell>
          <cell r="F9" t="str">
            <v>Annual</v>
          </cell>
          <cell r="G9" t="str">
            <v>Amort</v>
          </cell>
          <cell r="GI9">
            <v>2003</v>
          </cell>
        </row>
        <row r="10">
          <cell r="B10" t="str">
            <v>Write Up</v>
          </cell>
          <cell r="C10" t="str">
            <v>Adjustment</v>
          </cell>
          <cell r="D10" t="str">
            <v>Write Up</v>
          </cell>
          <cell r="E10" t="str">
            <v>Life</v>
          </cell>
          <cell r="F10" t="str">
            <v>Amort</v>
          </cell>
          <cell r="G10" t="str">
            <v>Expiration</v>
          </cell>
          <cell r="H10">
            <v>1995</v>
          </cell>
          <cell r="I10">
            <v>1996</v>
          </cell>
          <cell r="J10">
            <v>1997</v>
          </cell>
          <cell r="K10">
            <v>1998</v>
          </cell>
          <cell r="L10">
            <v>1999</v>
          </cell>
          <cell r="M10">
            <v>2000</v>
          </cell>
          <cell r="N10">
            <v>2001</v>
          </cell>
          <cell r="O10">
            <v>2002</v>
          </cell>
          <cell r="Q10">
            <v>2003</v>
          </cell>
          <cell r="S10">
            <v>2004</v>
          </cell>
          <cell r="U10">
            <v>2005</v>
          </cell>
          <cell r="W10">
            <v>2006</v>
          </cell>
          <cell r="Y10">
            <v>2007</v>
          </cell>
          <cell r="AA10">
            <v>2008</v>
          </cell>
          <cell r="AC10">
            <v>2009</v>
          </cell>
          <cell r="AE10">
            <v>2010</v>
          </cell>
          <cell r="AG10">
            <v>2011</v>
          </cell>
          <cell r="AI10">
            <v>2012</v>
          </cell>
          <cell r="AK10">
            <v>2013</v>
          </cell>
          <cell r="AM10">
            <v>2014</v>
          </cell>
          <cell r="AO10">
            <v>2015</v>
          </cell>
          <cell r="AQ10">
            <v>2016</v>
          </cell>
          <cell r="AS10">
            <v>2017</v>
          </cell>
          <cell r="AU10">
            <v>2018</v>
          </cell>
          <cell r="AW10">
            <v>2019</v>
          </cell>
          <cell r="AY10">
            <v>2020</v>
          </cell>
          <cell r="BA10">
            <v>2021</v>
          </cell>
          <cell r="BC10">
            <v>2022</v>
          </cell>
          <cell r="BE10">
            <v>2023</v>
          </cell>
          <cell r="BG10">
            <v>2024</v>
          </cell>
          <cell r="BI10">
            <v>2025</v>
          </cell>
          <cell r="BK10">
            <v>2026</v>
          </cell>
          <cell r="BM10">
            <v>2027</v>
          </cell>
          <cell r="BO10">
            <v>2028</v>
          </cell>
          <cell r="BQ10">
            <v>2029</v>
          </cell>
          <cell r="BS10">
            <v>2030</v>
          </cell>
          <cell r="BU10">
            <v>2031</v>
          </cell>
          <cell r="BW10">
            <v>2032</v>
          </cell>
          <cell r="BY10">
            <v>2033</v>
          </cell>
          <cell r="CA10">
            <v>2034</v>
          </cell>
          <cell r="CC10">
            <v>2035</v>
          </cell>
          <cell r="CE10">
            <v>2036</v>
          </cell>
          <cell r="CG10">
            <v>2037</v>
          </cell>
          <cell r="CI10">
            <v>2038</v>
          </cell>
          <cell r="CK10">
            <v>2039</v>
          </cell>
          <cell r="CM10">
            <v>2040</v>
          </cell>
          <cell r="CO10">
            <v>2041</v>
          </cell>
          <cell r="CQ10">
            <v>2042</v>
          </cell>
          <cell r="CS10">
            <v>2043</v>
          </cell>
          <cell r="CU10">
            <v>2044</v>
          </cell>
          <cell r="CW10">
            <v>2045</v>
          </cell>
          <cell r="CY10">
            <v>2046</v>
          </cell>
          <cell r="DA10">
            <v>2047</v>
          </cell>
          <cell r="DC10">
            <v>2048</v>
          </cell>
          <cell r="DE10">
            <v>2049</v>
          </cell>
          <cell r="DG10">
            <v>2050</v>
          </cell>
          <cell r="DI10">
            <v>2051</v>
          </cell>
          <cell r="DK10">
            <v>2052</v>
          </cell>
          <cell r="DM10">
            <v>2053</v>
          </cell>
          <cell r="DO10">
            <v>2054</v>
          </cell>
          <cell r="DQ10">
            <v>2055</v>
          </cell>
          <cell r="DS10">
            <v>2056</v>
          </cell>
          <cell r="DU10">
            <v>2057</v>
          </cell>
          <cell r="DW10">
            <v>2058</v>
          </cell>
          <cell r="DY10">
            <v>2059</v>
          </cell>
          <cell r="EA10">
            <v>2060</v>
          </cell>
          <cell r="EC10">
            <v>2061</v>
          </cell>
          <cell r="EE10">
            <v>2062</v>
          </cell>
          <cell r="EG10">
            <v>2063</v>
          </cell>
          <cell r="EI10">
            <v>2064</v>
          </cell>
          <cell r="EK10">
            <v>2065</v>
          </cell>
          <cell r="EM10">
            <v>2066</v>
          </cell>
          <cell r="EO10">
            <v>2067</v>
          </cell>
          <cell r="EQ10">
            <v>2068</v>
          </cell>
          <cell r="ES10">
            <v>2069</v>
          </cell>
          <cell r="EU10">
            <v>2070</v>
          </cell>
          <cell r="EW10">
            <v>2071</v>
          </cell>
          <cell r="EY10">
            <v>2072</v>
          </cell>
          <cell r="FA10">
            <v>2073</v>
          </cell>
          <cell r="FC10">
            <v>2074</v>
          </cell>
          <cell r="FE10">
            <v>2075</v>
          </cell>
          <cell r="FG10">
            <v>2076</v>
          </cell>
          <cell r="FI10">
            <v>2077</v>
          </cell>
          <cell r="FK10">
            <v>2078</v>
          </cell>
          <cell r="FM10">
            <v>2079</v>
          </cell>
          <cell r="FO10">
            <v>2080</v>
          </cell>
          <cell r="FQ10">
            <v>2081</v>
          </cell>
          <cell r="FS10">
            <v>2082</v>
          </cell>
          <cell r="FU10">
            <v>2083</v>
          </cell>
          <cell r="FW10">
            <v>2084</v>
          </cell>
          <cell r="FY10">
            <v>2085</v>
          </cell>
          <cell r="GA10">
            <v>2086</v>
          </cell>
          <cell r="GC10">
            <v>2087</v>
          </cell>
          <cell r="GE10">
            <v>2088</v>
          </cell>
          <cell r="GG10" t="str">
            <v>Total</v>
          </cell>
          <cell r="GI10" t="str">
            <v>Balance</v>
          </cell>
        </row>
        <row r="11">
          <cell r="A11" t="str">
            <v>LAND</v>
          </cell>
        </row>
        <row r="12">
          <cell r="A12" t="str">
            <v>Land for Transportation Purposes</v>
          </cell>
        </row>
        <row r="13">
          <cell r="A13" t="str">
            <v>Surplus Land</v>
          </cell>
        </row>
        <row r="14">
          <cell r="A14" t="str">
            <v xml:space="preserve">    TOTAL LAND</v>
          </cell>
        </row>
        <row r="16">
          <cell r="A16" t="str">
            <v>DEPRECIABLE ROAD</v>
          </cell>
        </row>
        <row r="17">
          <cell r="A17" t="str">
            <v>Grading</v>
          </cell>
        </row>
        <row r="18">
          <cell r="A18" t="str">
            <v>Other Right of Way Expenditures</v>
          </cell>
        </row>
        <row r="19">
          <cell r="A19" t="str">
            <v>Tunnels and Subways</v>
          </cell>
        </row>
        <row r="20">
          <cell r="A20" t="str">
            <v>Brdges, Trestles and Culverts</v>
          </cell>
        </row>
        <row r="21">
          <cell r="A21" t="str">
            <v>Ties</v>
          </cell>
        </row>
        <row r="22">
          <cell r="A22" t="str">
            <v>Rail and Other Track Material</v>
          </cell>
        </row>
        <row r="23">
          <cell r="A23" t="str">
            <v>Ballast</v>
          </cell>
        </row>
        <row r="24">
          <cell r="A24" t="str">
            <v>Fences, Snowsheds and Signs</v>
          </cell>
        </row>
        <row r="25">
          <cell r="A25" t="str">
            <v>Station and Office Buildings</v>
          </cell>
        </row>
        <row r="26">
          <cell r="A26" t="str">
            <v>Roadway Buildings</v>
          </cell>
        </row>
        <row r="27">
          <cell r="A27" t="str">
            <v>Water Stations</v>
          </cell>
        </row>
        <row r="28">
          <cell r="A28" t="str">
            <v>Fuel Stations</v>
          </cell>
        </row>
        <row r="29">
          <cell r="A29" t="str">
            <v>Shops and Enginehouses</v>
          </cell>
        </row>
        <row r="30">
          <cell r="A30" t="str">
            <v>Intermodal Terminals</v>
          </cell>
        </row>
        <row r="31">
          <cell r="A31" t="str">
            <v>Communications Systems</v>
          </cell>
        </row>
        <row r="32">
          <cell r="A32" t="str">
            <v>Signals and Interlockers</v>
          </cell>
        </row>
        <row r="33">
          <cell r="A33" t="str">
            <v>Power Plants</v>
          </cell>
        </row>
        <row r="34">
          <cell r="A34" t="str">
            <v>Power Transmission Systems</v>
          </cell>
        </row>
        <row r="35">
          <cell r="A35" t="str">
            <v>Miscellaneous Structures</v>
          </cell>
        </row>
        <row r="36">
          <cell r="A36" t="str">
            <v>Roadway Machines</v>
          </cell>
        </row>
        <row r="37">
          <cell r="A37" t="str">
            <v>Public Improvements-Construction</v>
          </cell>
        </row>
        <row r="38">
          <cell r="A38" t="str">
            <v>Shop Machinery</v>
          </cell>
        </row>
        <row r="39">
          <cell r="A39" t="str">
            <v>Power Plant Equipment</v>
          </cell>
        </row>
        <row r="40">
          <cell r="A40" t="str">
            <v xml:space="preserve">    TOTAL DEPRECIABLE ROAD</v>
          </cell>
        </row>
        <row r="42">
          <cell r="A42" t="str">
            <v>EQUIPMENT</v>
          </cell>
        </row>
        <row r="43">
          <cell r="A43" t="str">
            <v>Locomotives</v>
          </cell>
        </row>
        <row r="44">
          <cell r="A44" t="str">
            <v>Freight Train Cars</v>
          </cell>
        </row>
        <row r="45">
          <cell r="A45" t="str">
            <v>Work Equipment</v>
          </cell>
        </row>
        <row r="46">
          <cell r="A46" t="str">
            <v>Miscellaneous Equipment</v>
          </cell>
        </row>
        <row r="47">
          <cell r="A47" t="str">
            <v>Computer Systems</v>
          </cell>
        </row>
        <row r="48">
          <cell r="A48" t="str">
            <v>Computer Software</v>
          </cell>
        </row>
        <row r="49">
          <cell r="A49" t="str">
            <v xml:space="preserve">    TOTAL EQUIPMENT</v>
          </cell>
        </row>
        <row r="51">
          <cell r="A51" t="str">
            <v>MISCELLANEOUS</v>
          </cell>
        </row>
        <row r="52">
          <cell r="A52" t="str">
            <v>Interest During Construction</v>
          </cell>
        </row>
        <row r="53">
          <cell r="A53" t="str">
            <v>Construction Work In Progress</v>
          </cell>
        </row>
        <row r="54">
          <cell r="A54" t="str">
            <v xml:space="preserve">    TOTAL MISCELLANEOUS</v>
          </cell>
        </row>
        <row r="55">
          <cell r="A55" t="str">
            <v>TOTAL OPERATING ASSETS</v>
          </cell>
        </row>
        <row r="57">
          <cell r="A57" t="str">
            <v>NON-OPERATING ASSETS</v>
          </cell>
        </row>
        <row r="58">
          <cell r="A58" t="str">
            <v>Buildings Held for Sale</v>
          </cell>
        </row>
        <row r="59">
          <cell r="A59" t="str">
            <v>Buildings</v>
          </cell>
        </row>
        <row r="60">
          <cell r="A60" t="str">
            <v>Bridges</v>
          </cell>
        </row>
        <row r="61">
          <cell r="A61" t="str">
            <v>Royalty Income</v>
          </cell>
        </row>
        <row r="62">
          <cell r="A62" t="str">
            <v xml:space="preserve">   TOTAL NON-OPERATING ASSETS:</v>
          </cell>
        </row>
        <row r="64">
          <cell r="A64" t="str">
            <v>GRAND TOTAL</v>
          </cell>
        </row>
      </sheetData>
      <sheetData sheetId="8" refreshError="1"/>
      <sheetData sheetId="9"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oco Depr"/>
      <sheetName val="Jul29 changes"/>
      <sheetName val="SD70MACs_By unit"/>
      <sheetName val="By AFE#"/>
      <sheetName val="LocoRate"/>
    </sheetNames>
    <sheetDataSet>
      <sheetData sheetId="0" refreshError="1"/>
      <sheetData sheetId="1" refreshError="1"/>
      <sheetData sheetId="2" refreshError="1"/>
      <sheetData sheetId="3" refreshError="1"/>
      <sheetData sheetId="4" refreshError="1">
        <row r="2">
          <cell r="L2">
            <v>0</v>
          </cell>
          <cell r="M2">
            <v>0.11</v>
          </cell>
          <cell r="N2">
            <v>7.0000000000000007E-2</v>
          </cell>
          <cell r="O2">
            <v>3.0800000000000001E-2</v>
          </cell>
          <cell r="P2">
            <v>6.7199999999999996E-2</v>
          </cell>
        </row>
        <row r="3">
          <cell r="L3">
            <v>1801</v>
          </cell>
          <cell r="M3">
            <v>0.12</v>
          </cell>
          <cell r="N3">
            <v>7.0000000000000007E-2</v>
          </cell>
          <cell r="O3">
            <v>2.6100000000000002E-2</v>
          </cell>
          <cell r="P3">
            <v>3.7999999999999999E-2</v>
          </cell>
        </row>
        <row r="4">
          <cell r="L4">
            <v>3000</v>
          </cell>
          <cell r="M4">
            <v>0.22</v>
          </cell>
          <cell r="N4">
            <v>0.16</v>
          </cell>
          <cell r="O4">
            <v>4.1200000000000001E-2</v>
          </cell>
          <cell r="P4">
            <v>9.4500000000000001E-2</v>
          </cell>
        </row>
      </sheetData>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cumentation"/>
      <sheetName val="Change Tracking"/>
      <sheetName val="Rate file"/>
      <sheetName val="Sep 06 Data"/>
      <sheetName val="Oct 06 Data"/>
      <sheetName val="Nov 06 Data"/>
      <sheetName val="Dec 06 Data"/>
      <sheetName val="Sep 06 Calc"/>
      <sheetName val="Oct 06 Calc"/>
      <sheetName val="Nov 06 Calc"/>
      <sheetName val="Dec 06 Calc"/>
    </sheetNames>
    <sheetDataSet>
      <sheetData sheetId="0" refreshError="1"/>
      <sheetData sheetId="1" refreshError="1"/>
      <sheetData sheetId="2" refreshError="1">
        <row r="6">
          <cell r="A6" t="str">
            <v>2.1.98.0</v>
          </cell>
          <cell r="B6">
            <v>2</v>
          </cell>
          <cell r="C6">
            <v>1</v>
          </cell>
          <cell r="D6">
            <v>98</v>
          </cell>
          <cell r="E6">
            <v>0</v>
          </cell>
          <cell r="F6">
            <v>0</v>
          </cell>
        </row>
        <row r="7">
          <cell r="A7" t="str">
            <v>2.1.98.A</v>
          </cell>
          <cell r="B7">
            <v>2</v>
          </cell>
          <cell r="C7">
            <v>1</v>
          </cell>
          <cell r="D7">
            <v>98</v>
          </cell>
          <cell r="E7" t="str">
            <v>A</v>
          </cell>
          <cell r="F7">
            <v>0</v>
          </cell>
        </row>
        <row r="8">
          <cell r="A8" t="str">
            <v>2.1.99.0</v>
          </cell>
          <cell r="B8">
            <v>2</v>
          </cell>
          <cell r="C8">
            <v>1</v>
          </cell>
          <cell r="D8">
            <v>99</v>
          </cell>
          <cell r="E8">
            <v>0</v>
          </cell>
          <cell r="F8">
            <v>0</v>
          </cell>
        </row>
        <row r="9">
          <cell r="A9" t="str">
            <v>2.3.99.0</v>
          </cell>
          <cell r="B9">
            <v>2</v>
          </cell>
          <cell r="C9">
            <v>3</v>
          </cell>
          <cell r="D9">
            <v>99</v>
          </cell>
          <cell r="E9">
            <v>0</v>
          </cell>
          <cell r="F9">
            <v>0</v>
          </cell>
        </row>
        <row r="10">
          <cell r="A10" t="str">
            <v>2.15.99.0</v>
          </cell>
          <cell r="B10">
            <v>2</v>
          </cell>
          <cell r="C10">
            <v>15</v>
          </cell>
          <cell r="D10">
            <v>99</v>
          </cell>
          <cell r="E10">
            <v>0</v>
          </cell>
          <cell r="F10">
            <v>0</v>
          </cell>
        </row>
        <row r="11">
          <cell r="A11" t="str">
            <v>2.18.99.0</v>
          </cell>
          <cell r="B11">
            <v>2</v>
          </cell>
          <cell r="C11">
            <v>18</v>
          </cell>
          <cell r="D11">
            <v>99</v>
          </cell>
          <cell r="E11">
            <v>0</v>
          </cell>
          <cell r="F11">
            <v>0</v>
          </cell>
        </row>
        <row r="12">
          <cell r="A12" t="str">
            <v>2.1.99.1</v>
          </cell>
          <cell r="B12">
            <v>2</v>
          </cell>
          <cell r="C12">
            <v>1</v>
          </cell>
          <cell r="D12">
            <v>99</v>
          </cell>
          <cell r="E12">
            <v>1</v>
          </cell>
          <cell r="F12">
            <v>0</v>
          </cell>
        </row>
        <row r="13">
          <cell r="A13" t="str">
            <v>2.1.99.2</v>
          </cell>
          <cell r="B13">
            <v>2</v>
          </cell>
          <cell r="C13">
            <v>1</v>
          </cell>
          <cell r="D13">
            <v>99</v>
          </cell>
          <cell r="E13">
            <v>2</v>
          </cell>
          <cell r="F13">
            <v>0</v>
          </cell>
        </row>
        <row r="14">
          <cell r="A14" t="str">
            <v>2.1.99.A</v>
          </cell>
          <cell r="B14">
            <v>2</v>
          </cell>
          <cell r="C14">
            <v>1</v>
          </cell>
          <cell r="D14">
            <v>99</v>
          </cell>
          <cell r="E14" t="str">
            <v>A</v>
          </cell>
          <cell r="F14">
            <v>0</v>
          </cell>
        </row>
        <row r="15">
          <cell r="A15" t="str">
            <v>2.3.99.A</v>
          </cell>
          <cell r="B15">
            <v>2</v>
          </cell>
          <cell r="C15">
            <v>3</v>
          </cell>
          <cell r="D15">
            <v>99</v>
          </cell>
          <cell r="E15" t="str">
            <v>A</v>
          </cell>
          <cell r="F15">
            <v>0</v>
          </cell>
        </row>
        <row r="16">
          <cell r="A16" t="str">
            <v>2.15.99.A</v>
          </cell>
          <cell r="B16">
            <v>2</v>
          </cell>
          <cell r="C16">
            <v>15</v>
          </cell>
          <cell r="D16">
            <v>99</v>
          </cell>
          <cell r="E16" t="str">
            <v>A</v>
          </cell>
          <cell r="F16">
            <v>0</v>
          </cell>
        </row>
        <row r="17">
          <cell r="A17" t="str">
            <v>2.18.99.A</v>
          </cell>
          <cell r="B17">
            <v>2</v>
          </cell>
          <cell r="C17">
            <v>18</v>
          </cell>
          <cell r="D17">
            <v>99</v>
          </cell>
          <cell r="E17" t="str">
            <v>A</v>
          </cell>
          <cell r="F17">
            <v>0</v>
          </cell>
        </row>
        <row r="18">
          <cell r="A18" t="str">
            <v>2.1.99.I</v>
          </cell>
          <cell r="B18">
            <v>2</v>
          </cell>
          <cell r="C18">
            <v>1</v>
          </cell>
          <cell r="D18">
            <v>99</v>
          </cell>
          <cell r="E18" t="str">
            <v>I</v>
          </cell>
          <cell r="F18">
            <v>0</v>
          </cell>
        </row>
        <row r="19">
          <cell r="A19" t="str">
            <v>2.1.99.N</v>
          </cell>
          <cell r="B19">
            <v>2</v>
          </cell>
          <cell r="C19">
            <v>1</v>
          </cell>
          <cell r="D19">
            <v>99</v>
          </cell>
          <cell r="E19" t="str">
            <v>N</v>
          </cell>
          <cell r="F19">
            <v>0</v>
          </cell>
        </row>
        <row r="20">
          <cell r="A20" t="str">
            <v>2.0B.99.N</v>
          </cell>
          <cell r="B20">
            <v>2</v>
          </cell>
          <cell r="C20" t="str">
            <v>0B</v>
          </cell>
          <cell r="D20">
            <v>99</v>
          </cell>
          <cell r="E20" t="str">
            <v>N</v>
          </cell>
          <cell r="F20">
            <v>0</v>
          </cell>
        </row>
        <row r="21">
          <cell r="A21" t="str">
            <v>2.0E.99.N</v>
          </cell>
          <cell r="B21">
            <v>2</v>
          </cell>
          <cell r="C21" t="str">
            <v>0E</v>
          </cell>
          <cell r="D21">
            <v>99</v>
          </cell>
          <cell r="E21" t="str">
            <v>N</v>
          </cell>
          <cell r="F21">
            <v>0</v>
          </cell>
        </row>
        <row r="22">
          <cell r="A22" t="str">
            <v>2.0M.99.N</v>
          </cell>
          <cell r="B22">
            <v>2</v>
          </cell>
          <cell r="C22" t="str">
            <v>0M</v>
          </cell>
          <cell r="D22">
            <v>99</v>
          </cell>
          <cell r="E22" t="str">
            <v>N</v>
          </cell>
          <cell r="F22">
            <v>0</v>
          </cell>
        </row>
        <row r="23">
          <cell r="A23" t="str">
            <v>2.0V.99.N</v>
          </cell>
          <cell r="B23">
            <v>2</v>
          </cell>
          <cell r="C23" t="str">
            <v>0V</v>
          </cell>
          <cell r="D23">
            <v>99</v>
          </cell>
          <cell r="E23" t="str">
            <v>N</v>
          </cell>
          <cell r="F23">
            <v>0</v>
          </cell>
        </row>
        <row r="24">
          <cell r="A24" t="str">
            <v>2.0W.99.N</v>
          </cell>
          <cell r="B24">
            <v>2</v>
          </cell>
          <cell r="C24" t="str">
            <v>0W</v>
          </cell>
          <cell r="D24">
            <v>99</v>
          </cell>
          <cell r="E24" t="str">
            <v>N</v>
          </cell>
          <cell r="F24">
            <v>0</v>
          </cell>
        </row>
        <row r="25">
          <cell r="A25" t="str">
            <v>2.0X.99.N</v>
          </cell>
          <cell r="B25">
            <v>2</v>
          </cell>
          <cell r="C25" t="str">
            <v>0X</v>
          </cell>
          <cell r="D25">
            <v>99</v>
          </cell>
          <cell r="E25" t="str">
            <v>N</v>
          </cell>
          <cell r="F25">
            <v>0</v>
          </cell>
        </row>
        <row r="26">
          <cell r="A26" t="str">
            <v>2.18.99.N</v>
          </cell>
          <cell r="B26">
            <v>2</v>
          </cell>
          <cell r="C26">
            <v>18</v>
          </cell>
          <cell r="D26">
            <v>99</v>
          </cell>
          <cell r="E26" t="str">
            <v>N</v>
          </cell>
          <cell r="F26">
            <v>0</v>
          </cell>
        </row>
        <row r="27">
          <cell r="A27" t="str">
            <v>2.23.99.N</v>
          </cell>
          <cell r="B27">
            <v>2</v>
          </cell>
          <cell r="C27">
            <v>23</v>
          </cell>
          <cell r="D27">
            <v>99</v>
          </cell>
          <cell r="E27" t="str">
            <v>N</v>
          </cell>
          <cell r="F27">
            <v>0</v>
          </cell>
        </row>
        <row r="28">
          <cell r="A28" t="str">
            <v>2.70.99.N</v>
          </cell>
          <cell r="B28">
            <v>2</v>
          </cell>
          <cell r="C28">
            <v>70</v>
          </cell>
          <cell r="D28">
            <v>99</v>
          </cell>
          <cell r="E28" t="str">
            <v>N</v>
          </cell>
          <cell r="F28">
            <v>0</v>
          </cell>
        </row>
        <row r="29">
          <cell r="A29" t="str">
            <v>2.7N.99.N</v>
          </cell>
          <cell r="B29">
            <v>2</v>
          </cell>
          <cell r="C29" t="str">
            <v>7N</v>
          </cell>
          <cell r="D29">
            <v>99</v>
          </cell>
          <cell r="E29" t="str">
            <v>N</v>
          </cell>
          <cell r="F29">
            <v>0</v>
          </cell>
        </row>
        <row r="30">
          <cell r="A30" t="str">
            <v>2.7P.99.N</v>
          </cell>
          <cell r="B30">
            <v>2</v>
          </cell>
          <cell r="C30" t="str">
            <v>7P</v>
          </cell>
          <cell r="D30">
            <v>99</v>
          </cell>
          <cell r="E30" t="str">
            <v>N</v>
          </cell>
          <cell r="F30">
            <v>0</v>
          </cell>
        </row>
        <row r="31">
          <cell r="A31" t="str">
            <v>2.7R.99.N</v>
          </cell>
          <cell r="B31">
            <v>2</v>
          </cell>
          <cell r="C31" t="str">
            <v>7R</v>
          </cell>
          <cell r="D31">
            <v>99</v>
          </cell>
          <cell r="E31" t="str">
            <v>N</v>
          </cell>
          <cell r="F31">
            <v>0</v>
          </cell>
        </row>
        <row r="32">
          <cell r="A32" t="str">
            <v>2.7U.99.N</v>
          </cell>
          <cell r="B32">
            <v>2</v>
          </cell>
          <cell r="C32" t="str">
            <v>7U</v>
          </cell>
          <cell r="D32">
            <v>99</v>
          </cell>
          <cell r="E32" t="str">
            <v>N</v>
          </cell>
          <cell r="F32">
            <v>0</v>
          </cell>
        </row>
        <row r="33">
          <cell r="A33" t="str">
            <v>3.1.10.0</v>
          </cell>
          <cell r="B33">
            <v>3</v>
          </cell>
          <cell r="C33">
            <v>1</v>
          </cell>
          <cell r="D33">
            <v>10</v>
          </cell>
          <cell r="E33">
            <v>0</v>
          </cell>
          <cell r="F33">
            <v>1.0500000000000001E-2</v>
          </cell>
        </row>
        <row r="34">
          <cell r="A34" t="str">
            <v>3.1.10.1</v>
          </cell>
          <cell r="B34">
            <v>3</v>
          </cell>
          <cell r="C34">
            <v>1</v>
          </cell>
          <cell r="D34">
            <v>10</v>
          </cell>
          <cell r="E34">
            <v>1</v>
          </cell>
          <cell r="F34">
            <v>1.0500000000000001E-2</v>
          </cell>
        </row>
        <row r="35">
          <cell r="A35" t="str">
            <v>3.1.10.A</v>
          </cell>
          <cell r="B35">
            <v>3</v>
          </cell>
          <cell r="C35">
            <v>1</v>
          </cell>
          <cell r="D35">
            <v>10</v>
          </cell>
          <cell r="E35" t="str">
            <v>A</v>
          </cell>
          <cell r="F35">
            <v>1.0500000000000001E-2</v>
          </cell>
        </row>
        <row r="36">
          <cell r="A36" t="str">
            <v>3.1.10.I</v>
          </cell>
          <cell r="B36">
            <v>3</v>
          </cell>
          <cell r="C36">
            <v>1</v>
          </cell>
          <cell r="D36">
            <v>10</v>
          </cell>
          <cell r="E36" t="str">
            <v>I</v>
          </cell>
          <cell r="F36">
            <v>1.0500000000000001E-2</v>
          </cell>
        </row>
        <row r="37">
          <cell r="A37" t="str">
            <v>3.1.10.N</v>
          </cell>
          <cell r="B37">
            <v>3</v>
          </cell>
          <cell r="C37">
            <v>1</v>
          </cell>
          <cell r="D37">
            <v>10</v>
          </cell>
          <cell r="E37" t="str">
            <v>N</v>
          </cell>
          <cell r="F37">
            <v>1.0500000000000001E-2</v>
          </cell>
        </row>
        <row r="38">
          <cell r="A38" t="str">
            <v>3.0B.10.N</v>
          </cell>
          <cell r="B38">
            <v>3</v>
          </cell>
          <cell r="C38" t="str">
            <v>0B</v>
          </cell>
          <cell r="D38">
            <v>10</v>
          </cell>
          <cell r="E38" t="str">
            <v>N</v>
          </cell>
          <cell r="F38">
            <v>1.0500000000000001E-2</v>
          </cell>
        </row>
        <row r="39">
          <cell r="A39" t="str">
            <v>3.7U.10.N</v>
          </cell>
          <cell r="B39">
            <v>3</v>
          </cell>
          <cell r="C39" t="str">
            <v>7U</v>
          </cell>
          <cell r="D39">
            <v>10</v>
          </cell>
          <cell r="E39" t="str">
            <v>N</v>
          </cell>
          <cell r="F39">
            <v>1.0500000000000001E-2</v>
          </cell>
        </row>
        <row r="40">
          <cell r="A40" t="str">
            <v>3.1.20.0</v>
          </cell>
          <cell r="B40">
            <v>3</v>
          </cell>
          <cell r="C40">
            <v>1</v>
          </cell>
          <cell r="D40">
            <v>20</v>
          </cell>
          <cell r="E40">
            <v>0</v>
          </cell>
          <cell r="F40">
            <v>1.0500000000000001E-2</v>
          </cell>
        </row>
        <row r="41">
          <cell r="A41" t="str">
            <v>3.3.20.0</v>
          </cell>
          <cell r="B41">
            <v>3</v>
          </cell>
          <cell r="C41">
            <v>3</v>
          </cell>
          <cell r="D41">
            <v>20</v>
          </cell>
          <cell r="E41">
            <v>0</v>
          </cell>
          <cell r="F41">
            <v>1.0500000000000001E-2</v>
          </cell>
        </row>
        <row r="42">
          <cell r="A42" t="str">
            <v>3.18.20.0</v>
          </cell>
          <cell r="B42">
            <v>3</v>
          </cell>
          <cell r="C42">
            <v>18</v>
          </cell>
          <cell r="D42">
            <v>20</v>
          </cell>
          <cell r="E42">
            <v>0</v>
          </cell>
          <cell r="F42">
            <v>1.0500000000000001E-2</v>
          </cell>
        </row>
        <row r="43">
          <cell r="A43" t="str">
            <v>3.1.20.1</v>
          </cell>
          <cell r="B43">
            <v>3</v>
          </cell>
          <cell r="C43">
            <v>1</v>
          </cell>
          <cell r="D43">
            <v>20</v>
          </cell>
          <cell r="E43">
            <v>1</v>
          </cell>
          <cell r="F43">
            <v>1.0500000000000001E-2</v>
          </cell>
        </row>
        <row r="44">
          <cell r="A44" t="str">
            <v>3.1.20.3</v>
          </cell>
          <cell r="B44">
            <v>3</v>
          </cell>
          <cell r="C44">
            <v>1</v>
          </cell>
          <cell r="D44">
            <v>20</v>
          </cell>
          <cell r="E44">
            <v>3</v>
          </cell>
          <cell r="F44">
            <v>1.0500000000000001E-2</v>
          </cell>
        </row>
        <row r="45">
          <cell r="A45" t="str">
            <v>3.1.20.A</v>
          </cell>
          <cell r="B45">
            <v>3</v>
          </cell>
          <cell r="C45">
            <v>1</v>
          </cell>
          <cell r="D45">
            <v>20</v>
          </cell>
          <cell r="E45" t="str">
            <v>A</v>
          </cell>
          <cell r="F45">
            <v>1.0500000000000001E-2</v>
          </cell>
        </row>
        <row r="46">
          <cell r="A46" t="str">
            <v>3.3.20.A</v>
          </cell>
          <cell r="B46">
            <v>3</v>
          </cell>
          <cell r="C46">
            <v>3</v>
          </cell>
          <cell r="D46">
            <v>20</v>
          </cell>
          <cell r="E46" t="str">
            <v>A</v>
          </cell>
          <cell r="F46">
            <v>1.0500000000000001E-2</v>
          </cell>
        </row>
        <row r="47">
          <cell r="A47" t="str">
            <v>3.18.20.A</v>
          </cell>
          <cell r="B47">
            <v>3</v>
          </cell>
          <cell r="C47">
            <v>18</v>
          </cell>
          <cell r="D47">
            <v>20</v>
          </cell>
          <cell r="E47" t="str">
            <v>A</v>
          </cell>
          <cell r="F47">
            <v>1.0500000000000001E-2</v>
          </cell>
        </row>
        <row r="48">
          <cell r="A48" t="str">
            <v>3.1.20.I</v>
          </cell>
          <cell r="B48">
            <v>3</v>
          </cell>
          <cell r="C48">
            <v>1</v>
          </cell>
          <cell r="D48">
            <v>20</v>
          </cell>
          <cell r="E48" t="str">
            <v>I</v>
          </cell>
          <cell r="F48">
            <v>1.0500000000000001E-2</v>
          </cell>
        </row>
        <row r="49">
          <cell r="A49" t="str">
            <v>3.1.20.N</v>
          </cell>
          <cell r="B49">
            <v>3</v>
          </cell>
          <cell r="C49">
            <v>1</v>
          </cell>
          <cell r="D49">
            <v>20</v>
          </cell>
          <cell r="E49" t="str">
            <v>N</v>
          </cell>
          <cell r="F49">
            <v>1.0500000000000001E-2</v>
          </cell>
        </row>
        <row r="50">
          <cell r="A50" t="str">
            <v>3.0E.20.N</v>
          </cell>
          <cell r="B50">
            <v>3</v>
          </cell>
          <cell r="C50" t="str">
            <v>0E</v>
          </cell>
          <cell r="D50">
            <v>20</v>
          </cell>
          <cell r="E50" t="str">
            <v>N</v>
          </cell>
          <cell r="F50">
            <v>1.0500000000000001E-2</v>
          </cell>
        </row>
        <row r="51">
          <cell r="A51" t="str">
            <v>3.0M.20.N</v>
          </cell>
          <cell r="B51">
            <v>3</v>
          </cell>
          <cell r="C51" t="str">
            <v>0M</v>
          </cell>
          <cell r="D51">
            <v>20</v>
          </cell>
          <cell r="E51" t="str">
            <v>N</v>
          </cell>
          <cell r="F51">
            <v>1.0500000000000001E-2</v>
          </cell>
        </row>
        <row r="52">
          <cell r="A52" t="str">
            <v>3.18.20.N</v>
          </cell>
          <cell r="B52">
            <v>3</v>
          </cell>
          <cell r="C52">
            <v>18</v>
          </cell>
          <cell r="D52">
            <v>20</v>
          </cell>
          <cell r="E52" t="str">
            <v>N</v>
          </cell>
          <cell r="F52">
            <v>1.0500000000000001E-2</v>
          </cell>
        </row>
        <row r="53">
          <cell r="A53" t="str">
            <v>3.7P.20.N</v>
          </cell>
          <cell r="B53">
            <v>3</v>
          </cell>
          <cell r="C53" t="str">
            <v>7P</v>
          </cell>
          <cell r="D53">
            <v>20</v>
          </cell>
          <cell r="E53" t="str">
            <v>N</v>
          </cell>
          <cell r="F53">
            <v>1.0500000000000001E-2</v>
          </cell>
        </row>
        <row r="54">
          <cell r="A54" t="str">
            <v>3.7U.20.N</v>
          </cell>
          <cell r="B54">
            <v>3</v>
          </cell>
          <cell r="C54" t="str">
            <v>7U</v>
          </cell>
          <cell r="D54">
            <v>20</v>
          </cell>
          <cell r="E54" t="str">
            <v>N</v>
          </cell>
          <cell r="F54">
            <v>1.0500000000000001E-2</v>
          </cell>
        </row>
        <row r="55">
          <cell r="A55" t="str">
            <v>3.1.30.0</v>
          </cell>
          <cell r="B55">
            <v>3</v>
          </cell>
          <cell r="C55">
            <v>1</v>
          </cell>
          <cell r="D55">
            <v>30</v>
          </cell>
          <cell r="E55">
            <v>0</v>
          </cell>
          <cell r="F55">
            <v>0</v>
          </cell>
        </row>
        <row r="56">
          <cell r="A56" t="str">
            <v>3.1.30.1</v>
          </cell>
          <cell r="B56">
            <v>3</v>
          </cell>
          <cell r="C56">
            <v>1</v>
          </cell>
          <cell r="D56">
            <v>30</v>
          </cell>
          <cell r="E56">
            <v>1</v>
          </cell>
          <cell r="F56">
            <v>0</v>
          </cell>
        </row>
        <row r="57">
          <cell r="A57" t="str">
            <v>3.1.30.A</v>
          </cell>
          <cell r="B57">
            <v>3</v>
          </cell>
          <cell r="C57">
            <v>1</v>
          </cell>
          <cell r="D57">
            <v>30</v>
          </cell>
          <cell r="E57" t="str">
            <v>A</v>
          </cell>
          <cell r="F57">
            <v>0</v>
          </cell>
        </row>
        <row r="58">
          <cell r="A58" t="str">
            <v>3.1.40.0</v>
          </cell>
          <cell r="B58">
            <v>3</v>
          </cell>
          <cell r="C58">
            <v>1</v>
          </cell>
          <cell r="D58">
            <v>40</v>
          </cell>
          <cell r="E58">
            <v>0</v>
          </cell>
          <cell r="F58">
            <v>1.0500000000000001E-2</v>
          </cell>
        </row>
        <row r="59">
          <cell r="A59" t="str">
            <v>3.3.40.0</v>
          </cell>
          <cell r="B59">
            <v>3</v>
          </cell>
          <cell r="C59">
            <v>3</v>
          </cell>
          <cell r="D59">
            <v>40</v>
          </cell>
          <cell r="E59">
            <v>0</v>
          </cell>
          <cell r="F59">
            <v>1.0500000000000001E-2</v>
          </cell>
        </row>
        <row r="60">
          <cell r="A60" t="str">
            <v>3.15.40.0</v>
          </cell>
          <cell r="B60">
            <v>3</v>
          </cell>
          <cell r="C60">
            <v>15</v>
          </cell>
          <cell r="D60">
            <v>40</v>
          </cell>
          <cell r="E60">
            <v>0</v>
          </cell>
          <cell r="F60">
            <v>1.0500000000000001E-2</v>
          </cell>
        </row>
        <row r="61">
          <cell r="A61" t="str">
            <v>3.1.40.1</v>
          </cell>
          <cell r="B61">
            <v>3</v>
          </cell>
          <cell r="C61">
            <v>1</v>
          </cell>
          <cell r="D61">
            <v>40</v>
          </cell>
          <cell r="E61">
            <v>1</v>
          </cell>
          <cell r="F61">
            <v>1.0500000000000001E-2</v>
          </cell>
        </row>
        <row r="62">
          <cell r="A62" t="str">
            <v>3.1.40.3</v>
          </cell>
          <cell r="B62">
            <v>3</v>
          </cell>
          <cell r="C62">
            <v>1</v>
          </cell>
          <cell r="D62">
            <v>40</v>
          </cell>
          <cell r="E62">
            <v>3</v>
          </cell>
          <cell r="F62">
            <v>1.0500000000000001E-2</v>
          </cell>
        </row>
        <row r="63">
          <cell r="A63" t="str">
            <v>3.70.40.3</v>
          </cell>
          <cell r="B63">
            <v>3</v>
          </cell>
          <cell r="C63">
            <v>70</v>
          </cell>
          <cell r="D63">
            <v>40</v>
          </cell>
          <cell r="E63">
            <v>3</v>
          </cell>
          <cell r="F63">
            <v>1.0500000000000001E-2</v>
          </cell>
        </row>
        <row r="64">
          <cell r="A64" t="str">
            <v>3.71.40.3</v>
          </cell>
          <cell r="B64">
            <v>3</v>
          </cell>
          <cell r="C64">
            <v>71</v>
          </cell>
          <cell r="D64">
            <v>40</v>
          </cell>
          <cell r="E64">
            <v>3</v>
          </cell>
          <cell r="F64">
            <v>1.0500000000000001E-2</v>
          </cell>
        </row>
        <row r="65">
          <cell r="A65" t="str">
            <v>3.1.40.A</v>
          </cell>
          <cell r="B65">
            <v>3</v>
          </cell>
          <cell r="C65">
            <v>1</v>
          </cell>
          <cell r="D65">
            <v>40</v>
          </cell>
          <cell r="E65" t="str">
            <v>A</v>
          </cell>
          <cell r="F65">
            <v>1.0500000000000001E-2</v>
          </cell>
        </row>
        <row r="66">
          <cell r="A66" t="str">
            <v>3.3.40.A</v>
          </cell>
          <cell r="B66">
            <v>3</v>
          </cell>
          <cell r="C66">
            <v>3</v>
          </cell>
          <cell r="D66">
            <v>40</v>
          </cell>
          <cell r="E66" t="str">
            <v>A</v>
          </cell>
          <cell r="F66">
            <v>1.0500000000000001E-2</v>
          </cell>
        </row>
        <row r="67">
          <cell r="A67" t="str">
            <v>3.14.40.A</v>
          </cell>
          <cell r="B67">
            <v>3</v>
          </cell>
          <cell r="C67">
            <v>14</v>
          </cell>
          <cell r="D67">
            <v>40</v>
          </cell>
          <cell r="E67" t="str">
            <v>A</v>
          </cell>
          <cell r="F67">
            <v>1.0500000000000001E-2</v>
          </cell>
        </row>
        <row r="68">
          <cell r="A68" t="str">
            <v>3.15.40.A</v>
          </cell>
          <cell r="B68">
            <v>3</v>
          </cell>
          <cell r="C68">
            <v>15</v>
          </cell>
          <cell r="D68">
            <v>40</v>
          </cell>
          <cell r="E68" t="str">
            <v>A</v>
          </cell>
          <cell r="F68">
            <v>1.0500000000000001E-2</v>
          </cell>
        </row>
        <row r="69">
          <cell r="A69" t="str">
            <v>3.70.40.B</v>
          </cell>
          <cell r="B69">
            <v>3</v>
          </cell>
          <cell r="C69">
            <v>70</v>
          </cell>
          <cell r="D69">
            <v>40</v>
          </cell>
          <cell r="E69" t="str">
            <v>B</v>
          </cell>
          <cell r="F69">
            <v>1.0500000000000001E-2</v>
          </cell>
        </row>
        <row r="70">
          <cell r="A70" t="str">
            <v>3.71.40.B</v>
          </cell>
          <cell r="B70">
            <v>3</v>
          </cell>
          <cell r="C70">
            <v>71</v>
          </cell>
          <cell r="D70">
            <v>40</v>
          </cell>
          <cell r="E70" t="str">
            <v>B</v>
          </cell>
          <cell r="F70">
            <v>1.0500000000000001E-2</v>
          </cell>
        </row>
        <row r="71">
          <cell r="A71" t="str">
            <v>3.1.40.I</v>
          </cell>
          <cell r="B71">
            <v>3</v>
          </cell>
          <cell r="C71">
            <v>1</v>
          </cell>
          <cell r="D71">
            <v>40</v>
          </cell>
          <cell r="E71" t="str">
            <v>I</v>
          </cell>
          <cell r="F71">
            <v>1.0500000000000001E-2</v>
          </cell>
        </row>
        <row r="72">
          <cell r="A72" t="str">
            <v>3.14.40.I</v>
          </cell>
          <cell r="B72">
            <v>3</v>
          </cell>
          <cell r="C72">
            <v>14</v>
          </cell>
          <cell r="D72">
            <v>40</v>
          </cell>
          <cell r="E72" t="str">
            <v>I</v>
          </cell>
          <cell r="F72">
            <v>1.0500000000000001E-2</v>
          </cell>
        </row>
        <row r="73">
          <cell r="A73" t="str">
            <v>3.1.40.N</v>
          </cell>
          <cell r="B73">
            <v>3</v>
          </cell>
          <cell r="C73">
            <v>1</v>
          </cell>
          <cell r="D73">
            <v>40</v>
          </cell>
          <cell r="E73" t="str">
            <v>N</v>
          </cell>
          <cell r="F73">
            <v>1.0500000000000001E-2</v>
          </cell>
        </row>
        <row r="74">
          <cell r="A74" t="str">
            <v>3.0E.40.N</v>
          </cell>
          <cell r="B74">
            <v>3</v>
          </cell>
          <cell r="C74" t="str">
            <v>0E</v>
          </cell>
          <cell r="D74">
            <v>40</v>
          </cell>
          <cell r="E74" t="str">
            <v>N</v>
          </cell>
          <cell r="F74">
            <v>1.0500000000000001E-2</v>
          </cell>
        </row>
        <row r="75">
          <cell r="A75" t="str">
            <v>3.14.40.N</v>
          </cell>
          <cell r="B75">
            <v>3</v>
          </cell>
          <cell r="C75">
            <v>14</v>
          </cell>
          <cell r="D75">
            <v>40</v>
          </cell>
          <cell r="E75" t="str">
            <v>N</v>
          </cell>
          <cell r="F75">
            <v>1.0500000000000001E-2</v>
          </cell>
        </row>
        <row r="76">
          <cell r="A76" t="str">
            <v>3.7P.40.N</v>
          </cell>
          <cell r="B76">
            <v>3</v>
          </cell>
          <cell r="C76" t="str">
            <v>7P</v>
          </cell>
          <cell r="D76">
            <v>40</v>
          </cell>
          <cell r="E76" t="str">
            <v>N</v>
          </cell>
          <cell r="F76">
            <v>1.0500000000000001E-2</v>
          </cell>
        </row>
        <row r="77">
          <cell r="A77" t="str">
            <v>3.7U.40.N</v>
          </cell>
          <cell r="B77">
            <v>3</v>
          </cell>
          <cell r="C77" t="str">
            <v>7U</v>
          </cell>
          <cell r="D77">
            <v>40</v>
          </cell>
          <cell r="E77" t="str">
            <v>N</v>
          </cell>
          <cell r="F77">
            <v>1.0500000000000001E-2</v>
          </cell>
        </row>
        <row r="78">
          <cell r="A78" t="str">
            <v>3.1.50.0</v>
          </cell>
          <cell r="B78">
            <v>3</v>
          </cell>
          <cell r="C78">
            <v>1</v>
          </cell>
          <cell r="D78">
            <v>50</v>
          </cell>
          <cell r="E78">
            <v>0</v>
          </cell>
          <cell r="F78">
            <v>1.0500000000000001E-2</v>
          </cell>
        </row>
        <row r="79">
          <cell r="A79" t="str">
            <v>3.1.50.A</v>
          </cell>
          <cell r="B79">
            <v>3</v>
          </cell>
          <cell r="C79">
            <v>1</v>
          </cell>
          <cell r="D79">
            <v>50</v>
          </cell>
          <cell r="E79" t="str">
            <v>A</v>
          </cell>
          <cell r="F79">
            <v>1.0500000000000001E-2</v>
          </cell>
        </row>
        <row r="80">
          <cell r="A80" t="str">
            <v>3.1.50.N</v>
          </cell>
          <cell r="B80">
            <v>3</v>
          </cell>
          <cell r="C80">
            <v>1</v>
          </cell>
          <cell r="D80">
            <v>50</v>
          </cell>
          <cell r="E80" t="str">
            <v>N</v>
          </cell>
          <cell r="F80">
            <v>1.0500000000000001E-2</v>
          </cell>
        </row>
        <row r="81">
          <cell r="A81" t="str">
            <v>3.1.81.0</v>
          </cell>
          <cell r="B81">
            <v>3</v>
          </cell>
          <cell r="C81">
            <v>1</v>
          </cell>
          <cell r="D81">
            <v>81</v>
          </cell>
          <cell r="E81">
            <v>0</v>
          </cell>
          <cell r="F81">
            <v>0</v>
          </cell>
        </row>
        <row r="82">
          <cell r="A82" t="str">
            <v>3.1.81.A</v>
          </cell>
          <cell r="B82">
            <v>3</v>
          </cell>
          <cell r="C82">
            <v>1</v>
          </cell>
          <cell r="D82">
            <v>81</v>
          </cell>
          <cell r="E82" t="str">
            <v>A</v>
          </cell>
          <cell r="F82">
            <v>0</v>
          </cell>
        </row>
        <row r="83">
          <cell r="A83" t="str">
            <v>3.1.82.0</v>
          </cell>
          <cell r="B83">
            <v>3</v>
          </cell>
          <cell r="C83">
            <v>1</v>
          </cell>
          <cell r="D83">
            <v>82</v>
          </cell>
          <cell r="E83">
            <v>0</v>
          </cell>
          <cell r="F83">
            <v>0</v>
          </cell>
        </row>
        <row r="84">
          <cell r="A84" t="str">
            <v>3.1.82.A</v>
          </cell>
          <cell r="B84">
            <v>3</v>
          </cell>
          <cell r="C84">
            <v>1</v>
          </cell>
          <cell r="D84">
            <v>82</v>
          </cell>
          <cell r="E84" t="str">
            <v>A</v>
          </cell>
          <cell r="F84">
            <v>0</v>
          </cell>
        </row>
        <row r="85">
          <cell r="A85" t="str">
            <v>3.1.84.0</v>
          </cell>
          <cell r="B85">
            <v>3</v>
          </cell>
          <cell r="C85">
            <v>1</v>
          </cell>
          <cell r="D85">
            <v>84</v>
          </cell>
          <cell r="E85">
            <v>0</v>
          </cell>
          <cell r="F85">
            <v>0</v>
          </cell>
        </row>
        <row r="86">
          <cell r="A86" t="str">
            <v>3.1.84.A</v>
          </cell>
          <cell r="B86">
            <v>3</v>
          </cell>
          <cell r="C86">
            <v>1</v>
          </cell>
          <cell r="D86">
            <v>84</v>
          </cell>
          <cell r="E86" t="str">
            <v>A</v>
          </cell>
          <cell r="F86">
            <v>0</v>
          </cell>
        </row>
        <row r="87">
          <cell r="A87" t="str">
            <v>3.1.85.0</v>
          </cell>
          <cell r="B87">
            <v>3</v>
          </cell>
          <cell r="C87">
            <v>1</v>
          </cell>
          <cell r="D87">
            <v>85</v>
          </cell>
          <cell r="E87">
            <v>0</v>
          </cell>
          <cell r="F87">
            <v>0</v>
          </cell>
        </row>
        <row r="88">
          <cell r="A88" t="str">
            <v>3.1.85.A</v>
          </cell>
          <cell r="B88">
            <v>3</v>
          </cell>
          <cell r="C88">
            <v>1</v>
          </cell>
          <cell r="D88">
            <v>85</v>
          </cell>
          <cell r="E88" t="str">
            <v>A</v>
          </cell>
          <cell r="F88">
            <v>0</v>
          </cell>
        </row>
        <row r="89">
          <cell r="A89" t="str">
            <v>3.1.98.0</v>
          </cell>
          <cell r="B89">
            <v>3</v>
          </cell>
          <cell r="C89">
            <v>1</v>
          </cell>
          <cell r="D89">
            <v>98</v>
          </cell>
          <cell r="E89">
            <v>0</v>
          </cell>
          <cell r="F89">
            <v>0</v>
          </cell>
        </row>
        <row r="90">
          <cell r="A90" t="str">
            <v>3.1.98.A</v>
          </cell>
          <cell r="B90">
            <v>3</v>
          </cell>
          <cell r="C90">
            <v>1</v>
          </cell>
          <cell r="D90">
            <v>98</v>
          </cell>
          <cell r="E90" t="str">
            <v>A</v>
          </cell>
          <cell r="F90">
            <v>0</v>
          </cell>
        </row>
        <row r="91">
          <cell r="A91" t="str">
            <v>4.1.10.0</v>
          </cell>
          <cell r="B91">
            <v>4</v>
          </cell>
          <cell r="C91">
            <v>1</v>
          </cell>
          <cell r="D91">
            <v>10</v>
          </cell>
          <cell r="E91">
            <v>0</v>
          </cell>
          <cell r="F91">
            <v>0.02</v>
          </cell>
        </row>
        <row r="92">
          <cell r="A92" t="str">
            <v>4.1.10.1</v>
          </cell>
          <cell r="B92">
            <v>4</v>
          </cell>
          <cell r="C92">
            <v>1</v>
          </cell>
          <cell r="D92">
            <v>10</v>
          </cell>
          <cell r="E92">
            <v>1</v>
          </cell>
          <cell r="F92">
            <v>0.02</v>
          </cell>
        </row>
        <row r="93">
          <cell r="A93" t="str">
            <v>4.1.10.2</v>
          </cell>
          <cell r="B93">
            <v>4</v>
          </cell>
          <cell r="C93">
            <v>1</v>
          </cell>
          <cell r="D93">
            <v>10</v>
          </cell>
          <cell r="E93">
            <v>2</v>
          </cell>
          <cell r="F93">
            <v>0.02</v>
          </cell>
        </row>
        <row r="94">
          <cell r="A94" t="str">
            <v>4.1.10.3</v>
          </cell>
          <cell r="B94">
            <v>4</v>
          </cell>
          <cell r="C94">
            <v>1</v>
          </cell>
          <cell r="D94">
            <v>10</v>
          </cell>
          <cell r="E94">
            <v>3</v>
          </cell>
          <cell r="F94">
            <v>0.02</v>
          </cell>
        </row>
        <row r="95">
          <cell r="A95" t="str">
            <v>4.73.10.3</v>
          </cell>
          <cell r="B95">
            <v>4</v>
          </cell>
          <cell r="C95">
            <v>73</v>
          </cell>
          <cell r="D95">
            <v>10</v>
          </cell>
          <cell r="E95">
            <v>3</v>
          </cell>
          <cell r="F95">
            <v>0.02</v>
          </cell>
        </row>
        <row r="96">
          <cell r="A96" t="str">
            <v>4.1.10.A</v>
          </cell>
          <cell r="B96">
            <v>4</v>
          </cell>
          <cell r="C96">
            <v>1</v>
          </cell>
          <cell r="D96">
            <v>10</v>
          </cell>
          <cell r="E96" t="str">
            <v>A</v>
          </cell>
          <cell r="F96">
            <v>0.02</v>
          </cell>
        </row>
        <row r="97">
          <cell r="A97" t="str">
            <v>4.73.10.B</v>
          </cell>
          <cell r="B97">
            <v>4</v>
          </cell>
          <cell r="C97">
            <v>73</v>
          </cell>
          <cell r="D97">
            <v>10</v>
          </cell>
          <cell r="E97" t="str">
            <v>B</v>
          </cell>
          <cell r="F97">
            <v>0.02</v>
          </cell>
        </row>
        <row r="98">
          <cell r="A98" t="str">
            <v>4.1.10.I</v>
          </cell>
          <cell r="B98">
            <v>4</v>
          </cell>
          <cell r="C98">
            <v>1</v>
          </cell>
          <cell r="D98">
            <v>10</v>
          </cell>
          <cell r="E98" t="str">
            <v>I</v>
          </cell>
          <cell r="F98">
            <v>0.02</v>
          </cell>
        </row>
        <row r="99">
          <cell r="A99" t="str">
            <v>4.1.10.N</v>
          </cell>
          <cell r="B99">
            <v>4</v>
          </cell>
          <cell r="C99">
            <v>1</v>
          </cell>
          <cell r="D99">
            <v>10</v>
          </cell>
          <cell r="E99" t="str">
            <v>N</v>
          </cell>
          <cell r="F99">
            <v>0.02</v>
          </cell>
        </row>
        <row r="100">
          <cell r="A100" t="str">
            <v>4.0B.10.N</v>
          </cell>
          <cell r="B100">
            <v>4</v>
          </cell>
          <cell r="C100" t="str">
            <v>0B</v>
          </cell>
          <cell r="D100">
            <v>10</v>
          </cell>
          <cell r="E100" t="str">
            <v>N</v>
          </cell>
          <cell r="F100">
            <v>0.02</v>
          </cell>
        </row>
        <row r="101">
          <cell r="A101" t="str">
            <v>4.0E.10.N</v>
          </cell>
          <cell r="B101">
            <v>4</v>
          </cell>
          <cell r="C101" t="str">
            <v>0E</v>
          </cell>
          <cell r="D101">
            <v>10</v>
          </cell>
          <cell r="E101" t="str">
            <v>N</v>
          </cell>
          <cell r="F101">
            <v>0.02</v>
          </cell>
        </row>
        <row r="102">
          <cell r="A102" t="str">
            <v>4.7P.10.N</v>
          </cell>
          <cell r="B102">
            <v>4</v>
          </cell>
          <cell r="C102" t="str">
            <v>7P</v>
          </cell>
          <cell r="D102">
            <v>10</v>
          </cell>
          <cell r="E102" t="str">
            <v>N</v>
          </cell>
          <cell r="F102">
            <v>0.02</v>
          </cell>
        </row>
        <row r="103">
          <cell r="A103" t="str">
            <v>4.7U.10.N</v>
          </cell>
          <cell r="B103">
            <v>4</v>
          </cell>
          <cell r="C103" t="str">
            <v>7U</v>
          </cell>
          <cell r="D103">
            <v>10</v>
          </cell>
          <cell r="E103" t="str">
            <v>N</v>
          </cell>
          <cell r="F103">
            <v>0.02</v>
          </cell>
        </row>
        <row r="104">
          <cell r="A104" t="str">
            <v>4.1.20.0</v>
          </cell>
          <cell r="B104">
            <v>4</v>
          </cell>
          <cell r="C104">
            <v>1</v>
          </cell>
          <cell r="D104">
            <v>20</v>
          </cell>
          <cell r="E104">
            <v>0</v>
          </cell>
          <cell r="F104">
            <v>0.02</v>
          </cell>
        </row>
        <row r="105">
          <cell r="A105" t="str">
            <v>4.3.20.0</v>
          </cell>
          <cell r="B105">
            <v>4</v>
          </cell>
          <cell r="C105">
            <v>3</v>
          </cell>
          <cell r="D105">
            <v>20</v>
          </cell>
          <cell r="E105">
            <v>0</v>
          </cell>
          <cell r="F105">
            <v>0.02</v>
          </cell>
        </row>
        <row r="106">
          <cell r="A106" t="str">
            <v>4.18.20.0</v>
          </cell>
          <cell r="B106">
            <v>4</v>
          </cell>
          <cell r="C106">
            <v>18</v>
          </cell>
          <cell r="D106">
            <v>20</v>
          </cell>
          <cell r="E106">
            <v>0</v>
          </cell>
          <cell r="F106">
            <v>0.02</v>
          </cell>
        </row>
        <row r="107">
          <cell r="A107" t="str">
            <v>4.1.20.1</v>
          </cell>
          <cell r="B107">
            <v>4</v>
          </cell>
          <cell r="C107">
            <v>1</v>
          </cell>
          <cell r="D107">
            <v>20</v>
          </cell>
          <cell r="E107">
            <v>1</v>
          </cell>
          <cell r="F107">
            <v>0.02</v>
          </cell>
        </row>
        <row r="108">
          <cell r="A108" t="str">
            <v>4.1.20.2</v>
          </cell>
          <cell r="B108">
            <v>4</v>
          </cell>
          <cell r="C108">
            <v>1</v>
          </cell>
          <cell r="D108">
            <v>20</v>
          </cell>
          <cell r="E108">
            <v>2</v>
          </cell>
          <cell r="F108">
            <v>0.02</v>
          </cell>
        </row>
        <row r="109">
          <cell r="A109" t="str">
            <v>4.73.20.3</v>
          </cell>
          <cell r="B109">
            <v>4</v>
          </cell>
          <cell r="C109">
            <v>73</v>
          </cell>
          <cell r="D109">
            <v>20</v>
          </cell>
          <cell r="E109">
            <v>3</v>
          </cell>
          <cell r="F109">
            <v>0.02</v>
          </cell>
        </row>
        <row r="110">
          <cell r="A110" t="str">
            <v>4.1.20.A</v>
          </cell>
          <cell r="B110">
            <v>4</v>
          </cell>
          <cell r="C110">
            <v>1</v>
          </cell>
          <cell r="D110">
            <v>20</v>
          </cell>
          <cell r="E110" t="str">
            <v>A</v>
          </cell>
          <cell r="F110">
            <v>0.02</v>
          </cell>
        </row>
        <row r="111">
          <cell r="A111" t="str">
            <v>4.3.20.A</v>
          </cell>
          <cell r="B111">
            <v>4</v>
          </cell>
          <cell r="C111">
            <v>3</v>
          </cell>
          <cell r="D111">
            <v>20</v>
          </cell>
          <cell r="E111" t="str">
            <v>A</v>
          </cell>
          <cell r="F111">
            <v>0.02</v>
          </cell>
        </row>
        <row r="112">
          <cell r="A112" t="str">
            <v>4.18.20.A</v>
          </cell>
          <cell r="B112">
            <v>4</v>
          </cell>
          <cell r="C112">
            <v>18</v>
          </cell>
          <cell r="D112">
            <v>20</v>
          </cell>
          <cell r="E112" t="str">
            <v>A</v>
          </cell>
          <cell r="F112">
            <v>0.02</v>
          </cell>
        </row>
        <row r="113">
          <cell r="A113" t="str">
            <v>4.73.20.B</v>
          </cell>
          <cell r="B113">
            <v>4</v>
          </cell>
          <cell r="C113">
            <v>73</v>
          </cell>
          <cell r="D113">
            <v>20</v>
          </cell>
          <cell r="E113" t="str">
            <v>B</v>
          </cell>
          <cell r="F113">
            <v>0.02</v>
          </cell>
        </row>
        <row r="114">
          <cell r="A114" t="str">
            <v>4.1.20.N</v>
          </cell>
          <cell r="B114">
            <v>4</v>
          </cell>
          <cell r="C114">
            <v>1</v>
          </cell>
          <cell r="D114">
            <v>20</v>
          </cell>
          <cell r="E114" t="str">
            <v>N</v>
          </cell>
          <cell r="F114">
            <v>0.02</v>
          </cell>
        </row>
        <row r="115">
          <cell r="A115" t="str">
            <v>4.0E.20.N</v>
          </cell>
          <cell r="B115">
            <v>4</v>
          </cell>
          <cell r="C115" t="str">
            <v>0E</v>
          </cell>
          <cell r="D115">
            <v>20</v>
          </cell>
          <cell r="E115" t="str">
            <v>N</v>
          </cell>
          <cell r="F115">
            <v>0.02</v>
          </cell>
        </row>
        <row r="116">
          <cell r="A116" t="str">
            <v>4.18.20.N</v>
          </cell>
          <cell r="B116">
            <v>4</v>
          </cell>
          <cell r="C116">
            <v>18</v>
          </cell>
          <cell r="D116">
            <v>20</v>
          </cell>
          <cell r="E116" t="str">
            <v>N</v>
          </cell>
          <cell r="F116">
            <v>0.02</v>
          </cell>
        </row>
        <row r="117">
          <cell r="A117" t="str">
            <v>4.7U.20.N</v>
          </cell>
          <cell r="B117">
            <v>4</v>
          </cell>
          <cell r="C117" t="str">
            <v>7U</v>
          </cell>
          <cell r="D117">
            <v>20</v>
          </cell>
          <cell r="E117" t="str">
            <v>N</v>
          </cell>
          <cell r="F117">
            <v>0.02</v>
          </cell>
        </row>
        <row r="118">
          <cell r="A118" t="str">
            <v>4.1.30.0</v>
          </cell>
          <cell r="B118">
            <v>4</v>
          </cell>
          <cell r="C118">
            <v>1</v>
          </cell>
          <cell r="D118">
            <v>30</v>
          </cell>
          <cell r="E118">
            <v>0</v>
          </cell>
          <cell r="F118">
            <v>0</v>
          </cell>
        </row>
        <row r="119">
          <cell r="A119" t="str">
            <v>4.1.30.A</v>
          </cell>
          <cell r="B119">
            <v>4</v>
          </cell>
          <cell r="C119">
            <v>1</v>
          </cell>
          <cell r="D119">
            <v>30</v>
          </cell>
          <cell r="E119" t="str">
            <v>A</v>
          </cell>
          <cell r="F119">
            <v>0</v>
          </cell>
        </row>
        <row r="120">
          <cell r="A120" t="str">
            <v>4.1.40.0</v>
          </cell>
          <cell r="B120">
            <v>4</v>
          </cell>
          <cell r="C120">
            <v>1</v>
          </cell>
          <cell r="D120">
            <v>40</v>
          </cell>
          <cell r="E120">
            <v>0</v>
          </cell>
          <cell r="F120">
            <v>0.02</v>
          </cell>
        </row>
        <row r="121">
          <cell r="A121" t="str">
            <v>4.15.40.0</v>
          </cell>
          <cell r="B121">
            <v>4</v>
          </cell>
          <cell r="C121">
            <v>15</v>
          </cell>
          <cell r="D121">
            <v>40</v>
          </cell>
          <cell r="E121">
            <v>0</v>
          </cell>
          <cell r="F121">
            <v>0.02</v>
          </cell>
        </row>
        <row r="122">
          <cell r="A122" t="str">
            <v>4.1.40.3</v>
          </cell>
          <cell r="B122">
            <v>4</v>
          </cell>
          <cell r="C122">
            <v>1</v>
          </cell>
          <cell r="D122">
            <v>40</v>
          </cell>
          <cell r="E122">
            <v>3</v>
          </cell>
          <cell r="F122">
            <v>0.02</v>
          </cell>
        </row>
        <row r="123">
          <cell r="A123" t="str">
            <v>4.71.40.3</v>
          </cell>
          <cell r="B123">
            <v>4</v>
          </cell>
          <cell r="C123">
            <v>71</v>
          </cell>
          <cell r="D123">
            <v>40</v>
          </cell>
          <cell r="E123">
            <v>3</v>
          </cell>
          <cell r="F123">
            <v>0.02</v>
          </cell>
        </row>
        <row r="124">
          <cell r="A124" t="str">
            <v>4.1.40.A</v>
          </cell>
          <cell r="B124">
            <v>4</v>
          </cell>
          <cell r="C124">
            <v>1</v>
          </cell>
          <cell r="D124">
            <v>40</v>
          </cell>
          <cell r="E124" t="str">
            <v>A</v>
          </cell>
          <cell r="F124">
            <v>0.02</v>
          </cell>
        </row>
        <row r="125">
          <cell r="A125" t="str">
            <v>4.15.40.A</v>
          </cell>
          <cell r="B125">
            <v>4</v>
          </cell>
          <cell r="C125">
            <v>15</v>
          </cell>
          <cell r="D125">
            <v>40</v>
          </cell>
          <cell r="E125" t="str">
            <v>A</v>
          </cell>
          <cell r="F125">
            <v>0.02</v>
          </cell>
        </row>
        <row r="126">
          <cell r="A126" t="str">
            <v>4.71.40.B</v>
          </cell>
          <cell r="B126">
            <v>4</v>
          </cell>
          <cell r="C126">
            <v>71</v>
          </cell>
          <cell r="D126">
            <v>40</v>
          </cell>
          <cell r="E126" t="str">
            <v>B</v>
          </cell>
          <cell r="F126">
            <v>0.02</v>
          </cell>
        </row>
        <row r="127">
          <cell r="A127" t="str">
            <v>4.14.40.I</v>
          </cell>
          <cell r="B127">
            <v>4</v>
          </cell>
          <cell r="C127">
            <v>14</v>
          </cell>
          <cell r="D127">
            <v>40</v>
          </cell>
          <cell r="E127" t="str">
            <v>I</v>
          </cell>
          <cell r="F127">
            <v>0.02</v>
          </cell>
        </row>
        <row r="128">
          <cell r="A128" t="str">
            <v>4.1.40.N</v>
          </cell>
          <cell r="B128">
            <v>4</v>
          </cell>
          <cell r="C128">
            <v>1</v>
          </cell>
          <cell r="D128">
            <v>40</v>
          </cell>
          <cell r="E128" t="str">
            <v>N</v>
          </cell>
          <cell r="F128">
            <v>0.02</v>
          </cell>
        </row>
        <row r="129">
          <cell r="A129" t="str">
            <v>4.0E.40.N</v>
          </cell>
          <cell r="B129">
            <v>4</v>
          </cell>
          <cell r="C129" t="str">
            <v>0E</v>
          </cell>
          <cell r="D129">
            <v>40</v>
          </cell>
          <cell r="E129" t="str">
            <v>N</v>
          </cell>
          <cell r="F129">
            <v>0.02</v>
          </cell>
        </row>
        <row r="130">
          <cell r="A130" t="str">
            <v>4.7U.40.N</v>
          </cell>
          <cell r="B130">
            <v>4</v>
          </cell>
          <cell r="C130" t="str">
            <v>7U</v>
          </cell>
          <cell r="D130">
            <v>40</v>
          </cell>
          <cell r="E130" t="str">
            <v>N</v>
          </cell>
          <cell r="F130">
            <v>0.02</v>
          </cell>
        </row>
        <row r="131">
          <cell r="A131" t="str">
            <v>4.1.50.0</v>
          </cell>
          <cell r="B131">
            <v>4</v>
          </cell>
          <cell r="C131">
            <v>1</v>
          </cell>
          <cell r="D131">
            <v>50</v>
          </cell>
          <cell r="E131">
            <v>0</v>
          </cell>
          <cell r="F131">
            <v>0.02</v>
          </cell>
        </row>
        <row r="132">
          <cell r="A132" t="str">
            <v>4.1.50.A</v>
          </cell>
          <cell r="B132">
            <v>4</v>
          </cell>
          <cell r="C132">
            <v>1</v>
          </cell>
          <cell r="D132">
            <v>50</v>
          </cell>
          <cell r="E132" t="str">
            <v>A</v>
          </cell>
          <cell r="F132">
            <v>0.02</v>
          </cell>
        </row>
        <row r="133">
          <cell r="A133" t="str">
            <v>4.1.50.N</v>
          </cell>
          <cell r="B133">
            <v>4</v>
          </cell>
          <cell r="C133">
            <v>1</v>
          </cell>
          <cell r="D133">
            <v>50</v>
          </cell>
          <cell r="E133" t="str">
            <v>N</v>
          </cell>
          <cell r="F133">
            <v>0.02</v>
          </cell>
        </row>
        <row r="134">
          <cell r="A134" t="str">
            <v>4.1.81.0</v>
          </cell>
          <cell r="B134">
            <v>4</v>
          </cell>
          <cell r="C134">
            <v>1</v>
          </cell>
          <cell r="D134">
            <v>81</v>
          </cell>
          <cell r="E134">
            <v>0</v>
          </cell>
          <cell r="F134">
            <v>0</v>
          </cell>
        </row>
        <row r="135">
          <cell r="A135" t="str">
            <v>4.1.81.A</v>
          </cell>
          <cell r="B135">
            <v>4</v>
          </cell>
          <cell r="C135">
            <v>1</v>
          </cell>
          <cell r="D135">
            <v>81</v>
          </cell>
          <cell r="E135" t="str">
            <v>A</v>
          </cell>
          <cell r="F135">
            <v>0</v>
          </cell>
        </row>
        <row r="136">
          <cell r="A136" t="str">
            <v>4.1.82.0</v>
          </cell>
          <cell r="B136">
            <v>4</v>
          </cell>
          <cell r="C136">
            <v>1</v>
          </cell>
          <cell r="D136">
            <v>82</v>
          </cell>
          <cell r="E136">
            <v>0</v>
          </cell>
          <cell r="F136">
            <v>0</v>
          </cell>
        </row>
        <row r="137">
          <cell r="A137" t="str">
            <v>4.1.82.A</v>
          </cell>
          <cell r="B137">
            <v>4</v>
          </cell>
          <cell r="C137">
            <v>1</v>
          </cell>
          <cell r="D137">
            <v>82</v>
          </cell>
          <cell r="E137" t="str">
            <v>A</v>
          </cell>
          <cell r="F137">
            <v>0</v>
          </cell>
        </row>
        <row r="138">
          <cell r="A138" t="str">
            <v>4.1.84.0</v>
          </cell>
          <cell r="B138">
            <v>4</v>
          </cell>
          <cell r="C138">
            <v>1</v>
          </cell>
          <cell r="D138">
            <v>84</v>
          </cell>
          <cell r="E138">
            <v>0</v>
          </cell>
          <cell r="F138">
            <v>0</v>
          </cell>
        </row>
        <row r="139">
          <cell r="A139" t="str">
            <v>4.1.84.A</v>
          </cell>
          <cell r="B139">
            <v>4</v>
          </cell>
          <cell r="C139">
            <v>1</v>
          </cell>
          <cell r="D139">
            <v>84</v>
          </cell>
          <cell r="E139" t="str">
            <v>A</v>
          </cell>
          <cell r="F139">
            <v>0</v>
          </cell>
        </row>
        <row r="140">
          <cell r="A140" t="str">
            <v>4.1.85.0</v>
          </cell>
          <cell r="B140">
            <v>4</v>
          </cell>
          <cell r="C140">
            <v>1</v>
          </cell>
          <cell r="D140">
            <v>85</v>
          </cell>
          <cell r="E140">
            <v>0</v>
          </cell>
          <cell r="F140">
            <v>0</v>
          </cell>
        </row>
        <row r="141">
          <cell r="A141" t="str">
            <v>4.1.85.A</v>
          </cell>
          <cell r="B141">
            <v>4</v>
          </cell>
          <cell r="C141">
            <v>1</v>
          </cell>
          <cell r="D141">
            <v>85</v>
          </cell>
          <cell r="E141" t="str">
            <v>A</v>
          </cell>
          <cell r="F141">
            <v>0</v>
          </cell>
        </row>
        <row r="142">
          <cell r="A142" t="str">
            <v>4.1.98.0</v>
          </cell>
          <cell r="B142">
            <v>4</v>
          </cell>
          <cell r="C142">
            <v>1</v>
          </cell>
          <cell r="D142">
            <v>98</v>
          </cell>
          <cell r="E142">
            <v>0</v>
          </cell>
          <cell r="F142">
            <v>0</v>
          </cell>
        </row>
        <row r="143">
          <cell r="A143" t="str">
            <v>4.1.98.A</v>
          </cell>
          <cell r="B143">
            <v>4</v>
          </cell>
          <cell r="C143">
            <v>1</v>
          </cell>
          <cell r="D143">
            <v>98</v>
          </cell>
          <cell r="E143" t="str">
            <v>A</v>
          </cell>
          <cell r="F143">
            <v>0</v>
          </cell>
        </row>
        <row r="144">
          <cell r="A144" t="str">
            <v>5.1.10.0</v>
          </cell>
          <cell r="B144">
            <v>5</v>
          </cell>
          <cell r="C144">
            <v>1</v>
          </cell>
          <cell r="D144">
            <v>10</v>
          </cell>
          <cell r="E144">
            <v>0</v>
          </cell>
          <cell r="F144">
            <v>1.0500000000000001E-2</v>
          </cell>
        </row>
        <row r="145">
          <cell r="A145" t="str">
            <v>5.1.10.A</v>
          </cell>
          <cell r="B145">
            <v>5</v>
          </cell>
          <cell r="C145">
            <v>1</v>
          </cell>
          <cell r="D145">
            <v>10</v>
          </cell>
          <cell r="E145" t="str">
            <v>A</v>
          </cell>
          <cell r="F145">
            <v>1.0500000000000001E-2</v>
          </cell>
        </row>
        <row r="146">
          <cell r="A146" t="str">
            <v>5.1.10.I</v>
          </cell>
          <cell r="B146">
            <v>5</v>
          </cell>
          <cell r="C146">
            <v>1</v>
          </cell>
          <cell r="D146">
            <v>10</v>
          </cell>
          <cell r="E146" t="str">
            <v>I</v>
          </cell>
          <cell r="F146">
            <v>1.0500000000000001E-2</v>
          </cell>
        </row>
        <row r="147">
          <cell r="A147" t="str">
            <v>5.1.10.N</v>
          </cell>
          <cell r="B147">
            <v>5</v>
          </cell>
          <cell r="C147">
            <v>1</v>
          </cell>
          <cell r="D147">
            <v>10</v>
          </cell>
          <cell r="E147" t="str">
            <v>N</v>
          </cell>
          <cell r="F147">
            <v>1.0500000000000001E-2</v>
          </cell>
        </row>
        <row r="148">
          <cell r="A148" t="str">
            <v>5.7U.10.N</v>
          </cell>
          <cell r="B148">
            <v>5</v>
          </cell>
          <cell r="C148" t="str">
            <v>7U</v>
          </cell>
          <cell r="D148">
            <v>10</v>
          </cell>
          <cell r="E148" t="str">
            <v>N</v>
          </cell>
          <cell r="F148">
            <v>1.0500000000000001E-2</v>
          </cell>
        </row>
        <row r="149">
          <cell r="A149" t="str">
            <v>5.1.20.0</v>
          </cell>
          <cell r="B149">
            <v>5</v>
          </cell>
          <cell r="C149">
            <v>1</v>
          </cell>
          <cell r="D149">
            <v>20</v>
          </cell>
          <cell r="E149">
            <v>0</v>
          </cell>
          <cell r="F149">
            <v>1.0500000000000001E-2</v>
          </cell>
        </row>
        <row r="150">
          <cell r="A150" t="str">
            <v>5.1.20.A</v>
          </cell>
          <cell r="B150">
            <v>5</v>
          </cell>
          <cell r="C150">
            <v>1</v>
          </cell>
          <cell r="D150">
            <v>20</v>
          </cell>
          <cell r="E150" t="str">
            <v>A</v>
          </cell>
          <cell r="F150">
            <v>1.0500000000000001E-2</v>
          </cell>
        </row>
        <row r="151">
          <cell r="A151" t="str">
            <v>5.1.20.N</v>
          </cell>
          <cell r="B151">
            <v>5</v>
          </cell>
          <cell r="C151">
            <v>1</v>
          </cell>
          <cell r="D151">
            <v>20</v>
          </cell>
          <cell r="E151" t="str">
            <v>N</v>
          </cell>
          <cell r="F151">
            <v>1.0500000000000001E-2</v>
          </cell>
        </row>
        <row r="152">
          <cell r="A152" t="str">
            <v>5.7U.20.N</v>
          </cell>
          <cell r="B152">
            <v>5</v>
          </cell>
          <cell r="C152" t="str">
            <v>7U</v>
          </cell>
          <cell r="D152">
            <v>20</v>
          </cell>
          <cell r="E152" t="str">
            <v>N</v>
          </cell>
          <cell r="F152">
            <v>1.0500000000000001E-2</v>
          </cell>
        </row>
        <row r="153">
          <cell r="A153" t="str">
            <v>5.1.40.0</v>
          </cell>
          <cell r="B153">
            <v>5</v>
          </cell>
          <cell r="C153">
            <v>1</v>
          </cell>
          <cell r="D153">
            <v>40</v>
          </cell>
          <cell r="E153">
            <v>0</v>
          </cell>
          <cell r="F153">
            <v>1.0500000000000001E-2</v>
          </cell>
        </row>
        <row r="154">
          <cell r="A154" t="str">
            <v>5.1.40.A</v>
          </cell>
          <cell r="B154">
            <v>5</v>
          </cell>
          <cell r="C154">
            <v>1</v>
          </cell>
          <cell r="D154">
            <v>40</v>
          </cell>
          <cell r="E154" t="str">
            <v>A</v>
          </cell>
          <cell r="F154">
            <v>1.0500000000000001E-2</v>
          </cell>
        </row>
        <row r="155">
          <cell r="A155" t="str">
            <v>5.1.81.0</v>
          </cell>
          <cell r="B155">
            <v>5</v>
          </cell>
          <cell r="C155">
            <v>1</v>
          </cell>
          <cell r="D155">
            <v>81</v>
          </cell>
          <cell r="E155">
            <v>0</v>
          </cell>
          <cell r="F155">
            <v>0</v>
          </cell>
        </row>
        <row r="156">
          <cell r="A156" t="str">
            <v>5.1.81.A</v>
          </cell>
          <cell r="B156">
            <v>5</v>
          </cell>
          <cell r="C156">
            <v>1</v>
          </cell>
          <cell r="D156">
            <v>81</v>
          </cell>
          <cell r="E156" t="str">
            <v>A</v>
          </cell>
          <cell r="F156">
            <v>0</v>
          </cell>
        </row>
        <row r="157">
          <cell r="A157" t="str">
            <v>5.1.82.0</v>
          </cell>
          <cell r="B157">
            <v>5</v>
          </cell>
          <cell r="C157">
            <v>1</v>
          </cell>
          <cell r="D157">
            <v>82</v>
          </cell>
          <cell r="E157">
            <v>0</v>
          </cell>
          <cell r="F157">
            <v>0</v>
          </cell>
        </row>
        <row r="158">
          <cell r="A158" t="str">
            <v>5.1.82.A</v>
          </cell>
          <cell r="B158">
            <v>5</v>
          </cell>
          <cell r="C158">
            <v>1</v>
          </cell>
          <cell r="D158">
            <v>82</v>
          </cell>
          <cell r="E158" t="str">
            <v>A</v>
          </cell>
          <cell r="F158">
            <v>0</v>
          </cell>
        </row>
        <row r="159">
          <cell r="A159" t="str">
            <v>5.1.84.0</v>
          </cell>
          <cell r="B159">
            <v>5</v>
          </cell>
          <cell r="C159">
            <v>1</v>
          </cell>
          <cell r="D159">
            <v>84</v>
          </cell>
          <cell r="E159">
            <v>0</v>
          </cell>
          <cell r="F159">
            <v>0</v>
          </cell>
        </row>
        <row r="160">
          <cell r="A160" t="str">
            <v>5.1.84.A</v>
          </cell>
          <cell r="B160">
            <v>5</v>
          </cell>
          <cell r="C160">
            <v>1</v>
          </cell>
          <cell r="D160">
            <v>84</v>
          </cell>
          <cell r="E160" t="str">
            <v>A</v>
          </cell>
          <cell r="F160">
            <v>0</v>
          </cell>
        </row>
        <row r="161">
          <cell r="A161" t="str">
            <v>5.1.85.0</v>
          </cell>
          <cell r="B161">
            <v>5</v>
          </cell>
          <cell r="C161">
            <v>1</v>
          </cell>
          <cell r="D161">
            <v>85</v>
          </cell>
          <cell r="E161">
            <v>0</v>
          </cell>
          <cell r="F161">
            <v>0</v>
          </cell>
        </row>
        <row r="162">
          <cell r="A162" t="str">
            <v>5.1.85.A</v>
          </cell>
          <cell r="B162">
            <v>5</v>
          </cell>
          <cell r="C162">
            <v>1</v>
          </cell>
          <cell r="D162">
            <v>85</v>
          </cell>
          <cell r="E162" t="str">
            <v>A</v>
          </cell>
          <cell r="F162">
            <v>0</v>
          </cell>
        </row>
        <row r="163">
          <cell r="A163" t="str">
            <v>5.1.98.0</v>
          </cell>
          <cell r="B163">
            <v>5</v>
          </cell>
          <cell r="C163">
            <v>1</v>
          </cell>
          <cell r="D163">
            <v>98</v>
          </cell>
          <cell r="E163">
            <v>0</v>
          </cell>
          <cell r="F163">
            <v>0</v>
          </cell>
        </row>
        <row r="164">
          <cell r="A164" t="str">
            <v>5.1.98.A</v>
          </cell>
          <cell r="B164">
            <v>5</v>
          </cell>
          <cell r="C164">
            <v>1</v>
          </cell>
          <cell r="D164">
            <v>98</v>
          </cell>
          <cell r="E164" t="str">
            <v>A</v>
          </cell>
          <cell r="F164">
            <v>0</v>
          </cell>
        </row>
        <row r="165">
          <cell r="A165" t="str">
            <v>6.1.0.0</v>
          </cell>
          <cell r="B165">
            <v>6</v>
          </cell>
          <cell r="C165">
            <v>1</v>
          </cell>
          <cell r="D165">
            <v>0</v>
          </cell>
          <cell r="E165">
            <v>0</v>
          </cell>
          <cell r="F165">
            <v>1.2500000000000001E-2</v>
          </cell>
        </row>
        <row r="166">
          <cell r="A166" t="str">
            <v>6.3.0.0</v>
          </cell>
          <cell r="B166">
            <v>6</v>
          </cell>
          <cell r="C166">
            <v>3</v>
          </cell>
          <cell r="D166">
            <v>0</v>
          </cell>
          <cell r="E166">
            <v>0</v>
          </cell>
          <cell r="F166">
            <v>1.2500000000000001E-2</v>
          </cell>
        </row>
        <row r="167">
          <cell r="A167" t="str">
            <v>6.15.0.0</v>
          </cell>
          <cell r="B167">
            <v>6</v>
          </cell>
          <cell r="C167">
            <v>15</v>
          </cell>
          <cell r="D167">
            <v>0</v>
          </cell>
          <cell r="E167">
            <v>0</v>
          </cell>
          <cell r="F167">
            <v>1.2500000000000001E-2</v>
          </cell>
        </row>
        <row r="168">
          <cell r="A168" t="str">
            <v>6.18.0.0</v>
          </cell>
          <cell r="B168">
            <v>6</v>
          </cell>
          <cell r="C168">
            <v>18</v>
          </cell>
          <cell r="D168">
            <v>0</v>
          </cell>
          <cell r="E168">
            <v>0</v>
          </cell>
          <cell r="F168">
            <v>1.2500000000000001E-2</v>
          </cell>
        </row>
        <row r="169">
          <cell r="A169" t="str">
            <v>6.1.0.1</v>
          </cell>
          <cell r="B169">
            <v>6</v>
          </cell>
          <cell r="C169">
            <v>1</v>
          </cell>
          <cell r="D169">
            <v>0</v>
          </cell>
          <cell r="E169">
            <v>1</v>
          </cell>
          <cell r="F169">
            <v>1.2500000000000001E-2</v>
          </cell>
        </row>
        <row r="170">
          <cell r="A170" t="str">
            <v>6.1.0.2</v>
          </cell>
          <cell r="B170">
            <v>6</v>
          </cell>
          <cell r="C170">
            <v>1</v>
          </cell>
          <cell r="D170">
            <v>0</v>
          </cell>
          <cell r="E170">
            <v>2</v>
          </cell>
          <cell r="F170">
            <v>1.2500000000000001E-2</v>
          </cell>
        </row>
        <row r="171">
          <cell r="A171" t="str">
            <v>6.1.0.A</v>
          </cell>
          <cell r="B171">
            <v>6</v>
          </cell>
          <cell r="C171">
            <v>1</v>
          </cell>
          <cell r="D171">
            <v>0</v>
          </cell>
          <cell r="E171" t="str">
            <v>A</v>
          </cell>
          <cell r="F171">
            <v>1.2500000000000001E-2</v>
          </cell>
        </row>
        <row r="172">
          <cell r="A172" t="str">
            <v>6.3.0.A</v>
          </cell>
          <cell r="B172">
            <v>6</v>
          </cell>
          <cell r="C172">
            <v>3</v>
          </cell>
          <cell r="D172">
            <v>0</v>
          </cell>
          <cell r="E172" t="str">
            <v>A</v>
          </cell>
          <cell r="F172">
            <v>1.2500000000000001E-2</v>
          </cell>
        </row>
        <row r="173">
          <cell r="A173" t="str">
            <v>6.15.0.A</v>
          </cell>
          <cell r="B173">
            <v>6</v>
          </cell>
          <cell r="C173">
            <v>15</v>
          </cell>
          <cell r="D173">
            <v>0</v>
          </cell>
          <cell r="E173" t="str">
            <v>A</v>
          </cell>
          <cell r="F173">
            <v>1.2500000000000001E-2</v>
          </cell>
        </row>
        <row r="174">
          <cell r="A174" t="str">
            <v>6.18.0.A</v>
          </cell>
          <cell r="B174">
            <v>6</v>
          </cell>
          <cell r="C174">
            <v>18</v>
          </cell>
          <cell r="D174">
            <v>0</v>
          </cell>
          <cell r="E174" t="str">
            <v>A</v>
          </cell>
          <cell r="F174">
            <v>1.2500000000000001E-2</v>
          </cell>
        </row>
        <row r="175">
          <cell r="A175" t="str">
            <v>6.1.0.I</v>
          </cell>
          <cell r="B175">
            <v>6</v>
          </cell>
          <cell r="C175">
            <v>1</v>
          </cell>
          <cell r="D175">
            <v>0</v>
          </cell>
          <cell r="E175" t="str">
            <v>I</v>
          </cell>
          <cell r="F175">
            <v>1.2500000000000001E-2</v>
          </cell>
        </row>
        <row r="176">
          <cell r="A176" t="str">
            <v>6.14.0.I</v>
          </cell>
          <cell r="B176">
            <v>6</v>
          </cell>
          <cell r="C176">
            <v>14</v>
          </cell>
          <cell r="D176">
            <v>0</v>
          </cell>
          <cell r="E176" t="str">
            <v>I</v>
          </cell>
          <cell r="F176">
            <v>1.2500000000000001E-2</v>
          </cell>
        </row>
        <row r="177">
          <cell r="A177" t="str">
            <v>6.1.0.N</v>
          </cell>
          <cell r="B177">
            <v>6</v>
          </cell>
          <cell r="C177">
            <v>1</v>
          </cell>
          <cell r="D177">
            <v>0</v>
          </cell>
          <cell r="E177" t="str">
            <v>N</v>
          </cell>
          <cell r="F177">
            <v>1.2500000000000001E-2</v>
          </cell>
        </row>
        <row r="178">
          <cell r="A178" t="str">
            <v>6.0B.0.N</v>
          </cell>
          <cell r="B178">
            <v>6</v>
          </cell>
          <cell r="C178" t="str">
            <v>0B</v>
          </cell>
          <cell r="D178">
            <v>0</v>
          </cell>
          <cell r="E178" t="str">
            <v>N</v>
          </cell>
          <cell r="F178">
            <v>1.2500000000000001E-2</v>
          </cell>
        </row>
        <row r="179">
          <cell r="A179" t="str">
            <v>6.0E.0.N</v>
          </cell>
          <cell r="B179">
            <v>6</v>
          </cell>
          <cell r="C179" t="str">
            <v>0E</v>
          </cell>
          <cell r="D179">
            <v>0</v>
          </cell>
          <cell r="E179" t="str">
            <v>N</v>
          </cell>
          <cell r="F179">
            <v>1.2500000000000001E-2</v>
          </cell>
        </row>
        <row r="180">
          <cell r="A180" t="str">
            <v>6.0M.0.N</v>
          </cell>
          <cell r="B180">
            <v>6</v>
          </cell>
          <cell r="C180" t="str">
            <v>0M</v>
          </cell>
          <cell r="D180">
            <v>0</v>
          </cell>
          <cell r="E180" t="str">
            <v>N</v>
          </cell>
          <cell r="F180">
            <v>1.2500000000000001E-2</v>
          </cell>
        </row>
        <row r="181">
          <cell r="A181" t="str">
            <v>6.18.0.N</v>
          </cell>
          <cell r="B181">
            <v>6</v>
          </cell>
          <cell r="C181">
            <v>18</v>
          </cell>
          <cell r="D181">
            <v>0</v>
          </cell>
          <cell r="E181" t="str">
            <v>N</v>
          </cell>
          <cell r="F181">
            <v>1.2500000000000001E-2</v>
          </cell>
        </row>
        <row r="182">
          <cell r="A182" t="str">
            <v>6.7P.0.N</v>
          </cell>
          <cell r="B182">
            <v>6</v>
          </cell>
          <cell r="C182" t="str">
            <v>7P</v>
          </cell>
          <cell r="D182">
            <v>0</v>
          </cell>
          <cell r="E182" t="str">
            <v>N</v>
          </cell>
          <cell r="F182">
            <v>1.2500000000000001E-2</v>
          </cell>
        </row>
        <row r="183">
          <cell r="A183" t="str">
            <v>6.7U.0.N</v>
          </cell>
          <cell r="B183">
            <v>6</v>
          </cell>
          <cell r="C183" t="str">
            <v>7U</v>
          </cell>
          <cell r="D183">
            <v>0</v>
          </cell>
          <cell r="E183" t="str">
            <v>N</v>
          </cell>
          <cell r="F183">
            <v>1.2500000000000001E-2</v>
          </cell>
        </row>
        <row r="184">
          <cell r="A184" t="str">
            <v>6.1.1.N</v>
          </cell>
          <cell r="B184">
            <v>6</v>
          </cell>
          <cell r="C184">
            <v>1</v>
          </cell>
          <cell r="D184">
            <v>1</v>
          </cell>
          <cell r="E184" t="str">
            <v>N</v>
          </cell>
          <cell r="F184">
            <v>1.2500000000000001E-2</v>
          </cell>
        </row>
        <row r="185">
          <cell r="A185" t="str">
            <v>6.1.98.0</v>
          </cell>
          <cell r="B185">
            <v>6</v>
          </cell>
          <cell r="C185">
            <v>1</v>
          </cell>
          <cell r="D185">
            <v>98</v>
          </cell>
          <cell r="E185">
            <v>0</v>
          </cell>
          <cell r="F185">
            <v>0</v>
          </cell>
        </row>
        <row r="186">
          <cell r="A186" t="str">
            <v>6.1.98.A</v>
          </cell>
          <cell r="B186">
            <v>6</v>
          </cell>
          <cell r="C186">
            <v>1</v>
          </cell>
          <cell r="D186">
            <v>98</v>
          </cell>
          <cell r="E186" t="str">
            <v>A</v>
          </cell>
          <cell r="F186">
            <v>0</v>
          </cell>
        </row>
        <row r="187">
          <cell r="A187" t="str">
            <v>8.1.10.0</v>
          </cell>
          <cell r="B187">
            <v>8</v>
          </cell>
          <cell r="C187">
            <v>1</v>
          </cell>
          <cell r="D187">
            <v>10</v>
          </cell>
          <cell r="E187">
            <v>0</v>
          </cell>
          <cell r="F187">
            <v>5.4899999999999997E-2</v>
          </cell>
        </row>
        <row r="188">
          <cell r="A188" t="str">
            <v>8.1.10.A</v>
          </cell>
          <cell r="B188">
            <v>8</v>
          </cell>
          <cell r="C188">
            <v>1</v>
          </cell>
          <cell r="D188">
            <v>10</v>
          </cell>
          <cell r="E188" t="str">
            <v>A</v>
          </cell>
          <cell r="F188">
            <v>5.4899999999999997E-2</v>
          </cell>
        </row>
        <row r="189">
          <cell r="A189" t="str">
            <v>8.1.10.I</v>
          </cell>
          <cell r="B189">
            <v>8</v>
          </cell>
          <cell r="C189">
            <v>1</v>
          </cell>
          <cell r="D189">
            <v>10</v>
          </cell>
          <cell r="E189" t="str">
            <v>I</v>
          </cell>
          <cell r="F189">
            <v>5.4899999999999997E-2</v>
          </cell>
        </row>
        <row r="190">
          <cell r="A190" t="str">
            <v>8.1.10.N</v>
          </cell>
          <cell r="B190">
            <v>8</v>
          </cell>
          <cell r="C190">
            <v>1</v>
          </cell>
          <cell r="D190">
            <v>10</v>
          </cell>
          <cell r="E190" t="str">
            <v>N</v>
          </cell>
          <cell r="F190">
            <v>5.4899999999999997E-2</v>
          </cell>
        </row>
        <row r="191">
          <cell r="A191" t="str">
            <v>8.7U.10.N</v>
          </cell>
          <cell r="B191">
            <v>8</v>
          </cell>
          <cell r="C191" t="str">
            <v>7U</v>
          </cell>
          <cell r="D191">
            <v>10</v>
          </cell>
          <cell r="E191" t="str">
            <v>N</v>
          </cell>
          <cell r="F191">
            <v>5.4899999999999997E-2</v>
          </cell>
        </row>
        <row r="192">
          <cell r="A192" t="str">
            <v>8.1.11.0</v>
          </cell>
          <cell r="B192">
            <v>8</v>
          </cell>
          <cell r="C192">
            <v>1</v>
          </cell>
          <cell r="D192">
            <v>11</v>
          </cell>
          <cell r="E192">
            <v>0</v>
          </cell>
          <cell r="F192">
            <v>3.7699999999999997E-2</v>
          </cell>
        </row>
        <row r="193">
          <cell r="A193" t="str">
            <v>8.1.11.A</v>
          </cell>
          <cell r="B193">
            <v>8</v>
          </cell>
          <cell r="C193">
            <v>1</v>
          </cell>
          <cell r="D193">
            <v>11</v>
          </cell>
          <cell r="E193" t="str">
            <v>A</v>
          </cell>
          <cell r="F193">
            <v>3.7699999999999997E-2</v>
          </cell>
        </row>
        <row r="194">
          <cell r="A194" t="str">
            <v>8.1.11.F</v>
          </cell>
          <cell r="B194">
            <v>8</v>
          </cell>
          <cell r="C194">
            <v>1</v>
          </cell>
          <cell r="D194">
            <v>11</v>
          </cell>
          <cell r="E194" t="str">
            <v>F</v>
          </cell>
          <cell r="F194">
            <v>3.7699999999999997E-2</v>
          </cell>
        </row>
        <row r="195">
          <cell r="A195" t="str">
            <v>8.1.11.I</v>
          </cell>
          <cell r="B195">
            <v>8</v>
          </cell>
          <cell r="C195">
            <v>1</v>
          </cell>
          <cell r="D195">
            <v>11</v>
          </cell>
          <cell r="E195" t="str">
            <v>I</v>
          </cell>
          <cell r="F195">
            <v>3.7699999999999997E-2</v>
          </cell>
        </row>
        <row r="196">
          <cell r="A196" t="str">
            <v>8.1.11.N</v>
          </cell>
          <cell r="B196">
            <v>8</v>
          </cell>
          <cell r="C196">
            <v>1</v>
          </cell>
          <cell r="D196">
            <v>11</v>
          </cell>
          <cell r="E196" t="str">
            <v>N</v>
          </cell>
          <cell r="F196">
            <v>3.7699999999999997E-2</v>
          </cell>
        </row>
        <row r="197">
          <cell r="A197" t="str">
            <v>8.1.12.N</v>
          </cell>
          <cell r="B197">
            <v>8</v>
          </cell>
          <cell r="C197">
            <v>1</v>
          </cell>
          <cell r="D197">
            <v>12</v>
          </cell>
          <cell r="E197" t="str">
            <v>N</v>
          </cell>
          <cell r="F197">
            <v>5.4899999999999997E-2</v>
          </cell>
        </row>
        <row r="198">
          <cell r="A198" t="str">
            <v>8.1.13.N</v>
          </cell>
          <cell r="B198">
            <v>8</v>
          </cell>
          <cell r="C198">
            <v>1</v>
          </cell>
          <cell r="D198">
            <v>13</v>
          </cell>
          <cell r="E198" t="str">
            <v>N</v>
          </cell>
          <cell r="F198">
            <v>5.4899999999999997E-2</v>
          </cell>
        </row>
        <row r="199">
          <cell r="A199" t="str">
            <v>8.1.20.0</v>
          </cell>
          <cell r="B199">
            <v>8</v>
          </cell>
          <cell r="C199">
            <v>1</v>
          </cell>
          <cell r="D199">
            <v>20</v>
          </cell>
          <cell r="E199">
            <v>0</v>
          </cell>
          <cell r="F199">
            <v>4.4699999999999997E-2</v>
          </cell>
        </row>
        <row r="200">
          <cell r="A200" t="str">
            <v>8.3.20.0</v>
          </cell>
          <cell r="B200">
            <v>8</v>
          </cell>
          <cell r="C200">
            <v>3</v>
          </cell>
          <cell r="D200">
            <v>20</v>
          </cell>
          <cell r="E200">
            <v>0</v>
          </cell>
          <cell r="F200">
            <v>4.4699999999999997E-2</v>
          </cell>
        </row>
        <row r="201">
          <cell r="A201" t="str">
            <v>8.18.20.0</v>
          </cell>
          <cell r="B201">
            <v>8</v>
          </cell>
          <cell r="C201">
            <v>18</v>
          </cell>
          <cell r="D201">
            <v>20</v>
          </cell>
          <cell r="E201">
            <v>0</v>
          </cell>
          <cell r="F201">
            <v>4.4699999999999997E-2</v>
          </cell>
        </row>
        <row r="202">
          <cell r="A202" t="str">
            <v>8.1.20.3</v>
          </cell>
          <cell r="B202">
            <v>8</v>
          </cell>
          <cell r="C202">
            <v>1</v>
          </cell>
          <cell r="D202">
            <v>20</v>
          </cell>
          <cell r="E202">
            <v>3</v>
          </cell>
          <cell r="F202">
            <v>4.4699999999999997E-2</v>
          </cell>
        </row>
        <row r="203">
          <cell r="A203" t="str">
            <v>8.1.20.A</v>
          </cell>
          <cell r="B203">
            <v>8</v>
          </cell>
          <cell r="C203">
            <v>1</v>
          </cell>
          <cell r="D203">
            <v>20</v>
          </cell>
          <cell r="E203" t="str">
            <v>A</v>
          </cell>
          <cell r="F203">
            <v>4.4699999999999997E-2</v>
          </cell>
        </row>
        <row r="204">
          <cell r="A204" t="str">
            <v>8.3.20.A</v>
          </cell>
          <cell r="B204">
            <v>8</v>
          </cell>
          <cell r="C204">
            <v>3</v>
          </cell>
          <cell r="D204">
            <v>20</v>
          </cell>
          <cell r="E204" t="str">
            <v>A</v>
          </cell>
          <cell r="F204">
            <v>4.4699999999999997E-2</v>
          </cell>
        </row>
        <row r="205">
          <cell r="A205" t="str">
            <v>8.18.20.A</v>
          </cell>
          <cell r="B205">
            <v>8</v>
          </cell>
          <cell r="C205">
            <v>18</v>
          </cell>
          <cell r="D205">
            <v>20</v>
          </cell>
          <cell r="E205" t="str">
            <v>A</v>
          </cell>
          <cell r="F205">
            <v>4.4699999999999997E-2</v>
          </cell>
        </row>
        <row r="206">
          <cell r="A206" t="str">
            <v>8.1.20.I</v>
          </cell>
          <cell r="B206">
            <v>8</v>
          </cell>
          <cell r="C206">
            <v>1</v>
          </cell>
          <cell r="D206">
            <v>20</v>
          </cell>
          <cell r="E206" t="str">
            <v>I</v>
          </cell>
          <cell r="F206">
            <v>4.4699999999999997E-2</v>
          </cell>
        </row>
        <row r="207">
          <cell r="A207" t="str">
            <v>8.1.20.N</v>
          </cell>
          <cell r="B207">
            <v>8</v>
          </cell>
          <cell r="C207">
            <v>1</v>
          </cell>
          <cell r="D207">
            <v>20</v>
          </cell>
          <cell r="E207" t="str">
            <v>N</v>
          </cell>
          <cell r="F207">
            <v>4.4699999999999997E-2</v>
          </cell>
        </row>
        <row r="208">
          <cell r="A208" t="str">
            <v>8.0E.20.N</v>
          </cell>
          <cell r="B208">
            <v>8</v>
          </cell>
          <cell r="C208" t="str">
            <v>0E</v>
          </cell>
          <cell r="D208">
            <v>20</v>
          </cell>
          <cell r="E208" t="str">
            <v>N</v>
          </cell>
          <cell r="F208">
            <v>4.4699999999999997E-2</v>
          </cell>
        </row>
        <row r="209">
          <cell r="A209" t="str">
            <v>8.0M.20.N</v>
          </cell>
          <cell r="B209">
            <v>8</v>
          </cell>
          <cell r="C209" t="str">
            <v>0M</v>
          </cell>
          <cell r="D209">
            <v>20</v>
          </cell>
          <cell r="E209" t="str">
            <v>N</v>
          </cell>
          <cell r="F209">
            <v>4.4699999999999997E-2</v>
          </cell>
        </row>
        <row r="210">
          <cell r="A210" t="str">
            <v>8.18.20.N</v>
          </cell>
          <cell r="B210">
            <v>8</v>
          </cell>
          <cell r="C210">
            <v>18</v>
          </cell>
          <cell r="D210">
            <v>20</v>
          </cell>
          <cell r="E210" t="str">
            <v>N</v>
          </cell>
          <cell r="F210">
            <v>4.4699999999999997E-2</v>
          </cell>
        </row>
        <row r="211">
          <cell r="A211" t="str">
            <v>8.7N.20.N</v>
          </cell>
          <cell r="B211">
            <v>8</v>
          </cell>
          <cell r="C211" t="str">
            <v>7N</v>
          </cell>
          <cell r="D211">
            <v>20</v>
          </cell>
          <cell r="E211" t="str">
            <v>N</v>
          </cell>
          <cell r="F211">
            <v>4.4699999999999997E-2</v>
          </cell>
        </row>
        <row r="212">
          <cell r="A212" t="str">
            <v>8.7P.20.N</v>
          </cell>
          <cell r="B212">
            <v>8</v>
          </cell>
          <cell r="C212" t="str">
            <v>7P</v>
          </cell>
          <cell r="D212">
            <v>20</v>
          </cell>
          <cell r="E212" t="str">
            <v>N</v>
          </cell>
          <cell r="F212">
            <v>4.4699999999999997E-2</v>
          </cell>
        </row>
        <row r="213">
          <cell r="A213" t="str">
            <v>8.7U.20.N</v>
          </cell>
          <cell r="B213">
            <v>8</v>
          </cell>
          <cell r="C213" t="str">
            <v>7U</v>
          </cell>
          <cell r="D213">
            <v>20</v>
          </cell>
          <cell r="E213" t="str">
            <v>N</v>
          </cell>
          <cell r="F213">
            <v>4.4699999999999997E-2</v>
          </cell>
        </row>
        <row r="214">
          <cell r="A214" t="str">
            <v>8.1.21.0</v>
          </cell>
          <cell r="B214">
            <v>8</v>
          </cell>
          <cell r="C214">
            <v>1</v>
          </cell>
          <cell r="D214">
            <v>21</v>
          </cell>
          <cell r="E214">
            <v>0</v>
          </cell>
          <cell r="F214">
            <v>3.78E-2</v>
          </cell>
        </row>
        <row r="215">
          <cell r="A215" t="str">
            <v>8.1.21.A</v>
          </cell>
          <cell r="B215">
            <v>8</v>
          </cell>
          <cell r="C215">
            <v>1</v>
          </cell>
          <cell r="D215">
            <v>21</v>
          </cell>
          <cell r="E215" t="str">
            <v>A</v>
          </cell>
          <cell r="F215">
            <v>3.78E-2</v>
          </cell>
        </row>
        <row r="216">
          <cell r="A216" t="str">
            <v>8.1.21.F</v>
          </cell>
          <cell r="B216">
            <v>8</v>
          </cell>
          <cell r="C216">
            <v>1</v>
          </cell>
          <cell r="D216">
            <v>21</v>
          </cell>
          <cell r="E216" t="str">
            <v>F</v>
          </cell>
          <cell r="F216">
            <v>3.78E-2</v>
          </cell>
        </row>
        <row r="217">
          <cell r="A217" t="str">
            <v>8.1.21.I</v>
          </cell>
          <cell r="B217">
            <v>8</v>
          </cell>
          <cell r="C217">
            <v>1</v>
          </cell>
          <cell r="D217">
            <v>21</v>
          </cell>
          <cell r="E217" t="str">
            <v>I</v>
          </cell>
          <cell r="F217">
            <v>3.78E-2</v>
          </cell>
        </row>
        <row r="218">
          <cell r="A218" t="str">
            <v>8.1.21.N</v>
          </cell>
          <cell r="B218">
            <v>8</v>
          </cell>
          <cell r="C218">
            <v>1</v>
          </cell>
          <cell r="D218">
            <v>21</v>
          </cell>
          <cell r="E218" t="str">
            <v>N</v>
          </cell>
          <cell r="F218">
            <v>3.78E-2</v>
          </cell>
        </row>
        <row r="219">
          <cell r="A219" t="str">
            <v>8.1.30.0</v>
          </cell>
          <cell r="B219">
            <v>8</v>
          </cell>
          <cell r="C219">
            <v>1</v>
          </cell>
          <cell r="D219">
            <v>30</v>
          </cell>
          <cell r="E219">
            <v>0</v>
          </cell>
          <cell r="F219">
            <v>0</v>
          </cell>
        </row>
        <row r="220">
          <cell r="A220" t="str">
            <v>8.1.30.A</v>
          </cell>
          <cell r="B220">
            <v>8</v>
          </cell>
          <cell r="C220">
            <v>1</v>
          </cell>
          <cell r="D220">
            <v>30</v>
          </cell>
          <cell r="E220" t="str">
            <v>A</v>
          </cell>
          <cell r="F220">
            <v>0</v>
          </cell>
        </row>
        <row r="221">
          <cell r="A221" t="str">
            <v>8.1.40.0</v>
          </cell>
          <cell r="B221">
            <v>8</v>
          </cell>
          <cell r="C221">
            <v>1</v>
          </cell>
          <cell r="D221">
            <v>40</v>
          </cell>
          <cell r="E221">
            <v>0</v>
          </cell>
          <cell r="F221">
            <v>3.8600000000000002E-2</v>
          </cell>
        </row>
        <row r="222">
          <cell r="A222" t="str">
            <v>8.3.40.0</v>
          </cell>
          <cell r="B222">
            <v>8</v>
          </cell>
          <cell r="C222">
            <v>3</v>
          </cell>
          <cell r="D222">
            <v>40</v>
          </cell>
          <cell r="E222">
            <v>0</v>
          </cell>
          <cell r="F222">
            <v>3.8600000000000002E-2</v>
          </cell>
        </row>
        <row r="223">
          <cell r="A223" t="str">
            <v>8.15.40.0</v>
          </cell>
          <cell r="B223">
            <v>8</v>
          </cell>
          <cell r="C223">
            <v>15</v>
          </cell>
          <cell r="D223">
            <v>40</v>
          </cell>
          <cell r="E223">
            <v>0</v>
          </cell>
          <cell r="F223">
            <v>3.8600000000000002E-2</v>
          </cell>
        </row>
        <row r="224">
          <cell r="A224" t="str">
            <v>8.1.40.3</v>
          </cell>
          <cell r="B224">
            <v>8</v>
          </cell>
          <cell r="C224">
            <v>1</v>
          </cell>
          <cell r="D224">
            <v>40</v>
          </cell>
          <cell r="E224">
            <v>3</v>
          </cell>
          <cell r="F224">
            <v>3.8600000000000002E-2</v>
          </cell>
        </row>
        <row r="225">
          <cell r="A225" t="str">
            <v>8.70.40.3</v>
          </cell>
          <cell r="B225">
            <v>8</v>
          </cell>
          <cell r="C225">
            <v>70</v>
          </cell>
          <cell r="D225">
            <v>40</v>
          </cell>
          <cell r="E225">
            <v>3</v>
          </cell>
          <cell r="F225">
            <v>3.8600000000000002E-2</v>
          </cell>
        </row>
        <row r="226">
          <cell r="A226" t="str">
            <v>8.71.40.3</v>
          </cell>
          <cell r="B226">
            <v>8</v>
          </cell>
          <cell r="C226">
            <v>71</v>
          </cell>
          <cell r="D226">
            <v>40</v>
          </cell>
          <cell r="E226">
            <v>3</v>
          </cell>
          <cell r="F226">
            <v>3.8600000000000002E-2</v>
          </cell>
        </row>
        <row r="227">
          <cell r="A227" t="str">
            <v>8.1.40.A</v>
          </cell>
          <cell r="B227">
            <v>8</v>
          </cell>
          <cell r="C227">
            <v>1</v>
          </cell>
          <cell r="D227">
            <v>40</v>
          </cell>
          <cell r="E227" t="str">
            <v>A</v>
          </cell>
          <cell r="F227">
            <v>3.8600000000000002E-2</v>
          </cell>
        </row>
        <row r="228">
          <cell r="A228" t="str">
            <v>8.3.40.A</v>
          </cell>
          <cell r="B228">
            <v>8</v>
          </cell>
          <cell r="C228">
            <v>3</v>
          </cell>
          <cell r="D228">
            <v>40</v>
          </cell>
          <cell r="E228" t="str">
            <v>A</v>
          </cell>
          <cell r="F228">
            <v>3.8600000000000002E-2</v>
          </cell>
        </row>
        <row r="229">
          <cell r="A229" t="str">
            <v>8.14.40.A</v>
          </cell>
          <cell r="B229">
            <v>8</v>
          </cell>
          <cell r="C229">
            <v>14</v>
          </cell>
          <cell r="D229">
            <v>40</v>
          </cell>
          <cell r="E229" t="str">
            <v>A</v>
          </cell>
          <cell r="F229">
            <v>3.8600000000000002E-2</v>
          </cell>
        </row>
        <row r="230">
          <cell r="A230" t="str">
            <v>8.15.40.A</v>
          </cell>
          <cell r="B230">
            <v>8</v>
          </cell>
          <cell r="C230">
            <v>15</v>
          </cell>
          <cell r="D230">
            <v>40</v>
          </cell>
          <cell r="E230" t="str">
            <v>A</v>
          </cell>
          <cell r="F230">
            <v>3.8600000000000002E-2</v>
          </cell>
        </row>
        <row r="231">
          <cell r="A231" t="str">
            <v>8.70.40.B</v>
          </cell>
          <cell r="B231">
            <v>8</v>
          </cell>
          <cell r="C231">
            <v>70</v>
          </cell>
          <cell r="D231">
            <v>40</v>
          </cell>
          <cell r="E231" t="str">
            <v>B</v>
          </cell>
          <cell r="F231">
            <v>3.8600000000000002E-2</v>
          </cell>
        </row>
        <row r="232">
          <cell r="A232" t="str">
            <v>8.71.40.B</v>
          </cell>
          <cell r="B232">
            <v>8</v>
          </cell>
          <cell r="C232">
            <v>71</v>
          </cell>
          <cell r="D232">
            <v>40</v>
          </cell>
          <cell r="E232" t="str">
            <v>B</v>
          </cell>
          <cell r="F232">
            <v>3.8600000000000002E-2</v>
          </cell>
        </row>
        <row r="233">
          <cell r="A233" t="str">
            <v>8.1.40.I</v>
          </cell>
          <cell r="B233">
            <v>8</v>
          </cell>
          <cell r="C233">
            <v>1</v>
          </cell>
          <cell r="D233">
            <v>40</v>
          </cell>
          <cell r="E233" t="str">
            <v>I</v>
          </cell>
          <cell r="F233">
            <v>3.8600000000000002E-2</v>
          </cell>
        </row>
        <row r="234">
          <cell r="A234" t="str">
            <v>8.14.40.I</v>
          </cell>
          <cell r="B234">
            <v>8</v>
          </cell>
          <cell r="C234">
            <v>14</v>
          </cell>
          <cell r="D234">
            <v>40</v>
          </cell>
          <cell r="E234" t="str">
            <v>I</v>
          </cell>
          <cell r="F234">
            <v>3.8600000000000002E-2</v>
          </cell>
        </row>
        <row r="235">
          <cell r="A235" t="str">
            <v>8.1.40.N</v>
          </cell>
          <cell r="B235">
            <v>8</v>
          </cell>
          <cell r="C235">
            <v>1</v>
          </cell>
          <cell r="D235">
            <v>40</v>
          </cell>
          <cell r="E235" t="str">
            <v>N</v>
          </cell>
          <cell r="F235">
            <v>3.8600000000000002E-2</v>
          </cell>
        </row>
        <row r="236">
          <cell r="A236" t="str">
            <v>8.0B.40.N</v>
          </cell>
          <cell r="B236">
            <v>8</v>
          </cell>
          <cell r="C236" t="str">
            <v>0B</v>
          </cell>
          <cell r="D236">
            <v>40</v>
          </cell>
          <cell r="E236" t="str">
            <v>N</v>
          </cell>
          <cell r="F236">
            <v>3.8600000000000002E-2</v>
          </cell>
        </row>
        <row r="237">
          <cell r="A237" t="str">
            <v>8.0E.40.N</v>
          </cell>
          <cell r="B237">
            <v>8</v>
          </cell>
          <cell r="C237" t="str">
            <v>0E</v>
          </cell>
          <cell r="D237">
            <v>40</v>
          </cell>
          <cell r="E237" t="str">
            <v>N</v>
          </cell>
          <cell r="F237">
            <v>3.8600000000000002E-2</v>
          </cell>
        </row>
        <row r="238">
          <cell r="A238" t="str">
            <v>8.14.40.N</v>
          </cell>
          <cell r="B238">
            <v>8</v>
          </cell>
          <cell r="C238">
            <v>14</v>
          </cell>
          <cell r="D238">
            <v>40</v>
          </cell>
          <cell r="E238" t="str">
            <v>N</v>
          </cell>
          <cell r="F238">
            <v>3.8600000000000002E-2</v>
          </cell>
        </row>
        <row r="239">
          <cell r="A239" t="str">
            <v>8.7U.40.N</v>
          </cell>
          <cell r="B239">
            <v>8</v>
          </cell>
          <cell r="C239" t="str">
            <v>7U</v>
          </cell>
          <cell r="D239">
            <v>40</v>
          </cell>
          <cell r="E239" t="str">
            <v>N</v>
          </cell>
          <cell r="F239">
            <v>3.8600000000000002E-2</v>
          </cell>
        </row>
        <row r="240">
          <cell r="A240" t="str">
            <v>8.1.41.0</v>
          </cell>
          <cell r="B240">
            <v>8</v>
          </cell>
          <cell r="C240">
            <v>1</v>
          </cell>
          <cell r="D240">
            <v>41</v>
          </cell>
          <cell r="E240">
            <v>0</v>
          </cell>
          <cell r="F240">
            <v>3.3300000000000003E-2</v>
          </cell>
        </row>
        <row r="241">
          <cell r="A241" t="str">
            <v>8.1.41.A</v>
          </cell>
          <cell r="B241">
            <v>8</v>
          </cell>
          <cell r="C241">
            <v>1</v>
          </cell>
          <cell r="D241">
            <v>41</v>
          </cell>
          <cell r="E241" t="str">
            <v>A</v>
          </cell>
          <cell r="F241">
            <v>3.3300000000000003E-2</v>
          </cell>
        </row>
        <row r="242">
          <cell r="A242" t="str">
            <v>8.1.41.F</v>
          </cell>
          <cell r="B242">
            <v>8</v>
          </cell>
          <cell r="C242">
            <v>1</v>
          </cell>
          <cell r="D242">
            <v>41</v>
          </cell>
          <cell r="E242" t="str">
            <v>F</v>
          </cell>
          <cell r="F242">
            <v>3.3300000000000003E-2</v>
          </cell>
        </row>
        <row r="243">
          <cell r="A243" t="str">
            <v>8.1.41.I</v>
          </cell>
          <cell r="B243">
            <v>8</v>
          </cell>
          <cell r="C243">
            <v>1</v>
          </cell>
          <cell r="D243">
            <v>41</v>
          </cell>
          <cell r="E243" t="str">
            <v>I</v>
          </cell>
          <cell r="F243">
            <v>3.3300000000000003E-2</v>
          </cell>
        </row>
        <row r="244">
          <cell r="A244" t="str">
            <v>8.1.41.M</v>
          </cell>
          <cell r="B244">
            <v>8</v>
          </cell>
          <cell r="C244">
            <v>1</v>
          </cell>
          <cell r="D244">
            <v>41</v>
          </cell>
          <cell r="E244" t="str">
            <v>M</v>
          </cell>
          <cell r="F244">
            <v>3.3300000000000003E-2</v>
          </cell>
        </row>
        <row r="245">
          <cell r="A245" t="str">
            <v>8.1.41.N</v>
          </cell>
          <cell r="B245">
            <v>8</v>
          </cell>
          <cell r="C245">
            <v>1</v>
          </cell>
          <cell r="D245">
            <v>41</v>
          </cell>
          <cell r="E245" t="str">
            <v>N</v>
          </cell>
          <cell r="F245">
            <v>3.3300000000000003E-2</v>
          </cell>
        </row>
        <row r="246">
          <cell r="A246" t="str">
            <v>8.1.50.0</v>
          </cell>
          <cell r="B246">
            <v>8</v>
          </cell>
          <cell r="C246">
            <v>1</v>
          </cell>
          <cell r="D246">
            <v>50</v>
          </cell>
          <cell r="E246">
            <v>0</v>
          </cell>
          <cell r="F246">
            <v>3.8600000000000002E-2</v>
          </cell>
        </row>
        <row r="247">
          <cell r="A247" t="str">
            <v>8.1.50.A</v>
          </cell>
          <cell r="B247">
            <v>8</v>
          </cell>
          <cell r="C247">
            <v>1</v>
          </cell>
          <cell r="D247">
            <v>50</v>
          </cell>
          <cell r="E247" t="str">
            <v>A</v>
          </cell>
          <cell r="F247">
            <v>3.8600000000000002E-2</v>
          </cell>
        </row>
        <row r="248">
          <cell r="A248" t="str">
            <v>8.1.50.N</v>
          </cell>
          <cell r="B248">
            <v>8</v>
          </cell>
          <cell r="C248">
            <v>1</v>
          </cell>
          <cell r="D248">
            <v>50</v>
          </cell>
          <cell r="E248" t="str">
            <v>N</v>
          </cell>
          <cell r="F248">
            <v>3.8600000000000002E-2</v>
          </cell>
        </row>
        <row r="249">
          <cell r="A249" t="str">
            <v>8.1.51.0</v>
          </cell>
          <cell r="B249">
            <v>8</v>
          </cell>
          <cell r="C249">
            <v>1</v>
          </cell>
          <cell r="D249">
            <v>51</v>
          </cell>
          <cell r="E249">
            <v>0</v>
          </cell>
          <cell r="F249">
            <v>3.3300000000000003E-2</v>
          </cell>
        </row>
        <row r="250">
          <cell r="A250" t="str">
            <v>8.1.51.A</v>
          </cell>
          <cell r="B250">
            <v>8</v>
          </cell>
          <cell r="C250">
            <v>1</v>
          </cell>
          <cell r="D250">
            <v>51</v>
          </cell>
          <cell r="E250" t="str">
            <v>A</v>
          </cell>
          <cell r="F250">
            <v>3.3300000000000003E-2</v>
          </cell>
        </row>
        <row r="251">
          <cell r="A251" t="str">
            <v>8.1.51.F</v>
          </cell>
          <cell r="B251">
            <v>8</v>
          </cell>
          <cell r="C251">
            <v>1</v>
          </cell>
          <cell r="D251">
            <v>51</v>
          </cell>
          <cell r="E251" t="str">
            <v>F</v>
          </cell>
          <cell r="F251">
            <v>3.3300000000000003E-2</v>
          </cell>
        </row>
        <row r="252">
          <cell r="A252" t="str">
            <v>8.1.51.N</v>
          </cell>
          <cell r="B252">
            <v>8</v>
          </cell>
          <cell r="C252">
            <v>1</v>
          </cell>
          <cell r="D252">
            <v>51</v>
          </cell>
          <cell r="E252" t="str">
            <v>N</v>
          </cell>
          <cell r="F252">
            <v>3.3300000000000003E-2</v>
          </cell>
        </row>
        <row r="253">
          <cell r="A253" t="str">
            <v>8.1.81.0</v>
          </cell>
          <cell r="B253">
            <v>8</v>
          </cell>
          <cell r="C253">
            <v>1</v>
          </cell>
          <cell r="D253">
            <v>81</v>
          </cell>
          <cell r="E253">
            <v>0</v>
          </cell>
          <cell r="F253">
            <v>0</v>
          </cell>
        </row>
        <row r="254">
          <cell r="A254" t="str">
            <v>8.1.81.A</v>
          </cell>
          <cell r="B254">
            <v>8</v>
          </cell>
          <cell r="C254">
            <v>1</v>
          </cell>
          <cell r="D254">
            <v>81</v>
          </cell>
          <cell r="E254" t="str">
            <v>A</v>
          </cell>
          <cell r="F254">
            <v>0</v>
          </cell>
        </row>
        <row r="255">
          <cell r="A255" t="str">
            <v>8.1.82.0</v>
          </cell>
          <cell r="B255">
            <v>8</v>
          </cell>
          <cell r="C255">
            <v>1</v>
          </cell>
          <cell r="D255">
            <v>82</v>
          </cell>
          <cell r="E255">
            <v>0</v>
          </cell>
          <cell r="F255">
            <v>0</v>
          </cell>
        </row>
        <row r="256">
          <cell r="A256" t="str">
            <v>8.1.82.A</v>
          </cell>
          <cell r="B256">
            <v>8</v>
          </cell>
          <cell r="C256">
            <v>1</v>
          </cell>
          <cell r="D256">
            <v>82</v>
          </cell>
          <cell r="E256" t="str">
            <v>A</v>
          </cell>
          <cell r="F256">
            <v>0</v>
          </cell>
        </row>
        <row r="257">
          <cell r="A257" t="str">
            <v>8.1.84.0</v>
          </cell>
          <cell r="B257">
            <v>8</v>
          </cell>
          <cell r="C257">
            <v>1</v>
          </cell>
          <cell r="D257">
            <v>84</v>
          </cell>
          <cell r="E257">
            <v>0</v>
          </cell>
          <cell r="F257">
            <v>0</v>
          </cell>
        </row>
        <row r="258">
          <cell r="A258" t="str">
            <v>8.1.84.A</v>
          </cell>
          <cell r="B258">
            <v>8</v>
          </cell>
          <cell r="C258">
            <v>1</v>
          </cell>
          <cell r="D258">
            <v>84</v>
          </cell>
          <cell r="E258" t="str">
            <v>A</v>
          </cell>
          <cell r="F258">
            <v>0</v>
          </cell>
        </row>
        <row r="259">
          <cell r="A259" t="str">
            <v>8.1.85.0</v>
          </cell>
          <cell r="B259">
            <v>8</v>
          </cell>
          <cell r="C259">
            <v>1</v>
          </cell>
          <cell r="D259">
            <v>85</v>
          </cell>
          <cell r="E259">
            <v>0</v>
          </cell>
          <cell r="F259">
            <v>0</v>
          </cell>
        </row>
        <row r="260">
          <cell r="A260" t="str">
            <v>8.1.85.A</v>
          </cell>
          <cell r="B260">
            <v>8</v>
          </cell>
          <cell r="C260">
            <v>1</v>
          </cell>
          <cell r="D260">
            <v>85</v>
          </cell>
          <cell r="E260" t="str">
            <v>A</v>
          </cell>
          <cell r="F260">
            <v>0</v>
          </cell>
        </row>
        <row r="261">
          <cell r="A261" t="str">
            <v>8.1.98.0</v>
          </cell>
          <cell r="B261">
            <v>8</v>
          </cell>
          <cell r="C261">
            <v>1</v>
          </cell>
          <cell r="D261">
            <v>98</v>
          </cell>
          <cell r="E261">
            <v>0</v>
          </cell>
          <cell r="F261">
            <v>0</v>
          </cell>
        </row>
        <row r="262">
          <cell r="A262" t="str">
            <v>8.1.98.A</v>
          </cell>
          <cell r="B262">
            <v>8</v>
          </cell>
          <cell r="C262">
            <v>1</v>
          </cell>
          <cell r="D262">
            <v>98</v>
          </cell>
          <cell r="E262" t="str">
            <v>A</v>
          </cell>
          <cell r="F262">
            <v>0</v>
          </cell>
        </row>
        <row r="263">
          <cell r="A263" t="str">
            <v>9.1.10.0</v>
          </cell>
          <cell r="B263">
            <v>9</v>
          </cell>
          <cell r="C263">
            <v>1</v>
          </cell>
          <cell r="D263">
            <v>10</v>
          </cell>
          <cell r="E263">
            <v>0</v>
          </cell>
          <cell r="F263">
            <v>3.3000000000000002E-2</v>
          </cell>
        </row>
        <row r="264">
          <cell r="A264" t="str">
            <v>9.1.10.A</v>
          </cell>
          <cell r="B264">
            <v>9</v>
          </cell>
          <cell r="C264">
            <v>1</v>
          </cell>
          <cell r="D264">
            <v>10</v>
          </cell>
          <cell r="E264" t="str">
            <v>A</v>
          </cell>
          <cell r="F264">
            <v>3.3000000000000002E-2</v>
          </cell>
        </row>
        <row r="265">
          <cell r="A265" t="str">
            <v>9.1.10.I</v>
          </cell>
          <cell r="B265">
            <v>9</v>
          </cell>
          <cell r="C265">
            <v>1</v>
          </cell>
          <cell r="D265">
            <v>10</v>
          </cell>
          <cell r="E265" t="str">
            <v>I</v>
          </cell>
          <cell r="F265">
            <v>3.3000000000000002E-2</v>
          </cell>
        </row>
        <row r="266">
          <cell r="A266" t="str">
            <v>9.1.10.N</v>
          </cell>
          <cell r="B266">
            <v>9</v>
          </cell>
          <cell r="C266">
            <v>1</v>
          </cell>
          <cell r="D266">
            <v>10</v>
          </cell>
          <cell r="E266" t="str">
            <v>N</v>
          </cell>
          <cell r="F266">
            <v>3.3000000000000002E-2</v>
          </cell>
        </row>
        <row r="267">
          <cell r="A267" t="str">
            <v>9.0B.10.N</v>
          </cell>
          <cell r="B267">
            <v>9</v>
          </cell>
          <cell r="C267" t="str">
            <v>0B</v>
          </cell>
          <cell r="D267">
            <v>10</v>
          </cell>
          <cell r="E267" t="str">
            <v>N</v>
          </cell>
          <cell r="F267">
            <v>3.3000000000000002E-2</v>
          </cell>
        </row>
        <row r="268">
          <cell r="A268" t="str">
            <v>9.0E.10.N</v>
          </cell>
          <cell r="B268">
            <v>9</v>
          </cell>
          <cell r="C268" t="str">
            <v>0E</v>
          </cell>
          <cell r="D268">
            <v>10</v>
          </cell>
          <cell r="E268" t="str">
            <v>N</v>
          </cell>
          <cell r="F268">
            <v>3.3000000000000002E-2</v>
          </cell>
        </row>
        <row r="269">
          <cell r="A269" t="str">
            <v>9.7U.10.N</v>
          </cell>
          <cell r="B269">
            <v>9</v>
          </cell>
          <cell r="C269" t="str">
            <v>7U</v>
          </cell>
          <cell r="D269">
            <v>10</v>
          </cell>
          <cell r="E269" t="str">
            <v>N</v>
          </cell>
          <cell r="F269">
            <v>3.3000000000000002E-2</v>
          </cell>
        </row>
        <row r="270">
          <cell r="A270" t="str">
            <v>9.1.11.N</v>
          </cell>
          <cell r="B270">
            <v>9</v>
          </cell>
          <cell r="C270">
            <v>1</v>
          </cell>
          <cell r="D270">
            <v>11</v>
          </cell>
          <cell r="E270" t="str">
            <v>N</v>
          </cell>
          <cell r="F270">
            <v>3.3000000000000002E-2</v>
          </cell>
        </row>
        <row r="271">
          <cell r="A271" t="str">
            <v>9.1.12.N</v>
          </cell>
          <cell r="B271">
            <v>9</v>
          </cell>
          <cell r="C271">
            <v>1</v>
          </cell>
          <cell r="D271">
            <v>12</v>
          </cell>
          <cell r="E271" t="str">
            <v>N</v>
          </cell>
          <cell r="F271">
            <v>3.3000000000000002E-2</v>
          </cell>
        </row>
        <row r="272">
          <cell r="A272" t="str">
            <v>9.1.13.N</v>
          </cell>
          <cell r="B272">
            <v>9</v>
          </cell>
          <cell r="C272">
            <v>1</v>
          </cell>
          <cell r="D272">
            <v>13</v>
          </cell>
          <cell r="E272" t="str">
            <v>N</v>
          </cell>
          <cell r="F272">
            <v>3.3000000000000002E-2</v>
          </cell>
        </row>
        <row r="273">
          <cell r="A273" t="str">
            <v>9.1.14.N</v>
          </cell>
          <cell r="B273">
            <v>9</v>
          </cell>
          <cell r="C273">
            <v>1</v>
          </cell>
          <cell r="D273">
            <v>14</v>
          </cell>
          <cell r="E273" t="str">
            <v>N</v>
          </cell>
          <cell r="F273">
            <v>3.3000000000000002E-2</v>
          </cell>
        </row>
        <row r="274">
          <cell r="A274" t="str">
            <v>9.1.15.N</v>
          </cell>
          <cell r="B274">
            <v>9</v>
          </cell>
          <cell r="C274">
            <v>1</v>
          </cell>
          <cell r="D274">
            <v>15</v>
          </cell>
          <cell r="E274" t="str">
            <v>N</v>
          </cell>
          <cell r="F274">
            <v>3.3000000000000002E-2</v>
          </cell>
        </row>
        <row r="275">
          <cell r="A275" t="str">
            <v>9.1.20.0</v>
          </cell>
          <cell r="B275">
            <v>9</v>
          </cell>
          <cell r="C275">
            <v>1</v>
          </cell>
          <cell r="D275">
            <v>20</v>
          </cell>
          <cell r="E275">
            <v>0</v>
          </cell>
          <cell r="F275">
            <v>2.6700000000000002E-2</v>
          </cell>
        </row>
        <row r="276">
          <cell r="A276" t="str">
            <v>9.3.20.0</v>
          </cell>
          <cell r="B276">
            <v>9</v>
          </cell>
          <cell r="C276">
            <v>3</v>
          </cell>
          <cell r="D276">
            <v>20</v>
          </cell>
          <cell r="E276">
            <v>0</v>
          </cell>
          <cell r="F276">
            <v>2.6700000000000002E-2</v>
          </cell>
        </row>
        <row r="277">
          <cell r="A277" t="str">
            <v>9.18.20.0</v>
          </cell>
          <cell r="B277">
            <v>9</v>
          </cell>
          <cell r="C277">
            <v>18</v>
          </cell>
          <cell r="D277">
            <v>20</v>
          </cell>
          <cell r="E277">
            <v>0</v>
          </cell>
          <cell r="F277">
            <v>2.6700000000000002E-2</v>
          </cell>
        </row>
        <row r="278">
          <cell r="A278" t="str">
            <v>9.1.20.3</v>
          </cell>
          <cell r="B278">
            <v>9</v>
          </cell>
          <cell r="C278">
            <v>1</v>
          </cell>
          <cell r="D278">
            <v>20</v>
          </cell>
          <cell r="E278">
            <v>3</v>
          </cell>
          <cell r="F278">
            <v>2.6700000000000002E-2</v>
          </cell>
        </row>
        <row r="279">
          <cell r="A279" t="str">
            <v>9.1.20.A</v>
          </cell>
          <cell r="B279">
            <v>9</v>
          </cell>
          <cell r="C279">
            <v>1</v>
          </cell>
          <cell r="D279">
            <v>20</v>
          </cell>
          <cell r="E279" t="str">
            <v>A</v>
          </cell>
          <cell r="F279">
            <v>2.6700000000000002E-2</v>
          </cell>
        </row>
        <row r="280">
          <cell r="A280" t="str">
            <v>9.3.20.A</v>
          </cell>
          <cell r="B280">
            <v>9</v>
          </cell>
          <cell r="C280">
            <v>3</v>
          </cell>
          <cell r="D280">
            <v>20</v>
          </cell>
          <cell r="E280" t="str">
            <v>A</v>
          </cell>
          <cell r="F280">
            <v>2.6700000000000002E-2</v>
          </cell>
        </row>
        <row r="281">
          <cell r="A281" t="str">
            <v>9.18.20.A</v>
          </cell>
          <cell r="B281">
            <v>9</v>
          </cell>
          <cell r="C281">
            <v>18</v>
          </cell>
          <cell r="D281">
            <v>20</v>
          </cell>
          <cell r="E281" t="str">
            <v>A</v>
          </cell>
          <cell r="F281">
            <v>2.6700000000000002E-2</v>
          </cell>
        </row>
        <row r="282">
          <cell r="A282" t="str">
            <v>9.1.20.I</v>
          </cell>
          <cell r="B282">
            <v>9</v>
          </cell>
          <cell r="C282">
            <v>1</v>
          </cell>
          <cell r="D282">
            <v>20</v>
          </cell>
          <cell r="E282" t="str">
            <v>I</v>
          </cell>
          <cell r="F282">
            <v>2.6700000000000002E-2</v>
          </cell>
        </row>
        <row r="283">
          <cell r="A283" t="str">
            <v>9.1.20.N</v>
          </cell>
          <cell r="B283">
            <v>9</v>
          </cell>
          <cell r="C283">
            <v>1</v>
          </cell>
          <cell r="D283">
            <v>20</v>
          </cell>
          <cell r="E283" t="str">
            <v>N</v>
          </cell>
          <cell r="F283">
            <v>2.6700000000000002E-2</v>
          </cell>
        </row>
        <row r="284">
          <cell r="A284" t="str">
            <v>9.0E.20.N</v>
          </cell>
          <cell r="B284">
            <v>9</v>
          </cell>
          <cell r="C284" t="str">
            <v>0E</v>
          </cell>
          <cell r="D284">
            <v>20</v>
          </cell>
          <cell r="E284" t="str">
            <v>N</v>
          </cell>
          <cell r="F284">
            <v>2.6700000000000002E-2</v>
          </cell>
        </row>
        <row r="285">
          <cell r="A285" t="str">
            <v>9.0M.20.N</v>
          </cell>
          <cell r="B285">
            <v>9</v>
          </cell>
          <cell r="C285" t="str">
            <v>0M</v>
          </cell>
          <cell r="D285">
            <v>20</v>
          </cell>
          <cell r="E285" t="str">
            <v>N</v>
          </cell>
          <cell r="F285">
            <v>2.6700000000000002E-2</v>
          </cell>
        </row>
        <row r="286">
          <cell r="A286" t="str">
            <v>9.18.20.N</v>
          </cell>
          <cell r="B286">
            <v>9</v>
          </cell>
          <cell r="C286">
            <v>18</v>
          </cell>
          <cell r="D286">
            <v>20</v>
          </cell>
          <cell r="E286" t="str">
            <v>N</v>
          </cell>
          <cell r="F286">
            <v>2.6700000000000002E-2</v>
          </cell>
        </row>
        <row r="287">
          <cell r="A287" t="str">
            <v>9.7N.20.N</v>
          </cell>
          <cell r="B287">
            <v>9</v>
          </cell>
          <cell r="C287" t="str">
            <v>7N</v>
          </cell>
          <cell r="D287">
            <v>20</v>
          </cell>
          <cell r="E287" t="str">
            <v>N</v>
          </cell>
          <cell r="F287">
            <v>2.6700000000000002E-2</v>
          </cell>
        </row>
        <row r="288">
          <cell r="A288" t="str">
            <v>9.7P.20.N</v>
          </cell>
          <cell r="B288">
            <v>9</v>
          </cell>
          <cell r="C288" t="str">
            <v>7P</v>
          </cell>
          <cell r="D288">
            <v>20</v>
          </cell>
          <cell r="E288" t="str">
            <v>N</v>
          </cell>
          <cell r="F288">
            <v>2.6700000000000002E-2</v>
          </cell>
        </row>
        <row r="289">
          <cell r="A289" t="str">
            <v>9.7U.20.N</v>
          </cell>
          <cell r="B289">
            <v>9</v>
          </cell>
          <cell r="C289" t="str">
            <v>7U</v>
          </cell>
          <cell r="D289">
            <v>20</v>
          </cell>
          <cell r="E289" t="str">
            <v>N</v>
          </cell>
          <cell r="F289">
            <v>2.6700000000000002E-2</v>
          </cell>
        </row>
        <row r="290">
          <cell r="A290" t="str">
            <v>9.1.21.N</v>
          </cell>
          <cell r="B290">
            <v>9</v>
          </cell>
          <cell r="C290">
            <v>1</v>
          </cell>
          <cell r="D290">
            <v>21</v>
          </cell>
          <cell r="E290" t="str">
            <v>N</v>
          </cell>
          <cell r="F290">
            <v>2.6700000000000002E-2</v>
          </cell>
        </row>
        <row r="291">
          <cell r="A291" t="str">
            <v>9.1.30.0</v>
          </cell>
          <cell r="B291">
            <v>9</v>
          </cell>
          <cell r="C291">
            <v>1</v>
          </cell>
          <cell r="D291">
            <v>30</v>
          </cell>
          <cell r="E291">
            <v>0</v>
          </cell>
          <cell r="F291">
            <v>0</v>
          </cell>
        </row>
        <row r="292">
          <cell r="A292" t="str">
            <v>9.1.30.A</v>
          </cell>
          <cell r="B292">
            <v>9</v>
          </cell>
          <cell r="C292">
            <v>1</v>
          </cell>
          <cell r="D292">
            <v>30</v>
          </cell>
          <cell r="E292" t="str">
            <v>A</v>
          </cell>
          <cell r="F292">
            <v>0</v>
          </cell>
        </row>
        <row r="293">
          <cell r="A293" t="str">
            <v>9.1.40.0</v>
          </cell>
          <cell r="B293">
            <v>9</v>
          </cell>
          <cell r="C293">
            <v>1</v>
          </cell>
          <cell r="D293">
            <v>40</v>
          </cell>
          <cell r="E293">
            <v>0</v>
          </cell>
          <cell r="F293">
            <v>2.1999999999999999E-2</v>
          </cell>
        </row>
        <row r="294">
          <cell r="A294" t="str">
            <v>9.3.40.0</v>
          </cell>
          <cell r="B294">
            <v>9</v>
          </cell>
          <cell r="C294">
            <v>3</v>
          </cell>
          <cell r="D294">
            <v>40</v>
          </cell>
          <cell r="E294">
            <v>0</v>
          </cell>
          <cell r="F294">
            <v>2.1999999999999999E-2</v>
          </cell>
        </row>
        <row r="295">
          <cell r="A295" t="str">
            <v>9.15.40.0</v>
          </cell>
          <cell r="B295">
            <v>9</v>
          </cell>
          <cell r="C295">
            <v>15</v>
          </cell>
          <cell r="D295">
            <v>40</v>
          </cell>
          <cell r="E295">
            <v>0</v>
          </cell>
          <cell r="F295">
            <v>2.1999999999999999E-2</v>
          </cell>
        </row>
        <row r="296">
          <cell r="A296" t="str">
            <v>9.1.40.3</v>
          </cell>
          <cell r="B296">
            <v>9</v>
          </cell>
          <cell r="C296">
            <v>1</v>
          </cell>
          <cell r="D296">
            <v>40</v>
          </cell>
          <cell r="E296">
            <v>3</v>
          </cell>
          <cell r="F296">
            <v>2.1999999999999999E-2</v>
          </cell>
        </row>
        <row r="297">
          <cell r="A297" t="str">
            <v>9.70.40.3</v>
          </cell>
          <cell r="B297">
            <v>9</v>
          </cell>
          <cell r="C297">
            <v>70</v>
          </cell>
          <cell r="D297">
            <v>40</v>
          </cell>
          <cell r="E297">
            <v>3</v>
          </cell>
          <cell r="F297">
            <v>2.1999999999999999E-2</v>
          </cell>
        </row>
        <row r="298">
          <cell r="A298" t="str">
            <v>9.71.40.3</v>
          </cell>
          <cell r="B298">
            <v>9</v>
          </cell>
          <cell r="C298">
            <v>71</v>
          </cell>
          <cell r="D298">
            <v>40</v>
          </cell>
          <cell r="E298">
            <v>3</v>
          </cell>
          <cell r="F298">
            <v>2.1999999999999999E-2</v>
          </cell>
        </row>
        <row r="299">
          <cell r="A299" t="str">
            <v>9.1.40.A</v>
          </cell>
          <cell r="B299">
            <v>9</v>
          </cell>
          <cell r="C299">
            <v>1</v>
          </cell>
          <cell r="D299">
            <v>40</v>
          </cell>
          <cell r="E299" t="str">
            <v>A</v>
          </cell>
          <cell r="F299">
            <v>2.1999999999999999E-2</v>
          </cell>
        </row>
        <row r="300">
          <cell r="A300" t="str">
            <v>9.3.40.A</v>
          </cell>
          <cell r="B300">
            <v>9</v>
          </cell>
          <cell r="C300">
            <v>3</v>
          </cell>
          <cell r="D300">
            <v>40</v>
          </cell>
          <cell r="E300" t="str">
            <v>A</v>
          </cell>
          <cell r="F300">
            <v>2.1999999999999999E-2</v>
          </cell>
        </row>
        <row r="301">
          <cell r="A301" t="str">
            <v>9.14.40.A</v>
          </cell>
          <cell r="B301">
            <v>9</v>
          </cell>
          <cell r="C301">
            <v>14</v>
          </cell>
          <cell r="D301">
            <v>40</v>
          </cell>
          <cell r="E301" t="str">
            <v>A</v>
          </cell>
          <cell r="F301">
            <v>2.1999999999999999E-2</v>
          </cell>
        </row>
        <row r="302">
          <cell r="A302" t="str">
            <v>9.15.40.A</v>
          </cell>
          <cell r="B302">
            <v>9</v>
          </cell>
          <cell r="C302">
            <v>15</v>
          </cell>
          <cell r="D302">
            <v>40</v>
          </cell>
          <cell r="E302" t="str">
            <v>A</v>
          </cell>
          <cell r="F302">
            <v>2.1999999999999999E-2</v>
          </cell>
        </row>
        <row r="303">
          <cell r="A303" t="str">
            <v>9.70.40.B</v>
          </cell>
          <cell r="B303">
            <v>9</v>
          </cell>
          <cell r="C303">
            <v>70</v>
          </cell>
          <cell r="D303">
            <v>40</v>
          </cell>
          <cell r="E303" t="str">
            <v>B</v>
          </cell>
          <cell r="F303">
            <v>2.1999999999999999E-2</v>
          </cell>
        </row>
        <row r="304">
          <cell r="A304" t="str">
            <v>9.71.40.B</v>
          </cell>
          <cell r="B304">
            <v>9</v>
          </cell>
          <cell r="C304">
            <v>71</v>
          </cell>
          <cell r="D304">
            <v>40</v>
          </cell>
          <cell r="E304" t="str">
            <v>B</v>
          </cell>
          <cell r="F304">
            <v>2.1999999999999999E-2</v>
          </cell>
        </row>
        <row r="305">
          <cell r="A305" t="str">
            <v>9.1.40.I</v>
          </cell>
          <cell r="B305">
            <v>9</v>
          </cell>
          <cell r="C305">
            <v>1</v>
          </cell>
          <cell r="D305">
            <v>40</v>
          </cell>
          <cell r="E305" t="str">
            <v>I</v>
          </cell>
          <cell r="F305">
            <v>2.1999999999999999E-2</v>
          </cell>
        </row>
        <row r="306">
          <cell r="A306" t="str">
            <v>9.14.40.I</v>
          </cell>
          <cell r="B306">
            <v>9</v>
          </cell>
          <cell r="C306">
            <v>14</v>
          </cell>
          <cell r="D306">
            <v>40</v>
          </cell>
          <cell r="E306" t="str">
            <v>I</v>
          </cell>
          <cell r="F306">
            <v>2.1999999999999999E-2</v>
          </cell>
        </row>
        <row r="307">
          <cell r="A307" t="str">
            <v>9.1.40.N</v>
          </cell>
          <cell r="B307">
            <v>9</v>
          </cell>
          <cell r="C307">
            <v>1</v>
          </cell>
          <cell r="D307">
            <v>40</v>
          </cell>
          <cell r="E307" t="str">
            <v>N</v>
          </cell>
          <cell r="F307">
            <v>2.1999999999999999E-2</v>
          </cell>
        </row>
        <row r="308">
          <cell r="A308" t="str">
            <v>9.0B.40.N</v>
          </cell>
          <cell r="B308">
            <v>9</v>
          </cell>
          <cell r="C308" t="str">
            <v>0B</v>
          </cell>
          <cell r="D308">
            <v>40</v>
          </cell>
          <cell r="E308" t="str">
            <v>N</v>
          </cell>
          <cell r="F308">
            <v>2.1999999999999999E-2</v>
          </cell>
        </row>
        <row r="309">
          <cell r="A309" t="str">
            <v>9.0E.40.N</v>
          </cell>
          <cell r="B309">
            <v>9</v>
          </cell>
          <cell r="C309" t="str">
            <v>0E</v>
          </cell>
          <cell r="D309">
            <v>40</v>
          </cell>
          <cell r="E309" t="str">
            <v>N</v>
          </cell>
          <cell r="F309">
            <v>2.1999999999999999E-2</v>
          </cell>
        </row>
        <row r="310">
          <cell r="A310" t="str">
            <v>9.14.40.N</v>
          </cell>
          <cell r="B310">
            <v>9</v>
          </cell>
          <cell r="C310">
            <v>14</v>
          </cell>
          <cell r="D310">
            <v>40</v>
          </cell>
          <cell r="E310" t="str">
            <v>N</v>
          </cell>
          <cell r="F310">
            <v>2.1999999999999999E-2</v>
          </cell>
        </row>
        <row r="311">
          <cell r="A311" t="str">
            <v>9.7U.40.N</v>
          </cell>
          <cell r="B311">
            <v>9</v>
          </cell>
          <cell r="C311" t="str">
            <v>7U</v>
          </cell>
          <cell r="D311">
            <v>40</v>
          </cell>
          <cell r="E311" t="str">
            <v>N</v>
          </cell>
          <cell r="F311">
            <v>2.1999999999999999E-2</v>
          </cell>
        </row>
        <row r="312">
          <cell r="A312" t="str">
            <v>9.1.50.0</v>
          </cell>
          <cell r="B312">
            <v>9</v>
          </cell>
          <cell r="C312">
            <v>1</v>
          </cell>
          <cell r="D312">
            <v>50</v>
          </cell>
          <cell r="E312">
            <v>0</v>
          </cell>
          <cell r="F312">
            <v>2.1999999999999999E-2</v>
          </cell>
        </row>
        <row r="313">
          <cell r="A313" t="str">
            <v>9.1.50.A</v>
          </cell>
          <cell r="B313">
            <v>9</v>
          </cell>
          <cell r="C313">
            <v>1</v>
          </cell>
          <cell r="D313">
            <v>50</v>
          </cell>
          <cell r="E313" t="str">
            <v>A</v>
          </cell>
          <cell r="F313">
            <v>2.1999999999999999E-2</v>
          </cell>
        </row>
        <row r="314">
          <cell r="A314" t="str">
            <v>9.1.50.N</v>
          </cell>
          <cell r="B314">
            <v>9</v>
          </cell>
          <cell r="C314">
            <v>1</v>
          </cell>
          <cell r="D314">
            <v>50</v>
          </cell>
          <cell r="E314" t="str">
            <v>N</v>
          </cell>
          <cell r="F314">
            <v>2.1999999999999999E-2</v>
          </cell>
        </row>
        <row r="315">
          <cell r="A315" t="str">
            <v>9.1.81.0</v>
          </cell>
          <cell r="B315">
            <v>9</v>
          </cell>
          <cell r="C315">
            <v>1</v>
          </cell>
          <cell r="D315">
            <v>81</v>
          </cell>
          <cell r="E315">
            <v>0</v>
          </cell>
          <cell r="F315">
            <v>0</v>
          </cell>
        </row>
        <row r="316">
          <cell r="A316" t="str">
            <v>9.1.81.A</v>
          </cell>
          <cell r="B316">
            <v>9</v>
          </cell>
          <cell r="C316">
            <v>1</v>
          </cell>
          <cell r="D316">
            <v>81</v>
          </cell>
          <cell r="E316" t="str">
            <v>A</v>
          </cell>
          <cell r="F316">
            <v>0</v>
          </cell>
        </row>
        <row r="317">
          <cell r="A317" t="str">
            <v>9.1.82.0</v>
          </cell>
          <cell r="B317">
            <v>9</v>
          </cell>
          <cell r="C317">
            <v>1</v>
          </cell>
          <cell r="D317">
            <v>82</v>
          </cell>
          <cell r="E317">
            <v>0</v>
          </cell>
          <cell r="F317">
            <v>0</v>
          </cell>
        </row>
        <row r="318">
          <cell r="A318" t="str">
            <v>9.1.82.A</v>
          </cell>
          <cell r="B318">
            <v>9</v>
          </cell>
          <cell r="C318">
            <v>1</v>
          </cell>
          <cell r="D318">
            <v>82</v>
          </cell>
          <cell r="E318" t="str">
            <v>A</v>
          </cell>
          <cell r="F318">
            <v>0</v>
          </cell>
        </row>
        <row r="319">
          <cell r="A319" t="str">
            <v>9.1.84.0</v>
          </cell>
          <cell r="B319">
            <v>9</v>
          </cell>
          <cell r="C319">
            <v>1</v>
          </cell>
          <cell r="D319">
            <v>84</v>
          </cell>
          <cell r="E319">
            <v>0</v>
          </cell>
          <cell r="F319">
            <v>0</v>
          </cell>
        </row>
        <row r="320">
          <cell r="A320" t="str">
            <v>9.1.84.A</v>
          </cell>
          <cell r="B320">
            <v>9</v>
          </cell>
          <cell r="C320">
            <v>1</v>
          </cell>
          <cell r="D320">
            <v>84</v>
          </cell>
          <cell r="E320" t="str">
            <v>A</v>
          </cell>
          <cell r="F320">
            <v>0</v>
          </cell>
        </row>
        <row r="321">
          <cell r="A321" t="str">
            <v>9.1.85.0</v>
          </cell>
          <cell r="B321">
            <v>9</v>
          </cell>
          <cell r="C321">
            <v>1</v>
          </cell>
          <cell r="D321">
            <v>85</v>
          </cell>
          <cell r="E321">
            <v>0</v>
          </cell>
          <cell r="F321">
            <v>0</v>
          </cell>
        </row>
        <row r="322">
          <cell r="A322" t="str">
            <v>9.1.85.A</v>
          </cell>
          <cell r="B322">
            <v>9</v>
          </cell>
          <cell r="C322">
            <v>1</v>
          </cell>
          <cell r="D322">
            <v>85</v>
          </cell>
          <cell r="E322" t="str">
            <v>A</v>
          </cell>
          <cell r="F322">
            <v>0</v>
          </cell>
        </row>
        <row r="323">
          <cell r="A323" t="str">
            <v>9.1.98.0</v>
          </cell>
          <cell r="B323">
            <v>9</v>
          </cell>
          <cell r="C323">
            <v>1</v>
          </cell>
          <cell r="D323">
            <v>98</v>
          </cell>
          <cell r="E323">
            <v>0</v>
          </cell>
          <cell r="F323">
            <v>0</v>
          </cell>
        </row>
        <row r="324">
          <cell r="A324" t="str">
            <v>9.1.98.A</v>
          </cell>
          <cell r="B324">
            <v>9</v>
          </cell>
          <cell r="C324">
            <v>1</v>
          </cell>
          <cell r="D324">
            <v>98</v>
          </cell>
          <cell r="E324" t="str">
            <v>A</v>
          </cell>
          <cell r="F324">
            <v>0</v>
          </cell>
        </row>
        <row r="325">
          <cell r="A325" t="str">
            <v>11.1.10.0</v>
          </cell>
          <cell r="B325">
            <v>11</v>
          </cell>
          <cell r="C325">
            <v>1</v>
          </cell>
          <cell r="D325">
            <v>10</v>
          </cell>
          <cell r="E325">
            <v>0</v>
          </cell>
          <cell r="F325">
            <v>0.04</v>
          </cell>
        </row>
        <row r="326">
          <cell r="A326" t="str">
            <v>11.1.10.A</v>
          </cell>
          <cell r="B326">
            <v>11</v>
          </cell>
          <cell r="C326">
            <v>1</v>
          </cell>
          <cell r="D326">
            <v>10</v>
          </cell>
          <cell r="E326" t="str">
            <v>A</v>
          </cell>
          <cell r="F326">
            <v>0.04</v>
          </cell>
        </row>
        <row r="327">
          <cell r="A327" t="str">
            <v>11.1.10.I</v>
          </cell>
          <cell r="B327">
            <v>11</v>
          </cell>
          <cell r="C327">
            <v>1</v>
          </cell>
          <cell r="D327">
            <v>10</v>
          </cell>
          <cell r="E327" t="str">
            <v>I</v>
          </cell>
          <cell r="F327">
            <v>0.04</v>
          </cell>
        </row>
        <row r="328">
          <cell r="A328" t="str">
            <v>11.1.10.N</v>
          </cell>
          <cell r="B328">
            <v>11</v>
          </cell>
          <cell r="C328">
            <v>1</v>
          </cell>
          <cell r="D328">
            <v>10</v>
          </cell>
          <cell r="E328" t="str">
            <v>N</v>
          </cell>
          <cell r="F328">
            <v>0.04</v>
          </cell>
        </row>
        <row r="329">
          <cell r="A329" t="str">
            <v>11.7U.10.N</v>
          </cell>
          <cell r="B329">
            <v>11</v>
          </cell>
          <cell r="C329" t="str">
            <v>7U</v>
          </cell>
          <cell r="D329">
            <v>10</v>
          </cell>
          <cell r="E329" t="str">
            <v>N</v>
          </cell>
          <cell r="F329">
            <v>0.04</v>
          </cell>
        </row>
        <row r="330">
          <cell r="A330" t="str">
            <v>11.1.11.N</v>
          </cell>
          <cell r="B330">
            <v>11</v>
          </cell>
          <cell r="C330">
            <v>1</v>
          </cell>
          <cell r="D330">
            <v>11</v>
          </cell>
          <cell r="E330" t="str">
            <v>N</v>
          </cell>
          <cell r="F330">
            <v>0.04</v>
          </cell>
        </row>
        <row r="331">
          <cell r="A331" t="str">
            <v>11.1.20.0</v>
          </cell>
          <cell r="B331">
            <v>11</v>
          </cell>
          <cell r="C331">
            <v>1</v>
          </cell>
          <cell r="D331">
            <v>20</v>
          </cell>
          <cell r="E331">
            <v>0</v>
          </cell>
          <cell r="F331">
            <v>3.5700000000000003E-2</v>
          </cell>
        </row>
        <row r="332">
          <cell r="A332" t="str">
            <v>11.3.20.0</v>
          </cell>
          <cell r="B332">
            <v>11</v>
          </cell>
          <cell r="C332">
            <v>3</v>
          </cell>
          <cell r="D332">
            <v>20</v>
          </cell>
          <cell r="E332">
            <v>0</v>
          </cell>
          <cell r="F332">
            <v>3.5700000000000003E-2</v>
          </cell>
        </row>
        <row r="333">
          <cell r="A333" t="str">
            <v>11.18.20.0</v>
          </cell>
          <cell r="B333">
            <v>11</v>
          </cell>
          <cell r="C333">
            <v>18</v>
          </cell>
          <cell r="D333">
            <v>20</v>
          </cell>
          <cell r="E333">
            <v>0</v>
          </cell>
          <cell r="F333">
            <v>3.5700000000000003E-2</v>
          </cell>
        </row>
        <row r="334">
          <cell r="A334" t="str">
            <v>11.1.20.3</v>
          </cell>
          <cell r="B334">
            <v>11</v>
          </cell>
          <cell r="C334">
            <v>1</v>
          </cell>
          <cell r="D334">
            <v>20</v>
          </cell>
          <cell r="E334">
            <v>3</v>
          </cell>
          <cell r="F334">
            <v>3.5700000000000003E-2</v>
          </cell>
        </row>
        <row r="335">
          <cell r="A335" t="str">
            <v>11.1.20.A</v>
          </cell>
          <cell r="B335">
            <v>11</v>
          </cell>
          <cell r="C335">
            <v>1</v>
          </cell>
          <cell r="D335">
            <v>20</v>
          </cell>
          <cell r="E335" t="str">
            <v>A</v>
          </cell>
          <cell r="F335">
            <v>3.5700000000000003E-2</v>
          </cell>
        </row>
        <row r="336">
          <cell r="A336" t="str">
            <v>11.3.20.A</v>
          </cell>
          <cell r="B336">
            <v>11</v>
          </cell>
          <cell r="C336">
            <v>3</v>
          </cell>
          <cell r="D336">
            <v>20</v>
          </cell>
          <cell r="E336" t="str">
            <v>A</v>
          </cell>
          <cell r="F336">
            <v>3.5700000000000003E-2</v>
          </cell>
        </row>
        <row r="337">
          <cell r="A337" t="str">
            <v>11.18.20.A</v>
          </cell>
          <cell r="B337">
            <v>11</v>
          </cell>
          <cell r="C337">
            <v>18</v>
          </cell>
          <cell r="D337">
            <v>20</v>
          </cell>
          <cell r="E337" t="str">
            <v>A</v>
          </cell>
          <cell r="F337">
            <v>3.5700000000000003E-2</v>
          </cell>
        </row>
        <row r="338">
          <cell r="A338" t="str">
            <v>11.1.20.I</v>
          </cell>
          <cell r="B338">
            <v>11</v>
          </cell>
          <cell r="C338">
            <v>1</v>
          </cell>
          <cell r="D338">
            <v>20</v>
          </cell>
          <cell r="E338" t="str">
            <v>I</v>
          </cell>
          <cell r="F338">
            <v>3.5700000000000003E-2</v>
          </cell>
        </row>
        <row r="339">
          <cell r="A339" t="str">
            <v>11.1.20.N</v>
          </cell>
          <cell r="B339">
            <v>11</v>
          </cell>
          <cell r="C339">
            <v>1</v>
          </cell>
          <cell r="D339">
            <v>20</v>
          </cell>
          <cell r="E339" t="str">
            <v>N</v>
          </cell>
          <cell r="F339">
            <v>3.5700000000000003E-2</v>
          </cell>
        </row>
        <row r="340">
          <cell r="A340" t="str">
            <v>11.0E.20.N</v>
          </cell>
          <cell r="B340">
            <v>11</v>
          </cell>
          <cell r="C340" t="str">
            <v>0E</v>
          </cell>
          <cell r="D340">
            <v>20</v>
          </cell>
          <cell r="E340" t="str">
            <v>N</v>
          </cell>
          <cell r="F340">
            <v>3.5700000000000003E-2</v>
          </cell>
        </row>
        <row r="341">
          <cell r="A341" t="str">
            <v>11.0M.20.N</v>
          </cell>
          <cell r="B341">
            <v>11</v>
          </cell>
          <cell r="C341" t="str">
            <v>0M</v>
          </cell>
          <cell r="D341">
            <v>20</v>
          </cell>
          <cell r="E341" t="str">
            <v>N</v>
          </cell>
          <cell r="F341">
            <v>3.5700000000000003E-2</v>
          </cell>
        </row>
        <row r="342">
          <cell r="A342" t="str">
            <v>11.18.20.N</v>
          </cell>
          <cell r="B342">
            <v>11</v>
          </cell>
          <cell r="C342">
            <v>18</v>
          </cell>
          <cell r="D342">
            <v>20</v>
          </cell>
          <cell r="E342" t="str">
            <v>N</v>
          </cell>
          <cell r="F342">
            <v>3.5700000000000003E-2</v>
          </cell>
        </row>
        <row r="343">
          <cell r="A343" t="str">
            <v>11.7N.20.N</v>
          </cell>
          <cell r="B343">
            <v>11</v>
          </cell>
          <cell r="C343" t="str">
            <v>7N</v>
          </cell>
          <cell r="D343">
            <v>20</v>
          </cell>
          <cell r="E343" t="str">
            <v>N</v>
          </cell>
          <cell r="F343">
            <v>3.5700000000000003E-2</v>
          </cell>
        </row>
        <row r="344">
          <cell r="A344" t="str">
            <v>11.7P.20.N</v>
          </cell>
          <cell r="B344">
            <v>11</v>
          </cell>
          <cell r="C344" t="str">
            <v>7P</v>
          </cell>
          <cell r="D344">
            <v>20</v>
          </cell>
          <cell r="E344" t="str">
            <v>N</v>
          </cell>
          <cell r="F344">
            <v>3.5700000000000003E-2</v>
          </cell>
        </row>
        <row r="345">
          <cell r="A345" t="str">
            <v>11.7U.20.N</v>
          </cell>
          <cell r="B345">
            <v>11</v>
          </cell>
          <cell r="C345" t="str">
            <v>7U</v>
          </cell>
          <cell r="D345">
            <v>20</v>
          </cell>
          <cell r="E345" t="str">
            <v>N</v>
          </cell>
          <cell r="F345">
            <v>3.5700000000000003E-2</v>
          </cell>
        </row>
        <row r="346">
          <cell r="A346" t="str">
            <v>11.1.30.0</v>
          </cell>
          <cell r="B346">
            <v>11</v>
          </cell>
          <cell r="C346">
            <v>1</v>
          </cell>
          <cell r="D346">
            <v>30</v>
          </cell>
          <cell r="E346">
            <v>0</v>
          </cell>
          <cell r="F346">
            <v>0</v>
          </cell>
        </row>
        <row r="347">
          <cell r="A347" t="str">
            <v>11.1.30.A</v>
          </cell>
          <cell r="B347">
            <v>11</v>
          </cell>
          <cell r="C347">
            <v>1</v>
          </cell>
          <cell r="D347">
            <v>30</v>
          </cell>
          <cell r="E347" t="str">
            <v>A</v>
          </cell>
          <cell r="F347">
            <v>0</v>
          </cell>
        </row>
        <row r="348">
          <cell r="A348" t="str">
            <v>11.1.40.0</v>
          </cell>
          <cell r="B348">
            <v>11</v>
          </cell>
          <cell r="C348">
            <v>1</v>
          </cell>
          <cell r="D348">
            <v>40</v>
          </cell>
          <cell r="E348">
            <v>0</v>
          </cell>
          <cell r="F348">
            <v>2.3300000000000001E-2</v>
          </cell>
        </row>
        <row r="349">
          <cell r="A349" t="str">
            <v>11.3.40.0</v>
          </cell>
          <cell r="B349">
            <v>11</v>
          </cell>
          <cell r="C349">
            <v>3</v>
          </cell>
          <cell r="D349">
            <v>40</v>
          </cell>
          <cell r="E349">
            <v>0</v>
          </cell>
          <cell r="F349">
            <v>2.3300000000000001E-2</v>
          </cell>
        </row>
        <row r="350">
          <cell r="A350" t="str">
            <v>11.15.40.0</v>
          </cell>
          <cell r="B350">
            <v>11</v>
          </cell>
          <cell r="C350">
            <v>15</v>
          </cell>
          <cell r="D350">
            <v>40</v>
          </cell>
          <cell r="E350">
            <v>0</v>
          </cell>
          <cell r="F350">
            <v>2.3300000000000001E-2</v>
          </cell>
        </row>
        <row r="351">
          <cell r="A351" t="str">
            <v>11.1.40.3</v>
          </cell>
          <cell r="B351">
            <v>11</v>
          </cell>
          <cell r="C351">
            <v>1</v>
          </cell>
          <cell r="D351">
            <v>40</v>
          </cell>
          <cell r="E351">
            <v>3</v>
          </cell>
          <cell r="F351">
            <v>2.3300000000000001E-2</v>
          </cell>
        </row>
        <row r="352">
          <cell r="A352" t="str">
            <v>11.70.40.3</v>
          </cell>
          <cell r="B352">
            <v>11</v>
          </cell>
          <cell r="C352">
            <v>70</v>
          </cell>
          <cell r="D352">
            <v>40</v>
          </cell>
          <cell r="E352">
            <v>3</v>
          </cell>
          <cell r="F352">
            <v>2.3300000000000001E-2</v>
          </cell>
        </row>
        <row r="353">
          <cell r="A353" t="str">
            <v>11.71.40.3</v>
          </cell>
          <cell r="B353">
            <v>11</v>
          </cell>
          <cell r="C353">
            <v>71</v>
          </cell>
          <cell r="D353">
            <v>40</v>
          </cell>
          <cell r="E353">
            <v>3</v>
          </cell>
          <cell r="F353">
            <v>2.3300000000000001E-2</v>
          </cell>
        </row>
        <row r="354">
          <cell r="A354" t="str">
            <v>11.1.40.A</v>
          </cell>
          <cell r="B354">
            <v>11</v>
          </cell>
          <cell r="C354">
            <v>1</v>
          </cell>
          <cell r="D354">
            <v>40</v>
          </cell>
          <cell r="E354" t="str">
            <v>A</v>
          </cell>
          <cell r="F354">
            <v>2.3300000000000001E-2</v>
          </cell>
        </row>
        <row r="355">
          <cell r="A355" t="str">
            <v>11.3.40.A</v>
          </cell>
          <cell r="B355">
            <v>11</v>
          </cell>
          <cell r="C355">
            <v>3</v>
          </cell>
          <cell r="D355">
            <v>40</v>
          </cell>
          <cell r="E355" t="str">
            <v>A</v>
          </cell>
          <cell r="F355">
            <v>2.3300000000000001E-2</v>
          </cell>
        </row>
        <row r="356">
          <cell r="A356" t="str">
            <v>11.14.40.A</v>
          </cell>
          <cell r="B356">
            <v>11</v>
          </cell>
          <cell r="C356">
            <v>14</v>
          </cell>
          <cell r="D356">
            <v>40</v>
          </cell>
          <cell r="E356" t="str">
            <v>A</v>
          </cell>
          <cell r="F356">
            <v>2.3300000000000001E-2</v>
          </cell>
        </row>
        <row r="357">
          <cell r="A357" t="str">
            <v>11.15.40.A</v>
          </cell>
          <cell r="B357">
            <v>11</v>
          </cell>
          <cell r="C357">
            <v>15</v>
          </cell>
          <cell r="D357">
            <v>40</v>
          </cell>
          <cell r="E357" t="str">
            <v>A</v>
          </cell>
          <cell r="F357">
            <v>2.3300000000000001E-2</v>
          </cell>
        </row>
        <row r="358">
          <cell r="A358" t="str">
            <v>11.70.40.B</v>
          </cell>
          <cell r="B358">
            <v>11</v>
          </cell>
          <cell r="C358">
            <v>70</v>
          </cell>
          <cell r="D358">
            <v>40</v>
          </cell>
          <cell r="E358" t="str">
            <v>B</v>
          </cell>
          <cell r="F358">
            <v>2.3300000000000001E-2</v>
          </cell>
        </row>
        <row r="359">
          <cell r="A359" t="str">
            <v>11.71.40.B</v>
          </cell>
          <cell r="B359">
            <v>11</v>
          </cell>
          <cell r="C359">
            <v>71</v>
          </cell>
          <cell r="D359">
            <v>40</v>
          </cell>
          <cell r="E359" t="str">
            <v>B</v>
          </cell>
          <cell r="F359">
            <v>2.3300000000000001E-2</v>
          </cell>
        </row>
        <row r="360">
          <cell r="A360" t="str">
            <v>11.1.40.I</v>
          </cell>
          <cell r="B360">
            <v>11</v>
          </cell>
          <cell r="C360">
            <v>1</v>
          </cell>
          <cell r="D360">
            <v>40</v>
          </cell>
          <cell r="E360" t="str">
            <v>I</v>
          </cell>
          <cell r="F360">
            <v>2.3300000000000001E-2</v>
          </cell>
        </row>
        <row r="361">
          <cell r="A361" t="str">
            <v>11.14.40.I</v>
          </cell>
          <cell r="B361">
            <v>11</v>
          </cell>
          <cell r="C361">
            <v>14</v>
          </cell>
          <cell r="D361">
            <v>40</v>
          </cell>
          <cell r="E361" t="str">
            <v>I</v>
          </cell>
          <cell r="F361">
            <v>2.3300000000000001E-2</v>
          </cell>
        </row>
        <row r="362">
          <cell r="A362" t="str">
            <v>11.1.40.N</v>
          </cell>
          <cell r="B362">
            <v>11</v>
          </cell>
          <cell r="C362">
            <v>1</v>
          </cell>
          <cell r="D362">
            <v>40</v>
          </cell>
          <cell r="E362" t="str">
            <v>N</v>
          </cell>
          <cell r="F362">
            <v>2.3300000000000001E-2</v>
          </cell>
        </row>
        <row r="363">
          <cell r="A363" t="str">
            <v>11.0B.40.N</v>
          </cell>
          <cell r="B363">
            <v>11</v>
          </cell>
          <cell r="C363" t="str">
            <v>0B</v>
          </cell>
          <cell r="D363">
            <v>40</v>
          </cell>
          <cell r="E363" t="str">
            <v>N</v>
          </cell>
          <cell r="F363">
            <v>2.3300000000000001E-2</v>
          </cell>
        </row>
        <row r="364">
          <cell r="A364" t="str">
            <v>11.0E.40.N</v>
          </cell>
          <cell r="B364">
            <v>11</v>
          </cell>
          <cell r="C364" t="str">
            <v>0E</v>
          </cell>
          <cell r="D364">
            <v>40</v>
          </cell>
          <cell r="E364" t="str">
            <v>N</v>
          </cell>
          <cell r="F364">
            <v>2.3300000000000001E-2</v>
          </cell>
        </row>
        <row r="365">
          <cell r="A365" t="str">
            <v>11.14.40.N</v>
          </cell>
          <cell r="B365">
            <v>11</v>
          </cell>
          <cell r="C365">
            <v>14</v>
          </cell>
          <cell r="D365">
            <v>40</v>
          </cell>
          <cell r="E365" t="str">
            <v>N</v>
          </cell>
          <cell r="F365">
            <v>2.3300000000000001E-2</v>
          </cell>
        </row>
        <row r="366">
          <cell r="A366" t="str">
            <v>11.7U.40.N</v>
          </cell>
          <cell r="B366">
            <v>11</v>
          </cell>
          <cell r="C366" t="str">
            <v>7U</v>
          </cell>
          <cell r="D366">
            <v>40</v>
          </cell>
          <cell r="E366" t="str">
            <v>N</v>
          </cell>
          <cell r="F366">
            <v>2.3300000000000001E-2</v>
          </cell>
        </row>
        <row r="367">
          <cell r="A367" t="str">
            <v>11.1.50.0</v>
          </cell>
          <cell r="B367">
            <v>11</v>
          </cell>
          <cell r="C367">
            <v>1</v>
          </cell>
          <cell r="D367">
            <v>50</v>
          </cell>
          <cell r="E367">
            <v>0</v>
          </cell>
          <cell r="F367">
            <v>2.3300000000000001E-2</v>
          </cell>
        </row>
        <row r="368">
          <cell r="A368" t="str">
            <v>11.1.50.A</v>
          </cell>
          <cell r="B368">
            <v>11</v>
          </cell>
          <cell r="C368">
            <v>1</v>
          </cell>
          <cell r="D368">
            <v>50</v>
          </cell>
          <cell r="E368" t="str">
            <v>A</v>
          </cell>
          <cell r="F368">
            <v>2.3300000000000001E-2</v>
          </cell>
        </row>
        <row r="369">
          <cell r="A369" t="str">
            <v>11.1.50.N</v>
          </cell>
          <cell r="B369">
            <v>11</v>
          </cell>
          <cell r="C369">
            <v>1</v>
          </cell>
          <cell r="D369">
            <v>50</v>
          </cell>
          <cell r="E369" t="str">
            <v>N</v>
          </cell>
          <cell r="F369">
            <v>2.3300000000000001E-2</v>
          </cell>
        </row>
        <row r="370">
          <cell r="A370" t="str">
            <v>11.1.81.0</v>
          </cell>
          <cell r="B370">
            <v>11</v>
          </cell>
          <cell r="C370">
            <v>1</v>
          </cell>
          <cell r="D370">
            <v>81</v>
          </cell>
          <cell r="E370">
            <v>0</v>
          </cell>
          <cell r="F370">
            <v>0</v>
          </cell>
        </row>
        <row r="371">
          <cell r="A371" t="str">
            <v>11.1.81.A</v>
          </cell>
          <cell r="B371">
            <v>11</v>
          </cell>
          <cell r="C371">
            <v>1</v>
          </cell>
          <cell r="D371">
            <v>81</v>
          </cell>
          <cell r="E371" t="str">
            <v>A</v>
          </cell>
          <cell r="F371">
            <v>0</v>
          </cell>
        </row>
        <row r="372">
          <cell r="A372" t="str">
            <v>11.1.82.0</v>
          </cell>
          <cell r="B372">
            <v>11</v>
          </cell>
          <cell r="C372">
            <v>1</v>
          </cell>
          <cell r="D372">
            <v>82</v>
          </cell>
          <cell r="E372">
            <v>0</v>
          </cell>
          <cell r="F372">
            <v>0</v>
          </cell>
        </row>
        <row r="373">
          <cell r="A373" t="str">
            <v>11.1.82.A</v>
          </cell>
          <cell r="B373">
            <v>11</v>
          </cell>
          <cell r="C373">
            <v>1</v>
          </cell>
          <cell r="D373">
            <v>82</v>
          </cell>
          <cell r="E373" t="str">
            <v>A</v>
          </cell>
          <cell r="F373">
            <v>0</v>
          </cell>
        </row>
        <row r="374">
          <cell r="A374" t="str">
            <v>11.1.84.0</v>
          </cell>
          <cell r="B374">
            <v>11</v>
          </cell>
          <cell r="C374">
            <v>1</v>
          </cell>
          <cell r="D374">
            <v>84</v>
          </cell>
          <cell r="E374">
            <v>0</v>
          </cell>
          <cell r="F374">
            <v>0</v>
          </cell>
        </row>
        <row r="375">
          <cell r="A375" t="str">
            <v>11.1.84.A</v>
          </cell>
          <cell r="B375">
            <v>11</v>
          </cell>
          <cell r="C375">
            <v>1</v>
          </cell>
          <cell r="D375">
            <v>84</v>
          </cell>
          <cell r="E375" t="str">
            <v>A</v>
          </cell>
          <cell r="F375">
            <v>0</v>
          </cell>
        </row>
        <row r="376">
          <cell r="A376" t="str">
            <v>11.1.85.0</v>
          </cell>
          <cell r="B376">
            <v>11</v>
          </cell>
          <cell r="C376">
            <v>1</v>
          </cell>
          <cell r="D376">
            <v>85</v>
          </cell>
          <cell r="E376">
            <v>0</v>
          </cell>
          <cell r="F376">
            <v>0</v>
          </cell>
        </row>
        <row r="377">
          <cell r="A377" t="str">
            <v>11.1.85.A</v>
          </cell>
          <cell r="B377">
            <v>11</v>
          </cell>
          <cell r="C377">
            <v>1</v>
          </cell>
          <cell r="D377">
            <v>85</v>
          </cell>
          <cell r="E377" t="str">
            <v>A</v>
          </cell>
          <cell r="F377">
            <v>0</v>
          </cell>
        </row>
        <row r="378">
          <cell r="A378" t="str">
            <v>11.1.98.0</v>
          </cell>
          <cell r="B378">
            <v>11</v>
          </cell>
          <cell r="C378">
            <v>1</v>
          </cell>
          <cell r="D378">
            <v>98</v>
          </cell>
          <cell r="E378">
            <v>0</v>
          </cell>
          <cell r="F378">
            <v>0</v>
          </cell>
        </row>
        <row r="379">
          <cell r="A379" t="str">
            <v>11.1.98.A</v>
          </cell>
          <cell r="B379">
            <v>11</v>
          </cell>
          <cell r="C379">
            <v>1</v>
          </cell>
          <cell r="D379">
            <v>98</v>
          </cell>
          <cell r="E379" t="str">
            <v>A</v>
          </cell>
          <cell r="F379">
            <v>0</v>
          </cell>
        </row>
        <row r="380">
          <cell r="A380" t="str">
            <v>13.1.0.0</v>
          </cell>
          <cell r="B380">
            <v>13</v>
          </cell>
          <cell r="C380">
            <v>1</v>
          </cell>
          <cell r="D380">
            <v>0</v>
          </cell>
          <cell r="E380">
            <v>0</v>
          </cell>
          <cell r="F380">
            <v>1.3299999999999999E-2</v>
          </cell>
        </row>
        <row r="381">
          <cell r="A381" t="str">
            <v>13.3.0.0</v>
          </cell>
          <cell r="B381">
            <v>13</v>
          </cell>
          <cell r="C381">
            <v>3</v>
          </cell>
          <cell r="D381">
            <v>0</v>
          </cell>
          <cell r="E381">
            <v>0</v>
          </cell>
          <cell r="F381">
            <v>1.3299999999999999E-2</v>
          </cell>
        </row>
        <row r="382">
          <cell r="A382" t="str">
            <v>13.15.0.0</v>
          </cell>
          <cell r="B382">
            <v>13</v>
          </cell>
          <cell r="C382">
            <v>15</v>
          </cell>
          <cell r="D382">
            <v>0</v>
          </cell>
          <cell r="E382">
            <v>0</v>
          </cell>
          <cell r="F382">
            <v>1.3299999999999999E-2</v>
          </cell>
        </row>
        <row r="383">
          <cell r="A383" t="str">
            <v>13.18.0.0</v>
          </cell>
          <cell r="B383">
            <v>13</v>
          </cell>
          <cell r="C383">
            <v>18</v>
          </cell>
          <cell r="D383">
            <v>0</v>
          </cell>
          <cell r="E383">
            <v>0</v>
          </cell>
          <cell r="F383">
            <v>1.3299999999999999E-2</v>
          </cell>
        </row>
        <row r="384">
          <cell r="A384" t="str">
            <v>13.1.0.1</v>
          </cell>
          <cell r="B384">
            <v>13</v>
          </cell>
          <cell r="C384">
            <v>1</v>
          </cell>
          <cell r="D384">
            <v>0</v>
          </cell>
          <cell r="E384">
            <v>1</v>
          </cell>
          <cell r="F384">
            <v>1.3299999999999999E-2</v>
          </cell>
        </row>
        <row r="385">
          <cell r="A385" t="str">
            <v>13.1.0.2</v>
          </cell>
          <cell r="B385">
            <v>13</v>
          </cell>
          <cell r="C385">
            <v>1</v>
          </cell>
          <cell r="D385">
            <v>0</v>
          </cell>
          <cell r="E385">
            <v>2</v>
          </cell>
          <cell r="F385">
            <v>1.3299999999999999E-2</v>
          </cell>
        </row>
        <row r="386">
          <cell r="A386" t="str">
            <v>13.1.0.3</v>
          </cell>
          <cell r="B386">
            <v>13</v>
          </cell>
          <cell r="C386">
            <v>1</v>
          </cell>
          <cell r="D386">
            <v>0</v>
          </cell>
          <cell r="E386">
            <v>3</v>
          </cell>
          <cell r="F386">
            <v>1.3299999999999999E-2</v>
          </cell>
        </row>
        <row r="387">
          <cell r="A387" t="str">
            <v>13.71.0.3</v>
          </cell>
          <cell r="B387">
            <v>13</v>
          </cell>
          <cell r="C387">
            <v>71</v>
          </cell>
          <cell r="D387">
            <v>0</v>
          </cell>
          <cell r="E387">
            <v>3</v>
          </cell>
          <cell r="F387">
            <v>1.3299999999999999E-2</v>
          </cell>
        </row>
        <row r="388">
          <cell r="A388" t="str">
            <v>13.1.0.A</v>
          </cell>
          <cell r="B388">
            <v>13</v>
          </cell>
          <cell r="C388">
            <v>1</v>
          </cell>
          <cell r="D388">
            <v>0</v>
          </cell>
          <cell r="E388" t="str">
            <v>A</v>
          </cell>
          <cell r="F388">
            <v>1.3299999999999999E-2</v>
          </cell>
        </row>
        <row r="389">
          <cell r="A389" t="str">
            <v>13.3.0.A</v>
          </cell>
          <cell r="B389">
            <v>13</v>
          </cell>
          <cell r="C389">
            <v>3</v>
          </cell>
          <cell r="D389">
            <v>0</v>
          </cell>
          <cell r="E389" t="str">
            <v>A</v>
          </cell>
          <cell r="F389">
            <v>1.3299999999999999E-2</v>
          </cell>
        </row>
        <row r="390">
          <cell r="A390" t="str">
            <v>13.15.0.A</v>
          </cell>
          <cell r="B390">
            <v>13</v>
          </cell>
          <cell r="C390">
            <v>15</v>
          </cell>
          <cell r="D390">
            <v>0</v>
          </cell>
          <cell r="E390" t="str">
            <v>A</v>
          </cell>
          <cell r="F390">
            <v>1.3299999999999999E-2</v>
          </cell>
        </row>
        <row r="391">
          <cell r="A391" t="str">
            <v>13.18.0.A</v>
          </cell>
          <cell r="B391">
            <v>13</v>
          </cell>
          <cell r="C391">
            <v>18</v>
          </cell>
          <cell r="D391">
            <v>0</v>
          </cell>
          <cell r="E391" t="str">
            <v>A</v>
          </cell>
          <cell r="F391">
            <v>1.3299999999999999E-2</v>
          </cell>
        </row>
        <row r="392">
          <cell r="A392" t="str">
            <v>13.71.0.B</v>
          </cell>
          <cell r="B392">
            <v>13</v>
          </cell>
          <cell r="C392">
            <v>71</v>
          </cell>
          <cell r="D392">
            <v>0</v>
          </cell>
          <cell r="E392" t="str">
            <v>B</v>
          </cell>
          <cell r="F392">
            <v>1.3299999999999999E-2</v>
          </cell>
        </row>
        <row r="393">
          <cell r="A393" t="str">
            <v>13.1.0.I</v>
          </cell>
          <cell r="B393">
            <v>13</v>
          </cell>
          <cell r="C393">
            <v>1</v>
          </cell>
          <cell r="D393">
            <v>0</v>
          </cell>
          <cell r="E393" t="str">
            <v>I</v>
          </cell>
          <cell r="F393">
            <v>1.3299999999999999E-2</v>
          </cell>
        </row>
        <row r="394">
          <cell r="A394" t="str">
            <v>13.14.0.I</v>
          </cell>
          <cell r="B394">
            <v>13</v>
          </cell>
          <cell r="C394">
            <v>14</v>
          </cell>
          <cell r="D394">
            <v>0</v>
          </cell>
          <cell r="E394" t="str">
            <v>I</v>
          </cell>
          <cell r="F394">
            <v>1.3299999999999999E-2</v>
          </cell>
        </row>
        <row r="395">
          <cell r="A395" t="str">
            <v>13.1.0.N</v>
          </cell>
          <cell r="B395">
            <v>13</v>
          </cell>
          <cell r="C395">
            <v>1</v>
          </cell>
          <cell r="D395">
            <v>0</v>
          </cell>
          <cell r="E395" t="str">
            <v>N</v>
          </cell>
          <cell r="F395">
            <v>1.3299999999999999E-2</v>
          </cell>
        </row>
        <row r="396">
          <cell r="A396" t="str">
            <v>13.0B.0.N</v>
          </cell>
          <cell r="B396">
            <v>13</v>
          </cell>
          <cell r="C396" t="str">
            <v>0B</v>
          </cell>
          <cell r="D396">
            <v>0</v>
          </cell>
          <cell r="E396" t="str">
            <v>N</v>
          </cell>
          <cell r="F396">
            <v>1.3299999999999999E-2</v>
          </cell>
        </row>
        <row r="397">
          <cell r="A397" t="str">
            <v>13.0E.0.N</v>
          </cell>
          <cell r="B397">
            <v>13</v>
          </cell>
          <cell r="C397" t="str">
            <v>0E</v>
          </cell>
          <cell r="D397">
            <v>0</v>
          </cell>
          <cell r="E397" t="str">
            <v>N</v>
          </cell>
          <cell r="F397">
            <v>1.3299999999999999E-2</v>
          </cell>
        </row>
        <row r="398">
          <cell r="A398" t="str">
            <v>13.0M.0.N</v>
          </cell>
          <cell r="B398">
            <v>13</v>
          </cell>
          <cell r="C398" t="str">
            <v>0M</v>
          </cell>
          <cell r="D398">
            <v>0</v>
          </cell>
          <cell r="E398" t="str">
            <v>N</v>
          </cell>
          <cell r="F398">
            <v>1.3299999999999999E-2</v>
          </cell>
        </row>
        <row r="399">
          <cell r="A399" t="str">
            <v>13.14.0.N</v>
          </cell>
          <cell r="B399">
            <v>13</v>
          </cell>
          <cell r="C399">
            <v>14</v>
          </cell>
          <cell r="D399">
            <v>0</v>
          </cell>
          <cell r="E399" t="str">
            <v>N</v>
          </cell>
          <cell r="F399">
            <v>1.3299999999999999E-2</v>
          </cell>
        </row>
        <row r="400">
          <cell r="A400" t="str">
            <v>13.18.0.N</v>
          </cell>
          <cell r="B400">
            <v>13</v>
          </cell>
          <cell r="C400">
            <v>18</v>
          </cell>
          <cell r="D400">
            <v>0</v>
          </cell>
          <cell r="E400" t="str">
            <v>N</v>
          </cell>
          <cell r="F400">
            <v>1.3299999999999999E-2</v>
          </cell>
        </row>
        <row r="401">
          <cell r="A401" t="str">
            <v>13.7P.0.N</v>
          </cell>
          <cell r="B401">
            <v>13</v>
          </cell>
          <cell r="C401" t="str">
            <v>7P</v>
          </cell>
          <cell r="D401">
            <v>0</v>
          </cell>
          <cell r="E401" t="str">
            <v>N</v>
          </cell>
          <cell r="F401">
            <v>1.3299999999999999E-2</v>
          </cell>
        </row>
        <row r="402">
          <cell r="A402" t="str">
            <v>13.7U.0.N</v>
          </cell>
          <cell r="B402">
            <v>13</v>
          </cell>
          <cell r="C402" t="str">
            <v>7U</v>
          </cell>
          <cell r="D402">
            <v>0</v>
          </cell>
          <cell r="E402" t="str">
            <v>N</v>
          </cell>
          <cell r="F402">
            <v>1.3299999999999999E-2</v>
          </cell>
        </row>
        <row r="403">
          <cell r="A403" t="str">
            <v>13.1.98.0</v>
          </cell>
          <cell r="B403">
            <v>13</v>
          </cell>
          <cell r="C403">
            <v>1</v>
          </cell>
          <cell r="D403">
            <v>98</v>
          </cell>
          <cell r="E403">
            <v>0</v>
          </cell>
          <cell r="F403">
            <v>0</v>
          </cell>
        </row>
        <row r="404">
          <cell r="A404" t="str">
            <v>13.1.98.A</v>
          </cell>
          <cell r="B404">
            <v>13</v>
          </cell>
          <cell r="C404">
            <v>1</v>
          </cell>
          <cell r="D404">
            <v>98</v>
          </cell>
          <cell r="E404" t="str">
            <v>A</v>
          </cell>
          <cell r="F404">
            <v>0</v>
          </cell>
        </row>
        <row r="405">
          <cell r="A405" t="str">
            <v>16.1.1X.0</v>
          </cell>
          <cell r="B405">
            <v>16</v>
          </cell>
          <cell r="C405">
            <v>1</v>
          </cell>
          <cell r="D405" t="str">
            <v>1X</v>
          </cell>
          <cell r="E405">
            <v>0</v>
          </cell>
          <cell r="F405">
            <v>2.63E-2</v>
          </cell>
        </row>
        <row r="406">
          <cell r="A406" t="str">
            <v>16.3.1X.0</v>
          </cell>
          <cell r="B406">
            <v>16</v>
          </cell>
          <cell r="C406">
            <v>3</v>
          </cell>
          <cell r="D406" t="str">
            <v>1X</v>
          </cell>
          <cell r="E406">
            <v>0</v>
          </cell>
          <cell r="F406">
            <v>2.63E-2</v>
          </cell>
        </row>
        <row r="407">
          <cell r="A407" t="str">
            <v>16.12.1X.0</v>
          </cell>
          <cell r="B407">
            <v>16</v>
          </cell>
          <cell r="C407">
            <v>12</v>
          </cell>
          <cell r="D407" t="str">
            <v>1X</v>
          </cell>
          <cell r="E407">
            <v>0</v>
          </cell>
          <cell r="F407">
            <v>2.63E-2</v>
          </cell>
        </row>
        <row r="408">
          <cell r="A408" t="str">
            <v>16.1.1X.1</v>
          </cell>
          <cell r="B408">
            <v>16</v>
          </cell>
          <cell r="C408">
            <v>1</v>
          </cell>
          <cell r="D408" t="str">
            <v>1X</v>
          </cell>
          <cell r="E408">
            <v>1</v>
          </cell>
          <cell r="F408">
            <v>2.63E-2</v>
          </cell>
        </row>
        <row r="409">
          <cell r="A409" t="str">
            <v>16.1.1X.2</v>
          </cell>
          <cell r="B409">
            <v>16</v>
          </cell>
          <cell r="C409">
            <v>1</v>
          </cell>
          <cell r="D409" t="str">
            <v>1X</v>
          </cell>
          <cell r="E409">
            <v>2</v>
          </cell>
          <cell r="F409">
            <v>2.63E-2</v>
          </cell>
        </row>
        <row r="410">
          <cell r="A410" t="str">
            <v>16.1.1X.3</v>
          </cell>
          <cell r="B410">
            <v>16</v>
          </cell>
          <cell r="C410">
            <v>1</v>
          </cell>
          <cell r="D410" t="str">
            <v>1X</v>
          </cell>
          <cell r="E410">
            <v>3</v>
          </cell>
          <cell r="F410">
            <v>2.63E-2</v>
          </cell>
        </row>
        <row r="411">
          <cell r="A411" t="str">
            <v>16.71.1X.3</v>
          </cell>
          <cell r="B411">
            <v>16</v>
          </cell>
          <cell r="C411">
            <v>71</v>
          </cell>
          <cell r="D411" t="str">
            <v>1X</v>
          </cell>
          <cell r="E411">
            <v>3</v>
          </cell>
          <cell r="F411">
            <v>2.63E-2</v>
          </cell>
        </row>
        <row r="412">
          <cell r="A412" t="str">
            <v>16.73.1X.3</v>
          </cell>
          <cell r="B412">
            <v>16</v>
          </cell>
          <cell r="C412">
            <v>73</v>
          </cell>
          <cell r="D412" t="str">
            <v>1X</v>
          </cell>
          <cell r="E412">
            <v>3</v>
          </cell>
          <cell r="F412">
            <v>2.63E-2</v>
          </cell>
        </row>
        <row r="413">
          <cell r="A413" t="str">
            <v>16.1.1X.A</v>
          </cell>
          <cell r="B413">
            <v>16</v>
          </cell>
          <cell r="C413">
            <v>1</v>
          </cell>
          <cell r="D413" t="str">
            <v>1X</v>
          </cell>
          <cell r="E413" t="str">
            <v>A</v>
          </cell>
          <cell r="F413">
            <v>2.63E-2</v>
          </cell>
        </row>
        <row r="414">
          <cell r="A414" t="str">
            <v>16.3.1X.A</v>
          </cell>
          <cell r="B414">
            <v>16</v>
          </cell>
          <cell r="C414">
            <v>3</v>
          </cell>
          <cell r="D414" t="str">
            <v>1X</v>
          </cell>
          <cell r="E414" t="str">
            <v>A</v>
          </cell>
          <cell r="F414">
            <v>2.63E-2</v>
          </cell>
        </row>
        <row r="415">
          <cell r="A415" t="str">
            <v>16.71.1X.B</v>
          </cell>
          <cell r="B415">
            <v>16</v>
          </cell>
          <cell r="C415">
            <v>71</v>
          </cell>
          <cell r="D415" t="str">
            <v>1X</v>
          </cell>
          <cell r="E415" t="str">
            <v>B</v>
          </cell>
          <cell r="F415">
            <v>2.63E-2</v>
          </cell>
        </row>
        <row r="416">
          <cell r="A416" t="str">
            <v>16.73.1X.B</v>
          </cell>
          <cell r="B416">
            <v>16</v>
          </cell>
          <cell r="C416">
            <v>73</v>
          </cell>
          <cell r="D416" t="str">
            <v>1X</v>
          </cell>
          <cell r="E416" t="str">
            <v>B</v>
          </cell>
          <cell r="F416">
            <v>2.63E-2</v>
          </cell>
        </row>
        <row r="417">
          <cell r="A417" t="str">
            <v>16.1.1X.I</v>
          </cell>
          <cell r="B417">
            <v>16</v>
          </cell>
          <cell r="C417">
            <v>1</v>
          </cell>
          <cell r="D417" t="str">
            <v>1X</v>
          </cell>
          <cell r="E417" t="str">
            <v>I</v>
          </cell>
          <cell r="F417">
            <v>2.63E-2</v>
          </cell>
        </row>
        <row r="418">
          <cell r="A418" t="str">
            <v>16.14.1X.I</v>
          </cell>
          <cell r="B418">
            <v>16</v>
          </cell>
          <cell r="C418">
            <v>14</v>
          </cell>
          <cell r="D418" t="str">
            <v>1X</v>
          </cell>
          <cell r="E418" t="str">
            <v>I</v>
          </cell>
          <cell r="F418">
            <v>2.63E-2</v>
          </cell>
        </row>
        <row r="419">
          <cell r="A419" t="str">
            <v>16.1.1X.N</v>
          </cell>
          <cell r="B419">
            <v>16</v>
          </cell>
          <cell r="C419">
            <v>1</v>
          </cell>
          <cell r="D419" t="str">
            <v>1X</v>
          </cell>
          <cell r="E419" t="str">
            <v>N</v>
          </cell>
          <cell r="F419">
            <v>2.63E-2</v>
          </cell>
        </row>
        <row r="420">
          <cell r="A420" t="str">
            <v>16.0B.1X.N</v>
          </cell>
          <cell r="B420">
            <v>16</v>
          </cell>
          <cell r="C420" t="str">
            <v>0B</v>
          </cell>
          <cell r="D420" t="str">
            <v>1X</v>
          </cell>
          <cell r="E420" t="str">
            <v>N</v>
          </cell>
          <cell r="F420">
            <v>2.63E-2</v>
          </cell>
        </row>
        <row r="421">
          <cell r="A421" t="str">
            <v>16.0E.1X.N</v>
          </cell>
          <cell r="B421">
            <v>16</v>
          </cell>
          <cell r="C421" t="str">
            <v>0E</v>
          </cell>
          <cell r="D421" t="str">
            <v>1X</v>
          </cell>
          <cell r="E421" t="str">
            <v>N</v>
          </cell>
          <cell r="F421">
            <v>2.63E-2</v>
          </cell>
        </row>
        <row r="422">
          <cell r="A422" t="str">
            <v>16.0M.1X.N</v>
          </cell>
          <cell r="B422">
            <v>16</v>
          </cell>
          <cell r="C422" t="str">
            <v>0M</v>
          </cell>
          <cell r="D422" t="str">
            <v>1X</v>
          </cell>
          <cell r="E422" t="str">
            <v>N</v>
          </cell>
          <cell r="F422">
            <v>2.63E-2</v>
          </cell>
        </row>
        <row r="423">
          <cell r="A423" t="str">
            <v>16.12.1X.N</v>
          </cell>
          <cell r="B423">
            <v>16</v>
          </cell>
          <cell r="C423">
            <v>12</v>
          </cell>
          <cell r="D423" t="str">
            <v>1X</v>
          </cell>
          <cell r="E423" t="str">
            <v>N</v>
          </cell>
          <cell r="F423">
            <v>2.63E-2</v>
          </cell>
        </row>
        <row r="424">
          <cell r="A424" t="str">
            <v>16.27.1X.N</v>
          </cell>
          <cell r="B424">
            <v>16</v>
          </cell>
          <cell r="C424">
            <v>27</v>
          </cell>
          <cell r="D424" t="str">
            <v>1X</v>
          </cell>
          <cell r="E424" t="str">
            <v>N</v>
          </cell>
          <cell r="F424">
            <v>2.63E-2</v>
          </cell>
        </row>
        <row r="425">
          <cell r="A425" t="str">
            <v>16.72.1X.N</v>
          </cell>
          <cell r="B425">
            <v>16</v>
          </cell>
          <cell r="C425">
            <v>72</v>
          </cell>
          <cell r="D425" t="str">
            <v>1X</v>
          </cell>
          <cell r="E425" t="str">
            <v>N</v>
          </cell>
          <cell r="F425">
            <v>2.63E-2</v>
          </cell>
        </row>
        <row r="426">
          <cell r="A426" t="str">
            <v>16.7P.1X.N</v>
          </cell>
          <cell r="B426">
            <v>16</v>
          </cell>
          <cell r="C426" t="str">
            <v>7P</v>
          </cell>
          <cell r="D426" t="str">
            <v>1X</v>
          </cell>
          <cell r="E426" t="str">
            <v>N</v>
          </cell>
          <cell r="F426">
            <v>2.63E-2</v>
          </cell>
        </row>
        <row r="427">
          <cell r="A427" t="str">
            <v>16.7U.1X.N</v>
          </cell>
          <cell r="B427">
            <v>16</v>
          </cell>
          <cell r="C427" t="str">
            <v>7U</v>
          </cell>
          <cell r="D427" t="str">
            <v>1X</v>
          </cell>
          <cell r="E427" t="str">
            <v>N</v>
          </cell>
          <cell r="F427">
            <v>2.63E-2</v>
          </cell>
        </row>
        <row r="428">
          <cell r="A428" t="str">
            <v>16.1.2X.0</v>
          </cell>
          <cell r="B428">
            <v>16</v>
          </cell>
          <cell r="C428">
            <v>1</v>
          </cell>
          <cell r="D428" t="str">
            <v>2X</v>
          </cell>
          <cell r="E428">
            <v>0</v>
          </cell>
          <cell r="F428">
            <v>2.63E-2</v>
          </cell>
        </row>
        <row r="429">
          <cell r="A429" t="str">
            <v>16.1.2X.3</v>
          </cell>
          <cell r="B429">
            <v>16</v>
          </cell>
          <cell r="C429">
            <v>1</v>
          </cell>
          <cell r="D429" t="str">
            <v>2X</v>
          </cell>
          <cell r="E429">
            <v>3</v>
          </cell>
          <cell r="F429">
            <v>2.63E-2</v>
          </cell>
        </row>
        <row r="430">
          <cell r="A430" t="str">
            <v>16.71.2X.3</v>
          </cell>
          <cell r="B430">
            <v>16</v>
          </cell>
          <cell r="C430">
            <v>71</v>
          </cell>
          <cell r="D430" t="str">
            <v>2X</v>
          </cell>
          <cell r="E430">
            <v>3</v>
          </cell>
          <cell r="F430">
            <v>2.63E-2</v>
          </cell>
        </row>
        <row r="431">
          <cell r="A431" t="str">
            <v>16.1.2X.A</v>
          </cell>
          <cell r="B431">
            <v>16</v>
          </cell>
          <cell r="C431">
            <v>1</v>
          </cell>
          <cell r="D431" t="str">
            <v>2X</v>
          </cell>
          <cell r="E431" t="str">
            <v>A</v>
          </cell>
          <cell r="F431">
            <v>2.63E-2</v>
          </cell>
        </row>
        <row r="432">
          <cell r="A432" t="str">
            <v>16.71.2X.B</v>
          </cell>
          <cell r="B432">
            <v>16</v>
          </cell>
          <cell r="C432">
            <v>71</v>
          </cell>
          <cell r="D432" t="str">
            <v>2X</v>
          </cell>
          <cell r="E432" t="str">
            <v>B</v>
          </cell>
          <cell r="F432">
            <v>2.63E-2</v>
          </cell>
        </row>
        <row r="433">
          <cell r="A433" t="str">
            <v>16.1.2X.N</v>
          </cell>
          <cell r="B433">
            <v>16</v>
          </cell>
          <cell r="C433">
            <v>1</v>
          </cell>
          <cell r="D433" t="str">
            <v>2X</v>
          </cell>
          <cell r="E433" t="str">
            <v>N</v>
          </cell>
          <cell r="F433">
            <v>2.63E-2</v>
          </cell>
        </row>
        <row r="434">
          <cell r="A434" t="str">
            <v>16.1.3X.0</v>
          </cell>
          <cell r="B434">
            <v>16</v>
          </cell>
          <cell r="C434">
            <v>1</v>
          </cell>
          <cell r="D434" t="str">
            <v>3X</v>
          </cell>
          <cell r="E434">
            <v>0</v>
          </cell>
          <cell r="F434">
            <v>0.1</v>
          </cell>
        </row>
        <row r="435">
          <cell r="A435" t="str">
            <v>16.1.3X.A</v>
          </cell>
          <cell r="B435">
            <v>16</v>
          </cell>
          <cell r="C435">
            <v>1</v>
          </cell>
          <cell r="D435" t="str">
            <v>3X</v>
          </cell>
          <cell r="E435" t="str">
            <v>A</v>
          </cell>
          <cell r="F435">
            <v>0.1</v>
          </cell>
        </row>
        <row r="436">
          <cell r="A436" t="str">
            <v>16.1.3X.N</v>
          </cell>
          <cell r="B436">
            <v>16</v>
          </cell>
          <cell r="C436">
            <v>1</v>
          </cell>
          <cell r="D436" t="str">
            <v>3X</v>
          </cell>
          <cell r="E436" t="str">
            <v>N</v>
          </cell>
          <cell r="F436">
            <v>0.1</v>
          </cell>
        </row>
        <row r="437">
          <cell r="A437" t="str">
            <v>16.27.3X.N</v>
          </cell>
          <cell r="B437">
            <v>16</v>
          </cell>
          <cell r="C437">
            <v>27</v>
          </cell>
          <cell r="D437" t="str">
            <v>3X</v>
          </cell>
          <cell r="E437" t="str">
            <v>N</v>
          </cell>
          <cell r="F437">
            <v>0.1</v>
          </cell>
        </row>
        <row r="438">
          <cell r="A438" t="str">
            <v>16.72.3X.N</v>
          </cell>
          <cell r="B438">
            <v>16</v>
          </cell>
          <cell r="C438">
            <v>72</v>
          </cell>
          <cell r="D438" t="str">
            <v>3X</v>
          </cell>
          <cell r="E438" t="str">
            <v>N</v>
          </cell>
          <cell r="F438">
            <v>0.1</v>
          </cell>
        </row>
        <row r="439">
          <cell r="A439" t="str">
            <v>16.7U.3X.N</v>
          </cell>
          <cell r="B439">
            <v>16</v>
          </cell>
          <cell r="C439" t="str">
            <v>7U</v>
          </cell>
          <cell r="D439" t="str">
            <v>3X</v>
          </cell>
          <cell r="E439" t="str">
            <v>N</v>
          </cell>
          <cell r="F439">
            <v>0.1</v>
          </cell>
        </row>
        <row r="440">
          <cell r="A440" t="str">
            <v>16.1.9X.0</v>
          </cell>
          <cell r="B440">
            <v>16</v>
          </cell>
          <cell r="C440">
            <v>1</v>
          </cell>
          <cell r="D440" t="str">
            <v>9X</v>
          </cell>
          <cell r="E440">
            <v>0</v>
          </cell>
          <cell r="F440">
            <v>0</v>
          </cell>
        </row>
        <row r="441">
          <cell r="A441" t="str">
            <v>17.1.1X.0</v>
          </cell>
          <cell r="B441">
            <v>17</v>
          </cell>
          <cell r="C441">
            <v>1</v>
          </cell>
          <cell r="D441" t="str">
            <v>1X</v>
          </cell>
          <cell r="E441">
            <v>0</v>
          </cell>
          <cell r="F441">
            <v>3.6999999999999998E-2</v>
          </cell>
        </row>
        <row r="442">
          <cell r="A442" t="str">
            <v>17.3.1X.0</v>
          </cell>
          <cell r="B442">
            <v>17</v>
          </cell>
          <cell r="C442">
            <v>3</v>
          </cell>
          <cell r="D442" t="str">
            <v>1X</v>
          </cell>
          <cell r="E442">
            <v>0</v>
          </cell>
          <cell r="F442">
            <v>3.6999999999999998E-2</v>
          </cell>
        </row>
        <row r="443">
          <cell r="A443" t="str">
            <v>17.1.1X.1</v>
          </cell>
          <cell r="B443">
            <v>17</v>
          </cell>
          <cell r="C443">
            <v>1</v>
          </cell>
          <cell r="D443" t="str">
            <v>1X</v>
          </cell>
          <cell r="E443">
            <v>1</v>
          </cell>
          <cell r="F443">
            <v>3.6999999999999998E-2</v>
          </cell>
        </row>
        <row r="444">
          <cell r="A444" t="str">
            <v>17.1.1X.A</v>
          </cell>
          <cell r="B444">
            <v>17</v>
          </cell>
          <cell r="C444">
            <v>1</v>
          </cell>
          <cell r="D444" t="str">
            <v>1X</v>
          </cell>
          <cell r="E444" t="str">
            <v>A</v>
          </cell>
          <cell r="F444">
            <v>3.6999999999999998E-2</v>
          </cell>
        </row>
        <row r="445">
          <cell r="A445" t="str">
            <v>17.3.1X.A</v>
          </cell>
          <cell r="B445">
            <v>17</v>
          </cell>
          <cell r="C445">
            <v>3</v>
          </cell>
          <cell r="D445" t="str">
            <v>1X</v>
          </cell>
          <cell r="E445" t="str">
            <v>A</v>
          </cell>
          <cell r="F445">
            <v>3.6999999999999998E-2</v>
          </cell>
        </row>
        <row r="446">
          <cell r="A446" t="str">
            <v>17.1.1X.I</v>
          </cell>
          <cell r="B446">
            <v>17</v>
          </cell>
          <cell r="C446">
            <v>1</v>
          </cell>
          <cell r="D446" t="str">
            <v>1X</v>
          </cell>
          <cell r="E446" t="str">
            <v>I</v>
          </cell>
          <cell r="F446">
            <v>3.6999999999999998E-2</v>
          </cell>
        </row>
        <row r="447">
          <cell r="A447" t="str">
            <v>17.1.1X.N</v>
          </cell>
          <cell r="B447">
            <v>17</v>
          </cell>
          <cell r="C447">
            <v>1</v>
          </cell>
          <cell r="D447" t="str">
            <v>1X</v>
          </cell>
          <cell r="E447" t="str">
            <v>N</v>
          </cell>
          <cell r="F447">
            <v>3.6999999999999998E-2</v>
          </cell>
        </row>
        <row r="448">
          <cell r="A448" t="str">
            <v>17.0B.1X.N</v>
          </cell>
          <cell r="B448">
            <v>17</v>
          </cell>
          <cell r="C448" t="str">
            <v>0B</v>
          </cell>
          <cell r="D448" t="str">
            <v>1X</v>
          </cell>
          <cell r="E448" t="str">
            <v>N</v>
          </cell>
          <cell r="F448">
            <v>3.6999999999999998E-2</v>
          </cell>
        </row>
        <row r="449">
          <cell r="A449" t="str">
            <v>17.0E.1X.N</v>
          </cell>
          <cell r="B449">
            <v>17</v>
          </cell>
          <cell r="C449" t="str">
            <v>0E</v>
          </cell>
          <cell r="D449" t="str">
            <v>1X</v>
          </cell>
          <cell r="E449" t="str">
            <v>N</v>
          </cell>
          <cell r="F449">
            <v>3.6999999999999998E-2</v>
          </cell>
        </row>
        <row r="450">
          <cell r="A450" t="str">
            <v>17.0M.1X.N</v>
          </cell>
          <cell r="B450">
            <v>17</v>
          </cell>
          <cell r="C450" t="str">
            <v>0M</v>
          </cell>
          <cell r="D450" t="str">
            <v>1X</v>
          </cell>
          <cell r="E450" t="str">
            <v>N</v>
          </cell>
          <cell r="F450">
            <v>3.6999999999999998E-2</v>
          </cell>
        </row>
        <row r="451">
          <cell r="A451" t="str">
            <v>17.7P.1X.N</v>
          </cell>
          <cell r="B451">
            <v>17</v>
          </cell>
          <cell r="C451" t="str">
            <v>7P</v>
          </cell>
          <cell r="D451" t="str">
            <v>1X</v>
          </cell>
          <cell r="E451" t="str">
            <v>N</v>
          </cell>
          <cell r="F451">
            <v>3.6999999999999998E-2</v>
          </cell>
        </row>
        <row r="452">
          <cell r="A452" t="str">
            <v>17.7U.1X.N</v>
          </cell>
          <cell r="B452">
            <v>17</v>
          </cell>
          <cell r="C452" t="str">
            <v>7U</v>
          </cell>
          <cell r="D452" t="str">
            <v>1X</v>
          </cell>
          <cell r="E452" t="str">
            <v>N</v>
          </cell>
          <cell r="F452">
            <v>3.6999999999999998E-2</v>
          </cell>
        </row>
        <row r="453">
          <cell r="A453" t="str">
            <v>17.1.2X.N</v>
          </cell>
          <cell r="B453">
            <v>17</v>
          </cell>
          <cell r="C453">
            <v>1</v>
          </cell>
          <cell r="D453" t="str">
            <v>2X</v>
          </cell>
          <cell r="E453" t="str">
            <v>N</v>
          </cell>
          <cell r="F453">
            <v>2.5000000000000001E-2</v>
          </cell>
        </row>
        <row r="454">
          <cell r="A454" t="str">
            <v>17.1.3X.0</v>
          </cell>
          <cell r="B454">
            <v>17</v>
          </cell>
          <cell r="C454">
            <v>1</v>
          </cell>
          <cell r="D454" t="str">
            <v>3X</v>
          </cell>
          <cell r="E454">
            <v>0</v>
          </cell>
          <cell r="F454">
            <v>3.6999999999999998E-2</v>
          </cell>
        </row>
        <row r="455">
          <cell r="A455" t="str">
            <v>17.1.3X.A</v>
          </cell>
          <cell r="B455">
            <v>17</v>
          </cell>
          <cell r="C455">
            <v>1</v>
          </cell>
          <cell r="D455" t="str">
            <v>3X</v>
          </cell>
          <cell r="E455" t="str">
            <v>A</v>
          </cell>
          <cell r="F455">
            <v>3.6999999999999998E-2</v>
          </cell>
        </row>
        <row r="456">
          <cell r="A456" t="str">
            <v>17.1.9X.0</v>
          </cell>
          <cell r="B456">
            <v>17</v>
          </cell>
          <cell r="C456">
            <v>1</v>
          </cell>
          <cell r="D456" t="str">
            <v>9X</v>
          </cell>
          <cell r="E456">
            <v>0</v>
          </cell>
          <cell r="F456">
            <v>0</v>
          </cell>
        </row>
        <row r="457">
          <cell r="A457" t="str">
            <v>17.1.9X.A</v>
          </cell>
          <cell r="B457">
            <v>17</v>
          </cell>
          <cell r="C457">
            <v>1</v>
          </cell>
          <cell r="D457" t="str">
            <v>9X</v>
          </cell>
          <cell r="E457" t="str">
            <v>A</v>
          </cell>
          <cell r="F457">
            <v>0</v>
          </cell>
        </row>
        <row r="458">
          <cell r="A458" t="str">
            <v>18.1.0.0</v>
          </cell>
          <cell r="B458">
            <v>18</v>
          </cell>
          <cell r="C458">
            <v>1</v>
          </cell>
          <cell r="D458">
            <v>0</v>
          </cell>
          <cell r="E458">
            <v>0</v>
          </cell>
          <cell r="F458">
            <v>2.5000000000000001E-2</v>
          </cell>
        </row>
        <row r="459">
          <cell r="A459" t="str">
            <v>18.3.0.0</v>
          </cell>
          <cell r="B459">
            <v>18</v>
          </cell>
          <cell r="C459">
            <v>3</v>
          </cell>
          <cell r="D459">
            <v>0</v>
          </cell>
          <cell r="E459">
            <v>0</v>
          </cell>
          <cell r="F459">
            <v>2.5000000000000001E-2</v>
          </cell>
        </row>
        <row r="460">
          <cell r="A460" t="str">
            <v>18.12.0.0</v>
          </cell>
          <cell r="B460">
            <v>18</v>
          </cell>
          <cell r="C460">
            <v>12</v>
          </cell>
          <cell r="D460">
            <v>0</v>
          </cell>
          <cell r="E460">
            <v>0</v>
          </cell>
          <cell r="F460">
            <v>2.5000000000000001E-2</v>
          </cell>
        </row>
        <row r="461">
          <cell r="A461" t="str">
            <v>18.7P.0.0</v>
          </cell>
          <cell r="B461">
            <v>18</v>
          </cell>
          <cell r="C461" t="str">
            <v>7P</v>
          </cell>
          <cell r="D461">
            <v>0</v>
          </cell>
          <cell r="E461">
            <v>0</v>
          </cell>
          <cell r="F461">
            <v>2.5000000000000001E-2</v>
          </cell>
        </row>
        <row r="462">
          <cell r="A462" t="str">
            <v>18.1.0.1</v>
          </cell>
          <cell r="B462">
            <v>18</v>
          </cell>
          <cell r="C462">
            <v>1</v>
          </cell>
          <cell r="D462">
            <v>0</v>
          </cell>
          <cell r="E462">
            <v>1</v>
          </cell>
          <cell r="F462">
            <v>2.5000000000000001E-2</v>
          </cell>
        </row>
        <row r="463">
          <cell r="A463" t="str">
            <v>18.1.0.2</v>
          </cell>
          <cell r="B463">
            <v>18</v>
          </cell>
          <cell r="C463">
            <v>1</v>
          </cell>
          <cell r="D463">
            <v>0</v>
          </cell>
          <cell r="E463">
            <v>2</v>
          </cell>
          <cell r="F463">
            <v>2.5000000000000001E-2</v>
          </cell>
        </row>
        <row r="464">
          <cell r="A464" t="str">
            <v>18.1.0.3</v>
          </cell>
          <cell r="B464">
            <v>18</v>
          </cell>
          <cell r="C464">
            <v>1</v>
          </cell>
          <cell r="D464">
            <v>0</v>
          </cell>
          <cell r="E464">
            <v>3</v>
          </cell>
          <cell r="F464">
            <v>2.5000000000000001E-2</v>
          </cell>
        </row>
        <row r="465">
          <cell r="A465" t="str">
            <v>18.71.0.3</v>
          </cell>
          <cell r="B465">
            <v>18</v>
          </cell>
          <cell r="C465">
            <v>71</v>
          </cell>
          <cell r="D465">
            <v>0</v>
          </cell>
          <cell r="E465">
            <v>3</v>
          </cell>
          <cell r="F465">
            <v>2.5000000000000001E-2</v>
          </cell>
        </row>
        <row r="466">
          <cell r="A466" t="str">
            <v>18.1.0.A</v>
          </cell>
          <cell r="B466">
            <v>18</v>
          </cell>
          <cell r="C466">
            <v>1</v>
          </cell>
          <cell r="D466">
            <v>0</v>
          </cell>
          <cell r="E466" t="str">
            <v>A</v>
          </cell>
          <cell r="F466">
            <v>2.5000000000000001E-2</v>
          </cell>
        </row>
        <row r="467">
          <cell r="A467" t="str">
            <v>18.3.0.A</v>
          </cell>
          <cell r="B467">
            <v>18</v>
          </cell>
          <cell r="C467">
            <v>3</v>
          </cell>
          <cell r="D467">
            <v>0</v>
          </cell>
          <cell r="E467" t="str">
            <v>A</v>
          </cell>
          <cell r="F467">
            <v>2.5000000000000001E-2</v>
          </cell>
        </row>
        <row r="468">
          <cell r="A468" t="str">
            <v>18.71.0.B</v>
          </cell>
          <cell r="B468">
            <v>18</v>
          </cell>
          <cell r="C468">
            <v>71</v>
          </cell>
          <cell r="D468">
            <v>0</v>
          </cell>
          <cell r="E468" t="str">
            <v>B</v>
          </cell>
          <cell r="F468">
            <v>2.5000000000000001E-2</v>
          </cell>
        </row>
        <row r="469">
          <cell r="A469" t="str">
            <v>18.1.0.I</v>
          </cell>
          <cell r="B469">
            <v>18</v>
          </cell>
          <cell r="C469">
            <v>1</v>
          </cell>
          <cell r="D469">
            <v>0</v>
          </cell>
          <cell r="E469" t="str">
            <v>I</v>
          </cell>
          <cell r="F469">
            <v>2.5000000000000001E-2</v>
          </cell>
        </row>
        <row r="470">
          <cell r="A470" t="str">
            <v>18.1.0.N</v>
          </cell>
          <cell r="B470">
            <v>18</v>
          </cell>
          <cell r="C470">
            <v>1</v>
          </cell>
          <cell r="D470">
            <v>0</v>
          </cell>
          <cell r="E470" t="str">
            <v>N</v>
          </cell>
          <cell r="F470">
            <v>2.5000000000000001E-2</v>
          </cell>
        </row>
        <row r="471">
          <cell r="A471" t="str">
            <v>18.7U.0.N</v>
          </cell>
          <cell r="B471">
            <v>18</v>
          </cell>
          <cell r="C471" t="str">
            <v>7U</v>
          </cell>
          <cell r="D471">
            <v>0</v>
          </cell>
          <cell r="E471" t="str">
            <v>N</v>
          </cell>
          <cell r="F471">
            <v>2.5000000000000001E-2</v>
          </cell>
        </row>
        <row r="472">
          <cell r="A472" t="str">
            <v>18.1.98.0</v>
          </cell>
          <cell r="B472">
            <v>18</v>
          </cell>
          <cell r="C472">
            <v>1</v>
          </cell>
          <cell r="D472">
            <v>98</v>
          </cell>
          <cell r="E472">
            <v>0</v>
          </cell>
          <cell r="F472">
            <v>0</v>
          </cell>
        </row>
        <row r="473">
          <cell r="A473" t="str">
            <v>18.1.98.A</v>
          </cell>
          <cell r="B473">
            <v>18</v>
          </cell>
          <cell r="C473">
            <v>1</v>
          </cell>
          <cell r="D473">
            <v>98</v>
          </cell>
          <cell r="E473" t="str">
            <v>A</v>
          </cell>
          <cell r="F473">
            <v>0</v>
          </cell>
        </row>
        <row r="474">
          <cell r="A474" t="str">
            <v>19.1.0.0</v>
          </cell>
          <cell r="B474">
            <v>19</v>
          </cell>
          <cell r="C474">
            <v>1</v>
          </cell>
          <cell r="D474">
            <v>0</v>
          </cell>
          <cell r="E474">
            <v>0</v>
          </cell>
          <cell r="F474">
            <v>3.3300000000000003E-2</v>
          </cell>
        </row>
        <row r="475">
          <cell r="A475" t="str">
            <v>19.1.0.1</v>
          </cell>
          <cell r="B475">
            <v>19</v>
          </cell>
          <cell r="C475">
            <v>1</v>
          </cell>
          <cell r="D475">
            <v>0</v>
          </cell>
          <cell r="E475">
            <v>1</v>
          </cell>
          <cell r="F475">
            <v>3.3300000000000003E-2</v>
          </cell>
        </row>
        <row r="476">
          <cell r="A476" t="str">
            <v>19.1.0.2</v>
          </cell>
          <cell r="B476">
            <v>19</v>
          </cell>
          <cell r="C476">
            <v>1</v>
          </cell>
          <cell r="D476">
            <v>0</v>
          </cell>
          <cell r="E476">
            <v>2</v>
          </cell>
          <cell r="F476">
            <v>3.3300000000000003E-2</v>
          </cell>
        </row>
        <row r="477">
          <cell r="A477" t="str">
            <v>19.1.0.3</v>
          </cell>
          <cell r="B477">
            <v>19</v>
          </cell>
          <cell r="C477">
            <v>1</v>
          </cell>
          <cell r="D477">
            <v>0</v>
          </cell>
          <cell r="E477">
            <v>3</v>
          </cell>
          <cell r="F477">
            <v>3.3300000000000003E-2</v>
          </cell>
        </row>
        <row r="478">
          <cell r="A478" t="str">
            <v>19.71.0.3</v>
          </cell>
          <cell r="B478">
            <v>19</v>
          </cell>
          <cell r="C478">
            <v>71</v>
          </cell>
          <cell r="D478">
            <v>0</v>
          </cell>
          <cell r="E478">
            <v>3</v>
          </cell>
          <cell r="F478">
            <v>3.3300000000000003E-2</v>
          </cell>
        </row>
        <row r="479">
          <cell r="A479" t="str">
            <v>19.1.0.A</v>
          </cell>
          <cell r="B479">
            <v>19</v>
          </cell>
          <cell r="C479">
            <v>1</v>
          </cell>
          <cell r="D479">
            <v>0</v>
          </cell>
          <cell r="E479" t="str">
            <v>A</v>
          </cell>
          <cell r="F479">
            <v>3.3300000000000003E-2</v>
          </cell>
        </row>
        <row r="480">
          <cell r="A480" t="str">
            <v>19.71.0.B</v>
          </cell>
          <cell r="B480">
            <v>19</v>
          </cell>
          <cell r="C480">
            <v>71</v>
          </cell>
          <cell r="D480">
            <v>0</v>
          </cell>
          <cell r="E480" t="str">
            <v>B</v>
          </cell>
          <cell r="F480">
            <v>3.3300000000000003E-2</v>
          </cell>
        </row>
        <row r="481">
          <cell r="A481" t="str">
            <v>19.1.0.C</v>
          </cell>
          <cell r="B481">
            <v>19</v>
          </cell>
          <cell r="C481">
            <v>1</v>
          </cell>
          <cell r="D481">
            <v>0</v>
          </cell>
          <cell r="E481" t="str">
            <v>C</v>
          </cell>
          <cell r="F481">
            <v>3.3300000000000003E-2</v>
          </cell>
        </row>
        <row r="482">
          <cell r="A482" t="str">
            <v>19.1.0.I</v>
          </cell>
          <cell r="B482">
            <v>19</v>
          </cell>
          <cell r="C482">
            <v>1</v>
          </cell>
          <cell r="D482">
            <v>0</v>
          </cell>
          <cell r="E482" t="str">
            <v>I</v>
          </cell>
          <cell r="F482">
            <v>3.3300000000000003E-2</v>
          </cell>
        </row>
        <row r="483">
          <cell r="A483" t="str">
            <v>19.1.0.N</v>
          </cell>
          <cell r="B483">
            <v>19</v>
          </cell>
          <cell r="C483">
            <v>1</v>
          </cell>
          <cell r="D483">
            <v>0</v>
          </cell>
          <cell r="E483" t="str">
            <v>N</v>
          </cell>
          <cell r="F483">
            <v>3.3300000000000003E-2</v>
          </cell>
        </row>
        <row r="484">
          <cell r="A484" t="str">
            <v>19.0E.0.N</v>
          </cell>
          <cell r="B484">
            <v>19</v>
          </cell>
          <cell r="C484" t="str">
            <v>0E</v>
          </cell>
          <cell r="D484">
            <v>0</v>
          </cell>
          <cell r="E484" t="str">
            <v>N</v>
          </cell>
          <cell r="F484">
            <v>3.3300000000000003E-2</v>
          </cell>
        </row>
        <row r="485">
          <cell r="A485" t="str">
            <v>19.0M.0.N</v>
          </cell>
          <cell r="B485">
            <v>19</v>
          </cell>
          <cell r="C485" t="str">
            <v>0M</v>
          </cell>
          <cell r="D485">
            <v>0</v>
          </cell>
          <cell r="E485" t="str">
            <v>N</v>
          </cell>
          <cell r="F485">
            <v>3.3300000000000003E-2</v>
          </cell>
        </row>
        <row r="486">
          <cell r="A486" t="str">
            <v>19.14.0.N</v>
          </cell>
          <cell r="B486">
            <v>19</v>
          </cell>
          <cell r="C486">
            <v>14</v>
          </cell>
          <cell r="D486">
            <v>0</v>
          </cell>
          <cell r="E486" t="str">
            <v>N</v>
          </cell>
          <cell r="F486">
            <v>3.3300000000000003E-2</v>
          </cell>
        </row>
        <row r="487">
          <cell r="A487" t="str">
            <v>19.7P.0.N</v>
          </cell>
          <cell r="B487">
            <v>19</v>
          </cell>
          <cell r="C487" t="str">
            <v>7P</v>
          </cell>
          <cell r="D487">
            <v>0</v>
          </cell>
          <cell r="E487" t="str">
            <v>N</v>
          </cell>
          <cell r="F487">
            <v>3.3300000000000003E-2</v>
          </cell>
        </row>
        <row r="488">
          <cell r="A488" t="str">
            <v>19.7U.0.N</v>
          </cell>
          <cell r="B488">
            <v>19</v>
          </cell>
          <cell r="C488" t="str">
            <v>7U</v>
          </cell>
          <cell r="D488">
            <v>0</v>
          </cell>
          <cell r="E488" t="str">
            <v>N</v>
          </cell>
          <cell r="F488">
            <v>3.3300000000000003E-2</v>
          </cell>
        </row>
        <row r="489">
          <cell r="A489" t="str">
            <v>19.1.98.0</v>
          </cell>
          <cell r="B489">
            <v>19</v>
          </cell>
          <cell r="C489">
            <v>1</v>
          </cell>
          <cell r="D489">
            <v>98</v>
          </cell>
          <cell r="E489">
            <v>0</v>
          </cell>
          <cell r="F489">
            <v>0</v>
          </cell>
        </row>
        <row r="490">
          <cell r="A490" t="str">
            <v>19.1.98.A</v>
          </cell>
          <cell r="B490">
            <v>19</v>
          </cell>
          <cell r="C490">
            <v>1</v>
          </cell>
          <cell r="D490">
            <v>98</v>
          </cell>
          <cell r="E490" t="str">
            <v>A</v>
          </cell>
          <cell r="F490">
            <v>0</v>
          </cell>
        </row>
        <row r="491">
          <cell r="A491" t="str">
            <v>20.1.1X.0</v>
          </cell>
          <cell r="B491">
            <v>20</v>
          </cell>
          <cell r="C491">
            <v>1</v>
          </cell>
          <cell r="D491" t="str">
            <v>1X</v>
          </cell>
          <cell r="E491">
            <v>0</v>
          </cell>
          <cell r="F491">
            <v>2.0400000000000001E-2</v>
          </cell>
        </row>
        <row r="492">
          <cell r="A492" t="str">
            <v>20.12.1X.0</v>
          </cell>
          <cell r="B492">
            <v>20</v>
          </cell>
          <cell r="C492">
            <v>12</v>
          </cell>
          <cell r="D492" t="str">
            <v>1X</v>
          </cell>
          <cell r="E492">
            <v>0</v>
          </cell>
          <cell r="F492">
            <v>2.0400000000000001E-2</v>
          </cell>
        </row>
        <row r="493">
          <cell r="A493" t="str">
            <v>20.1.1X.1</v>
          </cell>
          <cell r="B493">
            <v>20</v>
          </cell>
          <cell r="C493">
            <v>1</v>
          </cell>
          <cell r="D493" t="str">
            <v>1X</v>
          </cell>
          <cell r="E493">
            <v>1</v>
          </cell>
          <cell r="F493">
            <v>2.0400000000000001E-2</v>
          </cell>
        </row>
        <row r="494">
          <cell r="A494" t="str">
            <v>20.1.1X.2</v>
          </cell>
          <cell r="B494">
            <v>20</v>
          </cell>
          <cell r="C494">
            <v>1</v>
          </cell>
          <cell r="D494" t="str">
            <v>1X</v>
          </cell>
          <cell r="E494">
            <v>2</v>
          </cell>
          <cell r="F494">
            <v>2.0400000000000001E-2</v>
          </cell>
        </row>
        <row r="495">
          <cell r="A495" t="str">
            <v>20.1.1X.3</v>
          </cell>
          <cell r="B495">
            <v>20</v>
          </cell>
          <cell r="C495">
            <v>1</v>
          </cell>
          <cell r="D495" t="str">
            <v>1X</v>
          </cell>
          <cell r="E495">
            <v>3</v>
          </cell>
          <cell r="F495">
            <v>2.0400000000000001E-2</v>
          </cell>
        </row>
        <row r="496">
          <cell r="A496" t="str">
            <v>20.71.1X.3</v>
          </cell>
          <cell r="B496">
            <v>20</v>
          </cell>
          <cell r="C496">
            <v>71</v>
          </cell>
          <cell r="D496" t="str">
            <v>1X</v>
          </cell>
          <cell r="E496">
            <v>3</v>
          </cell>
          <cell r="F496">
            <v>2.0400000000000001E-2</v>
          </cell>
        </row>
        <row r="497">
          <cell r="A497" t="str">
            <v>20.1.1X.A</v>
          </cell>
          <cell r="B497">
            <v>20</v>
          </cell>
          <cell r="C497">
            <v>1</v>
          </cell>
          <cell r="D497" t="str">
            <v>1X</v>
          </cell>
          <cell r="E497" t="str">
            <v>A</v>
          </cell>
          <cell r="F497">
            <v>2.0400000000000001E-2</v>
          </cell>
        </row>
        <row r="498">
          <cell r="A498" t="str">
            <v>20.71.1X.B</v>
          </cell>
          <cell r="B498">
            <v>20</v>
          </cell>
          <cell r="C498">
            <v>71</v>
          </cell>
          <cell r="D498" t="str">
            <v>1X</v>
          </cell>
          <cell r="E498" t="str">
            <v>B</v>
          </cell>
          <cell r="F498">
            <v>2.0400000000000001E-2</v>
          </cell>
        </row>
        <row r="499">
          <cell r="A499" t="str">
            <v>20.1.1X.I</v>
          </cell>
          <cell r="B499">
            <v>20</v>
          </cell>
          <cell r="C499">
            <v>1</v>
          </cell>
          <cell r="D499" t="str">
            <v>1X</v>
          </cell>
          <cell r="E499" t="str">
            <v>I</v>
          </cell>
          <cell r="F499">
            <v>2.0400000000000001E-2</v>
          </cell>
        </row>
        <row r="500">
          <cell r="A500" t="str">
            <v>20.1.1X.N</v>
          </cell>
          <cell r="B500">
            <v>20</v>
          </cell>
          <cell r="C500">
            <v>1</v>
          </cell>
          <cell r="D500" t="str">
            <v>1X</v>
          </cell>
          <cell r="E500" t="str">
            <v>N</v>
          </cell>
          <cell r="F500">
            <v>2.0400000000000001E-2</v>
          </cell>
        </row>
        <row r="501">
          <cell r="A501" t="str">
            <v>20.0B.1X.N</v>
          </cell>
          <cell r="B501">
            <v>20</v>
          </cell>
          <cell r="C501" t="str">
            <v>0B</v>
          </cell>
          <cell r="D501" t="str">
            <v>1X</v>
          </cell>
          <cell r="E501" t="str">
            <v>N</v>
          </cell>
          <cell r="F501">
            <v>2.0400000000000001E-2</v>
          </cell>
        </row>
        <row r="502">
          <cell r="A502" t="str">
            <v>20.0E.1X.N</v>
          </cell>
          <cell r="B502">
            <v>20</v>
          </cell>
          <cell r="C502" t="str">
            <v>0E</v>
          </cell>
          <cell r="D502" t="str">
            <v>1X</v>
          </cell>
          <cell r="E502" t="str">
            <v>N</v>
          </cell>
          <cell r="F502">
            <v>2.0400000000000001E-2</v>
          </cell>
        </row>
        <row r="503">
          <cell r="A503" t="str">
            <v>20.0M.1X.N</v>
          </cell>
          <cell r="B503">
            <v>20</v>
          </cell>
          <cell r="C503" t="str">
            <v>0M</v>
          </cell>
          <cell r="D503" t="str">
            <v>1X</v>
          </cell>
          <cell r="E503" t="str">
            <v>N</v>
          </cell>
          <cell r="F503">
            <v>2.0400000000000001E-2</v>
          </cell>
        </row>
        <row r="504">
          <cell r="A504" t="str">
            <v>20.0U.1X.N</v>
          </cell>
          <cell r="B504">
            <v>20</v>
          </cell>
          <cell r="C504" t="str">
            <v>0U</v>
          </cell>
          <cell r="D504" t="str">
            <v>1X</v>
          </cell>
          <cell r="E504" t="str">
            <v>N</v>
          </cell>
          <cell r="F504">
            <v>2.0400000000000001E-2</v>
          </cell>
        </row>
        <row r="505">
          <cell r="A505" t="str">
            <v>20.12.1X.N</v>
          </cell>
          <cell r="B505">
            <v>20</v>
          </cell>
          <cell r="C505">
            <v>12</v>
          </cell>
          <cell r="D505" t="str">
            <v>1X</v>
          </cell>
          <cell r="E505" t="str">
            <v>N</v>
          </cell>
          <cell r="F505">
            <v>2.0400000000000001E-2</v>
          </cell>
        </row>
        <row r="506">
          <cell r="A506" t="str">
            <v>20.7P.1X.N</v>
          </cell>
          <cell r="B506">
            <v>20</v>
          </cell>
          <cell r="C506" t="str">
            <v>7P</v>
          </cell>
          <cell r="D506" t="str">
            <v>1X</v>
          </cell>
          <cell r="E506" t="str">
            <v>N</v>
          </cell>
          <cell r="F506">
            <v>2.0400000000000001E-2</v>
          </cell>
        </row>
        <row r="507">
          <cell r="A507" t="str">
            <v>20.7U.1X.N</v>
          </cell>
          <cell r="B507">
            <v>20</v>
          </cell>
          <cell r="C507" t="str">
            <v>7U</v>
          </cell>
          <cell r="D507" t="str">
            <v>1X</v>
          </cell>
          <cell r="E507" t="str">
            <v>N</v>
          </cell>
          <cell r="F507">
            <v>2.0400000000000001E-2</v>
          </cell>
        </row>
        <row r="508">
          <cell r="A508" t="str">
            <v>20.1.3X.0</v>
          </cell>
          <cell r="B508">
            <v>20</v>
          </cell>
          <cell r="C508">
            <v>1</v>
          </cell>
          <cell r="D508" t="str">
            <v>3X</v>
          </cell>
          <cell r="E508">
            <v>0</v>
          </cell>
          <cell r="F508">
            <v>2.0400000000000001E-2</v>
          </cell>
        </row>
        <row r="509">
          <cell r="A509" t="str">
            <v>20.1.3X.A</v>
          </cell>
          <cell r="B509">
            <v>20</v>
          </cell>
          <cell r="C509">
            <v>1</v>
          </cell>
          <cell r="D509" t="str">
            <v>3X</v>
          </cell>
          <cell r="E509" t="str">
            <v>A</v>
          </cell>
          <cell r="F509">
            <v>2.0400000000000001E-2</v>
          </cell>
        </row>
        <row r="510">
          <cell r="A510" t="str">
            <v>20.1.9X.0</v>
          </cell>
          <cell r="B510">
            <v>20</v>
          </cell>
          <cell r="C510">
            <v>1</v>
          </cell>
          <cell r="D510" t="str">
            <v>9X</v>
          </cell>
          <cell r="E510">
            <v>0</v>
          </cell>
          <cell r="F510">
            <v>0</v>
          </cell>
        </row>
        <row r="511">
          <cell r="A511" t="str">
            <v>20.1.9X.A</v>
          </cell>
          <cell r="B511">
            <v>20</v>
          </cell>
          <cell r="C511">
            <v>1</v>
          </cell>
          <cell r="D511" t="str">
            <v>9X</v>
          </cell>
          <cell r="E511" t="str">
            <v>A</v>
          </cell>
          <cell r="F511">
            <v>0</v>
          </cell>
        </row>
        <row r="512">
          <cell r="A512" t="str">
            <v>23.1.0.0</v>
          </cell>
          <cell r="B512">
            <v>23</v>
          </cell>
          <cell r="C512">
            <v>1</v>
          </cell>
          <cell r="D512">
            <v>0</v>
          </cell>
          <cell r="E512">
            <v>0</v>
          </cell>
          <cell r="F512">
            <v>0.02</v>
          </cell>
        </row>
        <row r="513">
          <cell r="A513" t="str">
            <v>23.71.0.3</v>
          </cell>
          <cell r="B513">
            <v>23</v>
          </cell>
          <cell r="C513">
            <v>71</v>
          </cell>
          <cell r="D513">
            <v>0</v>
          </cell>
          <cell r="E513">
            <v>3</v>
          </cell>
          <cell r="F513">
            <v>0.02</v>
          </cell>
        </row>
        <row r="514">
          <cell r="A514" t="str">
            <v>23.1.0.A</v>
          </cell>
          <cell r="B514">
            <v>23</v>
          </cell>
          <cell r="C514">
            <v>1</v>
          </cell>
          <cell r="D514">
            <v>0</v>
          </cell>
          <cell r="E514" t="str">
            <v>A</v>
          </cell>
          <cell r="F514">
            <v>0.02</v>
          </cell>
        </row>
        <row r="515">
          <cell r="A515" t="str">
            <v>23.71.0.B</v>
          </cell>
          <cell r="B515">
            <v>23</v>
          </cell>
          <cell r="C515">
            <v>71</v>
          </cell>
          <cell r="D515">
            <v>0</v>
          </cell>
          <cell r="E515" t="str">
            <v>B</v>
          </cell>
          <cell r="F515">
            <v>0.02</v>
          </cell>
        </row>
        <row r="516">
          <cell r="A516" t="str">
            <v>23.1.0.I</v>
          </cell>
          <cell r="B516">
            <v>23</v>
          </cell>
          <cell r="C516">
            <v>1</v>
          </cell>
          <cell r="D516">
            <v>0</v>
          </cell>
          <cell r="E516" t="str">
            <v>I</v>
          </cell>
          <cell r="F516">
            <v>0.02</v>
          </cell>
        </row>
        <row r="517">
          <cell r="A517" t="str">
            <v>23.1.0.N</v>
          </cell>
          <cell r="B517">
            <v>23</v>
          </cell>
          <cell r="C517">
            <v>1</v>
          </cell>
          <cell r="D517">
            <v>0</v>
          </cell>
          <cell r="E517" t="str">
            <v>N</v>
          </cell>
          <cell r="F517">
            <v>0.02</v>
          </cell>
        </row>
        <row r="518">
          <cell r="A518" t="str">
            <v>23.0E.0.N</v>
          </cell>
          <cell r="B518">
            <v>23</v>
          </cell>
          <cell r="C518" t="str">
            <v>0E</v>
          </cell>
          <cell r="D518">
            <v>0</v>
          </cell>
          <cell r="E518" t="str">
            <v>N</v>
          </cell>
          <cell r="F518">
            <v>0.02</v>
          </cell>
        </row>
        <row r="519">
          <cell r="A519" t="str">
            <v>23.0V.0.N</v>
          </cell>
          <cell r="B519">
            <v>23</v>
          </cell>
          <cell r="C519" t="str">
            <v>0V</v>
          </cell>
          <cell r="D519">
            <v>0</v>
          </cell>
          <cell r="E519" t="str">
            <v>N</v>
          </cell>
          <cell r="F519">
            <v>0.02</v>
          </cell>
        </row>
        <row r="520">
          <cell r="A520" t="str">
            <v>23.1.98.0</v>
          </cell>
          <cell r="B520">
            <v>23</v>
          </cell>
          <cell r="C520">
            <v>1</v>
          </cell>
          <cell r="D520">
            <v>98</v>
          </cell>
          <cell r="E520">
            <v>0</v>
          </cell>
          <cell r="F520">
            <v>0</v>
          </cell>
        </row>
        <row r="521">
          <cell r="A521" t="str">
            <v>23.1.98.A</v>
          </cell>
          <cell r="B521">
            <v>23</v>
          </cell>
          <cell r="C521">
            <v>1</v>
          </cell>
          <cell r="D521">
            <v>98</v>
          </cell>
          <cell r="E521" t="str">
            <v>A</v>
          </cell>
          <cell r="F521">
            <v>0</v>
          </cell>
        </row>
        <row r="522">
          <cell r="A522" t="str">
            <v>24.1.0.I</v>
          </cell>
          <cell r="B522">
            <v>24</v>
          </cell>
          <cell r="C522">
            <v>1</v>
          </cell>
          <cell r="D522">
            <v>0</v>
          </cell>
          <cell r="E522" t="str">
            <v>I</v>
          </cell>
          <cell r="F522">
            <v>1.67E-2</v>
          </cell>
        </row>
        <row r="523">
          <cell r="A523" t="str">
            <v>24.0V.0.I</v>
          </cell>
          <cell r="B523">
            <v>24</v>
          </cell>
          <cell r="C523" t="str">
            <v>0V</v>
          </cell>
          <cell r="D523">
            <v>0</v>
          </cell>
          <cell r="E523" t="str">
            <v>I</v>
          </cell>
          <cell r="F523">
            <v>1.67E-2</v>
          </cell>
        </row>
        <row r="524">
          <cell r="A524" t="str">
            <v>24.1.0.N</v>
          </cell>
          <cell r="B524">
            <v>24</v>
          </cell>
          <cell r="C524">
            <v>1</v>
          </cell>
          <cell r="D524">
            <v>0</v>
          </cell>
          <cell r="E524" t="str">
            <v>N</v>
          </cell>
          <cell r="F524">
            <v>1.67E-2</v>
          </cell>
        </row>
        <row r="525">
          <cell r="A525" t="str">
            <v>25.1.1X.0</v>
          </cell>
          <cell r="B525">
            <v>25</v>
          </cell>
          <cell r="C525">
            <v>1</v>
          </cell>
          <cell r="D525" t="str">
            <v>1X</v>
          </cell>
          <cell r="E525">
            <v>0</v>
          </cell>
          <cell r="F525">
            <v>2.86E-2</v>
          </cell>
        </row>
        <row r="526">
          <cell r="A526" t="str">
            <v>25.1.1X.3</v>
          </cell>
          <cell r="B526">
            <v>25</v>
          </cell>
          <cell r="C526">
            <v>1</v>
          </cell>
          <cell r="D526" t="str">
            <v>1X</v>
          </cell>
          <cell r="E526">
            <v>3</v>
          </cell>
          <cell r="F526">
            <v>2.86E-2</v>
          </cell>
        </row>
        <row r="527">
          <cell r="A527" t="str">
            <v>25.71.1X.3</v>
          </cell>
          <cell r="B527">
            <v>25</v>
          </cell>
          <cell r="C527">
            <v>71</v>
          </cell>
          <cell r="D527" t="str">
            <v>1X</v>
          </cell>
          <cell r="E527">
            <v>3</v>
          </cell>
          <cell r="F527">
            <v>2.86E-2</v>
          </cell>
        </row>
        <row r="528">
          <cell r="A528" t="str">
            <v>25.1.1X.A</v>
          </cell>
          <cell r="B528">
            <v>25</v>
          </cell>
          <cell r="C528">
            <v>1</v>
          </cell>
          <cell r="D528" t="str">
            <v>1X</v>
          </cell>
          <cell r="E528" t="str">
            <v>A</v>
          </cell>
          <cell r="F528">
            <v>2.86E-2</v>
          </cell>
        </row>
        <row r="529">
          <cell r="A529" t="str">
            <v>25.71.1X.B</v>
          </cell>
          <cell r="B529">
            <v>25</v>
          </cell>
          <cell r="C529">
            <v>71</v>
          </cell>
          <cell r="D529" t="str">
            <v>1X</v>
          </cell>
          <cell r="E529" t="str">
            <v>B</v>
          </cell>
          <cell r="F529">
            <v>2.86E-2</v>
          </cell>
        </row>
        <row r="530">
          <cell r="A530" t="str">
            <v>25.1.1X.I</v>
          </cell>
          <cell r="B530">
            <v>25</v>
          </cell>
          <cell r="C530">
            <v>1</v>
          </cell>
          <cell r="D530" t="str">
            <v>1X</v>
          </cell>
          <cell r="E530" t="str">
            <v>I</v>
          </cell>
          <cell r="F530">
            <v>2.86E-2</v>
          </cell>
        </row>
        <row r="531">
          <cell r="A531" t="str">
            <v>25.1.1X.N</v>
          </cell>
          <cell r="B531">
            <v>25</v>
          </cell>
          <cell r="C531">
            <v>1</v>
          </cell>
          <cell r="D531" t="str">
            <v>1X</v>
          </cell>
          <cell r="E531" t="str">
            <v>N</v>
          </cell>
          <cell r="F531">
            <v>2.86E-2</v>
          </cell>
        </row>
        <row r="532">
          <cell r="A532" t="str">
            <v>25.72.1X.N</v>
          </cell>
          <cell r="B532">
            <v>25</v>
          </cell>
          <cell r="C532">
            <v>72</v>
          </cell>
          <cell r="D532" t="str">
            <v>1X</v>
          </cell>
          <cell r="E532" t="str">
            <v>N</v>
          </cell>
          <cell r="F532">
            <v>2.86E-2</v>
          </cell>
        </row>
        <row r="533">
          <cell r="A533" t="str">
            <v>25.7P.1X.N</v>
          </cell>
          <cell r="B533">
            <v>25</v>
          </cell>
          <cell r="C533" t="str">
            <v>7P</v>
          </cell>
          <cell r="D533" t="str">
            <v>1X</v>
          </cell>
          <cell r="E533" t="str">
            <v>N</v>
          </cell>
          <cell r="F533">
            <v>2.86E-2</v>
          </cell>
        </row>
        <row r="534">
          <cell r="A534" t="str">
            <v>25.7U.1X.N</v>
          </cell>
          <cell r="B534">
            <v>25</v>
          </cell>
          <cell r="C534" t="str">
            <v>7U</v>
          </cell>
          <cell r="D534" t="str">
            <v>1X</v>
          </cell>
          <cell r="E534" t="str">
            <v>N</v>
          </cell>
          <cell r="F534">
            <v>2.86E-2</v>
          </cell>
        </row>
        <row r="535">
          <cell r="A535" t="str">
            <v>25.1.2X.0</v>
          </cell>
          <cell r="B535">
            <v>25</v>
          </cell>
          <cell r="C535">
            <v>1</v>
          </cell>
          <cell r="D535" t="str">
            <v>2X</v>
          </cell>
          <cell r="E535">
            <v>0</v>
          </cell>
          <cell r="F535">
            <v>4.5499999999999999E-2</v>
          </cell>
        </row>
        <row r="536">
          <cell r="A536" t="str">
            <v>25.1.2X.A</v>
          </cell>
          <cell r="B536">
            <v>25</v>
          </cell>
          <cell r="C536">
            <v>1</v>
          </cell>
          <cell r="D536" t="str">
            <v>2X</v>
          </cell>
          <cell r="E536" t="str">
            <v>A</v>
          </cell>
          <cell r="F536">
            <v>4.5499999999999999E-2</v>
          </cell>
        </row>
        <row r="537">
          <cell r="A537" t="str">
            <v>25.1.2X.N</v>
          </cell>
          <cell r="B537">
            <v>25</v>
          </cell>
          <cell r="C537">
            <v>1</v>
          </cell>
          <cell r="D537" t="str">
            <v>2X</v>
          </cell>
          <cell r="E537" t="str">
            <v>N</v>
          </cell>
          <cell r="F537">
            <v>4.5499999999999999E-2</v>
          </cell>
        </row>
        <row r="538">
          <cell r="A538" t="str">
            <v>25.72.2X.N</v>
          </cell>
          <cell r="B538">
            <v>25</v>
          </cell>
          <cell r="C538">
            <v>72</v>
          </cell>
          <cell r="D538" t="str">
            <v>2X</v>
          </cell>
          <cell r="E538" t="str">
            <v>N</v>
          </cell>
          <cell r="F538">
            <v>4.5499999999999999E-2</v>
          </cell>
        </row>
        <row r="539">
          <cell r="A539" t="str">
            <v>25.1.9X.0</v>
          </cell>
          <cell r="B539">
            <v>25</v>
          </cell>
          <cell r="C539">
            <v>1</v>
          </cell>
          <cell r="D539" t="str">
            <v>9X</v>
          </cell>
          <cell r="E539">
            <v>0</v>
          </cell>
          <cell r="F539">
            <v>0</v>
          </cell>
        </row>
        <row r="540">
          <cell r="A540" t="str">
            <v>25.1.9X.A</v>
          </cell>
          <cell r="B540">
            <v>25</v>
          </cell>
          <cell r="C540">
            <v>1</v>
          </cell>
          <cell r="D540" t="str">
            <v>9X</v>
          </cell>
          <cell r="E540" t="str">
            <v>A</v>
          </cell>
          <cell r="F540">
            <v>0</v>
          </cell>
        </row>
        <row r="541">
          <cell r="A541" t="str">
            <v>26.1.1X.0</v>
          </cell>
          <cell r="B541">
            <v>26</v>
          </cell>
          <cell r="C541">
            <v>1</v>
          </cell>
          <cell r="D541" t="str">
            <v>1X</v>
          </cell>
          <cell r="E541">
            <v>0</v>
          </cell>
          <cell r="F541">
            <v>4.3499999999999997E-2</v>
          </cell>
        </row>
        <row r="542">
          <cell r="A542" t="str">
            <v>26.3.1X.0</v>
          </cell>
          <cell r="B542">
            <v>26</v>
          </cell>
          <cell r="C542">
            <v>3</v>
          </cell>
          <cell r="D542" t="str">
            <v>1X</v>
          </cell>
          <cell r="E542">
            <v>0</v>
          </cell>
          <cell r="F542">
            <v>4.3499999999999997E-2</v>
          </cell>
        </row>
        <row r="543">
          <cell r="A543" t="str">
            <v>26.1.1X.1</v>
          </cell>
          <cell r="B543">
            <v>26</v>
          </cell>
          <cell r="C543">
            <v>1</v>
          </cell>
          <cell r="D543" t="str">
            <v>1X</v>
          </cell>
          <cell r="E543">
            <v>1</v>
          </cell>
          <cell r="F543">
            <v>4.3499999999999997E-2</v>
          </cell>
        </row>
        <row r="544">
          <cell r="A544" t="str">
            <v>26.1.1X.2</v>
          </cell>
          <cell r="B544">
            <v>26</v>
          </cell>
          <cell r="C544">
            <v>1</v>
          </cell>
          <cell r="D544" t="str">
            <v>1X</v>
          </cell>
          <cell r="E544">
            <v>2</v>
          </cell>
          <cell r="F544">
            <v>4.3499999999999997E-2</v>
          </cell>
        </row>
        <row r="545">
          <cell r="A545" t="str">
            <v>26.1.1X.3</v>
          </cell>
          <cell r="B545">
            <v>26</v>
          </cell>
          <cell r="C545">
            <v>1</v>
          </cell>
          <cell r="D545" t="str">
            <v>1X</v>
          </cell>
          <cell r="E545">
            <v>3</v>
          </cell>
          <cell r="F545">
            <v>4.3499999999999997E-2</v>
          </cell>
        </row>
        <row r="546">
          <cell r="A546" t="str">
            <v>26.71.1X.3</v>
          </cell>
          <cell r="B546">
            <v>26</v>
          </cell>
          <cell r="C546">
            <v>71</v>
          </cell>
          <cell r="D546" t="str">
            <v>1X</v>
          </cell>
          <cell r="E546">
            <v>3</v>
          </cell>
          <cell r="F546">
            <v>4.3499999999999997E-2</v>
          </cell>
        </row>
        <row r="547">
          <cell r="A547" t="str">
            <v>26.1.1X.A</v>
          </cell>
          <cell r="B547">
            <v>26</v>
          </cell>
          <cell r="C547">
            <v>1</v>
          </cell>
          <cell r="D547" t="str">
            <v>1X</v>
          </cell>
          <cell r="E547" t="str">
            <v>A</v>
          </cell>
          <cell r="F547">
            <v>4.3499999999999997E-2</v>
          </cell>
        </row>
        <row r="548">
          <cell r="A548" t="str">
            <v>26.3.1X.A</v>
          </cell>
          <cell r="B548">
            <v>26</v>
          </cell>
          <cell r="C548">
            <v>3</v>
          </cell>
          <cell r="D548" t="str">
            <v>1X</v>
          </cell>
          <cell r="E548" t="str">
            <v>A</v>
          </cell>
          <cell r="F548">
            <v>4.3499999999999997E-2</v>
          </cell>
        </row>
        <row r="549">
          <cell r="A549" t="str">
            <v>26.14.1X.A</v>
          </cell>
          <cell r="B549">
            <v>26</v>
          </cell>
          <cell r="C549">
            <v>14</v>
          </cell>
          <cell r="D549" t="str">
            <v>1X</v>
          </cell>
          <cell r="E549" t="str">
            <v>A</v>
          </cell>
          <cell r="F549">
            <v>4.3499999999999997E-2</v>
          </cell>
        </row>
        <row r="550">
          <cell r="A550" t="str">
            <v>26.71.1X.B</v>
          </cell>
          <cell r="B550">
            <v>26</v>
          </cell>
          <cell r="C550">
            <v>71</v>
          </cell>
          <cell r="D550" t="str">
            <v>1X</v>
          </cell>
          <cell r="E550" t="str">
            <v>B</v>
          </cell>
          <cell r="F550">
            <v>4.3499999999999997E-2</v>
          </cell>
        </row>
        <row r="551">
          <cell r="A551" t="str">
            <v>26.1.1X.I</v>
          </cell>
          <cell r="B551">
            <v>26</v>
          </cell>
          <cell r="C551">
            <v>1</v>
          </cell>
          <cell r="D551" t="str">
            <v>1X</v>
          </cell>
          <cell r="E551" t="str">
            <v>I</v>
          </cell>
          <cell r="F551">
            <v>4.3499999999999997E-2</v>
          </cell>
        </row>
        <row r="552">
          <cell r="A552" t="str">
            <v>26.14.1X.I</v>
          </cell>
          <cell r="B552">
            <v>26</v>
          </cell>
          <cell r="C552">
            <v>14</v>
          </cell>
          <cell r="D552" t="str">
            <v>1X</v>
          </cell>
          <cell r="E552" t="str">
            <v>I</v>
          </cell>
          <cell r="F552">
            <v>4.3499999999999997E-2</v>
          </cell>
        </row>
        <row r="553">
          <cell r="A553" t="str">
            <v>26.1.1X.N</v>
          </cell>
          <cell r="B553">
            <v>26</v>
          </cell>
          <cell r="C553">
            <v>1</v>
          </cell>
          <cell r="D553" t="str">
            <v>1X</v>
          </cell>
          <cell r="E553" t="str">
            <v>N</v>
          </cell>
          <cell r="F553">
            <v>4.3499999999999997E-2</v>
          </cell>
        </row>
        <row r="554">
          <cell r="A554" t="str">
            <v>26.0B.1X.N</v>
          </cell>
          <cell r="B554">
            <v>26</v>
          </cell>
          <cell r="C554" t="str">
            <v>0B</v>
          </cell>
          <cell r="D554" t="str">
            <v>1X</v>
          </cell>
          <cell r="E554" t="str">
            <v>N</v>
          </cell>
          <cell r="F554">
            <v>4.3499999999999997E-2</v>
          </cell>
        </row>
        <row r="555">
          <cell r="A555" t="str">
            <v>26.0E.1X.N</v>
          </cell>
          <cell r="B555">
            <v>26</v>
          </cell>
          <cell r="C555" t="str">
            <v>0E</v>
          </cell>
          <cell r="D555" t="str">
            <v>1X</v>
          </cell>
          <cell r="E555" t="str">
            <v>N</v>
          </cell>
          <cell r="F555">
            <v>4.3499999999999997E-2</v>
          </cell>
        </row>
        <row r="556">
          <cell r="A556" t="str">
            <v>26.0M.1X.N</v>
          </cell>
          <cell r="B556">
            <v>26</v>
          </cell>
          <cell r="C556" t="str">
            <v>0M</v>
          </cell>
          <cell r="D556" t="str">
            <v>1X</v>
          </cell>
          <cell r="E556" t="str">
            <v>N</v>
          </cell>
          <cell r="F556">
            <v>4.3499999999999997E-2</v>
          </cell>
        </row>
        <row r="557">
          <cell r="A557" t="str">
            <v>26.27.1X.N</v>
          </cell>
          <cell r="B557">
            <v>26</v>
          </cell>
          <cell r="C557">
            <v>27</v>
          </cell>
          <cell r="D557" t="str">
            <v>1X</v>
          </cell>
          <cell r="E557" t="str">
            <v>N</v>
          </cell>
          <cell r="F557">
            <v>4.3499999999999997E-2</v>
          </cell>
        </row>
        <row r="558">
          <cell r="A558" t="str">
            <v>26.72.1X.N</v>
          </cell>
          <cell r="B558">
            <v>26</v>
          </cell>
          <cell r="C558">
            <v>72</v>
          </cell>
          <cell r="D558" t="str">
            <v>1X</v>
          </cell>
          <cell r="E558" t="str">
            <v>N</v>
          </cell>
          <cell r="F558">
            <v>4.3499999999999997E-2</v>
          </cell>
        </row>
        <row r="559">
          <cell r="A559" t="str">
            <v>26.7P.1X.N</v>
          </cell>
          <cell r="B559">
            <v>26</v>
          </cell>
          <cell r="C559" t="str">
            <v>7P</v>
          </cell>
          <cell r="D559" t="str">
            <v>1X</v>
          </cell>
          <cell r="E559" t="str">
            <v>N</v>
          </cell>
          <cell r="F559">
            <v>4.3499999999999997E-2</v>
          </cell>
        </row>
        <row r="560">
          <cell r="A560" t="str">
            <v>26.7U.1X.N</v>
          </cell>
          <cell r="B560">
            <v>26</v>
          </cell>
          <cell r="C560" t="str">
            <v>7U</v>
          </cell>
          <cell r="D560" t="str">
            <v>1X</v>
          </cell>
          <cell r="E560" t="str">
            <v>N</v>
          </cell>
          <cell r="F560">
            <v>4.3499999999999997E-2</v>
          </cell>
        </row>
        <row r="561">
          <cell r="A561" t="str">
            <v>26.1.3X.0</v>
          </cell>
          <cell r="B561">
            <v>26</v>
          </cell>
          <cell r="C561">
            <v>1</v>
          </cell>
          <cell r="D561" t="str">
            <v>3X</v>
          </cell>
          <cell r="E561">
            <v>0</v>
          </cell>
          <cell r="F561">
            <v>7.6899999999999996E-2</v>
          </cell>
        </row>
        <row r="562">
          <cell r="A562" t="str">
            <v>26.1.3X.A</v>
          </cell>
          <cell r="B562">
            <v>26</v>
          </cell>
          <cell r="C562">
            <v>1</v>
          </cell>
          <cell r="D562" t="str">
            <v>3X</v>
          </cell>
          <cell r="E562" t="str">
            <v>A</v>
          </cell>
          <cell r="F562">
            <v>7.6899999999999996E-2</v>
          </cell>
        </row>
        <row r="563">
          <cell r="A563" t="str">
            <v>26.1.3X.N</v>
          </cell>
          <cell r="B563">
            <v>26</v>
          </cell>
          <cell r="C563">
            <v>1</v>
          </cell>
          <cell r="D563" t="str">
            <v>3X</v>
          </cell>
          <cell r="E563" t="str">
            <v>N</v>
          </cell>
          <cell r="F563">
            <v>7.6899999999999996E-2</v>
          </cell>
        </row>
        <row r="564">
          <cell r="A564" t="str">
            <v>26.0B.3X.N</v>
          </cell>
          <cell r="B564">
            <v>26</v>
          </cell>
          <cell r="C564" t="str">
            <v>0B</v>
          </cell>
          <cell r="D564" t="str">
            <v>3X</v>
          </cell>
          <cell r="E564" t="str">
            <v>N</v>
          </cell>
          <cell r="F564">
            <v>7.6899999999999996E-2</v>
          </cell>
        </row>
        <row r="565">
          <cell r="A565" t="str">
            <v>26.0E.3X.N</v>
          </cell>
          <cell r="B565">
            <v>26</v>
          </cell>
          <cell r="C565" t="str">
            <v>0E</v>
          </cell>
          <cell r="D565" t="str">
            <v>3X</v>
          </cell>
          <cell r="E565" t="str">
            <v>N</v>
          </cell>
          <cell r="F565">
            <v>7.6899999999999996E-2</v>
          </cell>
        </row>
        <row r="566">
          <cell r="A566" t="str">
            <v>26.27.3X.N</v>
          </cell>
          <cell r="B566">
            <v>26</v>
          </cell>
          <cell r="C566">
            <v>27</v>
          </cell>
          <cell r="D566" t="str">
            <v>3X</v>
          </cell>
          <cell r="E566" t="str">
            <v>N</v>
          </cell>
          <cell r="F566">
            <v>7.6899999999999996E-2</v>
          </cell>
        </row>
        <row r="567">
          <cell r="A567" t="str">
            <v>26.72.3X.N</v>
          </cell>
          <cell r="B567">
            <v>26</v>
          </cell>
          <cell r="C567">
            <v>72</v>
          </cell>
          <cell r="D567" t="str">
            <v>3X</v>
          </cell>
          <cell r="E567" t="str">
            <v>N</v>
          </cell>
          <cell r="F567">
            <v>7.6899999999999996E-2</v>
          </cell>
        </row>
        <row r="568">
          <cell r="A568" t="str">
            <v>26.7P.3X.N</v>
          </cell>
          <cell r="B568">
            <v>26</v>
          </cell>
          <cell r="C568" t="str">
            <v>7P</v>
          </cell>
          <cell r="D568" t="str">
            <v>3X</v>
          </cell>
          <cell r="E568" t="str">
            <v>N</v>
          </cell>
          <cell r="F568">
            <v>7.6899999999999996E-2</v>
          </cell>
        </row>
        <row r="569">
          <cell r="A569" t="str">
            <v>26.7U.3X.N</v>
          </cell>
          <cell r="B569">
            <v>26</v>
          </cell>
          <cell r="C569" t="str">
            <v>7U</v>
          </cell>
          <cell r="D569" t="str">
            <v>3X</v>
          </cell>
          <cell r="E569" t="str">
            <v>N</v>
          </cell>
          <cell r="F569">
            <v>7.6899999999999996E-2</v>
          </cell>
        </row>
        <row r="570">
          <cell r="A570" t="str">
            <v>26.1.9X.0</v>
          </cell>
          <cell r="B570">
            <v>26</v>
          </cell>
          <cell r="C570">
            <v>1</v>
          </cell>
          <cell r="D570" t="str">
            <v>9X</v>
          </cell>
          <cell r="E570">
            <v>0</v>
          </cell>
          <cell r="F570">
            <v>0</v>
          </cell>
        </row>
        <row r="571">
          <cell r="A571" t="str">
            <v>26.1.9X.A</v>
          </cell>
          <cell r="B571">
            <v>26</v>
          </cell>
          <cell r="C571">
            <v>1</v>
          </cell>
          <cell r="D571" t="str">
            <v>9X</v>
          </cell>
          <cell r="E571" t="str">
            <v>A</v>
          </cell>
          <cell r="F571">
            <v>0</v>
          </cell>
        </row>
        <row r="572">
          <cell r="A572" t="str">
            <v>27.1.1X.0</v>
          </cell>
          <cell r="B572">
            <v>27</v>
          </cell>
          <cell r="C572">
            <v>1</v>
          </cell>
          <cell r="D572" t="str">
            <v>1X</v>
          </cell>
          <cell r="E572">
            <v>0</v>
          </cell>
          <cell r="F572">
            <v>2.9399999999999999E-2</v>
          </cell>
        </row>
        <row r="573">
          <cell r="A573" t="str">
            <v>27.3.1X.0</v>
          </cell>
          <cell r="B573">
            <v>27</v>
          </cell>
          <cell r="C573">
            <v>3</v>
          </cell>
          <cell r="D573" t="str">
            <v>1X</v>
          </cell>
          <cell r="E573">
            <v>0</v>
          </cell>
          <cell r="F573">
            <v>2.9399999999999999E-2</v>
          </cell>
        </row>
        <row r="574">
          <cell r="A574" t="str">
            <v>27.1.1X.1</v>
          </cell>
          <cell r="B574">
            <v>27</v>
          </cell>
          <cell r="C574">
            <v>1</v>
          </cell>
          <cell r="D574" t="str">
            <v>1X</v>
          </cell>
          <cell r="E574">
            <v>1</v>
          </cell>
          <cell r="F574">
            <v>2.9399999999999999E-2</v>
          </cell>
        </row>
        <row r="575">
          <cell r="A575" t="str">
            <v>27.1.1X.2</v>
          </cell>
          <cell r="B575">
            <v>27</v>
          </cell>
          <cell r="C575">
            <v>1</v>
          </cell>
          <cell r="D575" t="str">
            <v>1X</v>
          </cell>
          <cell r="E575">
            <v>2</v>
          </cell>
          <cell r="F575">
            <v>2.9399999999999999E-2</v>
          </cell>
        </row>
        <row r="576">
          <cell r="A576" t="str">
            <v>27.1.1X.3</v>
          </cell>
          <cell r="B576">
            <v>27</v>
          </cell>
          <cell r="C576">
            <v>1</v>
          </cell>
          <cell r="D576" t="str">
            <v>1X</v>
          </cell>
          <cell r="E576">
            <v>3</v>
          </cell>
          <cell r="F576">
            <v>2.9399999999999999E-2</v>
          </cell>
        </row>
        <row r="577">
          <cell r="A577" t="str">
            <v>27.71.1X.3</v>
          </cell>
          <cell r="B577">
            <v>27</v>
          </cell>
          <cell r="C577">
            <v>71</v>
          </cell>
          <cell r="D577" t="str">
            <v>1X</v>
          </cell>
          <cell r="E577">
            <v>3</v>
          </cell>
          <cell r="F577">
            <v>2.9399999999999999E-2</v>
          </cell>
        </row>
        <row r="578">
          <cell r="A578" t="str">
            <v>27.1.1X.A</v>
          </cell>
          <cell r="B578">
            <v>27</v>
          </cell>
          <cell r="C578">
            <v>1</v>
          </cell>
          <cell r="D578" t="str">
            <v>1X</v>
          </cell>
          <cell r="E578" t="str">
            <v>A</v>
          </cell>
          <cell r="F578">
            <v>2.9399999999999999E-2</v>
          </cell>
        </row>
        <row r="579">
          <cell r="A579" t="str">
            <v>27.3.1X.A</v>
          </cell>
          <cell r="B579">
            <v>27</v>
          </cell>
          <cell r="C579">
            <v>3</v>
          </cell>
          <cell r="D579" t="str">
            <v>1X</v>
          </cell>
          <cell r="E579" t="str">
            <v>A</v>
          </cell>
          <cell r="F579">
            <v>2.9399999999999999E-2</v>
          </cell>
        </row>
        <row r="580">
          <cell r="A580" t="str">
            <v>27.71.1X.B</v>
          </cell>
          <cell r="B580">
            <v>27</v>
          </cell>
          <cell r="C580">
            <v>71</v>
          </cell>
          <cell r="D580" t="str">
            <v>1X</v>
          </cell>
          <cell r="E580" t="str">
            <v>B</v>
          </cell>
          <cell r="F580">
            <v>2.9399999999999999E-2</v>
          </cell>
        </row>
        <row r="581">
          <cell r="A581" t="str">
            <v>27.1.1X.I</v>
          </cell>
          <cell r="B581">
            <v>27</v>
          </cell>
          <cell r="C581">
            <v>1</v>
          </cell>
          <cell r="D581" t="str">
            <v>1X</v>
          </cell>
          <cell r="E581" t="str">
            <v>I</v>
          </cell>
          <cell r="F581">
            <v>2.9399999999999999E-2</v>
          </cell>
        </row>
        <row r="582">
          <cell r="A582" t="str">
            <v>27.14.1X.I</v>
          </cell>
          <cell r="B582">
            <v>27</v>
          </cell>
          <cell r="C582">
            <v>14</v>
          </cell>
          <cell r="D582" t="str">
            <v>1X</v>
          </cell>
          <cell r="E582" t="str">
            <v>I</v>
          </cell>
          <cell r="F582">
            <v>2.9399999999999999E-2</v>
          </cell>
        </row>
        <row r="583">
          <cell r="A583" t="str">
            <v>27.1.1X.N</v>
          </cell>
          <cell r="B583">
            <v>27</v>
          </cell>
          <cell r="C583">
            <v>1</v>
          </cell>
          <cell r="D583" t="str">
            <v>1X</v>
          </cell>
          <cell r="E583" t="str">
            <v>N</v>
          </cell>
          <cell r="F583">
            <v>2.9399999999999999E-2</v>
          </cell>
        </row>
        <row r="584">
          <cell r="A584" t="str">
            <v>27.0B.1X.N</v>
          </cell>
          <cell r="B584">
            <v>27</v>
          </cell>
          <cell r="C584" t="str">
            <v>0B</v>
          </cell>
          <cell r="D584" t="str">
            <v>1X</v>
          </cell>
          <cell r="E584" t="str">
            <v>N</v>
          </cell>
          <cell r="F584">
            <v>2.9399999999999999E-2</v>
          </cell>
        </row>
        <row r="585">
          <cell r="A585" t="str">
            <v>27.0E.1X.N</v>
          </cell>
          <cell r="B585">
            <v>27</v>
          </cell>
          <cell r="C585" t="str">
            <v>0E</v>
          </cell>
          <cell r="D585" t="str">
            <v>1X</v>
          </cell>
          <cell r="E585" t="str">
            <v>N</v>
          </cell>
          <cell r="F585">
            <v>2.9399999999999999E-2</v>
          </cell>
        </row>
        <row r="586">
          <cell r="A586" t="str">
            <v>27.0M.1X.N</v>
          </cell>
          <cell r="B586">
            <v>27</v>
          </cell>
          <cell r="C586" t="str">
            <v>0M</v>
          </cell>
          <cell r="D586" t="str">
            <v>1X</v>
          </cell>
          <cell r="E586" t="str">
            <v>N</v>
          </cell>
          <cell r="F586">
            <v>2.9399999999999999E-2</v>
          </cell>
        </row>
        <row r="587">
          <cell r="A587" t="str">
            <v>27.14.1X.N</v>
          </cell>
          <cell r="B587">
            <v>27</v>
          </cell>
          <cell r="C587">
            <v>14</v>
          </cell>
          <cell r="D587" t="str">
            <v>1X</v>
          </cell>
          <cell r="E587" t="str">
            <v>N</v>
          </cell>
          <cell r="F587">
            <v>2.9399999999999999E-2</v>
          </cell>
        </row>
        <row r="588">
          <cell r="A588" t="str">
            <v>27.72.1X.N</v>
          </cell>
          <cell r="B588">
            <v>27</v>
          </cell>
          <cell r="C588">
            <v>72</v>
          </cell>
          <cell r="D588" t="str">
            <v>1X</v>
          </cell>
          <cell r="E588" t="str">
            <v>N</v>
          </cell>
          <cell r="F588">
            <v>2.9399999999999999E-2</v>
          </cell>
        </row>
        <row r="589">
          <cell r="A589" t="str">
            <v>27.7P.1X.N</v>
          </cell>
          <cell r="B589">
            <v>27</v>
          </cell>
          <cell r="C589" t="str">
            <v>7P</v>
          </cell>
          <cell r="D589" t="str">
            <v>1X</v>
          </cell>
          <cell r="E589" t="str">
            <v>N</v>
          </cell>
          <cell r="F589">
            <v>2.9399999999999999E-2</v>
          </cell>
        </row>
        <row r="590">
          <cell r="A590" t="str">
            <v>27.7U.1X.N</v>
          </cell>
          <cell r="B590">
            <v>27</v>
          </cell>
          <cell r="C590" t="str">
            <v>7U</v>
          </cell>
          <cell r="D590" t="str">
            <v>1X</v>
          </cell>
          <cell r="E590" t="str">
            <v>N</v>
          </cell>
          <cell r="F590">
            <v>2.9399999999999999E-2</v>
          </cell>
        </row>
        <row r="591">
          <cell r="A591" t="str">
            <v>27.1.1X.P</v>
          </cell>
          <cell r="B591">
            <v>27</v>
          </cell>
          <cell r="C591">
            <v>1</v>
          </cell>
          <cell r="D591" t="str">
            <v>1X</v>
          </cell>
          <cell r="E591" t="str">
            <v>P</v>
          </cell>
          <cell r="F591">
            <v>2.9399999999999999E-2</v>
          </cell>
        </row>
        <row r="592">
          <cell r="A592" t="str">
            <v>27.1.3X.0</v>
          </cell>
          <cell r="B592">
            <v>27</v>
          </cell>
          <cell r="C592">
            <v>1</v>
          </cell>
          <cell r="D592" t="str">
            <v>3X</v>
          </cell>
          <cell r="E592">
            <v>0</v>
          </cell>
          <cell r="F592">
            <v>5.0099999999999999E-2</v>
          </cell>
        </row>
        <row r="593">
          <cell r="A593" t="str">
            <v>27.1.3X.A</v>
          </cell>
          <cell r="B593">
            <v>27</v>
          </cell>
          <cell r="C593">
            <v>1</v>
          </cell>
          <cell r="D593" t="str">
            <v>3X</v>
          </cell>
          <cell r="E593" t="str">
            <v>A</v>
          </cell>
          <cell r="F593">
            <v>5.0099999999999999E-2</v>
          </cell>
        </row>
        <row r="594">
          <cell r="A594" t="str">
            <v>27.1.3X.N</v>
          </cell>
          <cell r="B594">
            <v>27</v>
          </cell>
          <cell r="C594">
            <v>1</v>
          </cell>
          <cell r="D594" t="str">
            <v>3X</v>
          </cell>
          <cell r="E594" t="str">
            <v>N</v>
          </cell>
          <cell r="F594">
            <v>5.0099999999999999E-2</v>
          </cell>
        </row>
        <row r="595">
          <cell r="A595" t="str">
            <v>27.72.3X.N</v>
          </cell>
          <cell r="B595">
            <v>27</v>
          </cell>
          <cell r="C595">
            <v>72</v>
          </cell>
          <cell r="D595" t="str">
            <v>3X</v>
          </cell>
          <cell r="E595" t="str">
            <v>N</v>
          </cell>
          <cell r="F595">
            <v>5.0099999999999999E-2</v>
          </cell>
        </row>
        <row r="596">
          <cell r="A596" t="str">
            <v>27.7U.3X.N</v>
          </cell>
          <cell r="B596">
            <v>27</v>
          </cell>
          <cell r="C596" t="str">
            <v>7U</v>
          </cell>
          <cell r="D596" t="str">
            <v>3X</v>
          </cell>
          <cell r="E596" t="str">
            <v>N</v>
          </cell>
          <cell r="F596">
            <v>5.0099999999999999E-2</v>
          </cell>
        </row>
        <row r="597">
          <cell r="A597" t="str">
            <v>27.1.9X.0</v>
          </cell>
          <cell r="B597">
            <v>27</v>
          </cell>
          <cell r="C597">
            <v>1</v>
          </cell>
          <cell r="D597" t="str">
            <v>9X</v>
          </cell>
          <cell r="E597">
            <v>0</v>
          </cell>
          <cell r="F597">
            <v>0</v>
          </cell>
        </row>
        <row r="598">
          <cell r="A598" t="str">
            <v>27.1.9X.A</v>
          </cell>
          <cell r="B598">
            <v>27</v>
          </cell>
          <cell r="C598">
            <v>1</v>
          </cell>
          <cell r="D598" t="str">
            <v>9X</v>
          </cell>
          <cell r="E598" t="str">
            <v>A</v>
          </cell>
          <cell r="F598">
            <v>0</v>
          </cell>
        </row>
        <row r="599">
          <cell r="A599" t="str">
            <v>29.1.0.0</v>
          </cell>
          <cell r="B599">
            <v>29</v>
          </cell>
          <cell r="C599">
            <v>1</v>
          </cell>
          <cell r="D599">
            <v>0</v>
          </cell>
          <cell r="E599">
            <v>0</v>
          </cell>
          <cell r="F599">
            <v>2.9399999999999999E-2</v>
          </cell>
        </row>
        <row r="600">
          <cell r="A600" t="str">
            <v>29.1.0.A</v>
          </cell>
          <cell r="B600">
            <v>29</v>
          </cell>
          <cell r="C600">
            <v>1</v>
          </cell>
          <cell r="D600">
            <v>0</v>
          </cell>
          <cell r="E600" t="str">
            <v>A</v>
          </cell>
          <cell r="F600">
            <v>2.9399999999999999E-2</v>
          </cell>
        </row>
        <row r="601">
          <cell r="A601" t="str">
            <v>29.1.0.I</v>
          </cell>
          <cell r="B601">
            <v>29</v>
          </cell>
          <cell r="C601">
            <v>1</v>
          </cell>
          <cell r="D601">
            <v>0</v>
          </cell>
          <cell r="E601" t="str">
            <v>I</v>
          </cell>
          <cell r="F601">
            <v>2.9399999999999999E-2</v>
          </cell>
        </row>
        <row r="602">
          <cell r="A602" t="str">
            <v>29.1.0.N</v>
          </cell>
          <cell r="B602">
            <v>29</v>
          </cell>
          <cell r="C602">
            <v>1</v>
          </cell>
          <cell r="D602">
            <v>0</v>
          </cell>
          <cell r="E602" t="str">
            <v>N</v>
          </cell>
          <cell r="F602">
            <v>2.9399999999999999E-2</v>
          </cell>
        </row>
        <row r="603">
          <cell r="A603" t="str">
            <v>29.7U.0.N</v>
          </cell>
          <cell r="B603">
            <v>29</v>
          </cell>
          <cell r="C603" t="str">
            <v>7U</v>
          </cell>
          <cell r="D603">
            <v>0</v>
          </cell>
          <cell r="E603" t="str">
            <v>N</v>
          </cell>
          <cell r="F603">
            <v>2.9399999999999999E-2</v>
          </cell>
        </row>
        <row r="604">
          <cell r="A604" t="str">
            <v>29.1.98.0</v>
          </cell>
          <cell r="B604">
            <v>29</v>
          </cell>
          <cell r="C604">
            <v>1</v>
          </cell>
          <cell r="D604">
            <v>98</v>
          </cell>
          <cell r="E604">
            <v>0</v>
          </cell>
          <cell r="F604">
            <v>0</v>
          </cell>
        </row>
        <row r="605">
          <cell r="A605" t="str">
            <v>29.1.98.A</v>
          </cell>
          <cell r="B605">
            <v>29</v>
          </cell>
          <cell r="C605">
            <v>1</v>
          </cell>
          <cell r="D605">
            <v>98</v>
          </cell>
          <cell r="E605" t="str">
            <v>A</v>
          </cell>
          <cell r="F605">
            <v>0</v>
          </cell>
        </row>
        <row r="606">
          <cell r="A606" t="str">
            <v>31.1.0.0</v>
          </cell>
          <cell r="B606">
            <v>31</v>
          </cell>
          <cell r="C606">
            <v>1</v>
          </cell>
          <cell r="D606">
            <v>0</v>
          </cell>
          <cell r="E606">
            <v>0</v>
          </cell>
          <cell r="F606">
            <v>2.3300000000000001E-2</v>
          </cell>
        </row>
        <row r="607">
          <cell r="A607" t="str">
            <v>31.12.0.0</v>
          </cell>
          <cell r="B607">
            <v>31</v>
          </cell>
          <cell r="C607">
            <v>12</v>
          </cell>
          <cell r="D607">
            <v>0</v>
          </cell>
          <cell r="E607">
            <v>0</v>
          </cell>
          <cell r="F607">
            <v>2.3300000000000001E-2</v>
          </cell>
        </row>
        <row r="608">
          <cell r="A608" t="str">
            <v>31.1.0.1</v>
          </cell>
          <cell r="B608">
            <v>31</v>
          </cell>
          <cell r="C608">
            <v>1</v>
          </cell>
          <cell r="D608">
            <v>0</v>
          </cell>
          <cell r="E608">
            <v>1</v>
          </cell>
          <cell r="F608">
            <v>2.3300000000000001E-2</v>
          </cell>
        </row>
        <row r="609">
          <cell r="A609" t="str">
            <v>31.1.0.2</v>
          </cell>
          <cell r="B609">
            <v>31</v>
          </cell>
          <cell r="C609">
            <v>1</v>
          </cell>
          <cell r="D609">
            <v>0</v>
          </cell>
          <cell r="E609">
            <v>2</v>
          </cell>
          <cell r="F609">
            <v>2.3300000000000001E-2</v>
          </cell>
        </row>
        <row r="610">
          <cell r="A610" t="str">
            <v>31.1.0.3</v>
          </cell>
          <cell r="B610">
            <v>31</v>
          </cell>
          <cell r="C610">
            <v>1</v>
          </cell>
          <cell r="D610">
            <v>0</v>
          </cell>
          <cell r="E610">
            <v>3</v>
          </cell>
          <cell r="F610">
            <v>2.3300000000000001E-2</v>
          </cell>
        </row>
        <row r="611">
          <cell r="A611" t="str">
            <v>31.71.0.3</v>
          </cell>
          <cell r="B611">
            <v>31</v>
          </cell>
          <cell r="C611">
            <v>71</v>
          </cell>
          <cell r="D611">
            <v>0</v>
          </cell>
          <cell r="E611">
            <v>3</v>
          </cell>
          <cell r="F611">
            <v>2.3300000000000001E-2</v>
          </cell>
        </row>
        <row r="612">
          <cell r="A612" t="str">
            <v>31.1.0.A</v>
          </cell>
          <cell r="B612">
            <v>31</v>
          </cell>
          <cell r="C612">
            <v>1</v>
          </cell>
          <cell r="D612">
            <v>0</v>
          </cell>
          <cell r="E612" t="str">
            <v>A</v>
          </cell>
          <cell r="F612">
            <v>2.3300000000000001E-2</v>
          </cell>
        </row>
        <row r="613">
          <cell r="A613" t="str">
            <v>31.71.0.B</v>
          </cell>
          <cell r="B613">
            <v>31</v>
          </cell>
          <cell r="C613">
            <v>71</v>
          </cell>
          <cell r="D613">
            <v>0</v>
          </cell>
          <cell r="E613" t="str">
            <v>B</v>
          </cell>
          <cell r="F613">
            <v>2.3300000000000001E-2</v>
          </cell>
        </row>
        <row r="614">
          <cell r="A614" t="str">
            <v>31.1.0.I</v>
          </cell>
          <cell r="B614">
            <v>31</v>
          </cell>
          <cell r="C614">
            <v>1</v>
          </cell>
          <cell r="D614">
            <v>0</v>
          </cell>
          <cell r="E614" t="str">
            <v>I</v>
          </cell>
          <cell r="F614">
            <v>2.3300000000000001E-2</v>
          </cell>
        </row>
        <row r="615">
          <cell r="A615" t="str">
            <v>31.1.0.N</v>
          </cell>
          <cell r="B615">
            <v>31</v>
          </cell>
          <cell r="C615">
            <v>1</v>
          </cell>
          <cell r="D615">
            <v>0</v>
          </cell>
          <cell r="E615" t="str">
            <v>N</v>
          </cell>
          <cell r="F615">
            <v>2.3300000000000001E-2</v>
          </cell>
        </row>
        <row r="616">
          <cell r="A616" t="str">
            <v>31.0B.0.N</v>
          </cell>
          <cell r="B616">
            <v>31</v>
          </cell>
          <cell r="C616" t="str">
            <v>0B</v>
          </cell>
          <cell r="D616">
            <v>0</v>
          </cell>
          <cell r="E616" t="str">
            <v>N</v>
          </cell>
          <cell r="F616">
            <v>2.3300000000000001E-2</v>
          </cell>
        </row>
        <row r="617">
          <cell r="A617" t="str">
            <v>31.0E.0.N</v>
          </cell>
          <cell r="B617">
            <v>31</v>
          </cell>
          <cell r="C617" t="str">
            <v>0E</v>
          </cell>
          <cell r="D617">
            <v>0</v>
          </cell>
          <cell r="E617" t="str">
            <v>N</v>
          </cell>
          <cell r="F617">
            <v>2.3300000000000001E-2</v>
          </cell>
        </row>
        <row r="618">
          <cell r="A618" t="str">
            <v>31.0M.0.N</v>
          </cell>
          <cell r="B618">
            <v>31</v>
          </cell>
          <cell r="C618" t="str">
            <v>0M</v>
          </cell>
          <cell r="D618">
            <v>0</v>
          </cell>
          <cell r="E618" t="str">
            <v>N</v>
          </cell>
          <cell r="F618">
            <v>2.3300000000000001E-2</v>
          </cell>
        </row>
        <row r="619">
          <cell r="A619" t="str">
            <v>31.12.0.N</v>
          </cell>
          <cell r="B619">
            <v>31</v>
          </cell>
          <cell r="C619">
            <v>12</v>
          </cell>
          <cell r="D619">
            <v>0</v>
          </cell>
          <cell r="E619" t="str">
            <v>N</v>
          </cell>
          <cell r="F619">
            <v>2.3300000000000001E-2</v>
          </cell>
        </row>
        <row r="620">
          <cell r="A620" t="str">
            <v>31.7P.0.N</v>
          </cell>
          <cell r="B620">
            <v>31</v>
          </cell>
          <cell r="C620" t="str">
            <v>7P</v>
          </cell>
          <cell r="D620">
            <v>0</v>
          </cell>
          <cell r="E620" t="str">
            <v>N</v>
          </cell>
          <cell r="F620">
            <v>2.3300000000000001E-2</v>
          </cell>
        </row>
        <row r="621">
          <cell r="A621" t="str">
            <v>31.7U.0.N</v>
          </cell>
          <cell r="B621">
            <v>31</v>
          </cell>
          <cell r="C621" t="str">
            <v>7U</v>
          </cell>
          <cell r="D621">
            <v>0</v>
          </cell>
          <cell r="E621" t="str">
            <v>N</v>
          </cell>
          <cell r="F621">
            <v>2.3300000000000001E-2</v>
          </cell>
        </row>
        <row r="622">
          <cell r="A622" t="str">
            <v>31.1.98.0</v>
          </cell>
          <cell r="B622">
            <v>31</v>
          </cell>
          <cell r="C622">
            <v>1</v>
          </cell>
          <cell r="D622">
            <v>98</v>
          </cell>
          <cell r="E622">
            <v>0</v>
          </cell>
          <cell r="F622">
            <v>0</v>
          </cell>
        </row>
        <row r="623">
          <cell r="A623" t="str">
            <v>31.1.98.A</v>
          </cell>
          <cell r="B623">
            <v>31</v>
          </cell>
          <cell r="C623">
            <v>1</v>
          </cell>
          <cell r="D623">
            <v>98</v>
          </cell>
          <cell r="E623" t="str">
            <v>A</v>
          </cell>
          <cell r="F623">
            <v>0</v>
          </cell>
        </row>
        <row r="624">
          <cell r="A624" t="str">
            <v>35.1.0.0</v>
          </cell>
          <cell r="B624">
            <v>35</v>
          </cell>
          <cell r="C624">
            <v>1</v>
          </cell>
          <cell r="D624">
            <v>0</v>
          </cell>
          <cell r="E624">
            <v>0</v>
          </cell>
          <cell r="F624">
            <v>2.86E-2</v>
          </cell>
        </row>
        <row r="625">
          <cell r="A625" t="str">
            <v>35.1.0.A</v>
          </cell>
          <cell r="B625">
            <v>35</v>
          </cell>
          <cell r="C625">
            <v>1</v>
          </cell>
          <cell r="D625">
            <v>0</v>
          </cell>
          <cell r="E625" t="str">
            <v>A</v>
          </cell>
          <cell r="F625">
            <v>2.86E-2</v>
          </cell>
        </row>
        <row r="626">
          <cell r="A626" t="str">
            <v>35.1.0.I</v>
          </cell>
          <cell r="B626">
            <v>35</v>
          </cell>
          <cell r="C626">
            <v>1</v>
          </cell>
          <cell r="D626">
            <v>0</v>
          </cell>
          <cell r="E626" t="str">
            <v>I</v>
          </cell>
          <cell r="F626">
            <v>2.86E-2</v>
          </cell>
        </row>
        <row r="627">
          <cell r="A627" t="str">
            <v>35.1.0.N</v>
          </cell>
          <cell r="B627">
            <v>35</v>
          </cell>
          <cell r="C627">
            <v>1</v>
          </cell>
          <cell r="D627">
            <v>0</v>
          </cell>
          <cell r="E627" t="str">
            <v>N</v>
          </cell>
          <cell r="F627">
            <v>2.86E-2</v>
          </cell>
        </row>
        <row r="628">
          <cell r="A628" t="str">
            <v>35.0B.0.N</v>
          </cell>
          <cell r="B628">
            <v>35</v>
          </cell>
          <cell r="C628" t="str">
            <v>0B</v>
          </cell>
          <cell r="D628">
            <v>0</v>
          </cell>
          <cell r="E628" t="str">
            <v>N</v>
          </cell>
          <cell r="F628">
            <v>2.86E-2</v>
          </cell>
        </row>
        <row r="629">
          <cell r="A629" t="str">
            <v>35.0E.0.N</v>
          </cell>
          <cell r="B629">
            <v>35</v>
          </cell>
          <cell r="C629" t="str">
            <v>0E</v>
          </cell>
          <cell r="D629">
            <v>0</v>
          </cell>
          <cell r="E629" t="str">
            <v>N</v>
          </cell>
          <cell r="F629">
            <v>2.86E-2</v>
          </cell>
        </row>
        <row r="630">
          <cell r="A630" t="str">
            <v>35.0U.0.N</v>
          </cell>
          <cell r="B630">
            <v>35</v>
          </cell>
          <cell r="C630" t="str">
            <v>0U</v>
          </cell>
          <cell r="D630">
            <v>0</v>
          </cell>
          <cell r="E630" t="str">
            <v>N</v>
          </cell>
          <cell r="F630">
            <v>2.86E-2</v>
          </cell>
        </row>
        <row r="631">
          <cell r="A631" t="str">
            <v>35.14.0.N</v>
          </cell>
          <cell r="B631">
            <v>35</v>
          </cell>
          <cell r="C631">
            <v>14</v>
          </cell>
          <cell r="D631">
            <v>0</v>
          </cell>
          <cell r="E631" t="str">
            <v>N</v>
          </cell>
          <cell r="F631">
            <v>2.86E-2</v>
          </cell>
        </row>
        <row r="632">
          <cell r="A632" t="str">
            <v>35.27.0.N</v>
          </cell>
          <cell r="B632">
            <v>35</v>
          </cell>
          <cell r="C632">
            <v>27</v>
          </cell>
          <cell r="D632">
            <v>0</v>
          </cell>
          <cell r="E632" t="str">
            <v>N</v>
          </cell>
          <cell r="F632">
            <v>2.86E-2</v>
          </cell>
        </row>
        <row r="633">
          <cell r="A633" t="str">
            <v>35.72.0.N</v>
          </cell>
          <cell r="B633">
            <v>35</v>
          </cell>
          <cell r="C633">
            <v>72</v>
          </cell>
          <cell r="D633">
            <v>0</v>
          </cell>
          <cell r="E633" t="str">
            <v>N</v>
          </cell>
          <cell r="F633">
            <v>2.86E-2</v>
          </cell>
        </row>
        <row r="634">
          <cell r="A634" t="str">
            <v>35.7P.0.N</v>
          </cell>
          <cell r="B634">
            <v>35</v>
          </cell>
          <cell r="C634" t="str">
            <v>7P</v>
          </cell>
          <cell r="D634">
            <v>0</v>
          </cell>
          <cell r="E634" t="str">
            <v>N</v>
          </cell>
          <cell r="F634">
            <v>2.86E-2</v>
          </cell>
        </row>
        <row r="635">
          <cell r="A635" t="str">
            <v>35.1.98.0</v>
          </cell>
          <cell r="B635">
            <v>35</v>
          </cell>
          <cell r="C635">
            <v>1</v>
          </cell>
          <cell r="D635">
            <v>98</v>
          </cell>
          <cell r="E635">
            <v>0</v>
          </cell>
          <cell r="F635">
            <v>0</v>
          </cell>
        </row>
        <row r="636">
          <cell r="A636" t="str">
            <v>35.1.98.A</v>
          </cell>
          <cell r="B636">
            <v>35</v>
          </cell>
          <cell r="C636">
            <v>1</v>
          </cell>
          <cell r="D636">
            <v>98</v>
          </cell>
          <cell r="E636" t="str">
            <v>A</v>
          </cell>
          <cell r="F636">
            <v>0</v>
          </cell>
        </row>
        <row r="637">
          <cell r="A637" t="str">
            <v>37.1.0.0</v>
          </cell>
          <cell r="B637">
            <v>37</v>
          </cell>
          <cell r="C637">
            <v>1</v>
          </cell>
          <cell r="D637">
            <v>0</v>
          </cell>
          <cell r="E637">
            <v>0</v>
          </cell>
          <cell r="F637">
            <v>6.25E-2</v>
          </cell>
        </row>
        <row r="638">
          <cell r="A638" t="str">
            <v>37.15.0.0</v>
          </cell>
          <cell r="B638">
            <v>37</v>
          </cell>
          <cell r="C638">
            <v>15</v>
          </cell>
          <cell r="D638">
            <v>0</v>
          </cell>
          <cell r="E638">
            <v>0</v>
          </cell>
          <cell r="F638">
            <v>6.25E-2</v>
          </cell>
        </row>
        <row r="639">
          <cell r="A639" t="str">
            <v>37.1.0.A</v>
          </cell>
          <cell r="B639">
            <v>37</v>
          </cell>
          <cell r="C639">
            <v>1</v>
          </cell>
          <cell r="D639">
            <v>0</v>
          </cell>
          <cell r="E639" t="str">
            <v>A</v>
          </cell>
          <cell r="F639">
            <v>6.25E-2</v>
          </cell>
        </row>
        <row r="640">
          <cell r="A640" t="str">
            <v>37.15.0.A</v>
          </cell>
          <cell r="B640">
            <v>37</v>
          </cell>
          <cell r="C640">
            <v>15</v>
          </cell>
          <cell r="D640">
            <v>0</v>
          </cell>
          <cell r="E640" t="str">
            <v>A</v>
          </cell>
          <cell r="F640">
            <v>6.25E-2</v>
          </cell>
        </row>
        <row r="641">
          <cell r="A641" t="str">
            <v>37.1.0.I</v>
          </cell>
          <cell r="B641">
            <v>37</v>
          </cell>
          <cell r="C641">
            <v>1</v>
          </cell>
          <cell r="D641">
            <v>0</v>
          </cell>
          <cell r="E641" t="str">
            <v>I</v>
          </cell>
          <cell r="F641">
            <v>6.25E-2</v>
          </cell>
        </row>
        <row r="642">
          <cell r="A642" t="str">
            <v>37.1.0.N</v>
          </cell>
          <cell r="B642">
            <v>37</v>
          </cell>
          <cell r="C642">
            <v>1</v>
          </cell>
          <cell r="D642">
            <v>0</v>
          </cell>
          <cell r="E642" t="str">
            <v>N</v>
          </cell>
          <cell r="F642">
            <v>6.25E-2</v>
          </cell>
        </row>
        <row r="643">
          <cell r="A643" t="str">
            <v>37.0E.0.N</v>
          </cell>
          <cell r="B643">
            <v>37</v>
          </cell>
          <cell r="C643" t="str">
            <v>0E</v>
          </cell>
          <cell r="D643">
            <v>0</v>
          </cell>
          <cell r="E643" t="str">
            <v>N</v>
          </cell>
          <cell r="F643">
            <v>6.25E-2</v>
          </cell>
        </row>
        <row r="644">
          <cell r="A644" t="str">
            <v>37.0M.0.N</v>
          </cell>
          <cell r="B644">
            <v>37</v>
          </cell>
          <cell r="C644" t="str">
            <v>0M</v>
          </cell>
          <cell r="D644">
            <v>0</v>
          </cell>
          <cell r="E644" t="str">
            <v>N</v>
          </cell>
          <cell r="F644">
            <v>6.25E-2</v>
          </cell>
        </row>
        <row r="645">
          <cell r="A645" t="str">
            <v>37.12.0.N</v>
          </cell>
          <cell r="B645">
            <v>37</v>
          </cell>
          <cell r="C645">
            <v>12</v>
          </cell>
          <cell r="D645">
            <v>0</v>
          </cell>
          <cell r="E645" t="str">
            <v>N</v>
          </cell>
          <cell r="F645">
            <v>6.25E-2</v>
          </cell>
        </row>
        <row r="646">
          <cell r="A646" t="str">
            <v>37.14.0.N</v>
          </cell>
          <cell r="B646">
            <v>37</v>
          </cell>
          <cell r="C646">
            <v>14</v>
          </cell>
          <cell r="D646">
            <v>0</v>
          </cell>
          <cell r="E646" t="str">
            <v>N</v>
          </cell>
          <cell r="F646">
            <v>6.25E-2</v>
          </cell>
        </row>
        <row r="647">
          <cell r="A647" t="str">
            <v>37.7U.0.N</v>
          </cell>
          <cell r="B647">
            <v>37</v>
          </cell>
          <cell r="C647" t="str">
            <v>7U</v>
          </cell>
          <cell r="D647">
            <v>0</v>
          </cell>
          <cell r="E647" t="str">
            <v>N</v>
          </cell>
          <cell r="F647">
            <v>6.25E-2</v>
          </cell>
        </row>
        <row r="648">
          <cell r="A648" t="str">
            <v>37.1.98.0</v>
          </cell>
          <cell r="B648">
            <v>37</v>
          </cell>
          <cell r="C648">
            <v>1</v>
          </cell>
          <cell r="D648">
            <v>98</v>
          </cell>
          <cell r="E648">
            <v>0</v>
          </cell>
          <cell r="F648">
            <v>0</v>
          </cell>
        </row>
        <row r="649">
          <cell r="A649" t="str">
            <v>37.1.98.A</v>
          </cell>
          <cell r="B649">
            <v>37</v>
          </cell>
          <cell r="C649">
            <v>1</v>
          </cell>
          <cell r="D649">
            <v>98</v>
          </cell>
          <cell r="E649" t="str">
            <v>A</v>
          </cell>
          <cell r="F649">
            <v>0</v>
          </cell>
        </row>
        <row r="650">
          <cell r="A650" t="str">
            <v>39.1.10.0</v>
          </cell>
          <cell r="B650">
            <v>39</v>
          </cell>
          <cell r="C650">
            <v>1</v>
          </cell>
          <cell r="D650">
            <v>10</v>
          </cell>
          <cell r="E650">
            <v>0</v>
          </cell>
          <cell r="F650">
            <v>1.9599999999999999E-2</v>
          </cell>
        </row>
        <row r="651">
          <cell r="A651" t="str">
            <v>39.1.10.1</v>
          </cell>
          <cell r="B651">
            <v>39</v>
          </cell>
          <cell r="C651">
            <v>1</v>
          </cell>
          <cell r="D651">
            <v>10</v>
          </cell>
          <cell r="E651">
            <v>1</v>
          </cell>
          <cell r="F651">
            <v>1.9599999999999999E-2</v>
          </cell>
        </row>
        <row r="652">
          <cell r="A652" t="str">
            <v>39.1.10.2</v>
          </cell>
          <cell r="B652">
            <v>39</v>
          </cell>
          <cell r="C652">
            <v>1</v>
          </cell>
          <cell r="D652">
            <v>10</v>
          </cell>
          <cell r="E652">
            <v>2</v>
          </cell>
          <cell r="F652">
            <v>1.9599999999999999E-2</v>
          </cell>
        </row>
        <row r="653">
          <cell r="A653" t="str">
            <v>39.1.10.A</v>
          </cell>
          <cell r="B653">
            <v>39</v>
          </cell>
          <cell r="C653">
            <v>1</v>
          </cell>
          <cell r="D653">
            <v>10</v>
          </cell>
          <cell r="E653" t="str">
            <v>A</v>
          </cell>
          <cell r="F653">
            <v>1.9599999999999999E-2</v>
          </cell>
        </row>
        <row r="654">
          <cell r="A654" t="str">
            <v>39.1.10.I</v>
          </cell>
          <cell r="B654">
            <v>39</v>
          </cell>
          <cell r="C654">
            <v>1</v>
          </cell>
          <cell r="D654">
            <v>10</v>
          </cell>
          <cell r="E654" t="str">
            <v>I</v>
          </cell>
          <cell r="F654">
            <v>1.9599999999999999E-2</v>
          </cell>
        </row>
        <row r="655">
          <cell r="A655" t="str">
            <v>39.1.10.N</v>
          </cell>
          <cell r="B655">
            <v>39</v>
          </cell>
          <cell r="C655">
            <v>1</v>
          </cell>
          <cell r="D655">
            <v>10</v>
          </cell>
          <cell r="E655" t="str">
            <v>N</v>
          </cell>
          <cell r="F655">
            <v>1.9599999999999999E-2</v>
          </cell>
        </row>
        <row r="656">
          <cell r="A656" t="str">
            <v>39.0B.10.N</v>
          </cell>
          <cell r="B656">
            <v>39</v>
          </cell>
          <cell r="C656" t="str">
            <v>0B</v>
          </cell>
          <cell r="D656">
            <v>10</v>
          </cell>
          <cell r="E656" t="str">
            <v>N</v>
          </cell>
          <cell r="F656">
            <v>1.9599999999999999E-2</v>
          </cell>
        </row>
        <row r="657">
          <cell r="A657" t="str">
            <v>39.7U.10.N</v>
          </cell>
          <cell r="B657">
            <v>39</v>
          </cell>
          <cell r="C657" t="str">
            <v>7U</v>
          </cell>
          <cell r="D657">
            <v>10</v>
          </cell>
          <cell r="E657" t="str">
            <v>N</v>
          </cell>
          <cell r="F657">
            <v>1.9599999999999999E-2</v>
          </cell>
        </row>
        <row r="658">
          <cell r="A658" t="str">
            <v>39.1.20.0</v>
          </cell>
          <cell r="B658">
            <v>39</v>
          </cell>
          <cell r="C658">
            <v>1</v>
          </cell>
          <cell r="D658">
            <v>20</v>
          </cell>
          <cell r="E658">
            <v>0</v>
          </cell>
          <cell r="F658">
            <v>1.9599999999999999E-2</v>
          </cell>
        </row>
        <row r="659">
          <cell r="A659" t="str">
            <v>39.3.20.0</v>
          </cell>
          <cell r="B659">
            <v>39</v>
          </cell>
          <cell r="C659">
            <v>3</v>
          </cell>
          <cell r="D659">
            <v>20</v>
          </cell>
          <cell r="E659">
            <v>0</v>
          </cell>
          <cell r="F659">
            <v>1.9599999999999999E-2</v>
          </cell>
        </row>
        <row r="660">
          <cell r="A660" t="str">
            <v>39.18.20.0</v>
          </cell>
          <cell r="B660">
            <v>39</v>
          </cell>
          <cell r="C660">
            <v>18</v>
          </cell>
          <cell r="D660">
            <v>20</v>
          </cell>
          <cell r="E660">
            <v>0</v>
          </cell>
          <cell r="F660">
            <v>1.9599999999999999E-2</v>
          </cell>
        </row>
        <row r="661">
          <cell r="A661" t="str">
            <v>39.1.20.1</v>
          </cell>
          <cell r="B661">
            <v>39</v>
          </cell>
          <cell r="C661">
            <v>1</v>
          </cell>
          <cell r="D661">
            <v>20</v>
          </cell>
          <cell r="E661">
            <v>1</v>
          </cell>
          <cell r="F661">
            <v>1.9599999999999999E-2</v>
          </cell>
        </row>
        <row r="662">
          <cell r="A662" t="str">
            <v>39.1.20.2</v>
          </cell>
          <cell r="B662">
            <v>39</v>
          </cell>
          <cell r="C662">
            <v>1</v>
          </cell>
          <cell r="D662">
            <v>20</v>
          </cell>
          <cell r="E662">
            <v>2</v>
          </cell>
          <cell r="F662">
            <v>1.9599999999999999E-2</v>
          </cell>
        </row>
        <row r="663">
          <cell r="A663" t="str">
            <v>39.1.20.A</v>
          </cell>
          <cell r="B663">
            <v>39</v>
          </cell>
          <cell r="C663">
            <v>1</v>
          </cell>
          <cell r="D663">
            <v>20</v>
          </cell>
          <cell r="E663" t="str">
            <v>A</v>
          </cell>
          <cell r="F663">
            <v>1.9599999999999999E-2</v>
          </cell>
        </row>
        <row r="664">
          <cell r="A664" t="str">
            <v>39.3.20.A</v>
          </cell>
          <cell r="B664">
            <v>39</v>
          </cell>
          <cell r="C664">
            <v>3</v>
          </cell>
          <cell r="D664">
            <v>20</v>
          </cell>
          <cell r="E664" t="str">
            <v>A</v>
          </cell>
          <cell r="F664">
            <v>1.9599999999999999E-2</v>
          </cell>
        </row>
        <row r="665">
          <cell r="A665" t="str">
            <v>39.18.20.A</v>
          </cell>
          <cell r="B665">
            <v>39</v>
          </cell>
          <cell r="C665">
            <v>18</v>
          </cell>
          <cell r="D665">
            <v>20</v>
          </cell>
          <cell r="E665" t="str">
            <v>A</v>
          </cell>
          <cell r="F665">
            <v>1.9599999999999999E-2</v>
          </cell>
        </row>
        <row r="666">
          <cell r="A666" t="str">
            <v>39.1.20.I</v>
          </cell>
          <cell r="B666">
            <v>39</v>
          </cell>
          <cell r="C666">
            <v>1</v>
          </cell>
          <cell r="D666">
            <v>20</v>
          </cell>
          <cell r="E666" t="str">
            <v>I</v>
          </cell>
          <cell r="F666">
            <v>1.9599999999999999E-2</v>
          </cell>
        </row>
        <row r="667">
          <cell r="A667" t="str">
            <v>39.1.20.N</v>
          </cell>
          <cell r="B667">
            <v>39</v>
          </cell>
          <cell r="C667">
            <v>1</v>
          </cell>
          <cell r="D667">
            <v>20</v>
          </cell>
          <cell r="E667" t="str">
            <v>N</v>
          </cell>
          <cell r="F667">
            <v>1.9599999999999999E-2</v>
          </cell>
        </row>
        <row r="668">
          <cell r="A668" t="str">
            <v>39.0E.20.N</v>
          </cell>
          <cell r="B668">
            <v>39</v>
          </cell>
          <cell r="C668" t="str">
            <v>0E</v>
          </cell>
          <cell r="D668">
            <v>20</v>
          </cell>
          <cell r="E668" t="str">
            <v>N</v>
          </cell>
          <cell r="F668">
            <v>1.9599999999999999E-2</v>
          </cell>
        </row>
        <row r="669">
          <cell r="A669" t="str">
            <v>39.0M.20.N</v>
          </cell>
          <cell r="B669">
            <v>39</v>
          </cell>
          <cell r="C669" t="str">
            <v>0M</v>
          </cell>
          <cell r="D669">
            <v>20</v>
          </cell>
          <cell r="E669" t="str">
            <v>N</v>
          </cell>
          <cell r="F669">
            <v>1.9599999999999999E-2</v>
          </cell>
        </row>
        <row r="670">
          <cell r="A670" t="str">
            <v>39.18.20.N</v>
          </cell>
          <cell r="B670">
            <v>39</v>
          </cell>
          <cell r="C670">
            <v>18</v>
          </cell>
          <cell r="D670">
            <v>20</v>
          </cell>
          <cell r="E670" t="str">
            <v>N</v>
          </cell>
          <cell r="F670">
            <v>1.9599999999999999E-2</v>
          </cell>
        </row>
        <row r="671">
          <cell r="A671" t="str">
            <v>39.7P.20.N</v>
          </cell>
          <cell r="B671">
            <v>39</v>
          </cell>
          <cell r="C671" t="str">
            <v>7P</v>
          </cell>
          <cell r="D671">
            <v>20</v>
          </cell>
          <cell r="E671" t="str">
            <v>N</v>
          </cell>
          <cell r="F671">
            <v>1.9599999999999999E-2</v>
          </cell>
        </row>
        <row r="672">
          <cell r="A672" t="str">
            <v>39.7U.20.N</v>
          </cell>
          <cell r="B672">
            <v>39</v>
          </cell>
          <cell r="C672" t="str">
            <v>7U</v>
          </cell>
          <cell r="D672">
            <v>20</v>
          </cell>
          <cell r="E672" t="str">
            <v>N</v>
          </cell>
          <cell r="F672">
            <v>1.9599999999999999E-2</v>
          </cell>
        </row>
        <row r="673">
          <cell r="A673" t="str">
            <v>39.1.30.0</v>
          </cell>
          <cell r="B673">
            <v>39</v>
          </cell>
          <cell r="C673">
            <v>1</v>
          </cell>
          <cell r="D673">
            <v>30</v>
          </cell>
          <cell r="E673">
            <v>0</v>
          </cell>
          <cell r="F673">
            <v>0</v>
          </cell>
        </row>
        <row r="674">
          <cell r="A674" t="str">
            <v>39.1.30.A</v>
          </cell>
          <cell r="B674">
            <v>39</v>
          </cell>
          <cell r="C674">
            <v>1</v>
          </cell>
          <cell r="D674">
            <v>30</v>
          </cell>
          <cell r="E674" t="str">
            <v>A</v>
          </cell>
          <cell r="F674">
            <v>0</v>
          </cell>
        </row>
        <row r="675">
          <cell r="A675" t="str">
            <v>39.1.40.0</v>
          </cell>
          <cell r="B675">
            <v>39</v>
          </cell>
          <cell r="C675">
            <v>1</v>
          </cell>
          <cell r="D675">
            <v>40</v>
          </cell>
          <cell r="E675">
            <v>0</v>
          </cell>
          <cell r="F675">
            <v>1.9599999999999999E-2</v>
          </cell>
        </row>
        <row r="676">
          <cell r="A676" t="str">
            <v>39.15.40.0</v>
          </cell>
          <cell r="B676">
            <v>39</v>
          </cell>
          <cell r="C676">
            <v>15</v>
          </cell>
          <cell r="D676">
            <v>40</v>
          </cell>
          <cell r="E676">
            <v>0</v>
          </cell>
          <cell r="F676">
            <v>1.9599999999999999E-2</v>
          </cell>
        </row>
        <row r="677">
          <cell r="A677" t="str">
            <v>39.1.40.1</v>
          </cell>
          <cell r="B677">
            <v>39</v>
          </cell>
          <cell r="C677">
            <v>1</v>
          </cell>
          <cell r="D677">
            <v>40</v>
          </cell>
          <cell r="E677">
            <v>1</v>
          </cell>
          <cell r="F677">
            <v>1.9599999999999999E-2</v>
          </cell>
        </row>
        <row r="678">
          <cell r="A678" t="str">
            <v>39.1.40.3</v>
          </cell>
          <cell r="B678">
            <v>39</v>
          </cell>
          <cell r="C678">
            <v>1</v>
          </cell>
          <cell r="D678">
            <v>40</v>
          </cell>
          <cell r="E678">
            <v>3</v>
          </cell>
          <cell r="F678">
            <v>1.9599999999999999E-2</v>
          </cell>
        </row>
        <row r="679">
          <cell r="A679" t="str">
            <v>39.71.40.3</v>
          </cell>
          <cell r="B679">
            <v>39</v>
          </cell>
          <cell r="C679">
            <v>71</v>
          </cell>
          <cell r="D679">
            <v>40</v>
          </cell>
          <cell r="E679">
            <v>3</v>
          </cell>
          <cell r="F679">
            <v>1.9599999999999999E-2</v>
          </cell>
        </row>
        <row r="680">
          <cell r="A680" t="str">
            <v>39.1.40.A</v>
          </cell>
          <cell r="B680">
            <v>39</v>
          </cell>
          <cell r="C680">
            <v>1</v>
          </cell>
          <cell r="D680">
            <v>40</v>
          </cell>
          <cell r="E680" t="str">
            <v>A</v>
          </cell>
          <cell r="F680">
            <v>1.9599999999999999E-2</v>
          </cell>
        </row>
        <row r="681">
          <cell r="A681" t="str">
            <v>39.14.40.A</v>
          </cell>
          <cell r="B681">
            <v>39</v>
          </cell>
          <cell r="C681">
            <v>14</v>
          </cell>
          <cell r="D681">
            <v>40</v>
          </cell>
          <cell r="E681" t="str">
            <v>A</v>
          </cell>
          <cell r="F681">
            <v>1.9599999999999999E-2</v>
          </cell>
        </row>
        <row r="682">
          <cell r="A682" t="str">
            <v>39.15.40.A</v>
          </cell>
          <cell r="B682">
            <v>39</v>
          </cell>
          <cell r="C682">
            <v>15</v>
          </cell>
          <cell r="D682">
            <v>40</v>
          </cell>
          <cell r="E682" t="str">
            <v>A</v>
          </cell>
          <cell r="F682">
            <v>1.9599999999999999E-2</v>
          </cell>
        </row>
        <row r="683">
          <cell r="A683" t="str">
            <v>39.71.40.B</v>
          </cell>
          <cell r="B683">
            <v>39</v>
          </cell>
          <cell r="C683">
            <v>71</v>
          </cell>
          <cell r="D683">
            <v>40</v>
          </cell>
          <cell r="E683" t="str">
            <v>B</v>
          </cell>
          <cell r="F683">
            <v>1.9599999999999999E-2</v>
          </cell>
        </row>
        <row r="684">
          <cell r="A684" t="str">
            <v>39.1.40.I</v>
          </cell>
          <cell r="B684">
            <v>39</v>
          </cell>
          <cell r="C684">
            <v>1</v>
          </cell>
          <cell r="D684">
            <v>40</v>
          </cell>
          <cell r="E684" t="str">
            <v>I</v>
          </cell>
          <cell r="F684">
            <v>1.9599999999999999E-2</v>
          </cell>
        </row>
        <row r="685">
          <cell r="A685" t="str">
            <v>39.14.40.I</v>
          </cell>
          <cell r="B685">
            <v>39</v>
          </cell>
          <cell r="C685">
            <v>14</v>
          </cell>
          <cell r="D685">
            <v>40</v>
          </cell>
          <cell r="E685" t="str">
            <v>I</v>
          </cell>
          <cell r="F685">
            <v>1.9599999999999999E-2</v>
          </cell>
        </row>
        <row r="686">
          <cell r="A686" t="str">
            <v>39.1.40.N</v>
          </cell>
          <cell r="B686">
            <v>39</v>
          </cell>
          <cell r="C686">
            <v>1</v>
          </cell>
          <cell r="D686">
            <v>40</v>
          </cell>
          <cell r="E686" t="str">
            <v>N</v>
          </cell>
          <cell r="F686">
            <v>1.9599999999999999E-2</v>
          </cell>
        </row>
        <row r="687">
          <cell r="A687" t="str">
            <v>39.0E.40.N</v>
          </cell>
          <cell r="B687">
            <v>39</v>
          </cell>
          <cell r="C687" t="str">
            <v>0E</v>
          </cell>
          <cell r="D687">
            <v>40</v>
          </cell>
          <cell r="E687" t="str">
            <v>N</v>
          </cell>
          <cell r="F687">
            <v>1.9599999999999999E-2</v>
          </cell>
        </row>
        <row r="688">
          <cell r="A688" t="str">
            <v>39.0X.40.N</v>
          </cell>
          <cell r="B688">
            <v>39</v>
          </cell>
          <cell r="C688" t="str">
            <v>0X</v>
          </cell>
          <cell r="D688">
            <v>40</v>
          </cell>
          <cell r="E688" t="str">
            <v>N</v>
          </cell>
          <cell r="F688">
            <v>1.9599999999999999E-2</v>
          </cell>
        </row>
        <row r="689">
          <cell r="A689" t="str">
            <v>39.14.40.N</v>
          </cell>
          <cell r="B689">
            <v>39</v>
          </cell>
          <cell r="C689">
            <v>14</v>
          </cell>
          <cell r="D689">
            <v>40</v>
          </cell>
          <cell r="E689" t="str">
            <v>N</v>
          </cell>
          <cell r="F689">
            <v>1.9599999999999999E-2</v>
          </cell>
        </row>
        <row r="690">
          <cell r="A690" t="str">
            <v>39.7U.40.N</v>
          </cell>
          <cell r="B690">
            <v>39</v>
          </cell>
          <cell r="C690" t="str">
            <v>7U</v>
          </cell>
          <cell r="D690">
            <v>40</v>
          </cell>
          <cell r="E690" t="str">
            <v>N</v>
          </cell>
          <cell r="F690">
            <v>1.9599999999999999E-2</v>
          </cell>
        </row>
        <row r="691">
          <cell r="A691" t="str">
            <v>39.1.50.0</v>
          </cell>
          <cell r="B691">
            <v>39</v>
          </cell>
          <cell r="C691">
            <v>1</v>
          </cell>
          <cell r="D691">
            <v>50</v>
          </cell>
          <cell r="E691">
            <v>0</v>
          </cell>
          <cell r="F691">
            <v>1.9599999999999999E-2</v>
          </cell>
        </row>
        <row r="692">
          <cell r="A692" t="str">
            <v>39.1.50.A</v>
          </cell>
          <cell r="B692">
            <v>39</v>
          </cell>
          <cell r="C692">
            <v>1</v>
          </cell>
          <cell r="D692">
            <v>50</v>
          </cell>
          <cell r="E692" t="str">
            <v>A</v>
          </cell>
          <cell r="F692">
            <v>1.9599999999999999E-2</v>
          </cell>
        </row>
        <row r="693">
          <cell r="A693" t="str">
            <v>39.1.50.N</v>
          </cell>
          <cell r="B693">
            <v>39</v>
          </cell>
          <cell r="C693">
            <v>1</v>
          </cell>
          <cell r="D693">
            <v>50</v>
          </cell>
          <cell r="E693" t="str">
            <v>N</v>
          </cell>
          <cell r="F693">
            <v>1.9599999999999999E-2</v>
          </cell>
        </row>
        <row r="694">
          <cell r="A694" t="str">
            <v>39.1.81.0</v>
          </cell>
          <cell r="B694">
            <v>39</v>
          </cell>
          <cell r="C694">
            <v>1</v>
          </cell>
          <cell r="D694">
            <v>81</v>
          </cell>
          <cell r="E694">
            <v>0</v>
          </cell>
          <cell r="F694">
            <v>0</v>
          </cell>
        </row>
        <row r="695">
          <cell r="A695" t="str">
            <v>39.1.81.A</v>
          </cell>
          <cell r="B695">
            <v>39</v>
          </cell>
          <cell r="C695">
            <v>1</v>
          </cell>
          <cell r="D695">
            <v>81</v>
          </cell>
          <cell r="E695" t="str">
            <v>A</v>
          </cell>
          <cell r="F695">
            <v>0</v>
          </cell>
        </row>
        <row r="696">
          <cell r="A696" t="str">
            <v>39.1.82.0</v>
          </cell>
          <cell r="B696">
            <v>39</v>
          </cell>
          <cell r="C696">
            <v>1</v>
          </cell>
          <cell r="D696">
            <v>82</v>
          </cell>
          <cell r="E696">
            <v>0</v>
          </cell>
          <cell r="F696">
            <v>0</v>
          </cell>
        </row>
        <row r="697">
          <cell r="A697" t="str">
            <v>39.1.82.A</v>
          </cell>
          <cell r="B697">
            <v>39</v>
          </cell>
          <cell r="C697">
            <v>1</v>
          </cell>
          <cell r="D697">
            <v>82</v>
          </cell>
          <cell r="E697" t="str">
            <v>A</v>
          </cell>
          <cell r="F697">
            <v>0</v>
          </cell>
        </row>
        <row r="698">
          <cell r="A698" t="str">
            <v>39.1.84.0</v>
          </cell>
          <cell r="B698">
            <v>39</v>
          </cell>
          <cell r="C698">
            <v>1</v>
          </cell>
          <cell r="D698">
            <v>84</v>
          </cell>
          <cell r="E698">
            <v>0</v>
          </cell>
          <cell r="F698">
            <v>0</v>
          </cell>
        </row>
        <row r="699">
          <cell r="A699" t="str">
            <v>39.1.84.A</v>
          </cell>
          <cell r="B699">
            <v>39</v>
          </cell>
          <cell r="C699">
            <v>1</v>
          </cell>
          <cell r="D699">
            <v>84</v>
          </cell>
          <cell r="E699" t="str">
            <v>A</v>
          </cell>
          <cell r="F699">
            <v>0</v>
          </cell>
        </row>
        <row r="700">
          <cell r="A700" t="str">
            <v>39.1.85.0</v>
          </cell>
          <cell r="B700">
            <v>39</v>
          </cell>
          <cell r="C700">
            <v>1</v>
          </cell>
          <cell r="D700">
            <v>85</v>
          </cell>
          <cell r="E700">
            <v>0</v>
          </cell>
          <cell r="F700">
            <v>0</v>
          </cell>
        </row>
        <row r="701">
          <cell r="A701" t="str">
            <v>39.1.85.A</v>
          </cell>
          <cell r="B701">
            <v>39</v>
          </cell>
          <cell r="C701">
            <v>1</v>
          </cell>
          <cell r="D701">
            <v>85</v>
          </cell>
          <cell r="E701" t="str">
            <v>A</v>
          </cell>
          <cell r="F701">
            <v>0</v>
          </cell>
        </row>
        <row r="702">
          <cell r="A702" t="str">
            <v>39.1.98.0</v>
          </cell>
          <cell r="B702">
            <v>39</v>
          </cell>
          <cell r="C702">
            <v>1</v>
          </cell>
          <cell r="D702">
            <v>98</v>
          </cell>
          <cell r="E702">
            <v>0</v>
          </cell>
          <cell r="F702">
            <v>0</v>
          </cell>
        </row>
        <row r="703">
          <cell r="A703" t="str">
            <v>39.1.98.A</v>
          </cell>
          <cell r="B703">
            <v>39</v>
          </cell>
          <cell r="C703">
            <v>1</v>
          </cell>
          <cell r="D703">
            <v>98</v>
          </cell>
          <cell r="E703" t="str">
            <v>A</v>
          </cell>
          <cell r="F703">
            <v>0</v>
          </cell>
        </row>
        <row r="704">
          <cell r="A704" t="str">
            <v>44.1.0.0</v>
          </cell>
          <cell r="B704">
            <v>44</v>
          </cell>
          <cell r="C704">
            <v>1</v>
          </cell>
          <cell r="D704">
            <v>0</v>
          </cell>
          <cell r="E704">
            <v>0</v>
          </cell>
          <cell r="F704">
            <v>0.04</v>
          </cell>
        </row>
        <row r="705">
          <cell r="A705" t="str">
            <v>44.1.0.1</v>
          </cell>
          <cell r="B705">
            <v>44</v>
          </cell>
          <cell r="C705">
            <v>1</v>
          </cell>
          <cell r="D705">
            <v>0</v>
          </cell>
          <cell r="E705">
            <v>1</v>
          </cell>
          <cell r="F705">
            <v>0.04</v>
          </cell>
        </row>
        <row r="706">
          <cell r="A706" t="str">
            <v>44.1.0.2</v>
          </cell>
          <cell r="B706">
            <v>44</v>
          </cell>
          <cell r="C706">
            <v>1</v>
          </cell>
          <cell r="D706">
            <v>0</v>
          </cell>
          <cell r="E706">
            <v>2</v>
          </cell>
          <cell r="F706">
            <v>0.04</v>
          </cell>
        </row>
        <row r="707">
          <cell r="A707" t="str">
            <v>44.1.0.A</v>
          </cell>
          <cell r="B707">
            <v>44</v>
          </cell>
          <cell r="C707">
            <v>1</v>
          </cell>
          <cell r="D707">
            <v>0</v>
          </cell>
          <cell r="E707" t="str">
            <v>A</v>
          </cell>
          <cell r="F707">
            <v>0.04</v>
          </cell>
        </row>
        <row r="708">
          <cell r="A708" t="str">
            <v>44.1.0.N</v>
          </cell>
          <cell r="B708">
            <v>44</v>
          </cell>
          <cell r="C708">
            <v>1</v>
          </cell>
          <cell r="D708">
            <v>0</v>
          </cell>
          <cell r="E708" t="str">
            <v>N</v>
          </cell>
          <cell r="F708">
            <v>0.04</v>
          </cell>
        </row>
        <row r="709">
          <cell r="A709" t="str">
            <v>44.0B.0.N</v>
          </cell>
          <cell r="B709">
            <v>44</v>
          </cell>
          <cell r="C709" t="str">
            <v>0B</v>
          </cell>
          <cell r="D709">
            <v>0</v>
          </cell>
          <cell r="E709" t="str">
            <v>N</v>
          </cell>
          <cell r="F709">
            <v>0.04</v>
          </cell>
        </row>
        <row r="710">
          <cell r="A710" t="str">
            <v>44.0E.0.N</v>
          </cell>
          <cell r="B710">
            <v>44</v>
          </cell>
          <cell r="C710" t="str">
            <v>0E</v>
          </cell>
          <cell r="D710">
            <v>0</v>
          </cell>
          <cell r="E710" t="str">
            <v>N</v>
          </cell>
          <cell r="F710">
            <v>0.04</v>
          </cell>
        </row>
        <row r="711">
          <cell r="A711" t="str">
            <v>44.0M.0.N</v>
          </cell>
          <cell r="B711">
            <v>44</v>
          </cell>
          <cell r="C711" t="str">
            <v>0M</v>
          </cell>
          <cell r="D711">
            <v>0</v>
          </cell>
          <cell r="E711" t="str">
            <v>N</v>
          </cell>
          <cell r="F711">
            <v>0.04</v>
          </cell>
        </row>
        <row r="712">
          <cell r="A712" t="str">
            <v>44.0U.0.N</v>
          </cell>
          <cell r="B712">
            <v>44</v>
          </cell>
          <cell r="C712" t="str">
            <v>0U</v>
          </cell>
          <cell r="D712">
            <v>0</v>
          </cell>
          <cell r="E712" t="str">
            <v>N</v>
          </cell>
          <cell r="F712">
            <v>0.04</v>
          </cell>
        </row>
        <row r="713">
          <cell r="A713" t="str">
            <v>44.12.0.N</v>
          </cell>
          <cell r="B713">
            <v>44</v>
          </cell>
          <cell r="C713">
            <v>12</v>
          </cell>
          <cell r="D713">
            <v>0</v>
          </cell>
          <cell r="E713" t="str">
            <v>N</v>
          </cell>
          <cell r="F713">
            <v>0.04</v>
          </cell>
        </row>
        <row r="714">
          <cell r="A714" t="str">
            <v>44.14.0.N</v>
          </cell>
          <cell r="B714">
            <v>44</v>
          </cell>
          <cell r="C714">
            <v>14</v>
          </cell>
          <cell r="D714">
            <v>0</v>
          </cell>
          <cell r="E714" t="str">
            <v>N</v>
          </cell>
          <cell r="F714">
            <v>0.04</v>
          </cell>
        </row>
        <row r="715">
          <cell r="A715" t="str">
            <v>44.7P.0.N</v>
          </cell>
          <cell r="B715">
            <v>44</v>
          </cell>
          <cell r="C715" t="str">
            <v>7P</v>
          </cell>
          <cell r="D715">
            <v>0</v>
          </cell>
          <cell r="E715" t="str">
            <v>N</v>
          </cell>
          <cell r="F715">
            <v>0.04</v>
          </cell>
        </row>
        <row r="716">
          <cell r="A716" t="str">
            <v>44.7U.0.N</v>
          </cell>
          <cell r="B716">
            <v>44</v>
          </cell>
          <cell r="C716" t="str">
            <v>7U</v>
          </cell>
          <cell r="D716">
            <v>0</v>
          </cell>
          <cell r="E716" t="str">
            <v>N</v>
          </cell>
          <cell r="F716">
            <v>0.04</v>
          </cell>
        </row>
        <row r="717">
          <cell r="A717" t="str">
            <v>44.1.98.0</v>
          </cell>
          <cell r="B717">
            <v>44</v>
          </cell>
          <cell r="C717">
            <v>1</v>
          </cell>
          <cell r="D717">
            <v>98</v>
          </cell>
          <cell r="E717">
            <v>0</v>
          </cell>
          <cell r="F717">
            <v>0</v>
          </cell>
        </row>
        <row r="718">
          <cell r="A718" t="str">
            <v>44.1.98.A</v>
          </cell>
          <cell r="B718">
            <v>44</v>
          </cell>
          <cell r="C718">
            <v>1</v>
          </cell>
          <cell r="D718">
            <v>98</v>
          </cell>
          <cell r="E718" t="str">
            <v>A</v>
          </cell>
          <cell r="F718">
            <v>0</v>
          </cell>
        </row>
        <row r="719">
          <cell r="A719" t="str">
            <v>45.1.0.0</v>
          </cell>
          <cell r="B719">
            <v>45</v>
          </cell>
          <cell r="C719">
            <v>1</v>
          </cell>
          <cell r="D719">
            <v>0</v>
          </cell>
          <cell r="E719">
            <v>0</v>
          </cell>
          <cell r="F719">
            <v>4.7600000000000003E-2</v>
          </cell>
        </row>
        <row r="720">
          <cell r="A720" t="str">
            <v>45.1.0.A</v>
          </cell>
          <cell r="B720">
            <v>45</v>
          </cell>
          <cell r="C720">
            <v>1</v>
          </cell>
          <cell r="D720">
            <v>0</v>
          </cell>
          <cell r="E720" t="str">
            <v>A</v>
          </cell>
          <cell r="F720">
            <v>4.7600000000000003E-2</v>
          </cell>
        </row>
        <row r="721">
          <cell r="A721" t="str">
            <v>45.1.0.N</v>
          </cell>
          <cell r="B721">
            <v>45</v>
          </cell>
          <cell r="C721">
            <v>1</v>
          </cell>
          <cell r="D721">
            <v>0</v>
          </cell>
          <cell r="E721" t="str">
            <v>N</v>
          </cell>
          <cell r="F721">
            <v>4.7600000000000003E-2</v>
          </cell>
        </row>
        <row r="722">
          <cell r="A722" t="str">
            <v>45.0B.0.N</v>
          </cell>
          <cell r="B722">
            <v>45</v>
          </cell>
          <cell r="C722" t="str">
            <v>0B</v>
          </cell>
          <cell r="D722">
            <v>0</v>
          </cell>
          <cell r="E722" t="str">
            <v>N</v>
          </cell>
          <cell r="F722">
            <v>4.7600000000000003E-2</v>
          </cell>
        </row>
        <row r="723">
          <cell r="A723" t="str">
            <v>45.7U.0.N</v>
          </cell>
          <cell r="B723">
            <v>45</v>
          </cell>
          <cell r="C723" t="str">
            <v>7U</v>
          </cell>
          <cell r="D723">
            <v>0</v>
          </cell>
          <cell r="E723" t="str">
            <v>N</v>
          </cell>
          <cell r="F723">
            <v>4.7600000000000003E-2</v>
          </cell>
        </row>
        <row r="724">
          <cell r="A724" t="str">
            <v>45.1.98.0</v>
          </cell>
          <cell r="B724">
            <v>45</v>
          </cell>
          <cell r="C724">
            <v>1</v>
          </cell>
          <cell r="D724">
            <v>98</v>
          </cell>
          <cell r="E724">
            <v>0</v>
          </cell>
          <cell r="F724">
            <v>0</v>
          </cell>
        </row>
        <row r="725">
          <cell r="A725" t="str">
            <v>45.1.98.A</v>
          </cell>
          <cell r="B725">
            <v>45</v>
          </cell>
          <cell r="C725">
            <v>1</v>
          </cell>
          <cell r="D725">
            <v>98</v>
          </cell>
          <cell r="E725" t="str">
            <v>A</v>
          </cell>
          <cell r="F725">
            <v>0</v>
          </cell>
        </row>
        <row r="726">
          <cell r="A726" t="str">
            <v>52.1.4.0</v>
          </cell>
          <cell r="B726">
            <v>52</v>
          </cell>
          <cell r="C726">
            <v>1</v>
          </cell>
          <cell r="D726">
            <v>4</v>
          </cell>
          <cell r="E726">
            <v>0</v>
          </cell>
          <cell r="F726">
            <v>3.8699999999999998E-2</v>
          </cell>
        </row>
        <row r="727">
          <cell r="A727" t="str">
            <v>52.1.4.A</v>
          </cell>
          <cell r="B727">
            <v>52</v>
          </cell>
          <cell r="C727">
            <v>1</v>
          </cell>
          <cell r="D727">
            <v>4</v>
          </cell>
          <cell r="E727" t="str">
            <v>A</v>
          </cell>
          <cell r="F727">
            <v>3.8699999999999998E-2</v>
          </cell>
        </row>
        <row r="728">
          <cell r="A728" t="str">
            <v>52.14.5.0</v>
          </cell>
          <cell r="B728">
            <v>52</v>
          </cell>
          <cell r="C728">
            <v>14</v>
          </cell>
          <cell r="D728">
            <v>5</v>
          </cell>
          <cell r="E728">
            <v>0</v>
          </cell>
          <cell r="F728">
            <v>3.8699999999999998E-2</v>
          </cell>
        </row>
        <row r="729">
          <cell r="A729" t="str">
            <v>52.1.5.A</v>
          </cell>
          <cell r="B729">
            <v>52</v>
          </cell>
          <cell r="C729">
            <v>1</v>
          </cell>
          <cell r="D729">
            <v>5</v>
          </cell>
          <cell r="E729" t="str">
            <v>A</v>
          </cell>
          <cell r="F729">
            <v>3.8699999999999998E-2</v>
          </cell>
        </row>
        <row r="730">
          <cell r="A730" t="str">
            <v>52.14.5.A</v>
          </cell>
          <cell r="B730">
            <v>52</v>
          </cell>
          <cell r="C730">
            <v>14</v>
          </cell>
          <cell r="D730">
            <v>5</v>
          </cell>
          <cell r="E730" t="str">
            <v>A</v>
          </cell>
          <cell r="F730">
            <v>3.8699999999999998E-2</v>
          </cell>
        </row>
        <row r="731">
          <cell r="A731" t="str">
            <v>52.1.5.C</v>
          </cell>
          <cell r="B731">
            <v>52</v>
          </cell>
          <cell r="C731">
            <v>1</v>
          </cell>
          <cell r="D731">
            <v>5</v>
          </cell>
          <cell r="E731" t="str">
            <v>C</v>
          </cell>
          <cell r="F731">
            <v>3.8699999999999998E-2</v>
          </cell>
        </row>
        <row r="732">
          <cell r="A732" t="str">
            <v>52.1.5.E</v>
          </cell>
          <cell r="B732">
            <v>52</v>
          </cell>
          <cell r="C732">
            <v>1</v>
          </cell>
          <cell r="D732">
            <v>5</v>
          </cell>
          <cell r="E732" t="str">
            <v>E</v>
          </cell>
          <cell r="F732">
            <v>0</v>
          </cell>
        </row>
        <row r="733">
          <cell r="A733" t="str">
            <v>52.1.5.F</v>
          </cell>
          <cell r="B733">
            <v>52</v>
          </cell>
          <cell r="C733">
            <v>1</v>
          </cell>
          <cell r="D733">
            <v>5</v>
          </cell>
          <cell r="E733" t="str">
            <v>F</v>
          </cell>
          <cell r="F733">
            <v>3.8699999999999998E-2</v>
          </cell>
        </row>
        <row r="734">
          <cell r="A734" t="str">
            <v>52.1.5.I</v>
          </cell>
          <cell r="B734">
            <v>52</v>
          </cell>
          <cell r="C734">
            <v>1</v>
          </cell>
          <cell r="D734">
            <v>5</v>
          </cell>
          <cell r="E734" t="str">
            <v>I</v>
          </cell>
          <cell r="F734">
            <v>3.8699999999999998E-2</v>
          </cell>
        </row>
        <row r="735">
          <cell r="A735" t="str">
            <v>52.1.5.N</v>
          </cell>
          <cell r="B735">
            <v>52</v>
          </cell>
          <cell r="C735">
            <v>1</v>
          </cell>
          <cell r="D735">
            <v>5</v>
          </cell>
          <cell r="E735" t="str">
            <v>N</v>
          </cell>
          <cell r="F735">
            <v>3.8699999999999998E-2</v>
          </cell>
        </row>
        <row r="736">
          <cell r="A736" t="str">
            <v>52.0M.5.N</v>
          </cell>
          <cell r="B736">
            <v>52</v>
          </cell>
          <cell r="C736" t="str">
            <v>0M</v>
          </cell>
          <cell r="D736">
            <v>5</v>
          </cell>
          <cell r="E736" t="str">
            <v>N</v>
          </cell>
          <cell r="F736">
            <v>3.8699999999999998E-2</v>
          </cell>
        </row>
        <row r="737">
          <cell r="A737" t="str">
            <v>52.7P.5.N</v>
          </cell>
          <cell r="B737">
            <v>52</v>
          </cell>
          <cell r="C737" t="str">
            <v>7P</v>
          </cell>
          <cell r="D737">
            <v>5</v>
          </cell>
          <cell r="E737" t="str">
            <v>N</v>
          </cell>
          <cell r="F737">
            <v>3.8699999999999998E-2</v>
          </cell>
        </row>
        <row r="738">
          <cell r="A738" t="str">
            <v>52.1.6.0</v>
          </cell>
          <cell r="B738">
            <v>52</v>
          </cell>
          <cell r="C738">
            <v>1</v>
          </cell>
          <cell r="D738">
            <v>6</v>
          </cell>
          <cell r="E738">
            <v>0</v>
          </cell>
          <cell r="F738">
            <v>0</v>
          </cell>
        </row>
        <row r="739">
          <cell r="A739" t="str">
            <v>52.1.6.A</v>
          </cell>
          <cell r="B739">
            <v>52</v>
          </cell>
          <cell r="C739">
            <v>1</v>
          </cell>
          <cell r="D739">
            <v>6</v>
          </cell>
          <cell r="E739" t="str">
            <v>A</v>
          </cell>
          <cell r="F739">
            <v>0</v>
          </cell>
        </row>
        <row r="740">
          <cell r="A740" t="str">
            <v>52.1.7.0</v>
          </cell>
          <cell r="B740">
            <v>52</v>
          </cell>
          <cell r="C740">
            <v>1</v>
          </cell>
          <cell r="D740">
            <v>7</v>
          </cell>
          <cell r="E740">
            <v>0</v>
          </cell>
          <cell r="F740">
            <v>7.7499999999999999E-2</v>
          </cell>
        </row>
        <row r="741">
          <cell r="A741" t="str">
            <v>52.1.7.A</v>
          </cell>
          <cell r="B741">
            <v>52</v>
          </cell>
          <cell r="C741">
            <v>1</v>
          </cell>
          <cell r="D741">
            <v>7</v>
          </cell>
          <cell r="E741" t="str">
            <v>A</v>
          </cell>
          <cell r="F741">
            <v>7.7499999999999999E-2</v>
          </cell>
        </row>
        <row r="742">
          <cell r="A742" t="str">
            <v>52.1.12.0</v>
          </cell>
          <cell r="B742">
            <v>52</v>
          </cell>
          <cell r="C742">
            <v>1</v>
          </cell>
          <cell r="D742">
            <v>12</v>
          </cell>
          <cell r="E742">
            <v>0</v>
          </cell>
          <cell r="F742">
            <v>0.2</v>
          </cell>
        </row>
        <row r="743">
          <cell r="A743" t="str">
            <v>52.1.12.A</v>
          </cell>
          <cell r="B743">
            <v>52</v>
          </cell>
          <cell r="C743">
            <v>1</v>
          </cell>
          <cell r="D743">
            <v>12</v>
          </cell>
          <cell r="E743" t="str">
            <v>A</v>
          </cell>
          <cell r="F743">
            <v>0.2</v>
          </cell>
        </row>
        <row r="744">
          <cell r="A744" t="str">
            <v>52.1.12.I</v>
          </cell>
          <cell r="B744">
            <v>52</v>
          </cell>
          <cell r="C744">
            <v>1</v>
          </cell>
          <cell r="D744">
            <v>12</v>
          </cell>
          <cell r="E744" t="str">
            <v>I</v>
          </cell>
          <cell r="F744">
            <v>0.2</v>
          </cell>
        </row>
        <row r="745">
          <cell r="A745" t="str">
            <v>52.1.12.N</v>
          </cell>
          <cell r="B745">
            <v>52</v>
          </cell>
          <cell r="C745">
            <v>1</v>
          </cell>
          <cell r="D745">
            <v>12</v>
          </cell>
          <cell r="E745" t="str">
            <v>N</v>
          </cell>
          <cell r="F745">
            <v>0.2</v>
          </cell>
        </row>
        <row r="746">
          <cell r="A746" t="str">
            <v>52.1.14.C</v>
          </cell>
          <cell r="B746">
            <v>52</v>
          </cell>
          <cell r="C746">
            <v>1</v>
          </cell>
          <cell r="D746">
            <v>14</v>
          </cell>
          <cell r="E746" t="str">
            <v>C</v>
          </cell>
          <cell r="F746">
            <v>3.8699999999999998E-2</v>
          </cell>
        </row>
        <row r="747">
          <cell r="A747" t="str">
            <v>52.1.14.I</v>
          </cell>
          <cell r="B747">
            <v>52</v>
          </cell>
          <cell r="C747">
            <v>1</v>
          </cell>
          <cell r="D747">
            <v>14</v>
          </cell>
          <cell r="E747" t="str">
            <v>I</v>
          </cell>
          <cell r="F747">
            <v>3.8699999999999998E-2</v>
          </cell>
        </row>
        <row r="748">
          <cell r="A748" t="str">
            <v>52.1.14.N</v>
          </cell>
          <cell r="B748">
            <v>52</v>
          </cell>
          <cell r="C748">
            <v>1</v>
          </cell>
          <cell r="D748">
            <v>14</v>
          </cell>
          <cell r="E748" t="str">
            <v>N</v>
          </cell>
          <cell r="F748">
            <v>3.8699999999999998E-2</v>
          </cell>
        </row>
        <row r="749">
          <cell r="A749" t="str">
            <v>52.1.15.C</v>
          </cell>
          <cell r="B749">
            <v>52</v>
          </cell>
          <cell r="C749">
            <v>1</v>
          </cell>
          <cell r="D749">
            <v>15</v>
          </cell>
          <cell r="E749" t="str">
            <v>C</v>
          </cell>
          <cell r="F749">
            <v>3.8699999999999998E-2</v>
          </cell>
        </row>
        <row r="750">
          <cell r="A750" t="str">
            <v>52.1.15.N</v>
          </cell>
          <cell r="B750">
            <v>52</v>
          </cell>
          <cell r="C750">
            <v>1</v>
          </cell>
          <cell r="D750">
            <v>15</v>
          </cell>
          <cell r="E750" t="str">
            <v>N</v>
          </cell>
          <cell r="F750">
            <v>3.8699999999999998E-2</v>
          </cell>
        </row>
        <row r="751">
          <cell r="A751" t="str">
            <v>52.1.16.0</v>
          </cell>
          <cell r="B751">
            <v>52</v>
          </cell>
          <cell r="C751">
            <v>1</v>
          </cell>
          <cell r="D751">
            <v>16</v>
          </cell>
          <cell r="E751">
            <v>0</v>
          </cell>
          <cell r="F751">
            <v>3.8699999999999998E-2</v>
          </cell>
        </row>
        <row r="752">
          <cell r="A752" t="str">
            <v>52.1.16.A</v>
          </cell>
          <cell r="B752">
            <v>52</v>
          </cell>
          <cell r="C752">
            <v>1</v>
          </cell>
          <cell r="D752">
            <v>16</v>
          </cell>
          <cell r="E752" t="str">
            <v>A</v>
          </cell>
          <cell r="F752">
            <v>3.8699999999999998E-2</v>
          </cell>
        </row>
        <row r="753">
          <cell r="A753" t="str">
            <v>52.1.16.C</v>
          </cell>
          <cell r="B753">
            <v>52</v>
          </cell>
          <cell r="C753">
            <v>1</v>
          </cell>
          <cell r="D753">
            <v>16</v>
          </cell>
          <cell r="E753" t="str">
            <v>C</v>
          </cell>
          <cell r="F753">
            <v>3.8699999999999998E-2</v>
          </cell>
        </row>
        <row r="754">
          <cell r="A754" t="str">
            <v>52.1.16.E</v>
          </cell>
          <cell r="B754">
            <v>52</v>
          </cell>
          <cell r="C754">
            <v>1</v>
          </cell>
          <cell r="D754">
            <v>16</v>
          </cell>
          <cell r="E754" t="str">
            <v>E</v>
          </cell>
          <cell r="F754">
            <v>0</v>
          </cell>
        </row>
        <row r="755">
          <cell r="A755" t="str">
            <v>52.1.16.F</v>
          </cell>
          <cell r="B755">
            <v>52</v>
          </cell>
          <cell r="C755">
            <v>1</v>
          </cell>
          <cell r="D755">
            <v>16</v>
          </cell>
          <cell r="E755" t="str">
            <v>F</v>
          </cell>
          <cell r="F755">
            <v>3.8699999999999998E-2</v>
          </cell>
        </row>
        <row r="756">
          <cell r="A756" t="str">
            <v>52.1.16.I</v>
          </cell>
          <cell r="B756">
            <v>52</v>
          </cell>
          <cell r="C756">
            <v>1</v>
          </cell>
          <cell r="D756">
            <v>16</v>
          </cell>
          <cell r="E756" t="str">
            <v>I</v>
          </cell>
          <cell r="F756">
            <v>3.8699999999999998E-2</v>
          </cell>
        </row>
        <row r="757">
          <cell r="A757" t="str">
            <v>52.1.16.N</v>
          </cell>
          <cell r="B757">
            <v>52</v>
          </cell>
          <cell r="C757">
            <v>1</v>
          </cell>
          <cell r="D757">
            <v>16</v>
          </cell>
          <cell r="E757" t="str">
            <v>N</v>
          </cell>
          <cell r="F757">
            <v>3.8699999999999998E-2</v>
          </cell>
        </row>
        <row r="758">
          <cell r="A758" t="str">
            <v>52.7M.16.N</v>
          </cell>
          <cell r="B758">
            <v>52</v>
          </cell>
          <cell r="C758" t="str">
            <v>7M</v>
          </cell>
          <cell r="D758">
            <v>16</v>
          </cell>
          <cell r="E758" t="str">
            <v>N</v>
          </cell>
          <cell r="F758">
            <v>3.8699999999999998E-2</v>
          </cell>
        </row>
        <row r="759">
          <cell r="A759" t="str">
            <v>52.7P.16.N</v>
          </cell>
          <cell r="B759">
            <v>52</v>
          </cell>
          <cell r="C759" t="str">
            <v>7P</v>
          </cell>
          <cell r="D759">
            <v>16</v>
          </cell>
          <cell r="E759" t="str">
            <v>N</v>
          </cell>
          <cell r="F759">
            <v>3.8699999999999998E-2</v>
          </cell>
        </row>
        <row r="760">
          <cell r="A760" t="str">
            <v>52.1.17.0</v>
          </cell>
          <cell r="B760">
            <v>52</v>
          </cell>
          <cell r="C760">
            <v>1</v>
          </cell>
          <cell r="D760">
            <v>17</v>
          </cell>
          <cell r="E760">
            <v>0</v>
          </cell>
          <cell r="F760">
            <v>7.7499999999999999E-2</v>
          </cell>
        </row>
        <row r="761">
          <cell r="A761" t="str">
            <v>52.1.17.A</v>
          </cell>
          <cell r="B761">
            <v>52</v>
          </cell>
          <cell r="C761">
            <v>1</v>
          </cell>
          <cell r="D761">
            <v>17</v>
          </cell>
          <cell r="E761" t="str">
            <v>A</v>
          </cell>
          <cell r="F761">
            <v>7.7499999999999999E-2</v>
          </cell>
        </row>
        <row r="762">
          <cell r="A762" t="str">
            <v>52.1.17.C</v>
          </cell>
          <cell r="B762">
            <v>52</v>
          </cell>
          <cell r="C762">
            <v>1</v>
          </cell>
          <cell r="D762">
            <v>17</v>
          </cell>
          <cell r="E762" t="str">
            <v>C</v>
          </cell>
          <cell r="F762">
            <v>7.7499999999999999E-2</v>
          </cell>
        </row>
        <row r="763">
          <cell r="A763" t="str">
            <v>52.1.17.F</v>
          </cell>
          <cell r="B763">
            <v>52</v>
          </cell>
          <cell r="C763">
            <v>1</v>
          </cell>
          <cell r="D763">
            <v>17</v>
          </cell>
          <cell r="E763" t="str">
            <v>F</v>
          </cell>
          <cell r="F763">
            <v>7.7499999999999999E-2</v>
          </cell>
        </row>
        <row r="764">
          <cell r="A764" t="str">
            <v>52.1.17.I</v>
          </cell>
          <cell r="B764">
            <v>52</v>
          </cell>
          <cell r="C764">
            <v>1</v>
          </cell>
          <cell r="D764">
            <v>17</v>
          </cell>
          <cell r="E764" t="str">
            <v>I</v>
          </cell>
          <cell r="F764">
            <v>7.7499999999999999E-2</v>
          </cell>
        </row>
        <row r="765">
          <cell r="A765" t="str">
            <v>52.1.17.N</v>
          </cell>
          <cell r="B765">
            <v>52</v>
          </cell>
          <cell r="C765">
            <v>1</v>
          </cell>
          <cell r="D765">
            <v>17</v>
          </cell>
          <cell r="E765" t="str">
            <v>N</v>
          </cell>
          <cell r="F765">
            <v>7.7499999999999999E-2</v>
          </cell>
        </row>
        <row r="766">
          <cell r="A766" t="str">
            <v>52.7M.17.N</v>
          </cell>
          <cell r="B766">
            <v>52</v>
          </cell>
          <cell r="C766" t="str">
            <v>7M</v>
          </cell>
          <cell r="D766">
            <v>17</v>
          </cell>
          <cell r="E766" t="str">
            <v>N</v>
          </cell>
          <cell r="F766">
            <v>7.7499999999999999E-2</v>
          </cell>
        </row>
        <row r="767">
          <cell r="A767" t="str">
            <v>52.7P.17.N</v>
          </cell>
          <cell r="B767">
            <v>52</v>
          </cell>
          <cell r="C767" t="str">
            <v>7P</v>
          </cell>
          <cell r="D767">
            <v>17</v>
          </cell>
          <cell r="E767" t="str">
            <v>N</v>
          </cell>
          <cell r="F767">
            <v>7.7499999999999999E-2</v>
          </cell>
        </row>
        <row r="768">
          <cell r="A768" t="str">
            <v>52.1.18.0</v>
          </cell>
          <cell r="B768">
            <v>52</v>
          </cell>
          <cell r="C768">
            <v>1</v>
          </cell>
          <cell r="D768">
            <v>18</v>
          </cell>
          <cell r="E768">
            <v>0</v>
          </cell>
          <cell r="F768">
            <v>3.8699999999999998E-2</v>
          </cell>
        </row>
        <row r="769">
          <cell r="A769" t="str">
            <v>52.14.18.0</v>
          </cell>
          <cell r="B769">
            <v>52</v>
          </cell>
          <cell r="C769">
            <v>14</v>
          </cell>
          <cell r="D769">
            <v>18</v>
          </cell>
          <cell r="E769">
            <v>0</v>
          </cell>
          <cell r="F769">
            <v>3.8699999999999998E-2</v>
          </cell>
        </row>
        <row r="770">
          <cell r="A770" t="str">
            <v>52.1.18.A</v>
          </cell>
          <cell r="B770">
            <v>52</v>
          </cell>
          <cell r="C770">
            <v>1</v>
          </cell>
          <cell r="D770">
            <v>18</v>
          </cell>
          <cell r="E770" t="str">
            <v>A</v>
          </cell>
          <cell r="F770">
            <v>3.8699999999999998E-2</v>
          </cell>
        </row>
        <row r="771">
          <cell r="A771" t="str">
            <v>52.1.18.F</v>
          </cell>
          <cell r="B771">
            <v>52</v>
          </cell>
          <cell r="C771">
            <v>1</v>
          </cell>
          <cell r="D771">
            <v>18</v>
          </cell>
          <cell r="E771" t="str">
            <v>F</v>
          </cell>
          <cell r="F771">
            <v>3.8699999999999998E-2</v>
          </cell>
        </row>
        <row r="772">
          <cell r="A772" t="str">
            <v>52.1.18.I</v>
          </cell>
          <cell r="B772">
            <v>52</v>
          </cell>
          <cell r="C772">
            <v>1</v>
          </cell>
          <cell r="D772">
            <v>18</v>
          </cell>
          <cell r="E772" t="str">
            <v>I</v>
          </cell>
          <cell r="F772">
            <v>3.8699999999999998E-2</v>
          </cell>
        </row>
        <row r="773">
          <cell r="A773" t="str">
            <v>52.1.18.N</v>
          </cell>
          <cell r="B773">
            <v>52</v>
          </cell>
          <cell r="C773">
            <v>1</v>
          </cell>
          <cell r="D773">
            <v>18</v>
          </cell>
          <cell r="E773" t="str">
            <v>N</v>
          </cell>
          <cell r="F773">
            <v>3.8699999999999998E-2</v>
          </cell>
        </row>
        <row r="774">
          <cell r="A774" t="str">
            <v>52.0M.18.N</v>
          </cell>
          <cell r="B774">
            <v>52</v>
          </cell>
          <cell r="C774" t="str">
            <v>0M</v>
          </cell>
          <cell r="D774">
            <v>18</v>
          </cell>
          <cell r="E774" t="str">
            <v>N</v>
          </cell>
          <cell r="F774">
            <v>3.8699999999999998E-2</v>
          </cell>
        </row>
        <row r="775">
          <cell r="A775" t="str">
            <v>52.12.18.N</v>
          </cell>
          <cell r="B775">
            <v>52</v>
          </cell>
          <cell r="C775">
            <v>12</v>
          </cell>
          <cell r="D775">
            <v>18</v>
          </cell>
          <cell r="E775" t="str">
            <v>N</v>
          </cell>
          <cell r="F775">
            <v>3.8699999999999998E-2</v>
          </cell>
        </row>
        <row r="776">
          <cell r="A776" t="str">
            <v>52.7P.18.N</v>
          </cell>
          <cell r="B776">
            <v>52</v>
          </cell>
          <cell r="C776" t="str">
            <v>7P</v>
          </cell>
          <cell r="D776">
            <v>18</v>
          </cell>
          <cell r="E776" t="str">
            <v>N</v>
          </cell>
          <cell r="F776">
            <v>3.8699999999999998E-2</v>
          </cell>
        </row>
        <row r="777">
          <cell r="A777" t="str">
            <v>52.1.19.0</v>
          </cell>
          <cell r="B777">
            <v>52</v>
          </cell>
          <cell r="C777">
            <v>1</v>
          </cell>
          <cell r="D777">
            <v>19</v>
          </cell>
          <cell r="E777">
            <v>0</v>
          </cell>
          <cell r="F777">
            <v>7.7499999999999999E-2</v>
          </cell>
        </row>
        <row r="778">
          <cell r="A778" t="str">
            <v>52.14.19.0</v>
          </cell>
          <cell r="B778">
            <v>52</v>
          </cell>
          <cell r="C778">
            <v>14</v>
          </cell>
          <cell r="D778">
            <v>19</v>
          </cell>
          <cell r="E778">
            <v>0</v>
          </cell>
          <cell r="F778">
            <v>7.7499999999999999E-2</v>
          </cell>
        </row>
        <row r="779">
          <cell r="A779" t="str">
            <v>52.1.19.A</v>
          </cell>
          <cell r="B779">
            <v>52</v>
          </cell>
          <cell r="C779">
            <v>1</v>
          </cell>
          <cell r="D779">
            <v>19</v>
          </cell>
          <cell r="E779" t="str">
            <v>A</v>
          </cell>
          <cell r="F779">
            <v>7.7499999999999999E-2</v>
          </cell>
        </row>
        <row r="780">
          <cell r="A780" t="str">
            <v>52.1.19.F</v>
          </cell>
          <cell r="B780">
            <v>52</v>
          </cell>
          <cell r="C780">
            <v>1</v>
          </cell>
          <cell r="D780">
            <v>19</v>
          </cell>
          <cell r="E780" t="str">
            <v>F</v>
          </cell>
          <cell r="F780">
            <v>7.7499999999999999E-2</v>
          </cell>
        </row>
        <row r="781">
          <cell r="A781" t="str">
            <v>52.1.19.I</v>
          </cell>
          <cell r="B781">
            <v>52</v>
          </cell>
          <cell r="C781">
            <v>1</v>
          </cell>
          <cell r="D781">
            <v>19</v>
          </cell>
          <cell r="E781" t="str">
            <v>I</v>
          </cell>
          <cell r="F781">
            <v>7.7499999999999999E-2</v>
          </cell>
        </row>
        <row r="782">
          <cell r="A782" t="str">
            <v>52.1.19.N</v>
          </cell>
          <cell r="B782">
            <v>52</v>
          </cell>
          <cell r="C782">
            <v>1</v>
          </cell>
          <cell r="D782">
            <v>19</v>
          </cell>
          <cell r="E782" t="str">
            <v>N</v>
          </cell>
          <cell r="F782">
            <v>7.7499999999999999E-2</v>
          </cell>
        </row>
        <row r="783">
          <cell r="A783" t="str">
            <v>52.0M.19.N</v>
          </cell>
          <cell r="B783">
            <v>52</v>
          </cell>
          <cell r="C783" t="str">
            <v>0M</v>
          </cell>
          <cell r="D783">
            <v>19</v>
          </cell>
          <cell r="E783" t="str">
            <v>N</v>
          </cell>
          <cell r="F783">
            <v>7.7499999999999999E-2</v>
          </cell>
        </row>
        <row r="784">
          <cell r="A784" t="str">
            <v>52.12.19.N</v>
          </cell>
          <cell r="B784">
            <v>52</v>
          </cell>
          <cell r="C784">
            <v>12</v>
          </cell>
          <cell r="D784">
            <v>19</v>
          </cell>
          <cell r="E784" t="str">
            <v>N</v>
          </cell>
          <cell r="F784">
            <v>7.7499999999999999E-2</v>
          </cell>
        </row>
        <row r="785">
          <cell r="A785" t="str">
            <v>52.7P.19.N</v>
          </cell>
          <cell r="B785">
            <v>52</v>
          </cell>
          <cell r="C785" t="str">
            <v>7P</v>
          </cell>
          <cell r="D785">
            <v>19</v>
          </cell>
          <cell r="E785" t="str">
            <v>N</v>
          </cell>
          <cell r="F785">
            <v>7.7499999999999999E-2</v>
          </cell>
        </row>
        <row r="786">
          <cell r="A786" t="str">
            <v>52.1.20.0</v>
          </cell>
          <cell r="B786">
            <v>52</v>
          </cell>
          <cell r="C786">
            <v>1</v>
          </cell>
          <cell r="D786">
            <v>20</v>
          </cell>
          <cell r="E786">
            <v>0</v>
          </cell>
          <cell r="F786">
            <v>2.4299999999999999E-2</v>
          </cell>
        </row>
        <row r="787">
          <cell r="A787" t="str">
            <v>52.1.20.E</v>
          </cell>
          <cell r="B787">
            <v>52</v>
          </cell>
          <cell r="C787">
            <v>1</v>
          </cell>
          <cell r="D787">
            <v>20</v>
          </cell>
          <cell r="E787" t="str">
            <v>E</v>
          </cell>
          <cell r="F787">
            <v>0</v>
          </cell>
        </row>
        <row r="788">
          <cell r="A788" t="str">
            <v>52.1.20.F</v>
          </cell>
          <cell r="B788">
            <v>52</v>
          </cell>
          <cell r="C788">
            <v>1</v>
          </cell>
          <cell r="D788">
            <v>20</v>
          </cell>
          <cell r="E788" t="str">
            <v>F</v>
          </cell>
          <cell r="F788">
            <v>2.4299999999999999E-2</v>
          </cell>
        </row>
        <row r="789">
          <cell r="A789" t="str">
            <v>52.1.20.I</v>
          </cell>
          <cell r="B789">
            <v>52</v>
          </cell>
          <cell r="C789">
            <v>1</v>
          </cell>
          <cell r="D789">
            <v>20</v>
          </cell>
          <cell r="E789" t="str">
            <v>I</v>
          </cell>
          <cell r="F789">
            <v>2.4299999999999999E-2</v>
          </cell>
        </row>
        <row r="790">
          <cell r="A790" t="str">
            <v>52.1.20.N</v>
          </cell>
          <cell r="B790">
            <v>52</v>
          </cell>
          <cell r="C790">
            <v>1</v>
          </cell>
          <cell r="D790">
            <v>20</v>
          </cell>
          <cell r="E790" t="str">
            <v>N</v>
          </cell>
          <cell r="F790">
            <v>2.4299999999999999E-2</v>
          </cell>
        </row>
        <row r="791">
          <cell r="A791" t="str">
            <v>52.71.20.N</v>
          </cell>
          <cell r="B791">
            <v>52</v>
          </cell>
          <cell r="C791">
            <v>71</v>
          </cell>
          <cell r="D791">
            <v>20</v>
          </cell>
          <cell r="E791" t="str">
            <v>N</v>
          </cell>
          <cell r="F791">
            <v>2.6100000000000002E-2</v>
          </cell>
        </row>
        <row r="792">
          <cell r="A792" t="str">
            <v>52.74.20.N</v>
          </cell>
          <cell r="B792">
            <v>52</v>
          </cell>
          <cell r="C792">
            <v>74</v>
          </cell>
          <cell r="D792">
            <v>20</v>
          </cell>
          <cell r="E792" t="str">
            <v>N</v>
          </cell>
          <cell r="F792">
            <v>2.4299999999999999E-2</v>
          </cell>
        </row>
        <row r="793">
          <cell r="A793" t="str">
            <v>52.7P.20.N</v>
          </cell>
          <cell r="B793">
            <v>52</v>
          </cell>
          <cell r="C793" t="str">
            <v>7P</v>
          </cell>
          <cell r="D793">
            <v>20</v>
          </cell>
          <cell r="E793" t="str">
            <v>N</v>
          </cell>
          <cell r="F793">
            <v>2.4299999999999999E-2</v>
          </cell>
        </row>
        <row r="794">
          <cell r="A794" t="str">
            <v>52.1.21.0</v>
          </cell>
          <cell r="B794">
            <v>52</v>
          </cell>
          <cell r="C794">
            <v>1</v>
          </cell>
          <cell r="D794">
            <v>21</v>
          </cell>
          <cell r="E794">
            <v>0</v>
          </cell>
          <cell r="F794">
            <v>4.7500000000000001E-2</v>
          </cell>
        </row>
        <row r="795">
          <cell r="A795" t="str">
            <v>52.1.21.F</v>
          </cell>
          <cell r="B795">
            <v>52</v>
          </cell>
          <cell r="C795">
            <v>1</v>
          </cell>
          <cell r="D795">
            <v>21</v>
          </cell>
          <cell r="E795" t="str">
            <v>F</v>
          </cell>
          <cell r="F795">
            <v>4.7500000000000001E-2</v>
          </cell>
        </row>
        <row r="796">
          <cell r="A796" t="str">
            <v>52.1.21.I</v>
          </cell>
          <cell r="B796">
            <v>52</v>
          </cell>
          <cell r="C796">
            <v>1</v>
          </cell>
          <cell r="D796">
            <v>21</v>
          </cell>
          <cell r="E796" t="str">
            <v>I</v>
          </cell>
          <cell r="F796">
            <v>4.7500000000000001E-2</v>
          </cell>
        </row>
        <row r="797">
          <cell r="A797" t="str">
            <v>52.1.21.N</v>
          </cell>
          <cell r="B797">
            <v>52</v>
          </cell>
          <cell r="C797">
            <v>1</v>
          </cell>
          <cell r="D797">
            <v>21</v>
          </cell>
          <cell r="E797" t="str">
            <v>N</v>
          </cell>
          <cell r="F797">
            <v>4.7500000000000001E-2</v>
          </cell>
        </row>
        <row r="798">
          <cell r="A798" t="str">
            <v>52.71.21.N</v>
          </cell>
          <cell r="B798">
            <v>52</v>
          </cell>
          <cell r="C798">
            <v>71</v>
          </cell>
          <cell r="D798">
            <v>21</v>
          </cell>
          <cell r="E798" t="str">
            <v>N</v>
          </cell>
          <cell r="F798">
            <v>4.7500000000000001E-2</v>
          </cell>
        </row>
        <row r="799">
          <cell r="A799" t="str">
            <v>52.74.21.N</v>
          </cell>
          <cell r="B799">
            <v>52</v>
          </cell>
          <cell r="C799">
            <v>74</v>
          </cell>
          <cell r="D799">
            <v>21</v>
          </cell>
          <cell r="E799" t="str">
            <v>N</v>
          </cell>
          <cell r="F799">
            <v>4.7500000000000001E-2</v>
          </cell>
        </row>
        <row r="800">
          <cell r="A800" t="str">
            <v>52.7P.21.N</v>
          </cell>
          <cell r="B800">
            <v>52</v>
          </cell>
          <cell r="C800" t="str">
            <v>7P</v>
          </cell>
          <cell r="D800">
            <v>21</v>
          </cell>
          <cell r="E800" t="str">
            <v>N</v>
          </cell>
          <cell r="F800">
            <v>4.7500000000000001E-2</v>
          </cell>
        </row>
        <row r="801">
          <cell r="A801" t="str">
            <v>52.1.24.0</v>
          </cell>
          <cell r="B801">
            <v>52</v>
          </cell>
          <cell r="C801">
            <v>1</v>
          </cell>
          <cell r="D801">
            <v>24</v>
          </cell>
          <cell r="E801">
            <v>0</v>
          </cell>
          <cell r="F801">
            <v>2.4299999999999999E-2</v>
          </cell>
        </row>
        <row r="802">
          <cell r="A802" t="str">
            <v>52.1.24.A</v>
          </cell>
          <cell r="B802">
            <v>52</v>
          </cell>
          <cell r="C802">
            <v>1</v>
          </cell>
          <cell r="D802">
            <v>24</v>
          </cell>
          <cell r="E802" t="str">
            <v>A</v>
          </cell>
          <cell r="F802">
            <v>2.4299999999999999E-2</v>
          </cell>
        </row>
        <row r="803">
          <cell r="A803" t="str">
            <v>52.1.24.E</v>
          </cell>
          <cell r="B803">
            <v>52</v>
          </cell>
          <cell r="C803">
            <v>1</v>
          </cell>
          <cell r="D803">
            <v>24</v>
          </cell>
          <cell r="E803" t="str">
            <v>E</v>
          </cell>
          <cell r="F803">
            <v>0</v>
          </cell>
        </row>
        <row r="804">
          <cell r="A804" t="str">
            <v>52.1.24.I</v>
          </cell>
          <cell r="B804">
            <v>52</v>
          </cell>
          <cell r="C804">
            <v>1</v>
          </cell>
          <cell r="D804">
            <v>24</v>
          </cell>
          <cell r="E804" t="str">
            <v>I</v>
          </cell>
          <cell r="F804">
            <v>2.4299999999999999E-2</v>
          </cell>
        </row>
        <row r="805">
          <cell r="A805" t="str">
            <v>52.1.24.N</v>
          </cell>
          <cell r="B805">
            <v>52</v>
          </cell>
          <cell r="C805">
            <v>1</v>
          </cell>
          <cell r="D805">
            <v>24</v>
          </cell>
          <cell r="E805" t="str">
            <v>N</v>
          </cell>
          <cell r="F805">
            <v>2.4299999999999999E-2</v>
          </cell>
        </row>
        <row r="806">
          <cell r="A806" t="str">
            <v>52.7P.24.N</v>
          </cell>
          <cell r="B806">
            <v>52</v>
          </cell>
          <cell r="C806" t="str">
            <v>7P</v>
          </cell>
          <cell r="D806">
            <v>24</v>
          </cell>
          <cell r="E806" t="str">
            <v>N</v>
          </cell>
          <cell r="F806">
            <v>2.4299999999999999E-2</v>
          </cell>
        </row>
        <row r="807">
          <cell r="A807" t="str">
            <v>52.1.26.I</v>
          </cell>
          <cell r="B807">
            <v>52</v>
          </cell>
          <cell r="C807">
            <v>1</v>
          </cell>
          <cell r="D807">
            <v>26</v>
          </cell>
          <cell r="E807" t="str">
            <v>I</v>
          </cell>
          <cell r="F807">
            <v>9.0899999999999995E-2</v>
          </cell>
        </row>
        <row r="808">
          <cell r="A808" t="str">
            <v>52.1.26.N</v>
          </cell>
          <cell r="B808">
            <v>52</v>
          </cell>
          <cell r="C808">
            <v>1</v>
          </cell>
          <cell r="D808">
            <v>26</v>
          </cell>
          <cell r="E808" t="str">
            <v>N</v>
          </cell>
          <cell r="F808">
            <v>9.0899999999999995E-2</v>
          </cell>
        </row>
        <row r="809">
          <cell r="A809" t="str">
            <v>52.1.30.A</v>
          </cell>
          <cell r="B809">
            <v>52</v>
          </cell>
          <cell r="C809">
            <v>1</v>
          </cell>
          <cell r="D809">
            <v>30</v>
          </cell>
          <cell r="E809" t="str">
            <v>A</v>
          </cell>
          <cell r="F809">
            <v>9.0899999999999995E-2</v>
          </cell>
        </row>
        <row r="810">
          <cell r="A810" t="str">
            <v>52.1.30.N</v>
          </cell>
          <cell r="B810">
            <v>52</v>
          </cell>
          <cell r="C810">
            <v>1</v>
          </cell>
          <cell r="D810">
            <v>30</v>
          </cell>
          <cell r="E810" t="str">
            <v>N</v>
          </cell>
          <cell r="F810">
            <v>9.0899999999999995E-2</v>
          </cell>
        </row>
        <row r="811">
          <cell r="A811" t="str">
            <v>52.7P.30.N</v>
          </cell>
          <cell r="B811">
            <v>52</v>
          </cell>
          <cell r="C811" t="str">
            <v>7P</v>
          </cell>
          <cell r="D811">
            <v>30</v>
          </cell>
          <cell r="E811" t="str">
            <v>N</v>
          </cell>
          <cell r="F811">
            <v>9.0899999999999995E-2</v>
          </cell>
        </row>
        <row r="812">
          <cell r="A812" t="str">
            <v>52.1.33.A</v>
          </cell>
          <cell r="B812">
            <v>52</v>
          </cell>
          <cell r="C812">
            <v>1</v>
          </cell>
          <cell r="D812">
            <v>33</v>
          </cell>
          <cell r="E812" t="str">
            <v>A</v>
          </cell>
          <cell r="F812">
            <v>9.0899999999999995E-2</v>
          </cell>
        </row>
        <row r="813">
          <cell r="A813" t="str">
            <v>52.1.90.0</v>
          </cell>
          <cell r="B813">
            <v>52</v>
          </cell>
          <cell r="C813">
            <v>1</v>
          </cell>
          <cell r="D813">
            <v>90</v>
          </cell>
          <cell r="E813">
            <v>0</v>
          </cell>
          <cell r="F813">
            <v>0.125</v>
          </cell>
        </row>
        <row r="814">
          <cell r="A814" t="str">
            <v>52.1.90.I</v>
          </cell>
          <cell r="B814">
            <v>52</v>
          </cell>
          <cell r="C814">
            <v>1</v>
          </cell>
          <cell r="D814">
            <v>90</v>
          </cell>
          <cell r="E814" t="str">
            <v>I</v>
          </cell>
          <cell r="F814">
            <v>0.125</v>
          </cell>
        </row>
        <row r="815">
          <cell r="A815" t="str">
            <v>52.1.90.N</v>
          </cell>
          <cell r="B815">
            <v>52</v>
          </cell>
          <cell r="C815">
            <v>1</v>
          </cell>
          <cell r="D815">
            <v>90</v>
          </cell>
          <cell r="E815" t="str">
            <v>N</v>
          </cell>
          <cell r="F815">
            <v>0.125</v>
          </cell>
        </row>
        <row r="816">
          <cell r="A816" t="str">
            <v>52.1.98.0</v>
          </cell>
          <cell r="B816">
            <v>52</v>
          </cell>
          <cell r="C816">
            <v>1</v>
          </cell>
          <cell r="D816">
            <v>98</v>
          </cell>
          <cell r="E816">
            <v>0</v>
          </cell>
          <cell r="F816">
            <v>0</v>
          </cell>
        </row>
        <row r="817">
          <cell r="A817" t="str">
            <v>52.1.98.A</v>
          </cell>
          <cell r="B817">
            <v>52</v>
          </cell>
          <cell r="C817">
            <v>1</v>
          </cell>
          <cell r="D817">
            <v>98</v>
          </cell>
          <cell r="E817" t="str">
            <v>A</v>
          </cell>
          <cell r="F817">
            <v>0</v>
          </cell>
        </row>
        <row r="818">
          <cell r="A818" t="str">
            <v>52.1.98.F</v>
          </cell>
          <cell r="B818">
            <v>52</v>
          </cell>
          <cell r="C818">
            <v>1</v>
          </cell>
          <cell r="D818">
            <v>98</v>
          </cell>
          <cell r="E818" t="str">
            <v>F</v>
          </cell>
          <cell r="F818">
            <v>0</v>
          </cell>
        </row>
        <row r="819">
          <cell r="A819" t="str">
            <v>52.1.98.I</v>
          </cell>
          <cell r="B819">
            <v>52</v>
          </cell>
          <cell r="C819">
            <v>1</v>
          </cell>
          <cell r="D819">
            <v>98</v>
          </cell>
          <cell r="E819" t="str">
            <v>I</v>
          </cell>
          <cell r="F819">
            <v>0</v>
          </cell>
        </row>
        <row r="820">
          <cell r="A820" t="str">
            <v>52.1.98.N</v>
          </cell>
          <cell r="B820">
            <v>52</v>
          </cell>
          <cell r="C820">
            <v>1</v>
          </cell>
          <cell r="D820">
            <v>98</v>
          </cell>
          <cell r="E820" t="str">
            <v>N</v>
          </cell>
          <cell r="F820">
            <v>0</v>
          </cell>
        </row>
        <row r="821">
          <cell r="A821" t="str">
            <v>53.1.0.0</v>
          </cell>
          <cell r="B821">
            <v>53</v>
          </cell>
          <cell r="C821">
            <v>1</v>
          </cell>
          <cell r="D821">
            <v>0</v>
          </cell>
          <cell r="E821">
            <v>0</v>
          </cell>
          <cell r="F821">
            <v>3.2599999999999997E-2</v>
          </cell>
        </row>
        <row r="822">
          <cell r="A822" t="str">
            <v>53.1.0.A</v>
          </cell>
          <cell r="B822">
            <v>53</v>
          </cell>
          <cell r="C822">
            <v>1</v>
          </cell>
          <cell r="D822">
            <v>0</v>
          </cell>
          <cell r="E822" t="str">
            <v>A</v>
          </cell>
          <cell r="F822">
            <v>3.2599999999999997E-2</v>
          </cell>
        </row>
        <row r="823">
          <cell r="A823" t="str">
            <v>53.1.1.C</v>
          </cell>
          <cell r="B823">
            <v>53</v>
          </cell>
          <cell r="C823">
            <v>1</v>
          </cell>
          <cell r="D823">
            <v>1</v>
          </cell>
          <cell r="E823" t="str">
            <v>C</v>
          </cell>
          <cell r="F823">
            <v>3.2099999999999997E-2</v>
          </cell>
        </row>
        <row r="824">
          <cell r="A824" t="str">
            <v>53.1.1.E</v>
          </cell>
          <cell r="B824">
            <v>53</v>
          </cell>
          <cell r="C824">
            <v>1</v>
          </cell>
          <cell r="D824">
            <v>1</v>
          </cell>
          <cell r="E824" t="str">
            <v>E</v>
          </cell>
          <cell r="F824">
            <v>3.2099999999999997E-2</v>
          </cell>
        </row>
        <row r="825">
          <cell r="A825" t="str">
            <v>53.1.1.I</v>
          </cell>
          <cell r="B825">
            <v>53</v>
          </cell>
          <cell r="C825">
            <v>1</v>
          </cell>
          <cell r="D825">
            <v>1</v>
          </cell>
          <cell r="E825" t="str">
            <v>I</v>
          </cell>
          <cell r="F825">
            <v>3.2099999999999997E-2</v>
          </cell>
        </row>
        <row r="826">
          <cell r="A826" t="str">
            <v>53.1.1.N</v>
          </cell>
          <cell r="B826">
            <v>53</v>
          </cell>
          <cell r="C826">
            <v>1</v>
          </cell>
          <cell r="D826">
            <v>1</v>
          </cell>
          <cell r="E826" t="str">
            <v>N</v>
          </cell>
          <cell r="F826">
            <v>3.2099999999999997E-2</v>
          </cell>
        </row>
        <row r="827">
          <cell r="A827" t="str">
            <v>53.1.2.0</v>
          </cell>
          <cell r="B827">
            <v>53</v>
          </cell>
          <cell r="C827">
            <v>1</v>
          </cell>
          <cell r="D827">
            <v>2</v>
          </cell>
          <cell r="E827">
            <v>0</v>
          </cell>
          <cell r="F827">
            <v>3.0800000000000001E-2</v>
          </cell>
        </row>
        <row r="828">
          <cell r="A828" t="str">
            <v>53.1.2.A</v>
          </cell>
          <cell r="B828">
            <v>53</v>
          </cell>
          <cell r="C828">
            <v>1</v>
          </cell>
          <cell r="D828">
            <v>2</v>
          </cell>
          <cell r="E828" t="str">
            <v>A</v>
          </cell>
          <cell r="F828">
            <v>3.0800000000000001E-2</v>
          </cell>
        </row>
        <row r="829">
          <cell r="A829" t="str">
            <v>53.1.2.E</v>
          </cell>
          <cell r="B829">
            <v>53</v>
          </cell>
          <cell r="C829">
            <v>1</v>
          </cell>
          <cell r="D829">
            <v>2</v>
          </cell>
          <cell r="E829" t="str">
            <v>E</v>
          </cell>
          <cell r="F829">
            <v>3.0800000000000001E-2</v>
          </cell>
        </row>
        <row r="830">
          <cell r="A830" t="str">
            <v>53.1.2.F</v>
          </cell>
          <cell r="B830">
            <v>53</v>
          </cell>
          <cell r="C830">
            <v>1</v>
          </cell>
          <cell r="D830">
            <v>2</v>
          </cell>
          <cell r="E830" t="str">
            <v>F</v>
          </cell>
          <cell r="F830">
            <v>3.0800000000000001E-2</v>
          </cell>
        </row>
        <row r="831">
          <cell r="A831" t="str">
            <v>53.1.2.I</v>
          </cell>
          <cell r="B831">
            <v>53</v>
          </cell>
          <cell r="C831">
            <v>1</v>
          </cell>
          <cell r="D831">
            <v>2</v>
          </cell>
          <cell r="E831" t="str">
            <v>I</v>
          </cell>
          <cell r="F831">
            <v>3.0800000000000001E-2</v>
          </cell>
        </row>
        <row r="832">
          <cell r="A832" t="str">
            <v>53.1.2.N</v>
          </cell>
          <cell r="B832">
            <v>53</v>
          </cell>
          <cell r="C832">
            <v>1</v>
          </cell>
          <cell r="D832">
            <v>2</v>
          </cell>
          <cell r="E832" t="str">
            <v>N</v>
          </cell>
          <cell r="F832">
            <v>3.0800000000000001E-2</v>
          </cell>
        </row>
        <row r="833">
          <cell r="A833" t="str">
            <v>53.1.3.0</v>
          </cell>
          <cell r="B833">
            <v>53</v>
          </cell>
          <cell r="C833">
            <v>1</v>
          </cell>
          <cell r="D833">
            <v>3</v>
          </cell>
          <cell r="E833">
            <v>0</v>
          </cell>
          <cell r="F833">
            <v>3.0800000000000001E-2</v>
          </cell>
        </row>
        <row r="834">
          <cell r="A834" t="str">
            <v>53.1.3.A</v>
          </cell>
          <cell r="B834">
            <v>53</v>
          </cell>
          <cell r="C834">
            <v>1</v>
          </cell>
          <cell r="D834">
            <v>3</v>
          </cell>
          <cell r="E834" t="str">
            <v>A</v>
          </cell>
          <cell r="F834">
            <v>3.0800000000000001E-2</v>
          </cell>
        </row>
        <row r="835">
          <cell r="A835" t="str">
            <v>53.1.4.0</v>
          </cell>
          <cell r="B835">
            <v>53</v>
          </cell>
          <cell r="C835">
            <v>1</v>
          </cell>
          <cell r="D835">
            <v>4</v>
          </cell>
          <cell r="E835">
            <v>0</v>
          </cell>
          <cell r="F835">
            <v>3.2599999999999997E-2</v>
          </cell>
        </row>
        <row r="836">
          <cell r="A836" t="str">
            <v>53.1.4.A</v>
          </cell>
          <cell r="B836">
            <v>53</v>
          </cell>
          <cell r="C836">
            <v>1</v>
          </cell>
          <cell r="D836">
            <v>4</v>
          </cell>
          <cell r="E836" t="str">
            <v>A</v>
          </cell>
          <cell r="F836">
            <v>3.2599999999999997E-2</v>
          </cell>
        </row>
        <row r="837">
          <cell r="A837" t="str">
            <v>53.1.6.0</v>
          </cell>
          <cell r="B837">
            <v>53</v>
          </cell>
          <cell r="C837">
            <v>1</v>
          </cell>
          <cell r="D837">
            <v>6</v>
          </cell>
          <cell r="E837">
            <v>0</v>
          </cell>
          <cell r="F837">
            <v>3.2599999999999997E-2</v>
          </cell>
        </row>
        <row r="838">
          <cell r="A838" t="str">
            <v>53.1.6.A</v>
          </cell>
          <cell r="B838">
            <v>53</v>
          </cell>
          <cell r="C838">
            <v>1</v>
          </cell>
          <cell r="D838">
            <v>6</v>
          </cell>
          <cell r="E838" t="str">
            <v>A</v>
          </cell>
          <cell r="F838">
            <v>3.2599999999999997E-2</v>
          </cell>
        </row>
        <row r="839">
          <cell r="A839" t="str">
            <v>53.1.6.E</v>
          </cell>
          <cell r="B839">
            <v>53</v>
          </cell>
          <cell r="C839">
            <v>1</v>
          </cell>
          <cell r="D839">
            <v>6</v>
          </cell>
          <cell r="E839" t="str">
            <v>E</v>
          </cell>
          <cell r="F839">
            <v>3.2599999999999997E-2</v>
          </cell>
        </row>
        <row r="840">
          <cell r="A840" t="str">
            <v>53.1.6.F</v>
          </cell>
          <cell r="B840">
            <v>53</v>
          </cell>
          <cell r="C840">
            <v>1</v>
          </cell>
          <cell r="D840">
            <v>6</v>
          </cell>
          <cell r="E840" t="str">
            <v>F</v>
          </cell>
          <cell r="F840">
            <v>3.2599999999999997E-2</v>
          </cell>
        </row>
        <row r="841">
          <cell r="A841" t="str">
            <v>53.1.6.I</v>
          </cell>
          <cell r="B841">
            <v>53</v>
          </cell>
          <cell r="C841">
            <v>1</v>
          </cell>
          <cell r="D841">
            <v>6</v>
          </cell>
          <cell r="E841" t="str">
            <v>I</v>
          </cell>
          <cell r="F841">
            <v>3.2599999999999997E-2</v>
          </cell>
        </row>
        <row r="842">
          <cell r="A842" t="str">
            <v>53.1.6.N</v>
          </cell>
          <cell r="B842">
            <v>53</v>
          </cell>
          <cell r="C842">
            <v>1</v>
          </cell>
          <cell r="D842">
            <v>6</v>
          </cell>
          <cell r="E842" t="str">
            <v>N</v>
          </cell>
          <cell r="F842">
            <v>3.2599999999999997E-2</v>
          </cell>
        </row>
        <row r="843">
          <cell r="A843" t="str">
            <v>53.7P.6.N</v>
          </cell>
          <cell r="B843">
            <v>53</v>
          </cell>
          <cell r="C843" t="str">
            <v>7P</v>
          </cell>
          <cell r="D843">
            <v>6</v>
          </cell>
          <cell r="E843" t="str">
            <v>N</v>
          </cell>
          <cell r="F843">
            <v>3.2599999999999997E-2</v>
          </cell>
        </row>
        <row r="844">
          <cell r="A844" t="str">
            <v>53.1.8.0</v>
          </cell>
          <cell r="B844">
            <v>53</v>
          </cell>
          <cell r="C844">
            <v>1</v>
          </cell>
          <cell r="D844">
            <v>8</v>
          </cell>
          <cell r="E844">
            <v>0</v>
          </cell>
          <cell r="F844">
            <v>3.0800000000000001E-2</v>
          </cell>
        </row>
        <row r="845">
          <cell r="A845" t="str">
            <v>53.1.8.A</v>
          </cell>
          <cell r="B845">
            <v>53</v>
          </cell>
          <cell r="C845">
            <v>1</v>
          </cell>
          <cell r="D845">
            <v>8</v>
          </cell>
          <cell r="E845" t="str">
            <v>A</v>
          </cell>
          <cell r="F845">
            <v>3.0800000000000001E-2</v>
          </cell>
        </row>
        <row r="846">
          <cell r="A846" t="str">
            <v>53.1.8.N</v>
          </cell>
          <cell r="B846">
            <v>53</v>
          </cell>
          <cell r="C846">
            <v>1</v>
          </cell>
          <cell r="D846">
            <v>8</v>
          </cell>
          <cell r="E846" t="str">
            <v>N</v>
          </cell>
          <cell r="F846">
            <v>3.0800000000000001E-2</v>
          </cell>
        </row>
        <row r="847">
          <cell r="A847" t="str">
            <v>53.1.10.0</v>
          </cell>
          <cell r="B847">
            <v>53</v>
          </cell>
          <cell r="C847">
            <v>1</v>
          </cell>
          <cell r="D847">
            <v>10</v>
          </cell>
          <cell r="E847">
            <v>0</v>
          </cell>
          <cell r="F847">
            <v>4.5699999999999998E-2</v>
          </cell>
        </row>
        <row r="848">
          <cell r="A848" t="str">
            <v>53.1.10.A</v>
          </cell>
          <cell r="B848">
            <v>53</v>
          </cell>
          <cell r="C848">
            <v>1</v>
          </cell>
          <cell r="D848">
            <v>10</v>
          </cell>
          <cell r="E848" t="str">
            <v>A</v>
          </cell>
          <cell r="F848">
            <v>4.5699999999999998E-2</v>
          </cell>
        </row>
        <row r="849">
          <cell r="A849" t="str">
            <v>53.1.10.F</v>
          </cell>
          <cell r="B849">
            <v>53</v>
          </cell>
          <cell r="C849">
            <v>1</v>
          </cell>
          <cell r="D849">
            <v>10</v>
          </cell>
          <cell r="E849" t="str">
            <v>F</v>
          </cell>
          <cell r="F849">
            <v>4.5699999999999998E-2</v>
          </cell>
        </row>
        <row r="850">
          <cell r="A850" t="str">
            <v>53.1.10.N</v>
          </cell>
          <cell r="B850">
            <v>53</v>
          </cell>
          <cell r="C850">
            <v>1</v>
          </cell>
          <cell r="D850">
            <v>10</v>
          </cell>
          <cell r="E850" t="str">
            <v>N</v>
          </cell>
          <cell r="F850">
            <v>4.5699999999999998E-2</v>
          </cell>
        </row>
        <row r="851">
          <cell r="A851" t="str">
            <v>53.0M.10.N</v>
          </cell>
          <cell r="B851">
            <v>53</v>
          </cell>
          <cell r="C851" t="str">
            <v>0M</v>
          </cell>
          <cell r="D851">
            <v>10</v>
          </cell>
          <cell r="E851" t="str">
            <v>N</v>
          </cell>
          <cell r="F851">
            <v>4.5699999999999998E-2</v>
          </cell>
        </row>
        <row r="852">
          <cell r="A852" t="str">
            <v>53.12.10.N</v>
          </cell>
          <cell r="B852">
            <v>53</v>
          </cell>
          <cell r="C852">
            <v>12</v>
          </cell>
          <cell r="D852">
            <v>10</v>
          </cell>
          <cell r="E852" t="str">
            <v>N</v>
          </cell>
          <cell r="F852">
            <v>4.5699999999999998E-2</v>
          </cell>
        </row>
        <row r="853">
          <cell r="A853" t="str">
            <v>53.1.13.0</v>
          </cell>
          <cell r="B853">
            <v>53</v>
          </cell>
          <cell r="C853">
            <v>1</v>
          </cell>
          <cell r="D853">
            <v>13</v>
          </cell>
          <cell r="E853">
            <v>0</v>
          </cell>
          <cell r="F853">
            <v>0.2</v>
          </cell>
        </row>
        <row r="854">
          <cell r="A854" t="str">
            <v>53.1.13.A</v>
          </cell>
          <cell r="B854">
            <v>53</v>
          </cell>
          <cell r="C854">
            <v>1</v>
          </cell>
          <cell r="D854">
            <v>13</v>
          </cell>
          <cell r="E854" t="str">
            <v>A</v>
          </cell>
          <cell r="F854">
            <v>0.2</v>
          </cell>
        </row>
        <row r="855">
          <cell r="A855" t="str">
            <v>53.1.13.I</v>
          </cell>
          <cell r="B855">
            <v>53</v>
          </cell>
          <cell r="C855">
            <v>1</v>
          </cell>
          <cell r="D855">
            <v>13</v>
          </cell>
          <cell r="E855" t="str">
            <v>I</v>
          </cell>
          <cell r="F855">
            <v>0.2</v>
          </cell>
        </row>
        <row r="856">
          <cell r="A856" t="str">
            <v>53.1.13.N</v>
          </cell>
          <cell r="B856">
            <v>53</v>
          </cell>
          <cell r="C856">
            <v>1</v>
          </cell>
          <cell r="D856">
            <v>13</v>
          </cell>
          <cell r="E856" t="str">
            <v>N</v>
          </cell>
          <cell r="F856">
            <v>0.2</v>
          </cell>
        </row>
        <row r="857">
          <cell r="A857" t="str">
            <v>53.7P.13.N</v>
          </cell>
          <cell r="B857">
            <v>53</v>
          </cell>
          <cell r="C857" t="str">
            <v>7P</v>
          </cell>
          <cell r="D857">
            <v>13</v>
          </cell>
          <cell r="E857" t="str">
            <v>N</v>
          </cell>
          <cell r="F857">
            <v>0.2</v>
          </cell>
        </row>
        <row r="858">
          <cell r="A858" t="str">
            <v>53.1.19.A</v>
          </cell>
          <cell r="B858">
            <v>53</v>
          </cell>
          <cell r="C858">
            <v>1</v>
          </cell>
          <cell r="D858">
            <v>19</v>
          </cell>
          <cell r="E858" t="str">
            <v>A</v>
          </cell>
          <cell r="F858">
            <v>2.0799999999999999E-2</v>
          </cell>
        </row>
        <row r="859">
          <cell r="A859" t="str">
            <v>53.1.20.0</v>
          </cell>
          <cell r="B859">
            <v>53</v>
          </cell>
          <cell r="C859">
            <v>1</v>
          </cell>
          <cell r="D859">
            <v>20</v>
          </cell>
          <cell r="E859">
            <v>0</v>
          </cell>
          <cell r="F859">
            <v>3.5400000000000001E-2</v>
          </cell>
        </row>
        <row r="860">
          <cell r="A860" t="str">
            <v>53.1.20.A</v>
          </cell>
          <cell r="B860">
            <v>53</v>
          </cell>
          <cell r="C860">
            <v>1</v>
          </cell>
          <cell r="D860">
            <v>20</v>
          </cell>
          <cell r="E860" t="str">
            <v>A</v>
          </cell>
          <cell r="F860">
            <v>3.5400000000000001E-2</v>
          </cell>
        </row>
        <row r="861">
          <cell r="A861" t="str">
            <v>53.1.20.E</v>
          </cell>
          <cell r="B861">
            <v>53</v>
          </cell>
          <cell r="C861">
            <v>1</v>
          </cell>
          <cell r="D861">
            <v>20</v>
          </cell>
          <cell r="E861" t="str">
            <v>E</v>
          </cell>
          <cell r="F861">
            <v>3.5400000000000001E-2</v>
          </cell>
        </row>
        <row r="862">
          <cell r="A862" t="str">
            <v>53.1.20.I</v>
          </cell>
          <cell r="B862">
            <v>53</v>
          </cell>
          <cell r="C862">
            <v>1</v>
          </cell>
          <cell r="D862">
            <v>20</v>
          </cell>
          <cell r="E862" t="str">
            <v>I</v>
          </cell>
          <cell r="F862">
            <v>3.5400000000000001E-2</v>
          </cell>
        </row>
        <row r="863">
          <cell r="A863" t="str">
            <v>53.1.20.N</v>
          </cell>
          <cell r="B863">
            <v>53</v>
          </cell>
          <cell r="C863">
            <v>1</v>
          </cell>
          <cell r="D863">
            <v>20</v>
          </cell>
          <cell r="E863" t="str">
            <v>N</v>
          </cell>
          <cell r="F863">
            <v>3.5400000000000001E-2</v>
          </cell>
        </row>
        <row r="864">
          <cell r="A864" t="str">
            <v>53.7P.20.N</v>
          </cell>
          <cell r="B864">
            <v>53</v>
          </cell>
          <cell r="C864" t="str">
            <v>7P</v>
          </cell>
          <cell r="D864">
            <v>20</v>
          </cell>
          <cell r="E864" t="str">
            <v>N</v>
          </cell>
          <cell r="F864">
            <v>3.5400000000000001E-2</v>
          </cell>
        </row>
        <row r="865">
          <cell r="A865" t="str">
            <v>53.1.21.0</v>
          </cell>
          <cell r="B865">
            <v>53</v>
          </cell>
          <cell r="C865">
            <v>1</v>
          </cell>
          <cell r="D865">
            <v>21</v>
          </cell>
          <cell r="E865">
            <v>0</v>
          </cell>
          <cell r="F865">
            <v>4.2900000000000001E-2</v>
          </cell>
        </row>
        <row r="866">
          <cell r="A866" t="str">
            <v>53.1.21.A</v>
          </cell>
          <cell r="B866">
            <v>53</v>
          </cell>
          <cell r="C866">
            <v>1</v>
          </cell>
          <cell r="D866">
            <v>21</v>
          </cell>
          <cell r="E866" t="str">
            <v>A</v>
          </cell>
          <cell r="F866">
            <v>4.2900000000000001E-2</v>
          </cell>
        </row>
        <row r="867">
          <cell r="A867" t="str">
            <v>53.1.21.C</v>
          </cell>
          <cell r="B867">
            <v>53</v>
          </cell>
          <cell r="C867">
            <v>1</v>
          </cell>
          <cell r="D867">
            <v>21</v>
          </cell>
          <cell r="E867" t="str">
            <v>C</v>
          </cell>
          <cell r="F867">
            <v>4.2900000000000001E-2</v>
          </cell>
        </row>
        <row r="868">
          <cell r="A868" t="str">
            <v>53.1.21.E</v>
          </cell>
          <cell r="B868">
            <v>53</v>
          </cell>
          <cell r="C868">
            <v>1</v>
          </cell>
          <cell r="D868">
            <v>21</v>
          </cell>
          <cell r="E868" t="str">
            <v>E</v>
          </cell>
          <cell r="F868">
            <v>4.2900000000000001E-2</v>
          </cell>
        </row>
        <row r="869">
          <cell r="A869" t="str">
            <v>53.1.21.F</v>
          </cell>
          <cell r="B869">
            <v>53</v>
          </cell>
          <cell r="C869">
            <v>1</v>
          </cell>
          <cell r="D869">
            <v>21</v>
          </cell>
          <cell r="E869" t="str">
            <v>F</v>
          </cell>
          <cell r="F869">
            <v>4.2900000000000001E-2</v>
          </cell>
        </row>
        <row r="870">
          <cell r="A870" t="str">
            <v>53.1.21.I</v>
          </cell>
          <cell r="B870">
            <v>53</v>
          </cell>
          <cell r="C870">
            <v>1</v>
          </cell>
          <cell r="D870">
            <v>21</v>
          </cell>
          <cell r="E870" t="str">
            <v>I</v>
          </cell>
          <cell r="F870">
            <v>4.2900000000000001E-2</v>
          </cell>
        </row>
        <row r="871">
          <cell r="A871" t="str">
            <v>53.1.21.N</v>
          </cell>
          <cell r="B871">
            <v>53</v>
          </cell>
          <cell r="C871">
            <v>1</v>
          </cell>
          <cell r="D871">
            <v>21</v>
          </cell>
          <cell r="E871" t="str">
            <v>N</v>
          </cell>
          <cell r="F871">
            <v>4.2900000000000001E-2</v>
          </cell>
        </row>
        <row r="872">
          <cell r="A872" t="str">
            <v>53.7P.21.N</v>
          </cell>
          <cell r="B872">
            <v>53</v>
          </cell>
          <cell r="C872" t="str">
            <v>7P</v>
          </cell>
          <cell r="D872">
            <v>21</v>
          </cell>
          <cell r="E872" t="str">
            <v>N</v>
          </cell>
          <cell r="F872">
            <v>4.2900000000000001E-2</v>
          </cell>
        </row>
        <row r="873">
          <cell r="A873" t="str">
            <v>53.1.22.0</v>
          </cell>
          <cell r="B873">
            <v>53</v>
          </cell>
          <cell r="C873">
            <v>1</v>
          </cell>
          <cell r="D873">
            <v>22</v>
          </cell>
          <cell r="E873">
            <v>0</v>
          </cell>
          <cell r="F873">
            <v>2.6599999999999999E-2</v>
          </cell>
        </row>
        <row r="874">
          <cell r="A874" t="str">
            <v>53.1.22.A</v>
          </cell>
          <cell r="B874">
            <v>53</v>
          </cell>
          <cell r="C874">
            <v>1</v>
          </cell>
          <cell r="D874">
            <v>22</v>
          </cell>
          <cell r="E874" t="str">
            <v>A</v>
          </cell>
          <cell r="F874">
            <v>2.6599999999999999E-2</v>
          </cell>
        </row>
        <row r="875">
          <cell r="A875" t="str">
            <v>53.1.23.0</v>
          </cell>
          <cell r="B875">
            <v>53</v>
          </cell>
          <cell r="C875">
            <v>1</v>
          </cell>
          <cell r="D875">
            <v>23</v>
          </cell>
          <cell r="E875">
            <v>0</v>
          </cell>
          <cell r="F875">
            <v>2.86E-2</v>
          </cell>
        </row>
        <row r="876">
          <cell r="A876" t="str">
            <v>53.1.23.A</v>
          </cell>
          <cell r="B876">
            <v>53</v>
          </cell>
          <cell r="C876">
            <v>1</v>
          </cell>
          <cell r="D876">
            <v>23</v>
          </cell>
          <cell r="E876" t="str">
            <v>A</v>
          </cell>
          <cell r="F876">
            <v>2.86E-2</v>
          </cell>
        </row>
        <row r="877">
          <cell r="A877" t="str">
            <v>53.1.23.E</v>
          </cell>
          <cell r="B877">
            <v>53</v>
          </cell>
          <cell r="C877">
            <v>1</v>
          </cell>
          <cell r="D877">
            <v>23</v>
          </cell>
          <cell r="E877" t="str">
            <v>E</v>
          </cell>
          <cell r="F877">
            <v>2.86E-2</v>
          </cell>
        </row>
        <row r="878">
          <cell r="A878" t="str">
            <v>53.1.23.I</v>
          </cell>
          <cell r="B878">
            <v>53</v>
          </cell>
          <cell r="C878">
            <v>1</v>
          </cell>
          <cell r="D878">
            <v>23</v>
          </cell>
          <cell r="E878" t="str">
            <v>I</v>
          </cell>
          <cell r="F878">
            <v>2.86E-2</v>
          </cell>
        </row>
        <row r="879">
          <cell r="A879" t="str">
            <v>53.1.23.N</v>
          </cell>
          <cell r="B879">
            <v>53</v>
          </cell>
          <cell r="C879">
            <v>1</v>
          </cell>
          <cell r="D879">
            <v>23</v>
          </cell>
          <cell r="E879" t="str">
            <v>N</v>
          </cell>
          <cell r="F879">
            <v>2.86E-2</v>
          </cell>
        </row>
        <row r="880">
          <cell r="A880" t="str">
            <v>53.1.24.0</v>
          </cell>
          <cell r="B880">
            <v>53</v>
          </cell>
          <cell r="C880">
            <v>1</v>
          </cell>
          <cell r="D880">
            <v>24</v>
          </cell>
          <cell r="E880">
            <v>0</v>
          </cell>
          <cell r="F880">
            <v>3.5400000000000001E-2</v>
          </cell>
        </row>
        <row r="881">
          <cell r="A881" t="str">
            <v>53.1.24.A</v>
          </cell>
          <cell r="B881">
            <v>53</v>
          </cell>
          <cell r="C881">
            <v>1</v>
          </cell>
          <cell r="D881">
            <v>24</v>
          </cell>
          <cell r="E881" t="str">
            <v>A</v>
          </cell>
          <cell r="F881">
            <v>3.5400000000000001E-2</v>
          </cell>
        </row>
        <row r="882">
          <cell r="A882" t="str">
            <v>53.1.24.E</v>
          </cell>
          <cell r="B882">
            <v>53</v>
          </cell>
          <cell r="C882">
            <v>1</v>
          </cell>
          <cell r="D882">
            <v>24</v>
          </cell>
          <cell r="E882" t="str">
            <v>E</v>
          </cell>
          <cell r="F882">
            <v>3.5400000000000001E-2</v>
          </cell>
        </row>
        <row r="883">
          <cell r="A883" t="str">
            <v>53.1.24.I</v>
          </cell>
          <cell r="B883">
            <v>53</v>
          </cell>
          <cell r="C883">
            <v>1</v>
          </cell>
          <cell r="D883">
            <v>24</v>
          </cell>
          <cell r="E883" t="str">
            <v>I</v>
          </cell>
          <cell r="F883">
            <v>3.5400000000000001E-2</v>
          </cell>
        </row>
        <row r="884">
          <cell r="A884" t="str">
            <v>53.1.25.0</v>
          </cell>
          <cell r="B884">
            <v>53</v>
          </cell>
          <cell r="C884">
            <v>1</v>
          </cell>
          <cell r="D884">
            <v>25</v>
          </cell>
          <cell r="E884">
            <v>0</v>
          </cell>
          <cell r="F884">
            <v>2.6599999999999999E-2</v>
          </cell>
        </row>
        <row r="885">
          <cell r="A885" t="str">
            <v>53.1.25.2</v>
          </cell>
          <cell r="B885">
            <v>53</v>
          </cell>
          <cell r="C885">
            <v>1</v>
          </cell>
          <cell r="D885">
            <v>25</v>
          </cell>
          <cell r="E885">
            <v>2</v>
          </cell>
          <cell r="F885">
            <v>2.6599999999999999E-2</v>
          </cell>
        </row>
        <row r="886">
          <cell r="A886" t="str">
            <v>53.1.25.A</v>
          </cell>
          <cell r="B886">
            <v>53</v>
          </cell>
          <cell r="C886">
            <v>1</v>
          </cell>
          <cell r="D886">
            <v>25</v>
          </cell>
          <cell r="E886" t="str">
            <v>A</v>
          </cell>
          <cell r="F886">
            <v>2.6599999999999999E-2</v>
          </cell>
        </row>
        <row r="887">
          <cell r="A887" t="str">
            <v>53.1.25.E</v>
          </cell>
          <cell r="B887">
            <v>53</v>
          </cell>
          <cell r="C887">
            <v>1</v>
          </cell>
          <cell r="D887">
            <v>25</v>
          </cell>
          <cell r="E887" t="str">
            <v>E</v>
          </cell>
          <cell r="F887">
            <v>2.6599999999999999E-2</v>
          </cell>
        </row>
        <row r="888">
          <cell r="A888" t="str">
            <v>53.1.25.F</v>
          </cell>
          <cell r="B888">
            <v>53</v>
          </cell>
          <cell r="C888">
            <v>1</v>
          </cell>
          <cell r="D888">
            <v>25</v>
          </cell>
          <cell r="E888" t="str">
            <v>F</v>
          </cell>
          <cell r="F888">
            <v>2.6599999999999999E-2</v>
          </cell>
        </row>
        <row r="889">
          <cell r="A889" t="str">
            <v>53.1.25.I</v>
          </cell>
          <cell r="B889">
            <v>53</v>
          </cell>
          <cell r="C889">
            <v>1</v>
          </cell>
          <cell r="D889">
            <v>25</v>
          </cell>
          <cell r="E889" t="str">
            <v>I</v>
          </cell>
          <cell r="F889">
            <v>2.6599999999999999E-2</v>
          </cell>
        </row>
        <row r="890">
          <cell r="A890" t="str">
            <v>53.1.25.N</v>
          </cell>
          <cell r="B890">
            <v>53</v>
          </cell>
          <cell r="C890">
            <v>1</v>
          </cell>
          <cell r="D890">
            <v>25</v>
          </cell>
          <cell r="E890" t="str">
            <v>N</v>
          </cell>
          <cell r="F890">
            <v>2.6599999999999999E-2</v>
          </cell>
        </row>
        <row r="891">
          <cell r="A891" t="str">
            <v>53.7P.25.N</v>
          </cell>
          <cell r="B891">
            <v>53</v>
          </cell>
          <cell r="C891" t="str">
            <v>7P</v>
          </cell>
          <cell r="D891">
            <v>25</v>
          </cell>
          <cell r="E891" t="str">
            <v>N</v>
          </cell>
          <cell r="F891">
            <v>2.6599999999999999E-2</v>
          </cell>
        </row>
        <row r="892">
          <cell r="A892" t="str">
            <v>53.1.26.0</v>
          </cell>
          <cell r="B892">
            <v>53</v>
          </cell>
          <cell r="C892">
            <v>1</v>
          </cell>
          <cell r="D892">
            <v>26</v>
          </cell>
          <cell r="E892">
            <v>0</v>
          </cell>
          <cell r="F892">
            <v>2.6499999999999999E-2</v>
          </cell>
        </row>
        <row r="893">
          <cell r="A893" t="str">
            <v>53.1.26.2</v>
          </cell>
          <cell r="B893">
            <v>53</v>
          </cell>
          <cell r="C893">
            <v>1</v>
          </cell>
          <cell r="D893">
            <v>26</v>
          </cell>
          <cell r="E893">
            <v>2</v>
          </cell>
          <cell r="F893">
            <v>2.6499999999999999E-2</v>
          </cell>
        </row>
        <row r="894">
          <cell r="A894" t="str">
            <v>53.1.26.A</v>
          </cell>
          <cell r="B894">
            <v>53</v>
          </cell>
          <cell r="C894">
            <v>1</v>
          </cell>
          <cell r="D894">
            <v>26</v>
          </cell>
          <cell r="E894" t="str">
            <v>A</v>
          </cell>
          <cell r="F894">
            <v>2.6499999999999999E-2</v>
          </cell>
        </row>
        <row r="895">
          <cell r="A895" t="str">
            <v>53.1.26.E</v>
          </cell>
          <cell r="B895">
            <v>53</v>
          </cell>
          <cell r="C895">
            <v>1</v>
          </cell>
          <cell r="D895">
            <v>26</v>
          </cell>
          <cell r="E895" t="str">
            <v>E</v>
          </cell>
          <cell r="F895">
            <v>2.6499999999999999E-2</v>
          </cell>
        </row>
        <row r="896">
          <cell r="A896" t="str">
            <v>53.1.26.F</v>
          </cell>
          <cell r="B896">
            <v>53</v>
          </cell>
          <cell r="C896">
            <v>1</v>
          </cell>
          <cell r="D896">
            <v>26</v>
          </cell>
          <cell r="E896" t="str">
            <v>F</v>
          </cell>
          <cell r="F896">
            <v>2.6499999999999999E-2</v>
          </cell>
        </row>
        <row r="897">
          <cell r="A897" t="str">
            <v>53.1.26.I</v>
          </cell>
          <cell r="B897">
            <v>53</v>
          </cell>
          <cell r="C897">
            <v>1</v>
          </cell>
          <cell r="D897">
            <v>26</v>
          </cell>
          <cell r="E897" t="str">
            <v>I</v>
          </cell>
          <cell r="F897">
            <v>2.6499999999999999E-2</v>
          </cell>
        </row>
        <row r="898">
          <cell r="A898" t="str">
            <v>53.1.26.N</v>
          </cell>
          <cell r="B898">
            <v>53</v>
          </cell>
          <cell r="C898">
            <v>1</v>
          </cell>
          <cell r="D898">
            <v>26</v>
          </cell>
          <cell r="E898" t="str">
            <v>N</v>
          </cell>
          <cell r="F898">
            <v>2.6499999999999999E-2</v>
          </cell>
        </row>
        <row r="899">
          <cell r="A899" t="str">
            <v>53.7P.26.N</v>
          </cell>
          <cell r="B899">
            <v>53</v>
          </cell>
          <cell r="C899" t="str">
            <v>7P</v>
          </cell>
          <cell r="D899">
            <v>26</v>
          </cell>
          <cell r="E899" t="str">
            <v>N</v>
          </cell>
          <cell r="F899">
            <v>2.6499999999999999E-2</v>
          </cell>
        </row>
        <row r="900">
          <cell r="A900" t="str">
            <v>53.1.27.0</v>
          </cell>
          <cell r="B900">
            <v>53</v>
          </cell>
          <cell r="C900">
            <v>1</v>
          </cell>
          <cell r="D900">
            <v>27</v>
          </cell>
          <cell r="E900">
            <v>0</v>
          </cell>
          <cell r="F900">
            <v>2.6599999999999999E-2</v>
          </cell>
        </row>
        <row r="901">
          <cell r="A901" t="str">
            <v>53.1.27.A</v>
          </cell>
          <cell r="B901">
            <v>53</v>
          </cell>
          <cell r="C901">
            <v>1</v>
          </cell>
          <cell r="D901">
            <v>27</v>
          </cell>
          <cell r="E901" t="str">
            <v>A</v>
          </cell>
          <cell r="F901">
            <v>2.6599999999999999E-2</v>
          </cell>
        </row>
        <row r="902">
          <cell r="A902" t="str">
            <v>53.1.27.N</v>
          </cell>
          <cell r="B902">
            <v>53</v>
          </cell>
          <cell r="C902">
            <v>1</v>
          </cell>
          <cell r="D902">
            <v>27</v>
          </cell>
          <cell r="E902" t="str">
            <v>N</v>
          </cell>
          <cell r="F902">
            <v>2.6599999999999999E-2</v>
          </cell>
        </row>
        <row r="903">
          <cell r="A903" t="str">
            <v>53.1.28.0</v>
          </cell>
          <cell r="B903">
            <v>53</v>
          </cell>
          <cell r="C903">
            <v>1</v>
          </cell>
          <cell r="D903">
            <v>28</v>
          </cell>
          <cell r="E903">
            <v>0</v>
          </cell>
          <cell r="F903">
            <v>2.5600000000000001E-2</v>
          </cell>
        </row>
        <row r="904">
          <cell r="A904" t="str">
            <v>53.1.28.2</v>
          </cell>
          <cell r="B904">
            <v>53</v>
          </cell>
          <cell r="C904">
            <v>1</v>
          </cell>
          <cell r="D904">
            <v>28</v>
          </cell>
          <cell r="E904">
            <v>2</v>
          </cell>
          <cell r="F904">
            <v>2.5600000000000001E-2</v>
          </cell>
        </row>
        <row r="905">
          <cell r="A905" t="str">
            <v>53.1.28.A</v>
          </cell>
          <cell r="B905">
            <v>53</v>
          </cell>
          <cell r="C905">
            <v>1</v>
          </cell>
          <cell r="D905">
            <v>28</v>
          </cell>
          <cell r="E905" t="str">
            <v>A</v>
          </cell>
          <cell r="F905">
            <v>2.5600000000000001E-2</v>
          </cell>
        </row>
        <row r="906">
          <cell r="A906" t="str">
            <v>53.1.28.F</v>
          </cell>
          <cell r="B906">
            <v>53</v>
          </cell>
          <cell r="C906">
            <v>1</v>
          </cell>
          <cell r="D906">
            <v>28</v>
          </cell>
          <cell r="E906" t="str">
            <v>F</v>
          </cell>
          <cell r="F906">
            <v>2.5600000000000001E-2</v>
          </cell>
        </row>
        <row r="907">
          <cell r="A907" t="str">
            <v>53.1.28.N</v>
          </cell>
          <cell r="B907">
            <v>53</v>
          </cell>
          <cell r="C907">
            <v>1</v>
          </cell>
          <cell r="D907">
            <v>28</v>
          </cell>
          <cell r="E907" t="str">
            <v>N</v>
          </cell>
          <cell r="F907">
            <v>2.5600000000000001E-2</v>
          </cell>
        </row>
        <row r="908">
          <cell r="A908" t="str">
            <v>53.0M.28.N</v>
          </cell>
          <cell r="B908">
            <v>53</v>
          </cell>
          <cell r="C908" t="str">
            <v>0M</v>
          </cell>
          <cell r="D908">
            <v>28</v>
          </cell>
          <cell r="E908" t="str">
            <v>N</v>
          </cell>
          <cell r="F908">
            <v>2.5600000000000001E-2</v>
          </cell>
        </row>
        <row r="909">
          <cell r="A909" t="str">
            <v>53.1.29.0</v>
          </cell>
          <cell r="B909">
            <v>53</v>
          </cell>
          <cell r="C909">
            <v>1</v>
          </cell>
          <cell r="D909">
            <v>29</v>
          </cell>
          <cell r="E909">
            <v>0</v>
          </cell>
          <cell r="F909">
            <v>2.86E-2</v>
          </cell>
        </row>
        <row r="910">
          <cell r="A910" t="str">
            <v>53.1.29.2</v>
          </cell>
          <cell r="B910">
            <v>53</v>
          </cell>
          <cell r="C910">
            <v>1</v>
          </cell>
          <cell r="D910">
            <v>29</v>
          </cell>
          <cell r="E910">
            <v>2</v>
          </cell>
          <cell r="F910">
            <v>2.86E-2</v>
          </cell>
        </row>
        <row r="911">
          <cell r="A911" t="str">
            <v>53.1.29.A</v>
          </cell>
          <cell r="B911">
            <v>53</v>
          </cell>
          <cell r="C911">
            <v>1</v>
          </cell>
          <cell r="D911">
            <v>29</v>
          </cell>
          <cell r="E911" t="str">
            <v>A</v>
          </cell>
          <cell r="F911">
            <v>2.86E-2</v>
          </cell>
        </row>
        <row r="912">
          <cell r="A912" t="str">
            <v>53.1.29.C</v>
          </cell>
          <cell r="B912">
            <v>53</v>
          </cell>
          <cell r="C912">
            <v>1</v>
          </cell>
          <cell r="D912">
            <v>29</v>
          </cell>
          <cell r="E912" t="str">
            <v>C</v>
          </cell>
          <cell r="F912">
            <v>2.86E-2</v>
          </cell>
        </row>
        <row r="913">
          <cell r="A913" t="str">
            <v>53.1.29.E</v>
          </cell>
          <cell r="B913">
            <v>53</v>
          </cell>
          <cell r="C913">
            <v>1</v>
          </cell>
          <cell r="D913">
            <v>29</v>
          </cell>
          <cell r="E913" t="str">
            <v>E</v>
          </cell>
          <cell r="F913">
            <v>2.86E-2</v>
          </cell>
        </row>
        <row r="914">
          <cell r="A914" t="str">
            <v>53.1.29.F</v>
          </cell>
          <cell r="B914">
            <v>53</v>
          </cell>
          <cell r="C914">
            <v>1</v>
          </cell>
          <cell r="D914">
            <v>29</v>
          </cell>
          <cell r="E914" t="str">
            <v>F</v>
          </cell>
          <cell r="F914">
            <v>2.86E-2</v>
          </cell>
        </row>
        <row r="915">
          <cell r="A915" t="str">
            <v>53.1.29.I</v>
          </cell>
          <cell r="B915">
            <v>53</v>
          </cell>
          <cell r="C915">
            <v>1</v>
          </cell>
          <cell r="D915">
            <v>29</v>
          </cell>
          <cell r="E915" t="str">
            <v>I</v>
          </cell>
          <cell r="F915">
            <v>2.86E-2</v>
          </cell>
        </row>
        <row r="916">
          <cell r="A916" t="str">
            <v>53.1.29.N</v>
          </cell>
          <cell r="B916">
            <v>53</v>
          </cell>
          <cell r="C916">
            <v>1</v>
          </cell>
          <cell r="D916">
            <v>29</v>
          </cell>
          <cell r="E916" t="str">
            <v>N</v>
          </cell>
          <cell r="F916">
            <v>2.86E-2</v>
          </cell>
        </row>
        <row r="917">
          <cell r="A917" t="str">
            <v>53.7P.29.N</v>
          </cell>
          <cell r="B917">
            <v>53</v>
          </cell>
          <cell r="C917" t="str">
            <v>7P</v>
          </cell>
          <cell r="D917">
            <v>29</v>
          </cell>
          <cell r="E917" t="str">
            <v>N</v>
          </cell>
          <cell r="F917">
            <v>2.86E-2</v>
          </cell>
        </row>
        <row r="918">
          <cell r="A918" t="str">
            <v>53.1.30.0</v>
          </cell>
          <cell r="B918">
            <v>53</v>
          </cell>
          <cell r="C918">
            <v>1</v>
          </cell>
          <cell r="D918">
            <v>30</v>
          </cell>
          <cell r="E918">
            <v>0</v>
          </cell>
          <cell r="F918">
            <v>2.9000000000000001E-2</v>
          </cell>
        </row>
        <row r="919">
          <cell r="A919" t="str">
            <v>53.1.30.1</v>
          </cell>
          <cell r="B919">
            <v>53</v>
          </cell>
          <cell r="C919">
            <v>1</v>
          </cell>
          <cell r="D919">
            <v>30</v>
          </cell>
          <cell r="E919">
            <v>1</v>
          </cell>
          <cell r="F919">
            <v>2.9000000000000001E-2</v>
          </cell>
        </row>
        <row r="920">
          <cell r="A920" t="str">
            <v>53.1.30.2</v>
          </cell>
          <cell r="B920">
            <v>53</v>
          </cell>
          <cell r="C920">
            <v>1</v>
          </cell>
          <cell r="D920">
            <v>30</v>
          </cell>
          <cell r="E920">
            <v>2</v>
          </cell>
          <cell r="F920">
            <v>2.9000000000000001E-2</v>
          </cell>
        </row>
        <row r="921">
          <cell r="A921" t="str">
            <v>53.1.30.A</v>
          </cell>
          <cell r="B921">
            <v>53</v>
          </cell>
          <cell r="C921">
            <v>1</v>
          </cell>
          <cell r="D921">
            <v>30</v>
          </cell>
          <cell r="E921" t="str">
            <v>A</v>
          </cell>
          <cell r="F921">
            <v>2.9000000000000001E-2</v>
          </cell>
        </row>
        <row r="922">
          <cell r="A922" t="str">
            <v>53.1.30.E</v>
          </cell>
          <cell r="B922">
            <v>53</v>
          </cell>
          <cell r="C922">
            <v>1</v>
          </cell>
          <cell r="D922">
            <v>30</v>
          </cell>
          <cell r="E922" t="str">
            <v>E</v>
          </cell>
          <cell r="F922">
            <v>2.9000000000000001E-2</v>
          </cell>
        </row>
        <row r="923">
          <cell r="A923" t="str">
            <v>53.1.30.F</v>
          </cell>
          <cell r="B923">
            <v>53</v>
          </cell>
          <cell r="C923">
            <v>1</v>
          </cell>
          <cell r="D923">
            <v>30</v>
          </cell>
          <cell r="E923" t="str">
            <v>F</v>
          </cell>
          <cell r="F923">
            <v>2.9000000000000001E-2</v>
          </cell>
        </row>
        <row r="924">
          <cell r="A924" t="str">
            <v>53.1.30.I</v>
          </cell>
          <cell r="B924">
            <v>53</v>
          </cell>
          <cell r="C924">
            <v>1</v>
          </cell>
          <cell r="D924">
            <v>30</v>
          </cell>
          <cell r="E924" t="str">
            <v>I</v>
          </cell>
          <cell r="F924">
            <v>2.9000000000000001E-2</v>
          </cell>
        </row>
        <row r="925">
          <cell r="A925" t="str">
            <v>53.1.30.N</v>
          </cell>
          <cell r="B925">
            <v>53</v>
          </cell>
          <cell r="C925">
            <v>1</v>
          </cell>
          <cell r="D925">
            <v>30</v>
          </cell>
          <cell r="E925" t="str">
            <v>N</v>
          </cell>
          <cell r="F925">
            <v>2.9000000000000001E-2</v>
          </cell>
        </row>
        <row r="926">
          <cell r="A926" t="str">
            <v>53.7P.30.N</v>
          </cell>
          <cell r="B926">
            <v>53</v>
          </cell>
          <cell r="C926" t="str">
            <v>7P</v>
          </cell>
          <cell r="D926">
            <v>30</v>
          </cell>
          <cell r="E926" t="str">
            <v>N</v>
          </cell>
          <cell r="F926">
            <v>2.9000000000000001E-2</v>
          </cell>
        </row>
        <row r="927">
          <cell r="A927" t="str">
            <v>53.1.31.0</v>
          </cell>
          <cell r="B927">
            <v>53</v>
          </cell>
          <cell r="C927">
            <v>1</v>
          </cell>
          <cell r="D927">
            <v>31</v>
          </cell>
          <cell r="E927">
            <v>0</v>
          </cell>
          <cell r="F927">
            <v>2.23E-2</v>
          </cell>
        </row>
        <row r="928">
          <cell r="A928" t="str">
            <v>53.1.31.A</v>
          </cell>
          <cell r="B928">
            <v>53</v>
          </cell>
          <cell r="C928">
            <v>1</v>
          </cell>
          <cell r="D928">
            <v>31</v>
          </cell>
          <cell r="E928" t="str">
            <v>A</v>
          </cell>
          <cell r="F928">
            <v>2.23E-2</v>
          </cell>
        </row>
        <row r="929">
          <cell r="A929" t="str">
            <v>53.1.31.C</v>
          </cell>
          <cell r="B929">
            <v>53</v>
          </cell>
          <cell r="C929">
            <v>1</v>
          </cell>
          <cell r="D929">
            <v>31</v>
          </cell>
          <cell r="E929" t="str">
            <v>C</v>
          </cell>
          <cell r="F929">
            <v>2.23E-2</v>
          </cell>
        </row>
        <row r="930">
          <cell r="A930" t="str">
            <v>53.1.31.E</v>
          </cell>
          <cell r="B930">
            <v>53</v>
          </cell>
          <cell r="C930">
            <v>1</v>
          </cell>
          <cell r="D930">
            <v>31</v>
          </cell>
          <cell r="E930" t="str">
            <v>E</v>
          </cell>
          <cell r="F930">
            <v>2.23E-2</v>
          </cell>
        </row>
        <row r="931">
          <cell r="A931" t="str">
            <v>53.1.31.F</v>
          </cell>
          <cell r="B931">
            <v>53</v>
          </cell>
          <cell r="C931">
            <v>1</v>
          </cell>
          <cell r="D931">
            <v>31</v>
          </cell>
          <cell r="E931" t="str">
            <v>F</v>
          </cell>
          <cell r="F931">
            <v>2.23E-2</v>
          </cell>
        </row>
        <row r="932">
          <cell r="A932" t="str">
            <v>53.1.31.I</v>
          </cell>
          <cell r="B932">
            <v>53</v>
          </cell>
          <cell r="C932">
            <v>1</v>
          </cell>
          <cell r="D932">
            <v>31</v>
          </cell>
          <cell r="E932" t="str">
            <v>I</v>
          </cell>
          <cell r="F932">
            <v>2.23E-2</v>
          </cell>
        </row>
        <row r="933">
          <cell r="A933" t="str">
            <v>53.1.31.N</v>
          </cell>
          <cell r="B933">
            <v>53</v>
          </cell>
          <cell r="C933">
            <v>1</v>
          </cell>
          <cell r="D933">
            <v>31</v>
          </cell>
          <cell r="E933" t="str">
            <v>N</v>
          </cell>
          <cell r="F933">
            <v>2.23E-2</v>
          </cell>
        </row>
        <row r="934">
          <cell r="A934" t="str">
            <v>53.7P.31.N</v>
          </cell>
          <cell r="B934">
            <v>53</v>
          </cell>
          <cell r="C934" t="str">
            <v>7P</v>
          </cell>
          <cell r="D934">
            <v>31</v>
          </cell>
          <cell r="E934" t="str">
            <v>N</v>
          </cell>
          <cell r="F934">
            <v>2.23E-2</v>
          </cell>
        </row>
        <row r="935">
          <cell r="A935" t="str">
            <v>53.1.33.0</v>
          </cell>
          <cell r="B935">
            <v>53</v>
          </cell>
          <cell r="C935">
            <v>1</v>
          </cell>
          <cell r="D935">
            <v>33</v>
          </cell>
          <cell r="E935">
            <v>0</v>
          </cell>
          <cell r="F935">
            <v>2.5899999999999999E-2</v>
          </cell>
        </row>
        <row r="936">
          <cell r="A936" t="str">
            <v>53.1.33.A</v>
          </cell>
          <cell r="B936">
            <v>53</v>
          </cell>
          <cell r="C936">
            <v>1</v>
          </cell>
          <cell r="D936">
            <v>33</v>
          </cell>
          <cell r="E936" t="str">
            <v>A</v>
          </cell>
          <cell r="F936">
            <v>2.5899999999999999E-2</v>
          </cell>
        </row>
        <row r="937">
          <cell r="A937" t="str">
            <v>53.1.35.0</v>
          </cell>
          <cell r="B937">
            <v>53</v>
          </cell>
          <cell r="C937">
            <v>1</v>
          </cell>
          <cell r="D937">
            <v>35</v>
          </cell>
          <cell r="E937">
            <v>0</v>
          </cell>
          <cell r="F937">
            <v>2.5899999999999999E-2</v>
          </cell>
        </row>
        <row r="938">
          <cell r="A938" t="str">
            <v>53.1.35.2</v>
          </cell>
          <cell r="B938">
            <v>53</v>
          </cell>
          <cell r="C938">
            <v>1</v>
          </cell>
          <cell r="D938">
            <v>35</v>
          </cell>
          <cell r="E938">
            <v>2</v>
          </cell>
          <cell r="F938">
            <v>2.5899999999999999E-2</v>
          </cell>
        </row>
        <row r="939">
          <cell r="A939" t="str">
            <v>53.1.35.A</v>
          </cell>
          <cell r="B939">
            <v>53</v>
          </cell>
          <cell r="C939">
            <v>1</v>
          </cell>
          <cell r="D939">
            <v>35</v>
          </cell>
          <cell r="E939" t="str">
            <v>A</v>
          </cell>
          <cell r="F939">
            <v>2.5899999999999999E-2</v>
          </cell>
        </row>
        <row r="940">
          <cell r="A940" t="str">
            <v>53.1.35.C</v>
          </cell>
          <cell r="B940">
            <v>53</v>
          </cell>
          <cell r="C940">
            <v>1</v>
          </cell>
          <cell r="D940">
            <v>35</v>
          </cell>
          <cell r="E940" t="str">
            <v>C</v>
          </cell>
          <cell r="F940">
            <v>2.5899999999999999E-2</v>
          </cell>
        </row>
        <row r="941">
          <cell r="A941" t="str">
            <v>53.1.35.E</v>
          </cell>
          <cell r="B941">
            <v>53</v>
          </cell>
          <cell r="C941">
            <v>1</v>
          </cell>
          <cell r="D941">
            <v>35</v>
          </cell>
          <cell r="E941" t="str">
            <v>E</v>
          </cell>
          <cell r="F941">
            <v>2.5899999999999999E-2</v>
          </cell>
        </row>
        <row r="942">
          <cell r="A942" t="str">
            <v>53.1.35.F</v>
          </cell>
          <cell r="B942">
            <v>53</v>
          </cell>
          <cell r="C942">
            <v>1</v>
          </cell>
          <cell r="D942">
            <v>35</v>
          </cell>
          <cell r="E942" t="str">
            <v>F</v>
          </cell>
          <cell r="F942">
            <v>2.5899999999999999E-2</v>
          </cell>
        </row>
        <row r="943">
          <cell r="A943" t="str">
            <v>53.1.35.I</v>
          </cell>
          <cell r="B943">
            <v>53</v>
          </cell>
          <cell r="C943">
            <v>1</v>
          </cell>
          <cell r="D943">
            <v>35</v>
          </cell>
          <cell r="E943" t="str">
            <v>I</v>
          </cell>
          <cell r="F943">
            <v>2.5899999999999999E-2</v>
          </cell>
        </row>
        <row r="944">
          <cell r="A944" t="str">
            <v>53.1.35.N</v>
          </cell>
          <cell r="B944">
            <v>53</v>
          </cell>
          <cell r="C944">
            <v>1</v>
          </cell>
          <cell r="D944">
            <v>35</v>
          </cell>
          <cell r="E944" t="str">
            <v>N</v>
          </cell>
          <cell r="F944">
            <v>2.5899999999999999E-2</v>
          </cell>
        </row>
        <row r="945">
          <cell r="A945" t="str">
            <v>53.7P.35.N</v>
          </cell>
          <cell r="B945">
            <v>53</v>
          </cell>
          <cell r="C945" t="str">
            <v>7P</v>
          </cell>
          <cell r="D945">
            <v>35</v>
          </cell>
          <cell r="E945" t="str">
            <v>N</v>
          </cell>
          <cell r="F945">
            <v>2.5899999999999999E-2</v>
          </cell>
        </row>
        <row r="946">
          <cell r="A946" t="str">
            <v>53.1.50.0</v>
          </cell>
          <cell r="B946">
            <v>53</v>
          </cell>
          <cell r="C946">
            <v>1</v>
          </cell>
          <cell r="D946">
            <v>50</v>
          </cell>
          <cell r="E946">
            <v>0</v>
          </cell>
          <cell r="F946">
            <v>2.0799999999999999E-2</v>
          </cell>
        </row>
        <row r="947">
          <cell r="A947" t="str">
            <v>53.1.50.2</v>
          </cell>
          <cell r="B947">
            <v>53</v>
          </cell>
          <cell r="C947">
            <v>1</v>
          </cell>
          <cell r="D947">
            <v>50</v>
          </cell>
          <cell r="E947">
            <v>2</v>
          </cell>
          <cell r="F947">
            <v>2.0799999999999999E-2</v>
          </cell>
        </row>
        <row r="948">
          <cell r="A948" t="str">
            <v>53.1.50.A</v>
          </cell>
          <cell r="B948">
            <v>53</v>
          </cell>
          <cell r="C948">
            <v>1</v>
          </cell>
          <cell r="D948">
            <v>50</v>
          </cell>
          <cell r="E948" t="str">
            <v>A</v>
          </cell>
          <cell r="F948">
            <v>2.0799999999999999E-2</v>
          </cell>
        </row>
        <row r="949">
          <cell r="A949" t="str">
            <v>53.1.50.F</v>
          </cell>
          <cell r="B949">
            <v>53</v>
          </cell>
          <cell r="C949">
            <v>1</v>
          </cell>
          <cell r="D949">
            <v>50</v>
          </cell>
          <cell r="E949" t="str">
            <v>F</v>
          </cell>
          <cell r="F949">
            <v>2.0799999999999999E-2</v>
          </cell>
        </row>
        <row r="950">
          <cell r="A950" t="str">
            <v>53.1.50.N</v>
          </cell>
          <cell r="B950">
            <v>53</v>
          </cell>
          <cell r="C950">
            <v>1</v>
          </cell>
          <cell r="D950">
            <v>50</v>
          </cell>
          <cell r="E950" t="str">
            <v>N</v>
          </cell>
          <cell r="F950">
            <v>2.0799999999999999E-2</v>
          </cell>
        </row>
        <row r="951">
          <cell r="A951" t="str">
            <v>53.1.56.0</v>
          </cell>
          <cell r="B951">
            <v>53</v>
          </cell>
          <cell r="C951">
            <v>1</v>
          </cell>
          <cell r="D951">
            <v>56</v>
          </cell>
          <cell r="E951">
            <v>0</v>
          </cell>
          <cell r="F951">
            <v>3.0800000000000001E-2</v>
          </cell>
        </row>
        <row r="952">
          <cell r="A952" t="str">
            <v>53.1.56.A</v>
          </cell>
          <cell r="B952">
            <v>53</v>
          </cell>
          <cell r="C952">
            <v>1</v>
          </cell>
          <cell r="D952">
            <v>56</v>
          </cell>
          <cell r="E952" t="str">
            <v>A</v>
          </cell>
          <cell r="F952">
            <v>3.0800000000000001E-2</v>
          </cell>
        </row>
        <row r="953">
          <cell r="A953" t="str">
            <v>53.1.56.E</v>
          </cell>
          <cell r="B953">
            <v>53</v>
          </cell>
          <cell r="C953">
            <v>1</v>
          </cell>
          <cell r="D953">
            <v>56</v>
          </cell>
          <cell r="E953" t="str">
            <v>E</v>
          </cell>
          <cell r="F953">
            <v>3.0800000000000001E-2</v>
          </cell>
        </row>
        <row r="954">
          <cell r="A954" t="str">
            <v>53.1.56.F</v>
          </cell>
          <cell r="B954">
            <v>53</v>
          </cell>
          <cell r="C954">
            <v>1</v>
          </cell>
          <cell r="D954">
            <v>56</v>
          </cell>
          <cell r="E954" t="str">
            <v>F</v>
          </cell>
          <cell r="F954">
            <v>3.0800000000000001E-2</v>
          </cell>
        </row>
        <row r="955">
          <cell r="A955" t="str">
            <v>53.1.56.I</v>
          </cell>
          <cell r="B955">
            <v>53</v>
          </cell>
          <cell r="C955">
            <v>1</v>
          </cell>
          <cell r="D955">
            <v>56</v>
          </cell>
          <cell r="E955" t="str">
            <v>I</v>
          </cell>
          <cell r="F955">
            <v>3.0800000000000001E-2</v>
          </cell>
        </row>
        <row r="956">
          <cell r="A956" t="str">
            <v>53.1.56.N</v>
          </cell>
          <cell r="B956">
            <v>53</v>
          </cell>
          <cell r="C956">
            <v>1</v>
          </cell>
          <cell r="D956">
            <v>56</v>
          </cell>
          <cell r="E956" t="str">
            <v>N</v>
          </cell>
          <cell r="F956">
            <v>3.0800000000000001E-2</v>
          </cell>
        </row>
        <row r="957">
          <cell r="A957" t="str">
            <v>53.1.58.E</v>
          </cell>
          <cell r="B957">
            <v>53</v>
          </cell>
          <cell r="C957">
            <v>1</v>
          </cell>
          <cell r="D957">
            <v>58</v>
          </cell>
          <cell r="E957" t="str">
            <v>E</v>
          </cell>
          <cell r="F957">
            <v>3.1800000000000002E-2</v>
          </cell>
        </row>
        <row r="958">
          <cell r="A958" t="str">
            <v>53.1.58.F</v>
          </cell>
          <cell r="B958">
            <v>53</v>
          </cell>
          <cell r="C958">
            <v>1</v>
          </cell>
          <cell r="D958">
            <v>58</v>
          </cell>
          <cell r="E958" t="str">
            <v>F</v>
          </cell>
          <cell r="F958">
            <v>3.1800000000000002E-2</v>
          </cell>
        </row>
        <row r="959">
          <cell r="A959" t="str">
            <v>53.1.58.I</v>
          </cell>
          <cell r="B959">
            <v>53</v>
          </cell>
          <cell r="C959">
            <v>1</v>
          </cell>
          <cell r="D959">
            <v>58</v>
          </cell>
          <cell r="E959" t="str">
            <v>I</v>
          </cell>
          <cell r="F959">
            <v>3.1800000000000002E-2</v>
          </cell>
        </row>
        <row r="960">
          <cell r="A960" t="str">
            <v>53.1.58.N</v>
          </cell>
          <cell r="B960">
            <v>53</v>
          </cell>
          <cell r="C960">
            <v>1</v>
          </cell>
          <cell r="D960">
            <v>58</v>
          </cell>
          <cell r="E960" t="str">
            <v>N</v>
          </cell>
          <cell r="F960">
            <v>3.1800000000000002E-2</v>
          </cell>
        </row>
        <row r="961">
          <cell r="A961" t="str">
            <v>53.0U.58.N</v>
          </cell>
          <cell r="B961">
            <v>53</v>
          </cell>
          <cell r="C961" t="str">
            <v>0U</v>
          </cell>
          <cell r="D961">
            <v>58</v>
          </cell>
          <cell r="E961" t="str">
            <v>N</v>
          </cell>
          <cell r="F961">
            <v>3.1800000000000002E-2</v>
          </cell>
        </row>
        <row r="962">
          <cell r="A962" t="str">
            <v>53.1.65.0</v>
          </cell>
          <cell r="B962">
            <v>53</v>
          </cell>
          <cell r="C962">
            <v>1</v>
          </cell>
          <cell r="D962">
            <v>65</v>
          </cell>
          <cell r="E962">
            <v>0</v>
          </cell>
          <cell r="F962">
            <v>2.0799999999999999E-2</v>
          </cell>
        </row>
        <row r="963">
          <cell r="A963" t="str">
            <v>53.1.65.1</v>
          </cell>
          <cell r="B963">
            <v>53</v>
          </cell>
          <cell r="C963">
            <v>1</v>
          </cell>
          <cell r="D963">
            <v>65</v>
          </cell>
          <cell r="E963">
            <v>1</v>
          </cell>
          <cell r="F963">
            <v>2.0799999999999999E-2</v>
          </cell>
        </row>
        <row r="964">
          <cell r="A964" t="str">
            <v>53.1.65.2</v>
          </cell>
          <cell r="B964">
            <v>53</v>
          </cell>
          <cell r="C964">
            <v>1</v>
          </cell>
          <cell r="D964">
            <v>65</v>
          </cell>
          <cell r="E964">
            <v>2</v>
          </cell>
          <cell r="F964">
            <v>2.0799999999999999E-2</v>
          </cell>
        </row>
        <row r="965">
          <cell r="A965" t="str">
            <v>53.1.65.A</v>
          </cell>
          <cell r="B965">
            <v>53</v>
          </cell>
          <cell r="C965">
            <v>1</v>
          </cell>
          <cell r="D965">
            <v>65</v>
          </cell>
          <cell r="E965" t="str">
            <v>A</v>
          </cell>
          <cell r="F965">
            <v>2.0799999999999999E-2</v>
          </cell>
        </row>
        <row r="966">
          <cell r="A966" t="str">
            <v>53.1.67.0</v>
          </cell>
          <cell r="B966">
            <v>53</v>
          </cell>
          <cell r="C966">
            <v>1</v>
          </cell>
          <cell r="D966">
            <v>67</v>
          </cell>
          <cell r="E966">
            <v>0</v>
          </cell>
          <cell r="F966">
            <v>2.0799999999999999E-2</v>
          </cell>
        </row>
        <row r="967">
          <cell r="A967" t="str">
            <v>53.1.67.A</v>
          </cell>
          <cell r="B967">
            <v>53</v>
          </cell>
          <cell r="C967">
            <v>1</v>
          </cell>
          <cell r="D967">
            <v>67</v>
          </cell>
          <cell r="E967" t="str">
            <v>A</v>
          </cell>
          <cell r="F967">
            <v>2.0799999999999999E-2</v>
          </cell>
        </row>
        <row r="968">
          <cell r="A968" t="str">
            <v>53.1.68.0</v>
          </cell>
          <cell r="B968">
            <v>53</v>
          </cell>
          <cell r="C968">
            <v>1</v>
          </cell>
          <cell r="D968">
            <v>68</v>
          </cell>
          <cell r="E968">
            <v>0</v>
          </cell>
          <cell r="F968">
            <v>2.0799999999999999E-2</v>
          </cell>
        </row>
        <row r="969">
          <cell r="A969" t="str">
            <v>53.1.68.A</v>
          </cell>
          <cell r="B969">
            <v>53</v>
          </cell>
          <cell r="C969">
            <v>1</v>
          </cell>
          <cell r="D969">
            <v>68</v>
          </cell>
          <cell r="E969" t="str">
            <v>A</v>
          </cell>
          <cell r="F969">
            <v>2.0799999999999999E-2</v>
          </cell>
        </row>
        <row r="970">
          <cell r="A970" t="str">
            <v>53.1.68.E</v>
          </cell>
          <cell r="B970">
            <v>53</v>
          </cell>
          <cell r="C970">
            <v>1</v>
          </cell>
          <cell r="D970">
            <v>68</v>
          </cell>
          <cell r="E970" t="str">
            <v>E</v>
          </cell>
          <cell r="F970">
            <v>2.0799999999999999E-2</v>
          </cell>
        </row>
        <row r="971">
          <cell r="A971" t="str">
            <v>53.1.68.I</v>
          </cell>
          <cell r="B971">
            <v>53</v>
          </cell>
          <cell r="C971">
            <v>1</v>
          </cell>
          <cell r="D971">
            <v>68</v>
          </cell>
          <cell r="E971" t="str">
            <v>I</v>
          </cell>
          <cell r="F971">
            <v>2.0799999999999999E-2</v>
          </cell>
        </row>
        <row r="972">
          <cell r="A972" t="str">
            <v>53.1.68.N</v>
          </cell>
          <cell r="B972">
            <v>53</v>
          </cell>
          <cell r="C972">
            <v>1</v>
          </cell>
          <cell r="D972">
            <v>68</v>
          </cell>
          <cell r="E972" t="str">
            <v>N</v>
          </cell>
          <cell r="F972">
            <v>2.0799999999999999E-2</v>
          </cell>
        </row>
        <row r="973">
          <cell r="A973" t="str">
            <v>53.7P.68.N</v>
          </cell>
          <cell r="B973">
            <v>53</v>
          </cell>
          <cell r="C973" t="str">
            <v>7P</v>
          </cell>
          <cell r="D973">
            <v>68</v>
          </cell>
          <cell r="E973" t="str">
            <v>N</v>
          </cell>
          <cell r="F973">
            <v>2.0799999999999999E-2</v>
          </cell>
        </row>
        <row r="974">
          <cell r="A974" t="str">
            <v>53.1.76.0</v>
          </cell>
          <cell r="B974">
            <v>53</v>
          </cell>
          <cell r="C974">
            <v>1</v>
          </cell>
          <cell r="D974">
            <v>76</v>
          </cell>
          <cell r="E974">
            <v>0</v>
          </cell>
          <cell r="F974">
            <v>2.6499999999999999E-2</v>
          </cell>
        </row>
        <row r="975">
          <cell r="A975" t="str">
            <v>53.1.76.2</v>
          </cell>
          <cell r="B975">
            <v>53</v>
          </cell>
          <cell r="C975">
            <v>1</v>
          </cell>
          <cell r="D975">
            <v>76</v>
          </cell>
          <cell r="E975">
            <v>2</v>
          </cell>
          <cell r="F975">
            <v>2.6499999999999999E-2</v>
          </cell>
        </row>
        <row r="976">
          <cell r="A976" t="str">
            <v>53.1.76.A</v>
          </cell>
          <cell r="B976">
            <v>53</v>
          </cell>
          <cell r="C976">
            <v>1</v>
          </cell>
          <cell r="D976">
            <v>76</v>
          </cell>
          <cell r="E976" t="str">
            <v>A</v>
          </cell>
          <cell r="F976">
            <v>2.6499999999999999E-2</v>
          </cell>
        </row>
        <row r="977">
          <cell r="A977" t="str">
            <v>53.1.76.F</v>
          </cell>
          <cell r="B977">
            <v>53</v>
          </cell>
          <cell r="C977">
            <v>1</v>
          </cell>
          <cell r="D977">
            <v>76</v>
          </cell>
          <cell r="E977" t="str">
            <v>F</v>
          </cell>
          <cell r="F977">
            <v>2.6499999999999999E-2</v>
          </cell>
        </row>
        <row r="978">
          <cell r="A978" t="str">
            <v>53.1.76.N</v>
          </cell>
          <cell r="B978">
            <v>53</v>
          </cell>
          <cell r="C978">
            <v>1</v>
          </cell>
          <cell r="D978">
            <v>76</v>
          </cell>
          <cell r="E978" t="str">
            <v>N</v>
          </cell>
          <cell r="F978">
            <v>2.6499999999999999E-2</v>
          </cell>
        </row>
        <row r="979">
          <cell r="A979" t="str">
            <v>53.1.93.I</v>
          </cell>
          <cell r="B979">
            <v>53</v>
          </cell>
          <cell r="C979">
            <v>1</v>
          </cell>
          <cell r="D979">
            <v>93</v>
          </cell>
          <cell r="E979" t="str">
            <v>I</v>
          </cell>
          <cell r="F979">
            <v>0</v>
          </cell>
        </row>
        <row r="980">
          <cell r="A980" t="str">
            <v>53.1.94.I</v>
          </cell>
          <cell r="B980">
            <v>53</v>
          </cell>
          <cell r="C980">
            <v>1</v>
          </cell>
          <cell r="D980">
            <v>94</v>
          </cell>
          <cell r="E980" t="str">
            <v>I</v>
          </cell>
          <cell r="F980">
            <v>3.2599999999999997E-2</v>
          </cell>
        </row>
        <row r="981">
          <cell r="A981" t="str">
            <v>53.1.97.I</v>
          </cell>
          <cell r="B981">
            <v>53</v>
          </cell>
          <cell r="C981">
            <v>1</v>
          </cell>
          <cell r="D981">
            <v>97</v>
          </cell>
          <cell r="E981" t="str">
            <v>I</v>
          </cell>
          <cell r="F981">
            <v>4.1500000000000002E-2</v>
          </cell>
        </row>
        <row r="982">
          <cell r="A982" t="str">
            <v>53.1.98.0</v>
          </cell>
          <cell r="B982">
            <v>53</v>
          </cell>
          <cell r="C982">
            <v>1</v>
          </cell>
          <cell r="D982">
            <v>98</v>
          </cell>
          <cell r="E982">
            <v>0</v>
          </cell>
          <cell r="F982">
            <v>0</v>
          </cell>
        </row>
        <row r="983">
          <cell r="A983" t="str">
            <v>53.1.98.A</v>
          </cell>
          <cell r="B983">
            <v>53</v>
          </cell>
          <cell r="C983">
            <v>1</v>
          </cell>
          <cell r="D983">
            <v>98</v>
          </cell>
          <cell r="E983" t="str">
            <v>A</v>
          </cell>
          <cell r="F983">
            <v>0</v>
          </cell>
        </row>
        <row r="984">
          <cell r="A984" t="str">
            <v>55.1.16.E</v>
          </cell>
          <cell r="B984">
            <v>55</v>
          </cell>
          <cell r="C984">
            <v>1</v>
          </cell>
          <cell r="D984">
            <v>16</v>
          </cell>
          <cell r="E984" t="str">
            <v>E</v>
          </cell>
          <cell r="F984">
            <v>9.3299999999999994E-2</v>
          </cell>
        </row>
        <row r="985">
          <cell r="A985" t="str">
            <v>55.1.17.E</v>
          </cell>
          <cell r="B985">
            <v>55</v>
          </cell>
          <cell r="C985">
            <v>1</v>
          </cell>
          <cell r="D985">
            <v>17</v>
          </cell>
          <cell r="E985" t="str">
            <v>E</v>
          </cell>
          <cell r="F985">
            <v>9.3299999999999994E-2</v>
          </cell>
        </row>
        <row r="986">
          <cell r="A986" t="str">
            <v>55.1.17.N</v>
          </cell>
          <cell r="B986">
            <v>55</v>
          </cell>
          <cell r="C986">
            <v>1</v>
          </cell>
          <cell r="D986">
            <v>17</v>
          </cell>
          <cell r="E986" t="str">
            <v>N</v>
          </cell>
          <cell r="F986">
            <v>9.3299999999999994E-2</v>
          </cell>
        </row>
        <row r="987">
          <cell r="A987" t="str">
            <v>55.7P.17.N</v>
          </cell>
          <cell r="B987">
            <v>55</v>
          </cell>
          <cell r="C987" t="str">
            <v>7P</v>
          </cell>
          <cell r="D987">
            <v>17</v>
          </cell>
          <cell r="E987" t="str">
            <v>N</v>
          </cell>
          <cell r="F987">
            <v>9.3299999999999994E-2</v>
          </cell>
        </row>
        <row r="988">
          <cell r="A988" t="str">
            <v>55.1.18.E</v>
          </cell>
          <cell r="B988">
            <v>55</v>
          </cell>
          <cell r="C988">
            <v>1</v>
          </cell>
          <cell r="D988">
            <v>18</v>
          </cell>
          <cell r="E988" t="str">
            <v>E</v>
          </cell>
          <cell r="F988">
            <v>9.3299999999999994E-2</v>
          </cell>
        </row>
        <row r="989">
          <cell r="A989" t="str">
            <v>55.1.35.0</v>
          </cell>
          <cell r="B989">
            <v>55</v>
          </cell>
          <cell r="C989">
            <v>1</v>
          </cell>
          <cell r="D989">
            <v>35</v>
          </cell>
          <cell r="E989">
            <v>0</v>
          </cell>
          <cell r="F989">
            <v>9.3299999999999994E-2</v>
          </cell>
        </row>
        <row r="990">
          <cell r="A990" t="str">
            <v>55.1.35.A</v>
          </cell>
          <cell r="B990">
            <v>55</v>
          </cell>
          <cell r="C990">
            <v>1</v>
          </cell>
          <cell r="D990">
            <v>35</v>
          </cell>
          <cell r="E990" t="str">
            <v>A</v>
          </cell>
          <cell r="F990">
            <v>9.3299999999999994E-2</v>
          </cell>
        </row>
        <row r="991">
          <cell r="A991" t="str">
            <v>55.1.35.E</v>
          </cell>
          <cell r="B991">
            <v>55</v>
          </cell>
          <cell r="C991">
            <v>1</v>
          </cell>
          <cell r="D991">
            <v>35</v>
          </cell>
          <cell r="E991" t="str">
            <v>E</v>
          </cell>
          <cell r="F991">
            <v>9.3299999999999994E-2</v>
          </cell>
        </row>
        <row r="992">
          <cell r="A992" t="str">
            <v>55.1.35.N</v>
          </cell>
          <cell r="B992">
            <v>55</v>
          </cell>
          <cell r="C992">
            <v>1</v>
          </cell>
          <cell r="D992">
            <v>35</v>
          </cell>
          <cell r="E992" t="str">
            <v>N</v>
          </cell>
          <cell r="F992">
            <v>9.3299999999999994E-2</v>
          </cell>
        </row>
        <row r="993">
          <cell r="A993" t="str">
            <v>55.1.65.E</v>
          </cell>
          <cell r="B993">
            <v>55</v>
          </cell>
          <cell r="C993">
            <v>1</v>
          </cell>
          <cell r="D993">
            <v>65</v>
          </cell>
          <cell r="E993" t="str">
            <v>E</v>
          </cell>
          <cell r="F993">
            <v>9.3299999999999994E-2</v>
          </cell>
        </row>
        <row r="994">
          <cell r="A994" t="str">
            <v>55.1.65.N</v>
          </cell>
          <cell r="B994">
            <v>55</v>
          </cell>
          <cell r="C994">
            <v>1</v>
          </cell>
          <cell r="D994">
            <v>65</v>
          </cell>
          <cell r="E994" t="str">
            <v>N</v>
          </cell>
          <cell r="F994">
            <v>9.3299999999999994E-2</v>
          </cell>
        </row>
        <row r="995">
          <cell r="A995" t="str">
            <v>55.7P.65.N</v>
          </cell>
          <cell r="B995">
            <v>55</v>
          </cell>
          <cell r="C995" t="str">
            <v>7P</v>
          </cell>
          <cell r="D995">
            <v>65</v>
          </cell>
          <cell r="E995" t="str">
            <v>N</v>
          </cell>
          <cell r="F995">
            <v>9.3299999999999994E-2</v>
          </cell>
        </row>
        <row r="996">
          <cell r="A996" t="str">
            <v>57.1.0.0</v>
          </cell>
          <cell r="B996">
            <v>57</v>
          </cell>
          <cell r="C996">
            <v>1</v>
          </cell>
          <cell r="D996">
            <v>0</v>
          </cell>
          <cell r="E996">
            <v>0</v>
          </cell>
          <cell r="F996">
            <v>2.5100000000000001E-2</v>
          </cell>
        </row>
        <row r="997">
          <cell r="A997" t="str">
            <v>57.1.0.A</v>
          </cell>
          <cell r="B997">
            <v>57</v>
          </cell>
          <cell r="C997">
            <v>1</v>
          </cell>
          <cell r="D997">
            <v>0</v>
          </cell>
          <cell r="E997" t="str">
            <v>A</v>
          </cell>
          <cell r="F997">
            <v>2.5100000000000001E-2</v>
          </cell>
        </row>
        <row r="998">
          <cell r="A998" t="str">
            <v>57.1.0.C</v>
          </cell>
          <cell r="B998">
            <v>57</v>
          </cell>
          <cell r="C998">
            <v>1</v>
          </cell>
          <cell r="D998">
            <v>0</v>
          </cell>
          <cell r="E998" t="str">
            <v>C</v>
          </cell>
          <cell r="F998">
            <v>2.5100000000000001E-2</v>
          </cell>
        </row>
        <row r="999">
          <cell r="A999" t="str">
            <v>57.1.0.F</v>
          </cell>
          <cell r="B999">
            <v>57</v>
          </cell>
          <cell r="C999">
            <v>1</v>
          </cell>
          <cell r="D999">
            <v>0</v>
          </cell>
          <cell r="E999" t="str">
            <v>F</v>
          </cell>
          <cell r="F999">
            <v>2.5100000000000001E-2</v>
          </cell>
        </row>
        <row r="1000">
          <cell r="A1000" t="str">
            <v>57.1.0.N</v>
          </cell>
          <cell r="B1000">
            <v>57</v>
          </cell>
          <cell r="C1000">
            <v>1</v>
          </cell>
          <cell r="D1000">
            <v>0</v>
          </cell>
          <cell r="E1000" t="str">
            <v>N</v>
          </cell>
          <cell r="F1000">
            <v>2.5100000000000001E-2</v>
          </cell>
        </row>
        <row r="1001">
          <cell r="A1001" t="str">
            <v>57.1.1.0</v>
          </cell>
          <cell r="B1001">
            <v>57</v>
          </cell>
          <cell r="C1001">
            <v>1</v>
          </cell>
          <cell r="D1001">
            <v>1</v>
          </cell>
          <cell r="E1001">
            <v>0</v>
          </cell>
          <cell r="F1001">
            <v>2.5100000000000001E-2</v>
          </cell>
        </row>
        <row r="1002">
          <cell r="A1002" t="str">
            <v>57.1.1.A</v>
          </cell>
          <cell r="B1002">
            <v>57</v>
          </cell>
          <cell r="C1002">
            <v>1</v>
          </cell>
          <cell r="D1002">
            <v>1</v>
          </cell>
          <cell r="E1002" t="str">
            <v>A</v>
          </cell>
          <cell r="F1002">
            <v>2.5100000000000001E-2</v>
          </cell>
        </row>
        <row r="1003">
          <cell r="A1003" t="str">
            <v>57.1.5.0</v>
          </cell>
          <cell r="B1003">
            <v>57</v>
          </cell>
          <cell r="C1003">
            <v>1</v>
          </cell>
          <cell r="D1003">
            <v>5</v>
          </cell>
          <cell r="E1003">
            <v>0</v>
          </cell>
          <cell r="F1003">
            <v>2.5100000000000001E-2</v>
          </cell>
        </row>
        <row r="1004">
          <cell r="A1004" t="str">
            <v>57.1.5.2</v>
          </cell>
          <cell r="B1004">
            <v>57</v>
          </cell>
          <cell r="C1004">
            <v>1</v>
          </cell>
          <cell r="D1004">
            <v>5</v>
          </cell>
          <cell r="E1004">
            <v>2</v>
          </cell>
          <cell r="F1004">
            <v>2.5100000000000001E-2</v>
          </cell>
        </row>
        <row r="1005">
          <cell r="A1005" t="str">
            <v>57.1.5.A</v>
          </cell>
          <cell r="B1005">
            <v>57</v>
          </cell>
          <cell r="C1005">
            <v>1</v>
          </cell>
          <cell r="D1005">
            <v>5</v>
          </cell>
          <cell r="E1005" t="str">
            <v>A</v>
          </cell>
          <cell r="F1005">
            <v>2.5100000000000001E-2</v>
          </cell>
        </row>
        <row r="1006">
          <cell r="A1006" t="str">
            <v>57.1.5.E</v>
          </cell>
          <cell r="B1006">
            <v>57</v>
          </cell>
          <cell r="C1006">
            <v>1</v>
          </cell>
          <cell r="D1006">
            <v>5</v>
          </cell>
          <cell r="E1006" t="str">
            <v>E</v>
          </cell>
          <cell r="F1006">
            <v>2.5100000000000001E-2</v>
          </cell>
        </row>
        <row r="1007">
          <cell r="A1007" t="str">
            <v>57.1.5.F</v>
          </cell>
          <cell r="B1007">
            <v>57</v>
          </cell>
          <cell r="C1007">
            <v>1</v>
          </cell>
          <cell r="D1007">
            <v>5</v>
          </cell>
          <cell r="E1007" t="str">
            <v>F</v>
          </cell>
          <cell r="F1007">
            <v>2.5100000000000001E-2</v>
          </cell>
        </row>
        <row r="1008">
          <cell r="A1008" t="str">
            <v>57.1.5.I</v>
          </cell>
          <cell r="B1008">
            <v>57</v>
          </cell>
          <cell r="C1008">
            <v>1</v>
          </cell>
          <cell r="D1008">
            <v>5</v>
          </cell>
          <cell r="E1008" t="str">
            <v>I</v>
          </cell>
          <cell r="F1008">
            <v>2.5100000000000001E-2</v>
          </cell>
        </row>
        <row r="1009">
          <cell r="A1009" t="str">
            <v>57.1.5.N</v>
          </cell>
          <cell r="B1009">
            <v>57</v>
          </cell>
          <cell r="C1009">
            <v>1</v>
          </cell>
          <cell r="D1009">
            <v>5</v>
          </cell>
          <cell r="E1009" t="str">
            <v>N</v>
          </cell>
          <cell r="F1009">
            <v>2.5100000000000001E-2</v>
          </cell>
        </row>
        <row r="1010">
          <cell r="A1010" t="str">
            <v>57.7P.5.N</v>
          </cell>
          <cell r="B1010">
            <v>57</v>
          </cell>
          <cell r="C1010" t="str">
            <v>7P</v>
          </cell>
          <cell r="D1010">
            <v>5</v>
          </cell>
          <cell r="E1010" t="str">
            <v>N</v>
          </cell>
          <cell r="F1010">
            <v>2.5100000000000001E-2</v>
          </cell>
        </row>
        <row r="1011">
          <cell r="A1011" t="str">
            <v>57.1.6.0</v>
          </cell>
          <cell r="B1011">
            <v>57</v>
          </cell>
          <cell r="C1011">
            <v>1</v>
          </cell>
          <cell r="D1011">
            <v>6</v>
          </cell>
          <cell r="E1011">
            <v>0</v>
          </cell>
          <cell r="F1011">
            <v>2.5100000000000001E-2</v>
          </cell>
        </row>
        <row r="1012">
          <cell r="A1012" t="str">
            <v>57.1.6.A</v>
          </cell>
          <cell r="B1012">
            <v>57</v>
          </cell>
          <cell r="C1012">
            <v>1</v>
          </cell>
          <cell r="D1012">
            <v>6</v>
          </cell>
          <cell r="E1012" t="str">
            <v>A</v>
          </cell>
          <cell r="F1012">
            <v>2.5100000000000001E-2</v>
          </cell>
        </row>
        <row r="1013">
          <cell r="A1013" t="str">
            <v>57.1.10.0</v>
          </cell>
          <cell r="B1013">
            <v>57</v>
          </cell>
          <cell r="C1013">
            <v>1</v>
          </cell>
          <cell r="D1013">
            <v>10</v>
          </cell>
          <cell r="E1013">
            <v>0</v>
          </cell>
          <cell r="F1013">
            <v>2.5100000000000001E-2</v>
          </cell>
        </row>
        <row r="1014">
          <cell r="A1014" t="str">
            <v>57.1.10.A</v>
          </cell>
          <cell r="B1014">
            <v>57</v>
          </cell>
          <cell r="C1014">
            <v>1</v>
          </cell>
          <cell r="D1014">
            <v>10</v>
          </cell>
          <cell r="E1014" t="str">
            <v>A</v>
          </cell>
          <cell r="F1014">
            <v>2.5100000000000001E-2</v>
          </cell>
        </row>
        <row r="1015">
          <cell r="A1015" t="str">
            <v>57.1.10.F</v>
          </cell>
          <cell r="B1015">
            <v>57</v>
          </cell>
          <cell r="C1015">
            <v>1</v>
          </cell>
          <cell r="D1015">
            <v>10</v>
          </cell>
          <cell r="E1015" t="str">
            <v>F</v>
          </cell>
          <cell r="F1015">
            <v>2.5100000000000001E-2</v>
          </cell>
        </row>
        <row r="1016">
          <cell r="A1016" t="str">
            <v>57.1.10.N</v>
          </cell>
          <cell r="B1016">
            <v>57</v>
          </cell>
          <cell r="C1016">
            <v>1</v>
          </cell>
          <cell r="D1016">
            <v>10</v>
          </cell>
          <cell r="E1016" t="str">
            <v>N</v>
          </cell>
          <cell r="F1016">
            <v>2.5100000000000001E-2</v>
          </cell>
        </row>
        <row r="1017">
          <cell r="A1017" t="str">
            <v>57.1.15.0</v>
          </cell>
          <cell r="B1017">
            <v>57</v>
          </cell>
          <cell r="C1017">
            <v>1</v>
          </cell>
          <cell r="D1017">
            <v>15</v>
          </cell>
          <cell r="E1017">
            <v>0</v>
          </cell>
          <cell r="F1017">
            <v>2.5100000000000001E-2</v>
          </cell>
        </row>
        <row r="1018">
          <cell r="A1018" t="str">
            <v>57.1.15.A</v>
          </cell>
          <cell r="B1018">
            <v>57</v>
          </cell>
          <cell r="C1018">
            <v>1</v>
          </cell>
          <cell r="D1018">
            <v>15</v>
          </cell>
          <cell r="E1018" t="str">
            <v>A</v>
          </cell>
          <cell r="F1018">
            <v>2.5100000000000001E-2</v>
          </cell>
        </row>
        <row r="1019">
          <cell r="A1019" t="str">
            <v>57.1.15.F</v>
          </cell>
          <cell r="B1019">
            <v>57</v>
          </cell>
          <cell r="C1019">
            <v>1</v>
          </cell>
          <cell r="D1019">
            <v>15</v>
          </cell>
          <cell r="E1019" t="str">
            <v>F</v>
          </cell>
          <cell r="F1019">
            <v>2.5100000000000001E-2</v>
          </cell>
        </row>
        <row r="1020">
          <cell r="A1020" t="str">
            <v>57.1.15.N</v>
          </cell>
          <cell r="B1020">
            <v>57</v>
          </cell>
          <cell r="C1020">
            <v>1</v>
          </cell>
          <cell r="D1020">
            <v>15</v>
          </cell>
          <cell r="E1020" t="str">
            <v>N</v>
          </cell>
          <cell r="F1020">
            <v>2.5100000000000001E-2</v>
          </cell>
        </row>
        <row r="1021">
          <cell r="A1021" t="str">
            <v>57.1.20.0</v>
          </cell>
          <cell r="B1021">
            <v>57</v>
          </cell>
          <cell r="C1021">
            <v>1</v>
          </cell>
          <cell r="D1021">
            <v>20</v>
          </cell>
          <cell r="E1021">
            <v>0</v>
          </cell>
          <cell r="F1021">
            <v>0.08</v>
          </cell>
        </row>
        <row r="1022">
          <cell r="A1022" t="str">
            <v>57.1.20.A</v>
          </cell>
          <cell r="B1022">
            <v>57</v>
          </cell>
          <cell r="C1022">
            <v>1</v>
          </cell>
          <cell r="D1022">
            <v>20</v>
          </cell>
          <cell r="E1022" t="str">
            <v>A</v>
          </cell>
          <cell r="F1022">
            <v>0.08</v>
          </cell>
        </row>
        <row r="1023">
          <cell r="A1023" t="str">
            <v>57.1.20.F</v>
          </cell>
          <cell r="B1023">
            <v>57</v>
          </cell>
          <cell r="C1023">
            <v>1</v>
          </cell>
          <cell r="D1023">
            <v>20</v>
          </cell>
          <cell r="E1023" t="str">
            <v>F</v>
          </cell>
          <cell r="F1023">
            <v>0.08</v>
          </cell>
        </row>
        <row r="1024">
          <cell r="A1024" t="str">
            <v>57.1.20.N</v>
          </cell>
          <cell r="B1024">
            <v>57</v>
          </cell>
          <cell r="C1024">
            <v>1</v>
          </cell>
          <cell r="D1024">
            <v>20</v>
          </cell>
          <cell r="E1024" t="str">
            <v>N</v>
          </cell>
          <cell r="F1024">
            <v>0.08</v>
          </cell>
        </row>
        <row r="1025">
          <cell r="A1025" t="str">
            <v>57.1.21.0</v>
          </cell>
          <cell r="B1025">
            <v>57</v>
          </cell>
          <cell r="C1025">
            <v>1</v>
          </cell>
          <cell r="D1025">
            <v>21</v>
          </cell>
          <cell r="E1025">
            <v>0</v>
          </cell>
          <cell r="F1025">
            <v>2.5100000000000001E-2</v>
          </cell>
        </row>
        <row r="1026">
          <cell r="A1026" t="str">
            <v>57.1.21.A</v>
          </cell>
          <cell r="B1026">
            <v>57</v>
          </cell>
          <cell r="C1026">
            <v>1</v>
          </cell>
          <cell r="D1026">
            <v>21</v>
          </cell>
          <cell r="E1026" t="str">
            <v>A</v>
          </cell>
          <cell r="F1026">
            <v>2.5100000000000001E-2</v>
          </cell>
        </row>
        <row r="1027">
          <cell r="A1027" t="str">
            <v>57.1.25.0</v>
          </cell>
          <cell r="B1027">
            <v>57</v>
          </cell>
          <cell r="C1027">
            <v>1</v>
          </cell>
          <cell r="D1027">
            <v>25</v>
          </cell>
          <cell r="E1027">
            <v>0</v>
          </cell>
          <cell r="F1027">
            <v>2.5100000000000001E-2</v>
          </cell>
        </row>
        <row r="1028">
          <cell r="A1028" t="str">
            <v>57.1.25.A</v>
          </cell>
          <cell r="B1028">
            <v>57</v>
          </cell>
          <cell r="C1028">
            <v>1</v>
          </cell>
          <cell r="D1028">
            <v>25</v>
          </cell>
          <cell r="E1028" t="str">
            <v>A</v>
          </cell>
          <cell r="F1028">
            <v>2.5100000000000001E-2</v>
          </cell>
        </row>
        <row r="1029">
          <cell r="A1029" t="str">
            <v>57.1.25.F</v>
          </cell>
          <cell r="B1029">
            <v>57</v>
          </cell>
          <cell r="C1029">
            <v>1</v>
          </cell>
          <cell r="D1029">
            <v>25</v>
          </cell>
          <cell r="E1029" t="str">
            <v>F</v>
          </cell>
          <cell r="F1029">
            <v>2.5100000000000001E-2</v>
          </cell>
        </row>
        <row r="1030">
          <cell r="A1030" t="str">
            <v>57.1.25.N</v>
          </cell>
          <cell r="B1030">
            <v>57</v>
          </cell>
          <cell r="C1030">
            <v>1</v>
          </cell>
          <cell r="D1030">
            <v>25</v>
          </cell>
          <cell r="E1030" t="str">
            <v>N</v>
          </cell>
          <cell r="F1030">
            <v>2.5100000000000001E-2</v>
          </cell>
        </row>
        <row r="1031">
          <cell r="A1031" t="str">
            <v>57.1.30.0</v>
          </cell>
          <cell r="B1031">
            <v>57</v>
          </cell>
          <cell r="C1031">
            <v>1</v>
          </cell>
          <cell r="D1031">
            <v>30</v>
          </cell>
          <cell r="E1031">
            <v>0</v>
          </cell>
          <cell r="F1031">
            <v>2.5100000000000001E-2</v>
          </cell>
        </row>
        <row r="1032">
          <cell r="A1032" t="str">
            <v>57.1.30.A</v>
          </cell>
          <cell r="B1032">
            <v>57</v>
          </cell>
          <cell r="C1032">
            <v>1</v>
          </cell>
          <cell r="D1032">
            <v>30</v>
          </cell>
          <cell r="E1032" t="str">
            <v>A</v>
          </cell>
          <cell r="F1032">
            <v>2.5100000000000001E-2</v>
          </cell>
        </row>
        <row r="1033">
          <cell r="A1033" t="str">
            <v>57.1.30.N</v>
          </cell>
          <cell r="B1033">
            <v>57</v>
          </cell>
          <cell r="C1033">
            <v>1</v>
          </cell>
          <cell r="D1033">
            <v>30</v>
          </cell>
          <cell r="E1033" t="str">
            <v>N</v>
          </cell>
          <cell r="F1033">
            <v>2.5100000000000001E-2</v>
          </cell>
        </row>
        <row r="1034">
          <cell r="A1034" t="str">
            <v>57.1.40.0</v>
          </cell>
          <cell r="B1034">
            <v>57</v>
          </cell>
          <cell r="C1034">
            <v>1</v>
          </cell>
          <cell r="D1034">
            <v>40</v>
          </cell>
          <cell r="E1034">
            <v>0</v>
          </cell>
          <cell r="F1034">
            <v>2.5100000000000001E-2</v>
          </cell>
        </row>
        <row r="1035">
          <cell r="A1035" t="str">
            <v>57.1.40.A</v>
          </cell>
          <cell r="B1035">
            <v>57</v>
          </cell>
          <cell r="C1035">
            <v>1</v>
          </cell>
          <cell r="D1035">
            <v>40</v>
          </cell>
          <cell r="E1035" t="str">
            <v>A</v>
          </cell>
          <cell r="F1035">
            <v>2.5100000000000001E-2</v>
          </cell>
        </row>
        <row r="1036">
          <cell r="A1036" t="str">
            <v>57.1.40.N</v>
          </cell>
          <cell r="B1036">
            <v>57</v>
          </cell>
          <cell r="C1036">
            <v>1</v>
          </cell>
          <cell r="D1036">
            <v>40</v>
          </cell>
          <cell r="E1036" t="str">
            <v>N</v>
          </cell>
          <cell r="F1036">
            <v>2.5100000000000001E-2</v>
          </cell>
        </row>
        <row r="1037">
          <cell r="A1037" t="str">
            <v>57.1.45.0</v>
          </cell>
          <cell r="B1037">
            <v>57</v>
          </cell>
          <cell r="C1037">
            <v>1</v>
          </cell>
          <cell r="D1037">
            <v>45</v>
          </cell>
          <cell r="E1037">
            <v>0</v>
          </cell>
          <cell r="F1037">
            <v>2.5100000000000001E-2</v>
          </cell>
        </row>
        <row r="1038">
          <cell r="A1038" t="str">
            <v>57.1.45.A</v>
          </cell>
          <cell r="B1038">
            <v>57</v>
          </cell>
          <cell r="C1038">
            <v>1</v>
          </cell>
          <cell r="D1038">
            <v>45</v>
          </cell>
          <cell r="E1038" t="str">
            <v>A</v>
          </cell>
          <cell r="F1038">
            <v>2.5100000000000001E-2</v>
          </cell>
        </row>
        <row r="1039">
          <cell r="A1039" t="str">
            <v>57.1.50.0</v>
          </cell>
          <cell r="B1039">
            <v>57</v>
          </cell>
          <cell r="C1039">
            <v>1</v>
          </cell>
          <cell r="D1039">
            <v>50</v>
          </cell>
          <cell r="E1039">
            <v>0</v>
          </cell>
          <cell r="F1039">
            <v>2.5100000000000001E-2</v>
          </cell>
        </row>
        <row r="1040">
          <cell r="A1040" t="str">
            <v>57.1.50.A</v>
          </cell>
          <cell r="B1040">
            <v>57</v>
          </cell>
          <cell r="C1040">
            <v>1</v>
          </cell>
          <cell r="D1040">
            <v>50</v>
          </cell>
          <cell r="E1040" t="str">
            <v>A</v>
          </cell>
          <cell r="F1040">
            <v>2.5100000000000001E-2</v>
          </cell>
        </row>
        <row r="1041">
          <cell r="A1041" t="str">
            <v>57.1.50.F</v>
          </cell>
          <cell r="B1041">
            <v>57</v>
          </cell>
          <cell r="C1041">
            <v>1</v>
          </cell>
          <cell r="D1041">
            <v>50</v>
          </cell>
          <cell r="E1041" t="str">
            <v>F</v>
          </cell>
          <cell r="F1041">
            <v>2.5100000000000001E-2</v>
          </cell>
        </row>
        <row r="1042">
          <cell r="A1042" t="str">
            <v>57.1.50.N</v>
          </cell>
          <cell r="B1042">
            <v>57</v>
          </cell>
          <cell r="C1042">
            <v>1</v>
          </cell>
          <cell r="D1042">
            <v>50</v>
          </cell>
          <cell r="E1042" t="str">
            <v>N</v>
          </cell>
          <cell r="F1042">
            <v>2.5100000000000001E-2</v>
          </cell>
        </row>
        <row r="1043">
          <cell r="A1043" t="str">
            <v>57.1.55.0</v>
          </cell>
          <cell r="B1043">
            <v>57</v>
          </cell>
          <cell r="C1043">
            <v>1</v>
          </cell>
          <cell r="D1043">
            <v>55</v>
          </cell>
          <cell r="E1043">
            <v>0</v>
          </cell>
          <cell r="F1043">
            <v>2.5100000000000001E-2</v>
          </cell>
        </row>
        <row r="1044">
          <cell r="A1044" t="str">
            <v>57.1.55.A</v>
          </cell>
          <cell r="B1044">
            <v>57</v>
          </cell>
          <cell r="C1044">
            <v>1</v>
          </cell>
          <cell r="D1044">
            <v>55</v>
          </cell>
          <cell r="E1044" t="str">
            <v>A</v>
          </cell>
          <cell r="F1044">
            <v>2.5100000000000001E-2</v>
          </cell>
        </row>
        <row r="1045">
          <cell r="A1045" t="str">
            <v>57.1.55.F</v>
          </cell>
          <cell r="B1045">
            <v>57</v>
          </cell>
          <cell r="C1045">
            <v>1</v>
          </cell>
          <cell r="D1045">
            <v>55</v>
          </cell>
          <cell r="E1045" t="str">
            <v>F</v>
          </cell>
          <cell r="F1045">
            <v>2.5100000000000001E-2</v>
          </cell>
        </row>
        <row r="1046">
          <cell r="A1046" t="str">
            <v>57.1.55.N</v>
          </cell>
          <cell r="B1046">
            <v>57</v>
          </cell>
          <cell r="C1046">
            <v>1</v>
          </cell>
          <cell r="D1046">
            <v>55</v>
          </cell>
          <cell r="E1046" t="str">
            <v>N</v>
          </cell>
          <cell r="F1046">
            <v>2.5100000000000001E-2</v>
          </cell>
        </row>
        <row r="1047">
          <cell r="A1047" t="str">
            <v>57.1.57.I</v>
          </cell>
          <cell r="B1047">
            <v>57</v>
          </cell>
          <cell r="C1047">
            <v>1</v>
          </cell>
          <cell r="D1047">
            <v>57</v>
          </cell>
          <cell r="E1047" t="str">
            <v>I</v>
          </cell>
          <cell r="F1047">
            <v>2.5100000000000001E-2</v>
          </cell>
        </row>
        <row r="1048">
          <cell r="A1048" t="str">
            <v>57.1.57.N</v>
          </cell>
          <cell r="B1048">
            <v>57</v>
          </cell>
          <cell r="C1048">
            <v>1</v>
          </cell>
          <cell r="D1048">
            <v>57</v>
          </cell>
          <cell r="E1048" t="str">
            <v>N</v>
          </cell>
          <cell r="F1048">
            <v>2.5100000000000001E-2</v>
          </cell>
        </row>
        <row r="1049">
          <cell r="A1049" t="str">
            <v>57.1.60.0</v>
          </cell>
          <cell r="B1049">
            <v>57</v>
          </cell>
          <cell r="C1049">
            <v>1</v>
          </cell>
          <cell r="D1049">
            <v>60</v>
          </cell>
          <cell r="E1049">
            <v>0</v>
          </cell>
          <cell r="F1049">
            <v>2.5100000000000001E-2</v>
          </cell>
        </row>
        <row r="1050">
          <cell r="A1050" t="str">
            <v>57.1.60.A</v>
          </cell>
          <cell r="B1050">
            <v>57</v>
          </cell>
          <cell r="C1050">
            <v>1</v>
          </cell>
          <cell r="D1050">
            <v>60</v>
          </cell>
          <cell r="E1050" t="str">
            <v>A</v>
          </cell>
          <cell r="F1050">
            <v>2.5100000000000001E-2</v>
          </cell>
        </row>
        <row r="1051">
          <cell r="A1051" t="str">
            <v>57.1.61.0</v>
          </cell>
          <cell r="B1051">
            <v>57</v>
          </cell>
          <cell r="C1051">
            <v>1</v>
          </cell>
          <cell r="D1051">
            <v>61</v>
          </cell>
          <cell r="E1051">
            <v>0</v>
          </cell>
          <cell r="F1051">
            <v>2.5100000000000001E-2</v>
          </cell>
        </row>
        <row r="1052">
          <cell r="A1052" t="str">
            <v>57.1.61.A</v>
          </cell>
          <cell r="B1052">
            <v>57</v>
          </cell>
          <cell r="C1052">
            <v>1</v>
          </cell>
          <cell r="D1052">
            <v>61</v>
          </cell>
          <cell r="E1052" t="str">
            <v>A</v>
          </cell>
          <cell r="F1052">
            <v>2.5100000000000001E-2</v>
          </cell>
        </row>
        <row r="1053">
          <cell r="A1053" t="str">
            <v>57.1.61.F</v>
          </cell>
          <cell r="B1053">
            <v>57</v>
          </cell>
          <cell r="C1053">
            <v>1</v>
          </cell>
          <cell r="D1053">
            <v>61</v>
          </cell>
          <cell r="E1053" t="str">
            <v>F</v>
          </cell>
          <cell r="F1053">
            <v>2.5100000000000001E-2</v>
          </cell>
        </row>
        <row r="1054">
          <cell r="A1054" t="str">
            <v>57.1.61.N</v>
          </cell>
          <cell r="B1054">
            <v>57</v>
          </cell>
          <cell r="C1054">
            <v>1</v>
          </cell>
          <cell r="D1054">
            <v>61</v>
          </cell>
          <cell r="E1054" t="str">
            <v>N</v>
          </cell>
          <cell r="F1054">
            <v>2.5100000000000001E-2</v>
          </cell>
        </row>
        <row r="1055">
          <cell r="A1055" t="str">
            <v>57.1.62.0</v>
          </cell>
          <cell r="B1055">
            <v>57</v>
          </cell>
          <cell r="C1055">
            <v>1</v>
          </cell>
          <cell r="D1055">
            <v>62</v>
          </cell>
          <cell r="E1055">
            <v>0</v>
          </cell>
          <cell r="F1055">
            <v>2.5100000000000001E-2</v>
          </cell>
        </row>
        <row r="1056">
          <cell r="A1056" t="str">
            <v>57.1.62.A</v>
          </cell>
          <cell r="B1056">
            <v>57</v>
          </cell>
          <cell r="C1056">
            <v>1</v>
          </cell>
          <cell r="D1056">
            <v>62</v>
          </cell>
          <cell r="E1056" t="str">
            <v>A</v>
          </cell>
          <cell r="F1056">
            <v>2.5100000000000001E-2</v>
          </cell>
        </row>
        <row r="1057">
          <cell r="A1057" t="str">
            <v>57.1.65.0</v>
          </cell>
          <cell r="B1057">
            <v>57</v>
          </cell>
          <cell r="C1057">
            <v>1</v>
          </cell>
          <cell r="D1057">
            <v>65</v>
          </cell>
          <cell r="E1057">
            <v>0</v>
          </cell>
          <cell r="F1057">
            <v>2.5100000000000001E-2</v>
          </cell>
        </row>
        <row r="1058">
          <cell r="A1058" t="str">
            <v>57.1.65.A</v>
          </cell>
          <cell r="B1058">
            <v>57</v>
          </cell>
          <cell r="C1058">
            <v>1</v>
          </cell>
          <cell r="D1058">
            <v>65</v>
          </cell>
          <cell r="E1058" t="str">
            <v>A</v>
          </cell>
          <cell r="F1058">
            <v>2.5100000000000001E-2</v>
          </cell>
        </row>
        <row r="1059">
          <cell r="A1059" t="str">
            <v>57.1.68.0</v>
          </cell>
          <cell r="B1059">
            <v>57</v>
          </cell>
          <cell r="C1059">
            <v>1</v>
          </cell>
          <cell r="D1059">
            <v>68</v>
          </cell>
          <cell r="E1059">
            <v>0</v>
          </cell>
          <cell r="F1059">
            <v>2.5100000000000001E-2</v>
          </cell>
        </row>
        <row r="1060">
          <cell r="A1060" t="str">
            <v>57.1.68.A</v>
          </cell>
          <cell r="B1060">
            <v>57</v>
          </cell>
          <cell r="C1060">
            <v>1</v>
          </cell>
          <cell r="D1060">
            <v>68</v>
          </cell>
          <cell r="E1060" t="str">
            <v>A</v>
          </cell>
          <cell r="F1060">
            <v>2.5100000000000001E-2</v>
          </cell>
        </row>
        <row r="1061">
          <cell r="A1061" t="str">
            <v>57.1.68.N</v>
          </cell>
          <cell r="B1061">
            <v>57</v>
          </cell>
          <cell r="C1061">
            <v>1</v>
          </cell>
          <cell r="D1061">
            <v>68</v>
          </cell>
          <cell r="E1061" t="str">
            <v>N</v>
          </cell>
          <cell r="F1061">
            <v>2.5100000000000001E-2</v>
          </cell>
        </row>
        <row r="1062">
          <cell r="A1062" t="str">
            <v>57.1.73.0</v>
          </cell>
          <cell r="B1062">
            <v>57</v>
          </cell>
          <cell r="C1062">
            <v>1</v>
          </cell>
          <cell r="D1062">
            <v>73</v>
          </cell>
          <cell r="E1062">
            <v>0</v>
          </cell>
          <cell r="F1062">
            <v>2.5100000000000001E-2</v>
          </cell>
        </row>
        <row r="1063">
          <cell r="A1063" t="str">
            <v>57.1.73.A</v>
          </cell>
          <cell r="B1063">
            <v>57</v>
          </cell>
          <cell r="C1063">
            <v>1</v>
          </cell>
          <cell r="D1063">
            <v>73</v>
          </cell>
          <cell r="E1063" t="str">
            <v>A</v>
          </cell>
          <cell r="F1063">
            <v>2.5100000000000001E-2</v>
          </cell>
        </row>
        <row r="1064">
          <cell r="A1064" t="str">
            <v>57.1.75.0</v>
          </cell>
          <cell r="B1064">
            <v>57</v>
          </cell>
          <cell r="C1064">
            <v>1</v>
          </cell>
          <cell r="D1064">
            <v>75</v>
          </cell>
          <cell r="E1064">
            <v>0</v>
          </cell>
          <cell r="F1064">
            <v>2.5100000000000001E-2</v>
          </cell>
        </row>
        <row r="1065">
          <cell r="A1065" t="str">
            <v>57.1.75.A</v>
          </cell>
          <cell r="B1065">
            <v>57</v>
          </cell>
          <cell r="C1065">
            <v>1</v>
          </cell>
          <cell r="D1065">
            <v>75</v>
          </cell>
          <cell r="E1065" t="str">
            <v>A</v>
          </cell>
          <cell r="F1065">
            <v>2.5100000000000001E-2</v>
          </cell>
        </row>
        <row r="1066">
          <cell r="A1066" t="str">
            <v>57.1.81.0</v>
          </cell>
          <cell r="B1066">
            <v>57</v>
          </cell>
          <cell r="C1066">
            <v>1</v>
          </cell>
          <cell r="D1066">
            <v>81</v>
          </cell>
          <cell r="E1066">
            <v>0</v>
          </cell>
          <cell r="F1066">
            <v>2.5100000000000001E-2</v>
          </cell>
        </row>
        <row r="1067">
          <cell r="A1067" t="str">
            <v>57.1.81.A</v>
          </cell>
          <cell r="B1067">
            <v>57</v>
          </cell>
          <cell r="C1067">
            <v>1</v>
          </cell>
          <cell r="D1067">
            <v>81</v>
          </cell>
          <cell r="E1067" t="str">
            <v>A</v>
          </cell>
          <cell r="F1067">
            <v>2.5100000000000001E-2</v>
          </cell>
        </row>
        <row r="1068">
          <cell r="A1068" t="str">
            <v>57.1.84.0</v>
          </cell>
          <cell r="B1068">
            <v>57</v>
          </cell>
          <cell r="C1068">
            <v>1</v>
          </cell>
          <cell r="D1068">
            <v>84</v>
          </cell>
          <cell r="E1068">
            <v>0</v>
          </cell>
          <cell r="F1068">
            <v>2.5100000000000001E-2</v>
          </cell>
        </row>
        <row r="1069">
          <cell r="A1069" t="str">
            <v>57.1.84.A</v>
          </cell>
          <cell r="B1069">
            <v>57</v>
          </cell>
          <cell r="C1069">
            <v>1</v>
          </cell>
          <cell r="D1069">
            <v>84</v>
          </cell>
          <cell r="E1069" t="str">
            <v>A</v>
          </cell>
          <cell r="F1069">
            <v>2.5100000000000001E-2</v>
          </cell>
        </row>
        <row r="1070">
          <cell r="A1070" t="str">
            <v>57.1.85.0</v>
          </cell>
          <cell r="B1070">
            <v>57</v>
          </cell>
          <cell r="C1070">
            <v>1</v>
          </cell>
          <cell r="D1070">
            <v>85</v>
          </cell>
          <cell r="E1070">
            <v>0</v>
          </cell>
          <cell r="F1070">
            <v>2.5100000000000001E-2</v>
          </cell>
        </row>
        <row r="1071">
          <cell r="A1071" t="str">
            <v>57.1.85.A</v>
          </cell>
          <cell r="B1071">
            <v>57</v>
          </cell>
          <cell r="C1071">
            <v>1</v>
          </cell>
          <cell r="D1071">
            <v>85</v>
          </cell>
          <cell r="E1071" t="str">
            <v>A</v>
          </cell>
          <cell r="F1071">
            <v>2.5100000000000001E-2</v>
          </cell>
        </row>
        <row r="1072">
          <cell r="A1072" t="str">
            <v>57.1.85.N</v>
          </cell>
          <cell r="B1072">
            <v>57</v>
          </cell>
          <cell r="C1072">
            <v>1</v>
          </cell>
          <cell r="D1072">
            <v>85</v>
          </cell>
          <cell r="E1072" t="str">
            <v>N</v>
          </cell>
          <cell r="F1072">
            <v>2.5100000000000001E-2</v>
          </cell>
        </row>
        <row r="1073">
          <cell r="A1073" t="str">
            <v>57.1.88.0</v>
          </cell>
          <cell r="B1073">
            <v>57</v>
          </cell>
          <cell r="C1073">
            <v>1</v>
          </cell>
          <cell r="D1073">
            <v>88</v>
          </cell>
          <cell r="E1073">
            <v>0</v>
          </cell>
          <cell r="F1073">
            <v>2.5100000000000001E-2</v>
          </cell>
        </row>
        <row r="1074">
          <cell r="A1074" t="str">
            <v>57.1.88.A</v>
          </cell>
          <cell r="B1074">
            <v>57</v>
          </cell>
          <cell r="C1074">
            <v>1</v>
          </cell>
          <cell r="D1074">
            <v>88</v>
          </cell>
          <cell r="E1074" t="str">
            <v>A</v>
          </cell>
          <cell r="F1074">
            <v>2.5100000000000001E-2</v>
          </cell>
        </row>
        <row r="1075">
          <cell r="A1075" t="str">
            <v>57.1.89.0</v>
          </cell>
          <cell r="B1075">
            <v>57</v>
          </cell>
          <cell r="C1075">
            <v>1</v>
          </cell>
          <cell r="D1075">
            <v>89</v>
          </cell>
          <cell r="E1075">
            <v>0</v>
          </cell>
          <cell r="F1075">
            <v>2.5100000000000001E-2</v>
          </cell>
        </row>
        <row r="1076">
          <cell r="A1076" t="str">
            <v>57.1.89.A</v>
          </cell>
          <cell r="B1076">
            <v>57</v>
          </cell>
          <cell r="C1076">
            <v>1</v>
          </cell>
          <cell r="D1076">
            <v>89</v>
          </cell>
          <cell r="E1076" t="str">
            <v>A</v>
          </cell>
          <cell r="F1076">
            <v>2.5100000000000001E-2</v>
          </cell>
        </row>
        <row r="1077">
          <cell r="A1077" t="str">
            <v>57.1.90.0</v>
          </cell>
          <cell r="B1077">
            <v>57</v>
          </cell>
          <cell r="C1077">
            <v>1</v>
          </cell>
          <cell r="D1077">
            <v>90</v>
          </cell>
          <cell r="E1077">
            <v>0</v>
          </cell>
          <cell r="F1077">
            <v>2.5100000000000001E-2</v>
          </cell>
        </row>
        <row r="1078">
          <cell r="A1078" t="str">
            <v>57.1.90.A</v>
          </cell>
          <cell r="B1078">
            <v>57</v>
          </cell>
          <cell r="C1078">
            <v>1</v>
          </cell>
          <cell r="D1078">
            <v>90</v>
          </cell>
          <cell r="E1078" t="str">
            <v>A</v>
          </cell>
          <cell r="F1078">
            <v>2.5100000000000001E-2</v>
          </cell>
        </row>
        <row r="1079">
          <cell r="A1079" t="str">
            <v>57.1.91.0</v>
          </cell>
          <cell r="B1079">
            <v>57</v>
          </cell>
          <cell r="C1079">
            <v>1</v>
          </cell>
          <cell r="D1079">
            <v>91</v>
          </cell>
          <cell r="E1079">
            <v>0</v>
          </cell>
          <cell r="F1079">
            <v>2.5100000000000001E-2</v>
          </cell>
        </row>
        <row r="1080">
          <cell r="A1080" t="str">
            <v>57.1.91.A</v>
          </cell>
          <cell r="B1080">
            <v>57</v>
          </cell>
          <cell r="C1080">
            <v>1</v>
          </cell>
          <cell r="D1080">
            <v>91</v>
          </cell>
          <cell r="E1080" t="str">
            <v>A</v>
          </cell>
          <cell r="F1080">
            <v>2.5100000000000001E-2</v>
          </cell>
        </row>
        <row r="1081">
          <cell r="A1081" t="str">
            <v>57.1.92.0</v>
          </cell>
          <cell r="B1081">
            <v>57</v>
          </cell>
          <cell r="C1081">
            <v>1</v>
          </cell>
          <cell r="D1081">
            <v>92</v>
          </cell>
          <cell r="E1081">
            <v>0</v>
          </cell>
          <cell r="F1081">
            <v>2.5100000000000001E-2</v>
          </cell>
        </row>
        <row r="1082">
          <cell r="A1082" t="str">
            <v>57.1.92.A</v>
          </cell>
          <cell r="B1082">
            <v>57</v>
          </cell>
          <cell r="C1082">
            <v>1</v>
          </cell>
          <cell r="D1082">
            <v>92</v>
          </cell>
          <cell r="E1082" t="str">
            <v>A</v>
          </cell>
          <cell r="F1082">
            <v>2.5100000000000001E-2</v>
          </cell>
        </row>
        <row r="1083">
          <cell r="A1083" t="str">
            <v>57.1.92.N</v>
          </cell>
          <cell r="B1083">
            <v>57</v>
          </cell>
          <cell r="C1083">
            <v>1</v>
          </cell>
          <cell r="D1083">
            <v>92</v>
          </cell>
          <cell r="E1083" t="str">
            <v>N</v>
          </cell>
          <cell r="F1083">
            <v>2.5100000000000001E-2</v>
          </cell>
        </row>
        <row r="1084">
          <cell r="A1084" t="str">
            <v>57.1.93.0</v>
          </cell>
          <cell r="B1084">
            <v>57</v>
          </cell>
          <cell r="C1084">
            <v>1</v>
          </cell>
          <cell r="D1084">
            <v>93</v>
          </cell>
          <cell r="E1084">
            <v>0</v>
          </cell>
          <cell r="F1084">
            <v>2.5100000000000001E-2</v>
          </cell>
        </row>
        <row r="1085">
          <cell r="A1085" t="str">
            <v>57.1.93.A</v>
          </cell>
          <cell r="B1085">
            <v>57</v>
          </cell>
          <cell r="C1085">
            <v>1</v>
          </cell>
          <cell r="D1085">
            <v>93</v>
          </cell>
          <cell r="E1085" t="str">
            <v>A</v>
          </cell>
          <cell r="F1085">
            <v>2.5100000000000001E-2</v>
          </cell>
        </row>
        <row r="1086">
          <cell r="A1086" t="str">
            <v>57.1.93.N</v>
          </cell>
          <cell r="B1086">
            <v>57</v>
          </cell>
          <cell r="C1086">
            <v>1</v>
          </cell>
          <cell r="D1086">
            <v>93</v>
          </cell>
          <cell r="E1086" t="str">
            <v>N</v>
          </cell>
          <cell r="F1086">
            <v>2.5100000000000001E-2</v>
          </cell>
        </row>
        <row r="1087">
          <cell r="A1087" t="str">
            <v>57.1.94.0</v>
          </cell>
          <cell r="B1087">
            <v>57</v>
          </cell>
          <cell r="C1087">
            <v>1</v>
          </cell>
          <cell r="D1087">
            <v>94</v>
          </cell>
          <cell r="E1087">
            <v>0</v>
          </cell>
          <cell r="F1087">
            <v>2.5100000000000001E-2</v>
          </cell>
        </row>
        <row r="1088">
          <cell r="A1088" t="str">
            <v>57.1.94.A</v>
          </cell>
          <cell r="B1088">
            <v>57</v>
          </cell>
          <cell r="C1088">
            <v>1</v>
          </cell>
          <cell r="D1088">
            <v>94</v>
          </cell>
          <cell r="E1088" t="str">
            <v>A</v>
          </cell>
          <cell r="F1088">
            <v>2.5100000000000001E-2</v>
          </cell>
        </row>
        <row r="1089">
          <cell r="A1089" t="str">
            <v>57.1.94.F</v>
          </cell>
          <cell r="B1089">
            <v>57</v>
          </cell>
          <cell r="C1089">
            <v>1</v>
          </cell>
          <cell r="D1089">
            <v>94</v>
          </cell>
          <cell r="E1089" t="str">
            <v>F</v>
          </cell>
          <cell r="F1089">
            <v>2.5100000000000001E-2</v>
          </cell>
        </row>
        <row r="1090">
          <cell r="A1090" t="str">
            <v>57.1.94.N</v>
          </cell>
          <cell r="B1090">
            <v>57</v>
          </cell>
          <cell r="C1090">
            <v>1</v>
          </cell>
          <cell r="D1090">
            <v>94</v>
          </cell>
          <cell r="E1090" t="str">
            <v>N</v>
          </cell>
          <cell r="F1090">
            <v>2.5100000000000001E-2</v>
          </cell>
        </row>
        <row r="1091">
          <cell r="A1091" t="str">
            <v>57.1.95.0</v>
          </cell>
          <cell r="B1091">
            <v>57</v>
          </cell>
          <cell r="C1091">
            <v>1</v>
          </cell>
          <cell r="D1091">
            <v>95</v>
          </cell>
          <cell r="E1091">
            <v>0</v>
          </cell>
          <cell r="F1091">
            <v>2.5100000000000001E-2</v>
          </cell>
        </row>
        <row r="1092">
          <cell r="A1092" t="str">
            <v>57.1.95.A</v>
          </cell>
          <cell r="B1092">
            <v>57</v>
          </cell>
          <cell r="C1092">
            <v>1</v>
          </cell>
          <cell r="D1092">
            <v>95</v>
          </cell>
          <cell r="E1092" t="str">
            <v>A</v>
          </cell>
          <cell r="F1092">
            <v>2.5100000000000001E-2</v>
          </cell>
        </row>
        <row r="1093">
          <cell r="A1093" t="str">
            <v>57.1.98.0</v>
          </cell>
          <cell r="B1093">
            <v>57</v>
          </cell>
          <cell r="C1093">
            <v>1</v>
          </cell>
          <cell r="D1093">
            <v>98</v>
          </cell>
          <cell r="E1093">
            <v>0</v>
          </cell>
          <cell r="F1093">
            <v>0</v>
          </cell>
        </row>
        <row r="1094">
          <cell r="A1094" t="str">
            <v>57.1.98.A</v>
          </cell>
          <cell r="B1094">
            <v>57</v>
          </cell>
          <cell r="C1094">
            <v>1</v>
          </cell>
          <cell r="D1094">
            <v>98</v>
          </cell>
          <cell r="E1094" t="str">
            <v>A</v>
          </cell>
          <cell r="F1094">
            <v>0</v>
          </cell>
        </row>
        <row r="1095">
          <cell r="A1095" t="str">
            <v>57.1.98.C</v>
          </cell>
          <cell r="B1095">
            <v>57</v>
          </cell>
          <cell r="C1095">
            <v>1</v>
          </cell>
          <cell r="D1095">
            <v>98</v>
          </cell>
          <cell r="E1095" t="str">
            <v>C</v>
          </cell>
          <cell r="F1095">
            <v>0</v>
          </cell>
        </row>
        <row r="1096">
          <cell r="A1096" t="str">
            <v>58.1.0.0</v>
          </cell>
          <cell r="B1096">
            <v>58</v>
          </cell>
          <cell r="C1096">
            <v>1</v>
          </cell>
          <cell r="D1096">
            <v>0</v>
          </cell>
          <cell r="E1096">
            <v>0</v>
          </cell>
          <cell r="F1096">
            <v>0.12</v>
          </cell>
        </row>
        <row r="1097">
          <cell r="A1097" t="str">
            <v>58.14.0.0</v>
          </cell>
          <cell r="B1097">
            <v>58</v>
          </cell>
          <cell r="C1097">
            <v>14</v>
          </cell>
          <cell r="D1097">
            <v>0</v>
          </cell>
          <cell r="E1097">
            <v>0</v>
          </cell>
          <cell r="F1097">
            <v>0.12</v>
          </cell>
        </row>
        <row r="1098">
          <cell r="A1098" t="str">
            <v>58.1.0.A</v>
          </cell>
          <cell r="B1098">
            <v>58</v>
          </cell>
          <cell r="C1098">
            <v>1</v>
          </cell>
          <cell r="D1098">
            <v>0</v>
          </cell>
          <cell r="E1098" t="str">
            <v>A</v>
          </cell>
          <cell r="F1098">
            <v>0.12</v>
          </cell>
        </row>
        <row r="1099">
          <cell r="A1099" t="str">
            <v>58.14.0.A</v>
          </cell>
          <cell r="B1099">
            <v>58</v>
          </cell>
          <cell r="C1099">
            <v>14</v>
          </cell>
          <cell r="D1099">
            <v>0</v>
          </cell>
          <cell r="E1099" t="str">
            <v>A</v>
          </cell>
          <cell r="F1099">
            <v>0.12</v>
          </cell>
        </row>
        <row r="1100">
          <cell r="A1100" t="str">
            <v>58.1.0.E</v>
          </cell>
          <cell r="B1100">
            <v>58</v>
          </cell>
          <cell r="C1100">
            <v>1</v>
          </cell>
          <cell r="D1100">
            <v>0</v>
          </cell>
          <cell r="E1100" t="str">
            <v>E</v>
          </cell>
          <cell r="F1100">
            <v>0.12</v>
          </cell>
        </row>
        <row r="1101">
          <cell r="A1101" t="str">
            <v>58.0E.0.E</v>
          </cell>
          <cell r="B1101">
            <v>58</v>
          </cell>
          <cell r="C1101" t="str">
            <v>0E</v>
          </cell>
          <cell r="D1101">
            <v>0</v>
          </cell>
          <cell r="E1101" t="str">
            <v>E</v>
          </cell>
          <cell r="F1101">
            <v>0.12</v>
          </cell>
        </row>
        <row r="1102">
          <cell r="A1102" t="str">
            <v>58.1.0.N</v>
          </cell>
          <cell r="B1102">
            <v>58</v>
          </cell>
          <cell r="C1102">
            <v>1</v>
          </cell>
          <cell r="D1102">
            <v>0</v>
          </cell>
          <cell r="E1102" t="str">
            <v>N</v>
          </cell>
          <cell r="F1102">
            <v>0.12</v>
          </cell>
        </row>
        <row r="1103">
          <cell r="A1103" t="str">
            <v>58.0E.0.N</v>
          </cell>
          <cell r="B1103">
            <v>58</v>
          </cell>
          <cell r="C1103" t="str">
            <v>0E</v>
          </cell>
          <cell r="D1103">
            <v>0</v>
          </cell>
          <cell r="E1103" t="str">
            <v>N</v>
          </cell>
          <cell r="F1103">
            <v>0.12</v>
          </cell>
        </row>
        <row r="1104">
          <cell r="A1104" t="str">
            <v>58.0M.0.N</v>
          </cell>
          <cell r="B1104">
            <v>58</v>
          </cell>
          <cell r="C1104" t="str">
            <v>0M</v>
          </cell>
          <cell r="D1104">
            <v>0</v>
          </cell>
          <cell r="E1104" t="str">
            <v>N</v>
          </cell>
          <cell r="F1104">
            <v>0.12</v>
          </cell>
        </row>
        <row r="1105">
          <cell r="A1105" t="str">
            <v>58.0U.0.N</v>
          </cell>
          <cell r="B1105">
            <v>58</v>
          </cell>
          <cell r="C1105" t="str">
            <v>0U</v>
          </cell>
          <cell r="D1105">
            <v>0</v>
          </cell>
          <cell r="E1105" t="str">
            <v>N</v>
          </cell>
          <cell r="F1105">
            <v>0.12</v>
          </cell>
        </row>
        <row r="1106">
          <cell r="A1106" t="str">
            <v>58.27.0.N</v>
          </cell>
          <cell r="B1106">
            <v>58</v>
          </cell>
          <cell r="C1106">
            <v>27</v>
          </cell>
          <cell r="D1106">
            <v>0</v>
          </cell>
          <cell r="E1106" t="str">
            <v>N</v>
          </cell>
          <cell r="F1106">
            <v>0.12</v>
          </cell>
        </row>
        <row r="1107">
          <cell r="A1107" t="str">
            <v>58.7A.0.N</v>
          </cell>
          <cell r="B1107">
            <v>58</v>
          </cell>
          <cell r="C1107" t="str">
            <v>7A</v>
          </cell>
          <cell r="D1107">
            <v>0</v>
          </cell>
          <cell r="E1107" t="str">
            <v>N</v>
          </cell>
          <cell r="F1107">
            <v>0.12</v>
          </cell>
        </row>
        <row r="1108">
          <cell r="A1108" t="str">
            <v>58.1.1.0</v>
          </cell>
          <cell r="B1108">
            <v>58</v>
          </cell>
          <cell r="C1108">
            <v>1</v>
          </cell>
          <cell r="D1108">
            <v>1</v>
          </cell>
          <cell r="E1108">
            <v>0</v>
          </cell>
          <cell r="F1108">
            <v>0.12</v>
          </cell>
        </row>
        <row r="1109">
          <cell r="A1109" t="str">
            <v>58.1.1.A</v>
          </cell>
          <cell r="B1109">
            <v>58</v>
          </cell>
          <cell r="C1109">
            <v>1</v>
          </cell>
          <cell r="D1109">
            <v>1</v>
          </cell>
          <cell r="E1109" t="str">
            <v>A</v>
          </cell>
          <cell r="F1109">
            <v>0.12</v>
          </cell>
        </row>
        <row r="1110">
          <cell r="A1110" t="str">
            <v>58.1.5.0</v>
          </cell>
          <cell r="B1110">
            <v>58</v>
          </cell>
          <cell r="C1110">
            <v>1</v>
          </cell>
          <cell r="D1110">
            <v>5</v>
          </cell>
          <cell r="E1110">
            <v>0</v>
          </cell>
          <cell r="F1110">
            <v>0.12</v>
          </cell>
        </row>
        <row r="1111">
          <cell r="A1111" t="str">
            <v>58.1.5.A</v>
          </cell>
          <cell r="B1111">
            <v>58</v>
          </cell>
          <cell r="C1111">
            <v>1</v>
          </cell>
          <cell r="D1111">
            <v>5</v>
          </cell>
          <cell r="E1111" t="str">
            <v>A</v>
          </cell>
          <cell r="F1111">
            <v>0.12</v>
          </cell>
        </row>
        <row r="1112">
          <cell r="A1112" t="str">
            <v>58.1.5.E</v>
          </cell>
          <cell r="B1112">
            <v>58</v>
          </cell>
          <cell r="C1112">
            <v>1</v>
          </cell>
          <cell r="D1112">
            <v>5</v>
          </cell>
          <cell r="E1112" t="str">
            <v>E</v>
          </cell>
          <cell r="F1112">
            <v>0.12</v>
          </cell>
        </row>
        <row r="1113">
          <cell r="A1113" t="str">
            <v>58.1.5.N</v>
          </cell>
          <cell r="B1113">
            <v>58</v>
          </cell>
          <cell r="C1113">
            <v>1</v>
          </cell>
          <cell r="D1113">
            <v>5</v>
          </cell>
          <cell r="E1113" t="str">
            <v>N</v>
          </cell>
          <cell r="F1113">
            <v>0.12</v>
          </cell>
        </row>
        <row r="1114">
          <cell r="A1114" t="str">
            <v>58.1.6.0</v>
          </cell>
          <cell r="B1114">
            <v>58</v>
          </cell>
          <cell r="C1114">
            <v>1</v>
          </cell>
          <cell r="D1114">
            <v>6</v>
          </cell>
          <cell r="E1114">
            <v>0</v>
          </cell>
          <cell r="F1114">
            <v>0.12</v>
          </cell>
        </row>
        <row r="1115">
          <cell r="A1115" t="str">
            <v>58.14.6.0</v>
          </cell>
          <cell r="B1115">
            <v>58</v>
          </cell>
          <cell r="C1115">
            <v>14</v>
          </cell>
          <cell r="D1115">
            <v>6</v>
          </cell>
          <cell r="E1115">
            <v>0</v>
          </cell>
          <cell r="F1115">
            <v>0.12</v>
          </cell>
        </row>
        <row r="1116">
          <cell r="A1116" t="str">
            <v>58.14.6.A</v>
          </cell>
          <cell r="B1116">
            <v>58</v>
          </cell>
          <cell r="C1116">
            <v>14</v>
          </cell>
          <cell r="D1116">
            <v>6</v>
          </cell>
          <cell r="E1116" t="str">
            <v>A</v>
          </cell>
          <cell r="F1116">
            <v>0.12</v>
          </cell>
        </row>
        <row r="1117">
          <cell r="A1117" t="str">
            <v>58.1.6.E</v>
          </cell>
          <cell r="B1117">
            <v>58</v>
          </cell>
          <cell r="C1117">
            <v>1</v>
          </cell>
          <cell r="D1117">
            <v>6</v>
          </cell>
          <cell r="E1117" t="str">
            <v>E</v>
          </cell>
          <cell r="F1117">
            <v>0.12</v>
          </cell>
        </row>
        <row r="1118">
          <cell r="A1118" t="str">
            <v>58.1.6.N</v>
          </cell>
          <cell r="B1118">
            <v>58</v>
          </cell>
          <cell r="C1118">
            <v>1</v>
          </cell>
          <cell r="D1118">
            <v>6</v>
          </cell>
          <cell r="E1118" t="str">
            <v>N</v>
          </cell>
          <cell r="F1118">
            <v>0.12</v>
          </cell>
        </row>
        <row r="1119">
          <cell r="A1119" t="str">
            <v>58.1.7.N</v>
          </cell>
          <cell r="B1119">
            <v>58</v>
          </cell>
          <cell r="C1119">
            <v>1</v>
          </cell>
          <cell r="D1119">
            <v>7</v>
          </cell>
          <cell r="E1119" t="str">
            <v>N</v>
          </cell>
          <cell r="F1119">
            <v>9.0399999999999994E-2</v>
          </cell>
        </row>
        <row r="1120">
          <cell r="A1120" t="str">
            <v>58.1.8.0</v>
          </cell>
          <cell r="B1120">
            <v>58</v>
          </cell>
          <cell r="C1120">
            <v>1</v>
          </cell>
          <cell r="D1120">
            <v>8</v>
          </cell>
          <cell r="E1120">
            <v>0</v>
          </cell>
          <cell r="F1120">
            <v>8.8200000000000001E-2</v>
          </cell>
        </row>
        <row r="1121">
          <cell r="A1121" t="str">
            <v>58.1.8.A</v>
          </cell>
          <cell r="B1121">
            <v>58</v>
          </cell>
          <cell r="C1121">
            <v>1</v>
          </cell>
          <cell r="D1121">
            <v>8</v>
          </cell>
          <cell r="E1121" t="str">
            <v>A</v>
          </cell>
          <cell r="F1121">
            <v>8.8200000000000001E-2</v>
          </cell>
        </row>
        <row r="1122">
          <cell r="A1122" t="str">
            <v>58.1.9.0</v>
          </cell>
          <cell r="B1122">
            <v>58</v>
          </cell>
          <cell r="C1122">
            <v>1</v>
          </cell>
          <cell r="D1122">
            <v>9</v>
          </cell>
          <cell r="E1122">
            <v>0</v>
          </cell>
          <cell r="F1122">
            <v>8.8200000000000001E-2</v>
          </cell>
        </row>
        <row r="1123">
          <cell r="A1123" t="str">
            <v>58.14.9.0</v>
          </cell>
          <cell r="B1123">
            <v>58</v>
          </cell>
          <cell r="C1123">
            <v>14</v>
          </cell>
          <cell r="D1123">
            <v>9</v>
          </cell>
          <cell r="E1123">
            <v>0</v>
          </cell>
          <cell r="F1123">
            <v>8.8200000000000001E-2</v>
          </cell>
        </row>
        <row r="1124">
          <cell r="A1124" t="str">
            <v>58.1.9.A</v>
          </cell>
          <cell r="B1124">
            <v>58</v>
          </cell>
          <cell r="C1124">
            <v>1</v>
          </cell>
          <cell r="D1124">
            <v>9</v>
          </cell>
          <cell r="E1124" t="str">
            <v>A</v>
          </cell>
          <cell r="F1124">
            <v>8.8200000000000001E-2</v>
          </cell>
        </row>
        <row r="1125">
          <cell r="A1125" t="str">
            <v>58.14.9.A</v>
          </cell>
          <cell r="B1125">
            <v>58</v>
          </cell>
          <cell r="C1125">
            <v>14</v>
          </cell>
          <cell r="D1125">
            <v>9</v>
          </cell>
          <cell r="E1125" t="str">
            <v>A</v>
          </cell>
          <cell r="F1125">
            <v>8.8200000000000001E-2</v>
          </cell>
        </row>
        <row r="1126">
          <cell r="A1126" t="str">
            <v>58.1.9.E</v>
          </cell>
          <cell r="B1126">
            <v>58</v>
          </cell>
          <cell r="C1126">
            <v>1</v>
          </cell>
          <cell r="D1126">
            <v>9</v>
          </cell>
          <cell r="E1126" t="str">
            <v>E</v>
          </cell>
          <cell r="F1126">
            <v>8.8200000000000001E-2</v>
          </cell>
        </row>
        <row r="1127">
          <cell r="A1127" t="str">
            <v>58.1.9.N</v>
          </cell>
          <cell r="B1127">
            <v>58</v>
          </cell>
          <cell r="C1127">
            <v>1</v>
          </cell>
          <cell r="D1127">
            <v>9</v>
          </cell>
          <cell r="E1127" t="str">
            <v>N</v>
          </cell>
          <cell r="F1127">
            <v>8.8200000000000001E-2</v>
          </cell>
        </row>
        <row r="1128">
          <cell r="A1128" t="str">
            <v>58.14.9.N</v>
          </cell>
          <cell r="B1128">
            <v>58</v>
          </cell>
          <cell r="C1128">
            <v>14</v>
          </cell>
          <cell r="D1128">
            <v>9</v>
          </cell>
          <cell r="E1128" t="str">
            <v>N</v>
          </cell>
          <cell r="F1128">
            <v>8.8200000000000001E-2</v>
          </cell>
        </row>
        <row r="1129">
          <cell r="A1129" t="str">
            <v>58.1.10.0</v>
          </cell>
          <cell r="B1129">
            <v>58</v>
          </cell>
          <cell r="C1129">
            <v>1</v>
          </cell>
          <cell r="D1129">
            <v>10</v>
          </cell>
          <cell r="E1129">
            <v>0</v>
          </cell>
          <cell r="F1129">
            <v>8.8200000000000001E-2</v>
          </cell>
        </row>
        <row r="1130">
          <cell r="A1130" t="str">
            <v>58.14.10.0</v>
          </cell>
          <cell r="B1130">
            <v>58</v>
          </cell>
          <cell r="C1130">
            <v>14</v>
          </cell>
          <cell r="D1130">
            <v>10</v>
          </cell>
          <cell r="E1130">
            <v>0</v>
          </cell>
          <cell r="F1130">
            <v>8.8200000000000001E-2</v>
          </cell>
        </row>
        <row r="1131">
          <cell r="A1131" t="str">
            <v>58.1.10.A</v>
          </cell>
          <cell r="B1131">
            <v>58</v>
          </cell>
          <cell r="C1131">
            <v>1</v>
          </cell>
          <cell r="D1131">
            <v>10</v>
          </cell>
          <cell r="E1131" t="str">
            <v>A</v>
          </cell>
          <cell r="F1131">
            <v>8.8200000000000001E-2</v>
          </cell>
        </row>
        <row r="1132">
          <cell r="A1132" t="str">
            <v>58.14.10.A</v>
          </cell>
          <cell r="B1132">
            <v>58</v>
          </cell>
          <cell r="C1132">
            <v>14</v>
          </cell>
          <cell r="D1132">
            <v>10</v>
          </cell>
          <cell r="E1132" t="str">
            <v>A</v>
          </cell>
          <cell r="F1132">
            <v>8.8200000000000001E-2</v>
          </cell>
        </row>
        <row r="1133">
          <cell r="A1133" t="str">
            <v>58.1.10.E</v>
          </cell>
          <cell r="B1133">
            <v>58</v>
          </cell>
          <cell r="C1133">
            <v>1</v>
          </cell>
          <cell r="D1133">
            <v>10</v>
          </cell>
          <cell r="E1133" t="str">
            <v>E</v>
          </cell>
          <cell r="F1133">
            <v>8.8200000000000001E-2</v>
          </cell>
        </row>
        <row r="1134">
          <cell r="A1134" t="str">
            <v>58.1.10.F</v>
          </cell>
          <cell r="B1134">
            <v>58</v>
          </cell>
          <cell r="C1134">
            <v>1</v>
          </cell>
          <cell r="D1134">
            <v>10</v>
          </cell>
          <cell r="E1134" t="str">
            <v>F</v>
          </cell>
          <cell r="F1134">
            <v>8.8200000000000001E-2</v>
          </cell>
        </row>
        <row r="1135">
          <cell r="A1135" t="str">
            <v>58.1.10.N</v>
          </cell>
          <cell r="B1135">
            <v>58</v>
          </cell>
          <cell r="C1135">
            <v>1</v>
          </cell>
          <cell r="D1135">
            <v>10</v>
          </cell>
          <cell r="E1135" t="str">
            <v>N</v>
          </cell>
          <cell r="F1135">
            <v>8.8200000000000001E-2</v>
          </cell>
        </row>
        <row r="1136">
          <cell r="A1136" t="str">
            <v>58.0E.10.N</v>
          </cell>
          <cell r="B1136">
            <v>58</v>
          </cell>
          <cell r="C1136" t="str">
            <v>0E</v>
          </cell>
          <cell r="D1136">
            <v>10</v>
          </cell>
          <cell r="E1136" t="str">
            <v>N</v>
          </cell>
          <cell r="F1136">
            <v>8.8200000000000001E-2</v>
          </cell>
        </row>
        <row r="1137">
          <cell r="A1137" t="str">
            <v>58.0M.10.N</v>
          </cell>
          <cell r="B1137">
            <v>58</v>
          </cell>
          <cell r="C1137" t="str">
            <v>0M</v>
          </cell>
          <cell r="D1137">
            <v>10</v>
          </cell>
          <cell r="E1137" t="str">
            <v>N</v>
          </cell>
          <cell r="F1137">
            <v>8.8200000000000001E-2</v>
          </cell>
        </row>
        <row r="1138">
          <cell r="A1138" t="str">
            <v>58.0U.10.N</v>
          </cell>
          <cell r="B1138">
            <v>58</v>
          </cell>
          <cell r="C1138" t="str">
            <v>0U</v>
          </cell>
          <cell r="D1138">
            <v>10</v>
          </cell>
          <cell r="E1138" t="str">
            <v>N</v>
          </cell>
          <cell r="F1138">
            <v>8.8200000000000001E-2</v>
          </cell>
        </row>
        <row r="1139">
          <cell r="A1139" t="str">
            <v>58.12.10.N</v>
          </cell>
          <cell r="B1139">
            <v>58</v>
          </cell>
          <cell r="C1139">
            <v>12</v>
          </cell>
          <cell r="D1139">
            <v>10</v>
          </cell>
          <cell r="E1139" t="str">
            <v>N</v>
          </cell>
          <cell r="F1139">
            <v>8.8200000000000001E-2</v>
          </cell>
        </row>
        <row r="1140">
          <cell r="A1140" t="str">
            <v>58.1.11.0</v>
          </cell>
          <cell r="B1140">
            <v>58</v>
          </cell>
          <cell r="C1140">
            <v>1</v>
          </cell>
          <cell r="D1140">
            <v>11</v>
          </cell>
          <cell r="E1140">
            <v>0</v>
          </cell>
          <cell r="F1140">
            <v>8.8200000000000001E-2</v>
          </cell>
        </row>
        <row r="1141">
          <cell r="A1141" t="str">
            <v>58.1.11.N</v>
          </cell>
          <cell r="B1141">
            <v>58</v>
          </cell>
          <cell r="C1141">
            <v>1</v>
          </cell>
          <cell r="D1141">
            <v>11</v>
          </cell>
          <cell r="E1141" t="str">
            <v>N</v>
          </cell>
          <cell r="F1141">
            <v>8.8200000000000001E-2</v>
          </cell>
        </row>
        <row r="1142">
          <cell r="A1142" t="str">
            <v>58.1.15.0</v>
          </cell>
          <cell r="B1142">
            <v>58</v>
          </cell>
          <cell r="C1142">
            <v>1</v>
          </cell>
          <cell r="D1142">
            <v>15</v>
          </cell>
          <cell r="E1142">
            <v>0</v>
          </cell>
          <cell r="F1142">
            <v>9.0399999999999994E-2</v>
          </cell>
        </row>
        <row r="1143">
          <cell r="A1143" t="str">
            <v>58.1.15.A</v>
          </cell>
          <cell r="B1143">
            <v>58</v>
          </cell>
          <cell r="C1143">
            <v>1</v>
          </cell>
          <cell r="D1143">
            <v>15</v>
          </cell>
          <cell r="E1143" t="str">
            <v>A</v>
          </cell>
          <cell r="F1143">
            <v>9.0399999999999994E-2</v>
          </cell>
        </row>
        <row r="1144">
          <cell r="A1144" t="str">
            <v>58.1.15.E</v>
          </cell>
          <cell r="B1144">
            <v>58</v>
          </cell>
          <cell r="C1144">
            <v>1</v>
          </cell>
          <cell r="D1144">
            <v>15</v>
          </cell>
          <cell r="E1144" t="str">
            <v>E</v>
          </cell>
          <cell r="F1144">
            <v>9.0399999999999994E-2</v>
          </cell>
        </row>
        <row r="1145">
          <cell r="A1145" t="str">
            <v>58.1.15.N</v>
          </cell>
          <cell r="B1145">
            <v>58</v>
          </cell>
          <cell r="C1145">
            <v>1</v>
          </cell>
          <cell r="D1145">
            <v>15</v>
          </cell>
          <cell r="E1145" t="str">
            <v>N</v>
          </cell>
          <cell r="F1145">
            <v>9.0399999999999994E-2</v>
          </cell>
        </row>
        <row r="1146">
          <cell r="A1146" t="str">
            <v>58.1.35.0</v>
          </cell>
          <cell r="B1146">
            <v>58</v>
          </cell>
          <cell r="C1146">
            <v>1</v>
          </cell>
          <cell r="D1146">
            <v>35</v>
          </cell>
          <cell r="E1146">
            <v>0</v>
          </cell>
          <cell r="F1146">
            <v>9.0399999999999994E-2</v>
          </cell>
        </row>
        <row r="1147">
          <cell r="A1147" t="str">
            <v>58.1.35.A</v>
          </cell>
          <cell r="B1147">
            <v>58</v>
          </cell>
          <cell r="C1147">
            <v>1</v>
          </cell>
          <cell r="D1147">
            <v>35</v>
          </cell>
          <cell r="E1147" t="str">
            <v>A</v>
          </cell>
          <cell r="F1147">
            <v>9.0399999999999994E-2</v>
          </cell>
        </row>
        <row r="1148">
          <cell r="A1148" t="str">
            <v>58.1.35.N</v>
          </cell>
          <cell r="B1148">
            <v>58</v>
          </cell>
          <cell r="C1148">
            <v>1</v>
          </cell>
          <cell r="D1148">
            <v>35</v>
          </cell>
          <cell r="E1148" t="str">
            <v>N</v>
          </cell>
          <cell r="F1148">
            <v>9.0399999999999994E-2</v>
          </cell>
        </row>
        <row r="1149">
          <cell r="A1149" t="str">
            <v>58.1.40.0</v>
          </cell>
          <cell r="B1149">
            <v>58</v>
          </cell>
          <cell r="C1149">
            <v>1</v>
          </cell>
          <cell r="D1149">
            <v>40</v>
          </cell>
          <cell r="E1149">
            <v>0</v>
          </cell>
          <cell r="F1149">
            <v>8.8200000000000001E-2</v>
          </cell>
        </row>
        <row r="1150">
          <cell r="A1150" t="str">
            <v>58.1.40.A</v>
          </cell>
          <cell r="B1150">
            <v>58</v>
          </cell>
          <cell r="C1150">
            <v>1</v>
          </cell>
          <cell r="D1150">
            <v>40</v>
          </cell>
          <cell r="E1150" t="str">
            <v>A</v>
          </cell>
          <cell r="F1150">
            <v>8.8200000000000001E-2</v>
          </cell>
        </row>
        <row r="1151">
          <cell r="A1151" t="str">
            <v>58.1.40.E</v>
          </cell>
          <cell r="B1151">
            <v>58</v>
          </cell>
          <cell r="C1151">
            <v>1</v>
          </cell>
          <cell r="D1151">
            <v>40</v>
          </cell>
          <cell r="E1151" t="str">
            <v>E</v>
          </cell>
          <cell r="F1151">
            <v>8.8200000000000001E-2</v>
          </cell>
        </row>
        <row r="1152">
          <cell r="A1152" t="str">
            <v>58.1.40.N</v>
          </cell>
          <cell r="B1152">
            <v>58</v>
          </cell>
          <cell r="C1152">
            <v>1</v>
          </cell>
          <cell r="D1152">
            <v>40</v>
          </cell>
          <cell r="E1152" t="str">
            <v>N</v>
          </cell>
          <cell r="F1152">
            <v>8.8200000000000001E-2</v>
          </cell>
        </row>
        <row r="1153">
          <cell r="A1153" t="str">
            <v>58.0U.40.N</v>
          </cell>
          <cell r="B1153">
            <v>58</v>
          </cell>
          <cell r="C1153" t="str">
            <v>0U</v>
          </cell>
          <cell r="D1153">
            <v>40</v>
          </cell>
          <cell r="E1153" t="str">
            <v>N</v>
          </cell>
          <cell r="F1153">
            <v>8.8200000000000001E-2</v>
          </cell>
        </row>
        <row r="1154">
          <cell r="A1154" t="str">
            <v>58.1.45.0</v>
          </cell>
          <cell r="B1154">
            <v>58</v>
          </cell>
          <cell r="C1154">
            <v>1</v>
          </cell>
          <cell r="D1154">
            <v>45</v>
          </cell>
          <cell r="E1154">
            <v>0</v>
          </cell>
          <cell r="F1154">
            <v>9.0399999999999994E-2</v>
          </cell>
        </row>
        <row r="1155">
          <cell r="A1155" t="str">
            <v>58.1.45.A</v>
          </cell>
          <cell r="B1155">
            <v>58</v>
          </cell>
          <cell r="C1155">
            <v>1</v>
          </cell>
          <cell r="D1155">
            <v>45</v>
          </cell>
          <cell r="E1155" t="str">
            <v>A</v>
          </cell>
          <cell r="F1155">
            <v>9.0399999999999994E-2</v>
          </cell>
        </row>
        <row r="1156">
          <cell r="A1156" t="str">
            <v>58.1.45.F</v>
          </cell>
          <cell r="B1156">
            <v>58</v>
          </cell>
          <cell r="C1156">
            <v>1</v>
          </cell>
          <cell r="D1156">
            <v>45</v>
          </cell>
          <cell r="E1156" t="str">
            <v>F</v>
          </cell>
          <cell r="F1156">
            <v>9.0399999999999994E-2</v>
          </cell>
        </row>
        <row r="1157">
          <cell r="A1157" t="str">
            <v>58.1.45.N</v>
          </cell>
          <cell r="B1157">
            <v>58</v>
          </cell>
          <cell r="C1157">
            <v>1</v>
          </cell>
          <cell r="D1157">
            <v>45</v>
          </cell>
          <cell r="E1157" t="str">
            <v>N</v>
          </cell>
          <cell r="F1157">
            <v>9.0399999999999994E-2</v>
          </cell>
        </row>
        <row r="1158">
          <cell r="A1158" t="str">
            <v>58.1.50.0</v>
          </cell>
          <cell r="B1158">
            <v>58</v>
          </cell>
          <cell r="C1158">
            <v>1</v>
          </cell>
          <cell r="D1158">
            <v>50</v>
          </cell>
          <cell r="E1158">
            <v>0</v>
          </cell>
          <cell r="F1158">
            <v>9.0399999999999994E-2</v>
          </cell>
        </row>
        <row r="1159">
          <cell r="A1159" t="str">
            <v>58.1.50.A</v>
          </cell>
          <cell r="B1159">
            <v>58</v>
          </cell>
          <cell r="C1159">
            <v>1</v>
          </cell>
          <cell r="D1159">
            <v>50</v>
          </cell>
          <cell r="E1159" t="str">
            <v>A</v>
          </cell>
          <cell r="F1159">
            <v>9.0399999999999994E-2</v>
          </cell>
        </row>
        <row r="1160">
          <cell r="A1160" t="str">
            <v>58.1.50.N</v>
          </cell>
          <cell r="B1160">
            <v>58</v>
          </cell>
          <cell r="C1160">
            <v>1</v>
          </cell>
          <cell r="D1160">
            <v>50</v>
          </cell>
          <cell r="E1160" t="str">
            <v>N</v>
          </cell>
          <cell r="F1160">
            <v>9.0399999999999994E-2</v>
          </cell>
        </row>
        <row r="1161">
          <cell r="A1161" t="str">
            <v>58.1.55.0</v>
          </cell>
          <cell r="B1161">
            <v>58</v>
          </cell>
          <cell r="C1161">
            <v>1</v>
          </cell>
          <cell r="D1161">
            <v>55</v>
          </cell>
          <cell r="E1161">
            <v>0</v>
          </cell>
          <cell r="F1161">
            <v>0.125</v>
          </cell>
        </row>
        <row r="1162">
          <cell r="A1162" t="str">
            <v>58.1.55.A</v>
          </cell>
          <cell r="B1162">
            <v>58</v>
          </cell>
          <cell r="C1162">
            <v>1</v>
          </cell>
          <cell r="D1162">
            <v>55</v>
          </cell>
          <cell r="E1162" t="str">
            <v>A</v>
          </cell>
          <cell r="F1162">
            <v>0.125</v>
          </cell>
        </row>
        <row r="1163">
          <cell r="A1163" t="str">
            <v>58.1.60.0</v>
          </cell>
          <cell r="B1163">
            <v>58</v>
          </cell>
          <cell r="C1163">
            <v>1</v>
          </cell>
          <cell r="D1163">
            <v>60</v>
          </cell>
          <cell r="E1163">
            <v>0</v>
          </cell>
          <cell r="F1163">
            <v>0.125</v>
          </cell>
        </row>
        <row r="1164">
          <cell r="A1164" t="str">
            <v>58.1.60.A</v>
          </cell>
          <cell r="B1164">
            <v>58</v>
          </cell>
          <cell r="C1164">
            <v>1</v>
          </cell>
          <cell r="D1164">
            <v>60</v>
          </cell>
          <cell r="E1164" t="str">
            <v>A</v>
          </cell>
          <cell r="F1164">
            <v>0.125</v>
          </cell>
        </row>
        <row r="1165">
          <cell r="A1165" t="str">
            <v>58.1.60.I</v>
          </cell>
          <cell r="B1165">
            <v>58</v>
          </cell>
          <cell r="C1165">
            <v>1</v>
          </cell>
          <cell r="D1165">
            <v>60</v>
          </cell>
          <cell r="E1165" t="str">
            <v>I</v>
          </cell>
          <cell r="F1165">
            <v>0.125</v>
          </cell>
        </row>
        <row r="1166">
          <cell r="A1166" t="str">
            <v>58.1.60.N</v>
          </cell>
          <cell r="B1166">
            <v>58</v>
          </cell>
          <cell r="C1166">
            <v>1</v>
          </cell>
          <cell r="D1166">
            <v>60</v>
          </cell>
          <cell r="E1166" t="str">
            <v>N</v>
          </cell>
          <cell r="F1166">
            <v>0.125</v>
          </cell>
        </row>
        <row r="1167">
          <cell r="A1167" t="str">
            <v>58.1.65.0</v>
          </cell>
          <cell r="B1167">
            <v>58</v>
          </cell>
          <cell r="C1167">
            <v>1</v>
          </cell>
          <cell r="D1167">
            <v>65</v>
          </cell>
          <cell r="E1167">
            <v>0</v>
          </cell>
          <cell r="F1167">
            <v>0.125</v>
          </cell>
        </row>
        <row r="1168">
          <cell r="A1168" t="str">
            <v>58.1.65.A</v>
          </cell>
          <cell r="B1168">
            <v>58</v>
          </cell>
          <cell r="C1168">
            <v>1</v>
          </cell>
          <cell r="D1168">
            <v>65</v>
          </cell>
          <cell r="E1168" t="str">
            <v>A</v>
          </cell>
          <cell r="F1168">
            <v>0.125</v>
          </cell>
        </row>
        <row r="1169">
          <cell r="A1169" t="str">
            <v>58.1.98.0</v>
          </cell>
          <cell r="B1169">
            <v>58</v>
          </cell>
          <cell r="C1169">
            <v>1</v>
          </cell>
          <cell r="D1169">
            <v>98</v>
          </cell>
          <cell r="E1169">
            <v>0</v>
          </cell>
          <cell r="F1169">
            <v>0</v>
          </cell>
        </row>
        <row r="1170">
          <cell r="A1170" t="str">
            <v>58.1.98.A</v>
          </cell>
          <cell r="B1170">
            <v>58</v>
          </cell>
          <cell r="C1170">
            <v>1</v>
          </cell>
          <cell r="D1170">
            <v>98</v>
          </cell>
          <cell r="E1170" t="str">
            <v>A</v>
          </cell>
          <cell r="F1170">
            <v>0</v>
          </cell>
        </row>
        <row r="1171">
          <cell r="A1171" t="str">
            <v>59.1.0.0</v>
          </cell>
          <cell r="B1171">
            <v>59</v>
          </cell>
          <cell r="C1171">
            <v>1</v>
          </cell>
          <cell r="D1171">
            <v>0</v>
          </cell>
          <cell r="E1171">
            <v>0</v>
          </cell>
          <cell r="F1171">
            <v>0.16669999999999999</v>
          </cell>
        </row>
        <row r="1172">
          <cell r="A1172" t="str">
            <v>59.1.0.A</v>
          </cell>
          <cell r="B1172">
            <v>59</v>
          </cell>
          <cell r="C1172">
            <v>1</v>
          </cell>
          <cell r="D1172">
            <v>0</v>
          </cell>
          <cell r="E1172" t="str">
            <v>A</v>
          </cell>
          <cell r="F1172">
            <v>0.16669999999999999</v>
          </cell>
        </row>
        <row r="1173">
          <cell r="A1173" t="str">
            <v>59.1.0.C</v>
          </cell>
          <cell r="B1173">
            <v>59</v>
          </cell>
          <cell r="C1173">
            <v>1</v>
          </cell>
          <cell r="D1173">
            <v>0</v>
          </cell>
          <cell r="E1173" t="str">
            <v>C</v>
          </cell>
          <cell r="F1173">
            <v>0.16669999999999999</v>
          </cell>
        </row>
        <row r="1174">
          <cell r="A1174" t="str">
            <v>59.1.0.N</v>
          </cell>
          <cell r="B1174">
            <v>59</v>
          </cell>
          <cell r="C1174">
            <v>1</v>
          </cell>
          <cell r="D1174">
            <v>0</v>
          </cell>
          <cell r="E1174" t="str">
            <v>N</v>
          </cell>
          <cell r="F1174">
            <v>0.16669999999999999</v>
          </cell>
        </row>
        <row r="1175">
          <cell r="A1175" t="str">
            <v>59.0B.0.N</v>
          </cell>
          <cell r="B1175">
            <v>59</v>
          </cell>
          <cell r="C1175" t="str">
            <v>0B</v>
          </cell>
          <cell r="D1175">
            <v>0</v>
          </cell>
          <cell r="E1175" t="str">
            <v>N</v>
          </cell>
          <cell r="F1175">
            <v>0.16669999999999999</v>
          </cell>
        </row>
        <row r="1176">
          <cell r="A1176" t="str">
            <v>59.0E.0.N</v>
          </cell>
          <cell r="B1176">
            <v>59</v>
          </cell>
          <cell r="C1176" t="str">
            <v>0E</v>
          </cell>
          <cell r="D1176">
            <v>0</v>
          </cell>
          <cell r="E1176" t="str">
            <v>N</v>
          </cell>
          <cell r="F1176">
            <v>0.16669999999999999</v>
          </cell>
        </row>
        <row r="1177">
          <cell r="A1177" t="str">
            <v>59.0M.0.N</v>
          </cell>
          <cell r="B1177">
            <v>59</v>
          </cell>
          <cell r="C1177" t="str">
            <v>0M</v>
          </cell>
          <cell r="D1177">
            <v>0</v>
          </cell>
          <cell r="E1177" t="str">
            <v>N</v>
          </cell>
          <cell r="F1177">
            <v>0.16669999999999999</v>
          </cell>
        </row>
        <row r="1178">
          <cell r="A1178" t="str">
            <v>59.72.0.N</v>
          </cell>
          <cell r="B1178">
            <v>59</v>
          </cell>
          <cell r="C1178">
            <v>72</v>
          </cell>
          <cell r="D1178">
            <v>0</v>
          </cell>
          <cell r="E1178" t="str">
            <v>N</v>
          </cell>
          <cell r="F1178">
            <v>0.16669999999999999</v>
          </cell>
        </row>
        <row r="1179">
          <cell r="A1179" t="str">
            <v>59.7P.0.N</v>
          </cell>
          <cell r="B1179">
            <v>59</v>
          </cell>
          <cell r="C1179" t="str">
            <v>7P</v>
          </cell>
          <cell r="D1179">
            <v>0</v>
          </cell>
          <cell r="E1179" t="str">
            <v>N</v>
          </cell>
          <cell r="F1179">
            <v>0.16669999999999999</v>
          </cell>
        </row>
        <row r="1180">
          <cell r="A1180" t="str">
            <v>59.1.1.N</v>
          </cell>
          <cell r="B1180">
            <v>59</v>
          </cell>
          <cell r="C1180">
            <v>1</v>
          </cell>
          <cell r="D1180">
            <v>1</v>
          </cell>
          <cell r="E1180" t="str">
            <v>N</v>
          </cell>
          <cell r="F1180">
            <v>0.16669999999999999</v>
          </cell>
        </row>
        <row r="1181">
          <cell r="A1181" t="str">
            <v>59.72.1.N</v>
          </cell>
          <cell r="B1181">
            <v>59</v>
          </cell>
          <cell r="C1181">
            <v>72</v>
          </cell>
          <cell r="D1181">
            <v>1</v>
          </cell>
          <cell r="E1181" t="str">
            <v>N</v>
          </cell>
          <cell r="F1181">
            <v>0.16669999999999999</v>
          </cell>
        </row>
        <row r="1182">
          <cell r="A1182" t="str">
            <v>59.1.5.A</v>
          </cell>
          <cell r="B1182">
            <v>59</v>
          </cell>
          <cell r="C1182">
            <v>1</v>
          </cell>
          <cell r="D1182">
            <v>5</v>
          </cell>
          <cell r="E1182" t="str">
            <v>A</v>
          </cell>
          <cell r="F1182">
            <v>0.16669999999999999</v>
          </cell>
        </row>
        <row r="1183">
          <cell r="A1183" t="str">
            <v>59.1.5.N</v>
          </cell>
          <cell r="B1183">
            <v>59</v>
          </cell>
          <cell r="C1183">
            <v>1</v>
          </cell>
          <cell r="D1183">
            <v>5</v>
          </cell>
          <cell r="E1183" t="str">
            <v>N</v>
          </cell>
          <cell r="F1183">
            <v>0.16669999999999999</v>
          </cell>
        </row>
        <row r="1184">
          <cell r="A1184" t="str">
            <v>59.72.5.N</v>
          </cell>
          <cell r="B1184">
            <v>59</v>
          </cell>
          <cell r="C1184">
            <v>72</v>
          </cell>
          <cell r="D1184">
            <v>5</v>
          </cell>
          <cell r="E1184" t="str">
            <v>N</v>
          </cell>
          <cell r="F1184">
            <v>0.16669999999999999</v>
          </cell>
        </row>
        <row r="1185">
          <cell r="A1185" t="str">
            <v>59.1.7.A</v>
          </cell>
          <cell r="B1185">
            <v>59</v>
          </cell>
          <cell r="C1185">
            <v>1</v>
          </cell>
          <cell r="D1185">
            <v>7</v>
          </cell>
          <cell r="E1185" t="str">
            <v>A</v>
          </cell>
          <cell r="F1185">
            <v>0.1111</v>
          </cell>
        </row>
        <row r="1186">
          <cell r="A1186" t="str">
            <v>59.1.7.N</v>
          </cell>
          <cell r="B1186">
            <v>59</v>
          </cell>
          <cell r="C1186">
            <v>1</v>
          </cell>
          <cell r="D1186">
            <v>7</v>
          </cell>
          <cell r="E1186" t="str">
            <v>N</v>
          </cell>
          <cell r="F1186">
            <v>0.1111</v>
          </cell>
        </row>
        <row r="1187">
          <cell r="A1187" t="str">
            <v>59.72.7.N</v>
          </cell>
          <cell r="B1187">
            <v>59</v>
          </cell>
          <cell r="C1187">
            <v>72</v>
          </cell>
          <cell r="D1187">
            <v>7</v>
          </cell>
          <cell r="E1187" t="str">
            <v>N</v>
          </cell>
          <cell r="F1187">
            <v>0.1111</v>
          </cell>
        </row>
        <row r="1188">
          <cell r="A1188" t="str">
            <v>59.1.10.A</v>
          </cell>
          <cell r="B1188">
            <v>59</v>
          </cell>
          <cell r="C1188">
            <v>1</v>
          </cell>
          <cell r="D1188">
            <v>10</v>
          </cell>
          <cell r="E1188" t="str">
            <v>A</v>
          </cell>
          <cell r="F1188">
            <v>0.16669999999999999</v>
          </cell>
        </row>
        <row r="1189">
          <cell r="A1189" t="str">
            <v>59.1.11.A</v>
          </cell>
          <cell r="B1189">
            <v>59</v>
          </cell>
          <cell r="C1189">
            <v>1</v>
          </cell>
          <cell r="D1189">
            <v>11</v>
          </cell>
          <cell r="E1189" t="str">
            <v>A</v>
          </cell>
          <cell r="F1189">
            <v>0.16669999999999999</v>
          </cell>
        </row>
        <row r="1190">
          <cell r="A1190" t="str">
            <v>59.1.11.N</v>
          </cell>
          <cell r="B1190">
            <v>59</v>
          </cell>
          <cell r="C1190">
            <v>1</v>
          </cell>
          <cell r="D1190">
            <v>11</v>
          </cell>
          <cell r="E1190" t="str">
            <v>N</v>
          </cell>
          <cell r="F1190">
            <v>0.16669999999999999</v>
          </cell>
        </row>
        <row r="1191">
          <cell r="A1191" t="str">
            <v>59.72.11.N</v>
          </cell>
          <cell r="B1191">
            <v>59</v>
          </cell>
          <cell r="C1191">
            <v>72</v>
          </cell>
          <cell r="D1191">
            <v>11</v>
          </cell>
          <cell r="E1191" t="str">
            <v>N</v>
          </cell>
          <cell r="F1191">
            <v>0.16669999999999999</v>
          </cell>
        </row>
        <row r="1192">
          <cell r="A1192" t="str">
            <v>59.1.12.A</v>
          </cell>
          <cell r="B1192">
            <v>59</v>
          </cell>
          <cell r="C1192">
            <v>1</v>
          </cell>
          <cell r="D1192">
            <v>12</v>
          </cell>
          <cell r="E1192" t="str">
            <v>A</v>
          </cell>
          <cell r="F1192">
            <v>0.16669999999999999</v>
          </cell>
        </row>
        <row r="1193">
          <cell r="A1193" t="str">
            <v>59.1.13.A</v>
          </cell>
          <cell r="B1193">
            <v>59</v>
          </cell>
          <cell r="C1193">
            <v>1</v>
          </cell>
          <cell r="D1193">
            <v>13</v>
          </cell>
          <cell r="E1193" t="str">
            <v>A</v>
          </cell>
          <cell r="F1193">
            <v>0.16669999999999999</v>
          </cell>
        </row>
        <row r="1194">
          <cell r="A1194" t="str">
            <v>59.1.14.A</v>
          </cell>
          <cell r="B1194">
            <v>59</v>
          </cell>
          <cell r="C1194">
            <v>1</v>
          </cell>
          <cell r="D1194">
            <v>14</v>
          </cell>
          <cell r="E1194" t="str">
            <v>A</v>
          </cell>
          <cell r="F1194">
            <v>0.16669999999999999</v>
          </cell>
        </row>
        <row r="1195">
          <cell r="A1195" t="str">
            <v>59.1.15.A</v>
          </cell>
          <cell r="B1195">
            <v>59</v>
          </cell>
          <cell r="C1195">
            <v>1</v>
          </cell>
          <cell r="D1195">
            <v>15</v>
          </cell>
          <cell r="E1195" t="str">
            <v>A</v>
          </cell>
          <cell r="F1195">
            <v>0.16669999999999999</v>
          </cell>
        </row>
        <row r="1196">
          <cell r="A1196" t="str">
            <v>59.1.16.A</v>
          </cell>
          <cell r="B1196">
            <v>59</v>
          </cell>
          <cell r="C1196">
            <v>1</v>
          </cell>
          <cell r="D1196">
            <v>16</v>
          </cell>
          <cell r="E1196" t="str">
            <v>A</v>
          </cell>
          <cell r="F1196">
            <v>0.16669999999999999</v>
          </cell>
        </row>
        <row r="1197">
          <cell r="A1197" t="str">
            <v>59.1.98.0</v>
          </cell>
          <cell r="B1197">
            <v>59</v>
          </cell>
          <cell r="C1197">
            <v>1</v>
          </cell>
          <cell r="D1197">
            <v>98</v>
          </cell>
          <cell r="E1197">
            <v>0</v>
          </cell>
          <cell r="F1197">
            <v>0</v>
          </cell>
        </row>
        <row r="1198">
          <cell r="A1198" t="str">
            <v>59.1.98.A</v>
          </cell>
          <cell r="B1198">
            <v>59</v>
          </cell>
          <cell r="C1198">
            <v>1</v>
          </cell>
          <cell r="D1198">
            <v>98</v>
          </cell>
          <cell r="E1198" t="str">
            <v>A</v>
          </cell>
          <cell r="F1198">
            <v>0</v>
          </cell>
        </row>
        <row r="1199">
          <cell r="A1199" t="str">
            <v>76.1.99.0</v>
          </cell>
          <cell r="B1199">
            <v>76</v>
          </cell>
          <cell r="C1199">
            <v>1</v>
          </cell>
          <cell r="D1199">
            <v>99</v>
          </cell>
          <cell r="E1199">
            <v>0</v>
          </cell>
          <cell r="F1199">
            <v>0</v>
          </cell>
        </row>
        <row r="1200">
          <cell r="A1200" t="str">
            <v>76.3.99.0</v>
          </cell>
          <cell r="B1200">
            <v>76</v>
          </cell>
          <cell r="C1200">
            <v>3</v>
          </cell>
          <cell r="D1200">
            <v>99</v>
          </cell>
          <cell r="E1200">
            <v>0</v>
          </cell>
          <cell r="F1200">
            <v>0</v>
          </cell>
        </row>
        <row r="1201">
          <cell r="A1201" t="str">
            <v>76.15.99.0</v>
          </cell>
          <cell r="B1201">
            <v>76</v>
          </cell>
          <cell r="C1201">
            <v>15</v>
          </cell>
          <cell r="D1201">
            <v>99</v>
          </cell>
          <cell r="E1201">
            <v>0</v>
          </cell>
          <cell r="F1201">
            <v>0</v>
          </cell>
        </row>
        <row r="1202">
          <cell r="A1202" t="str">
            <v>76.1.99.1</v>
          </cell>
          <cell r="B1202">
            <v>76</v>
          </cell>
          <cell r="C1202">
            <v>1</v>
          </cell>
          <cell r="D1202">
            <v>99</v>
          </cell>
          <cell r="E1202">
            <v>1</v>
          </cell>
          <cell r="F1202">
            <v>0</v>
          </cell>
        </row>
        <row r="1203">
          <cell r="A1203" t="str">
            <v>76.1.99.A</v>
          </cell>
          <cell r="B1203">
            <v>76</v>
          </cell>
          <cell r="C1203">
            <v>1</v>
          </cell>
          <cell r="D1203">
            <v>99</v>
          </cell>
          <cell r="E1203" t="str">
            <v>A</v>
          </cell>
          <cell r="F1203">
            <v>0</v>
          </cell>
        </row>
        <row r="1204">
          <cell r="A1204" t="str">
            <v>76.3.99.A</v>
          </cell>
          <cell r="B1204">
            <v>76</v>
          </cell>
          <cell r="C1204">
            <v>3</v>
          </cell>
          <cell r="D1204">
            <v>99</v>
          </cell>
          <cell r="E1204" t="str">
            <v>A</v>
          </cell>
          <cell r="F1204">
            <v>0</v>
          </cell>
        </row>
        <row r="1205">
          <cell r="A1205" t="str">
            <v>76.15.99.A</v>
          </cell>
          <cell r="B1205">
            <v>76</v>
          </cell>
          <cell r="C1205">
            <v>15</v>
          </cell>
          <cell r="D1205">
            <v>99</v>
          </cell>
          <cell r="E1205" t="str">
            <v>A</v>
          </cell>
          <cell r="F1205">
            <v>0</v>
          </cell>
        </row>
        <row r="1206">
          <cell r="A1206" t="str">
            <v>Lines below added after file set up</v>
          </cell>
        </row>
        <row r="1207">
          <cell r="A1207" t="str">
            <v>52.1.10.N</v>
          </cell>
          <cell r="B1207">
            <v>52</v>
          </cell>
          <cell r="C1207">
            <v>1</v>
          </cell>
          <cell r="D1207">
            <v>10</v>
          </cell>
          <cell r="E1207" t="str">
            <v>N</v>
          </cell>
          <cell r="F1207">
            <v>0.1</v>
          </cell>
        </row>
        <row r="1208">
          <cell r="A1208" t="str">
            <v>53.1.14.N</v>
          </cell>
          <cell r="B1208">
            <v>53</v>
          </cell>
          <cell r="C1208">
            <v>1</v>
          </cell>
          <cell r="D1208">
            <v>14</v>
          </cell>
          <cell r="E1208" t="str">
            <v>N</v>
          </cell>
          <cell r="F1208">
            <v>7.1400000000000005E-2</v>
          </cell>
        </row>
        <row r="1209">
          <cell r="A1209" t="str">
            <v>57.1.23.N</v>
          </cell>
          <cell r="B1209">
            <v>57</v>
          </cell>
          <cell r="C1209">
            <v>1</v>
          </cell>
          <cell r="D1209">
            <v>23</v>
          </cell>
          <cell r="E1209" t="str">
            <v>N</v>
          </cell>
          <cell r="F1209">
            <v>4.3499999999999997E-2</v>
          </cell>
        </row>
        <row r="1210">
          <cell r="A1210" t="str">
            <v>59.27.0.N</v>
          </cell>
          <cell r="B1210">
            <v>59</v>
          </cell>
          <cell r="C1210">
            <v>27</v>
          </cell>
          <cell r="D1210">
            <v>0</v>
          </cell>
          <cell r="E1210" t="str">
            <v>N</v>
          </cell>
          <cell r="F1210">
            <v>0.16669999999999999</v>
          </cell>
        </row>
        <row r="1211">
          <cell r="A1211" t="str">
            <v>3.1.10.U</v>
          </cell>
          <cell r="B1211">
            <v>3</v>
          </cell>
          <cell r="C1211">
            <v>1</v>
          </cell>
          <cell r="D1211">
            <v>10</v>
          </cell>
          <cell r="E1211" t="e">
            <v>#N/A</v>
          </cell>
          <cell r="F1211">
            <v>1.0500000000000001E-2</v>
          </cell>
        </row>
        <row r="1212">
          <cell r="A1212" t="str">
            <v>3.1.20.U</v>
          </cell>
          <cell r="B1212">
            <v>3</v>
          </cell>
          <cell r="C1212">
            <v>1</v>
          </cell>
          <cell r="D1212">
            <v>20</v>
          </cell>
          <cell r="E1212" t="e">
            <v>#N/A</v>
          </cell>
          <cell r="F1212">
            <v>1.0500000000000001E-2</v>
          </cell>
        </row>
        <row r="1213">
          <cell r="A1213" t="str">
            <v>4.1.10.U</v>
          </cell>
          <cell r="B1213">
            <v>4</v>
          </cell>
          <cell r="C1213">
            <v>1</v>
          </cell>
          <cell r="D1213">
            <v>10</v>
          </cell>
          <cell r="E1213" t="e">
            <v>#N/A</v>
          </cell>
          <cell r="F1213">
            <v>0.02</v>
          </cell>
        </row>
        <row r="1214">
          <cell r="A1214" t="str">
            <v>5.1.10.U</v>
          </cell>
          <cell r="B1214">
            <v>5</v>
          </cell>
          <cell r="C1214">
            <v>1</v>
          </cell>
          <cell r="D1214">
            <v>10</v>
          </cell>
          <cell r="E1214" t="e">
            <v>#N/A</v>
          </cell>
          <cell r="F1214">
            <v>1.0500000000000001E-2</v>
          </cell>
        </row>
        <row r="1215">
          <cell r="A1215" t="str">
            <v>6.1.0.U</v>
          </cell>
          <cell r="B1215">
            <v>6</v>
          </cell>
          <cell r="C1215">
            <v>1</v>
          </cell>
          <cell r="D1215">
            <v>0</v>
          </cell>
          <cell r="E1215" t="e">
            <v>#N/A</v>
          </cell>
          <cell r="F1215">
            <v>1.2500000000000001E-2</v>
          </cell>
        </row>
        <row r="1216">
          <cell r="A1216" t="str">
            <v>8.1.10.U</v>
          </cell>
          <cell r="B1216">
            <v>8</v>
          </cell>
          <cell r="C1216">
            <v>1</v>
          </cell>
          <cell r="D1216">
            <v>10</v>
          </cell>
          <cell r="E1216" t="e">
            <v>#N/A</v>
          </cell>
          <cell r="F1216">
            <v>5.4899999999999997E-2</v>
          </cell>
        </row>
        <row r="1217">
          <cell r="A1217" t="str">
            <v>8.1.11.U</v>
          </cell>
          <cell r="B1217">
            <v>8</v>
          </cell>
          <cell r="C1217">
            <v>1</v>
          </cell>
          <cell r="D1217">
            <v>11</v>
          </cell>
          <cell r="E1217" t="e">
            <v>#N/A</v>
          </cell>
          <cell r="F1217">
            <v>3.7699999999999997E-2</v>
          </cell>
        </row>
        <row r="1218">
          <cell r="A1218" t="str">
            <v>8.1.20.U</v>
          </cell>
          <cell r="B1218">
            <v>8</v>
          </cell>
          <cell r="C1218">
            <v>1</v>
          </cell>
          <cell r="D1218">
            <v>20</v>
          </cell>
          <cell r="E1218" t="e">
            <v>#N/A</v>
          </cell>
          <cell r="F1218">
            <v>4.4699999999999997E-2</v>
          </cell>
        </row>
        <row r="1219">
          <cell r="A1219" t="str">
            <v>8.1.52.T</v>
          </cell>
          <cell r="B1219">
            <v>8</v>
          </cell>
          <cell r="C1219">
            <v>1</v>
          </cell>
          <cell r="D1219">
            <v>52</v>
          </cell>
          <cell r="E1219" t="str">
            <v>T</v>
          </cell>
          <cell r="F1219">
            <v>6.3500000000000001E-2</v>
          </cell>
        </row>
        <row r="1220">
          <cell r="A1220" t="str">
            <v>9.1.10.U</v>
          </cell>
          <cell r="B1220">
            <v>9</v>
          </cell>
          <cell r="C1220">
            <v>1</v>
          </cell>
          <cell r="D1220">
            <v>10</v>
          </cell>
          <cell r="E1220" t="e">
            <v>#N/A</v>
          </cell>
          <cell r="F1220">
            <v>3.3000000000000002E-2</v>
          </cell>
        </row>
        <row r="1221">
          <cell r="A1221" t="str">
            <v>9.1.20.U</v>
          </cell>
          <cell r="B1221">
            <v>9</v>
          </cell>
          <cell r="C1221">
            <v>1</v>
          </cell>
          <cell r="D1221">
            <v>20</v>
          </cell>
          <cell r="E1221" t="e">
            <v>#N/A</v>
          </cell>
          <cell r="F1221">
            <v>2.6700000000000002E-2</v>
          </cell>
        </row>
        <row r="1222">
          <cell r="A1222" t="str">
            <v>11.1.10.U</v>
          </cell>
          <cell r="B1222">
            <v>11</v>
          </cell>
          <cell r="C1222">
            <v>1</v>
          </cell>
          <cell r="D1222">
            <v>10</v>
          </cell>
          <cell r="E1222" t="e">
            <v>#N/A</v>
          </cell>
          <cell r="F1222">
            <v>0.04</v>
          </cell>
        </row>
        <row r="1223">
          <cell r="A1223" t="str">
            <v>11.1.20.U</v>
          </cell>
          <cell r="B1223">
            <v>11</v>
          </cell>
          <cell r="C1223">
            <v>1</v>
          </cell>
          <cell r="D1223">
            <v>20</v>
          </cell>
          <cell r="E1223" t="e">
            <v>#N/A</v>
          </cell>
          <cell r="F1223">
            <v>3.5700000000000003E-2</v>
          </cell>
        </row>
        <row r="1224">
          <cell r="A1224" t="str">
            <v>13.1.0.U</v>
          </cell>
          <cell r="B1224">
            <v>13</v>
          </cell>
          <cell r="C1224">
            <v>1</v>
          </cell>
          <cell r="D1224">
            <v>0</v>
          </cell>
          <cell r="E1224" t="e">
            <v>#N/A</v>
          </cell>
          <cell r="F1224">
            <v>1.3299999999999999E-2</v>
          </cell>
        </row>
        <row r="1225">
          <cell r="A1225" t="str">
            <v>16.1.1X.U</v>
          </cell>
          <cell r="B1225">
            <v>16</v>
          </cell>
          <cell r="C1225">
            <v>1</v>
          </cell>
          <cell r="D1225" t="str">
            <v>1X</v>
          </cell>
          <cell r="E1225" t="e">
            <v>#N/A</v>
          </cell>
          <cell r="F1225">
            <v>2.63E-2</v>
          </cell>
        </row>
        <row r="1226">
          <cell r="A1226" t="str">
            <v>16.1.5X.T</v>
          </cell>
          <cell r="B1226">
            <v>16</v>
          </cell>
          <cell r="C1226">
            <v>1</v>
          </cell>
          <cell r="D1226" t="str">
            <v>5X</v>
          </cell>
          <cell r="E1226" t="str">
            <v>T</v>
          </cell>
          <cell r="F1226">
            <v>6.3500000000000001E-2</v>
          </cell>
        </row>
        <row r="1227">
          <cell r="A1227" t="str">
            <v>17.1.1X.U</v>
          </cell>
          <cell r="B1227">
            <v>17</v>
          </cell>
          <cell r="C1227">
            <v>1</v>
          </cell>
          <cell r="D1227" t="str">
            <v>1X</v>
          </cell>
          <cell r="E1227" t="e">
            <v>#N/A</v>
          </cell>
          <cell r="F1227">
            <v>3.6999999999999998E-2</v>
          </cell>
        </row>
        <row r="1228">
          <cell r="A1228" t="str">
            <v>17.1.5X.T</v>
          </cell>
          <cell r="B1228">
            <v>17</v>
          </cell>
          <cell r="C1228">
            <v>1</v>
          </cell>
          <cell r="D1228" t="str">
            <v>5X</v>
          </cell>
          <cell r="E1228" t="str">
            <v>T</v>
          </cell>
          <cell r="F1228">
            <v>6.6400000000000001E-2</v>
          </cell>
        </row>
        <row r="1229">
          <cell r="A1229" t="str">
            <v>18.1.0.U</v>
          </cell>
          <cell r="B1229">
            <v>18</v>
          </cell>
          <cell r="C1229">
            <v>1</v>
          </cell>
          <cell r="D1229">
            <v>0</v>
          </cell>
          <cell r="E1229" t="e">
            <v>#N/A</v>
          </cell>
          <cell r="F1229">
            <v>2.5000000000000001E-2</v>
          </cell>
        </row>
        <row r="1230">
          <cell r="A1230" t="str">
            <v>19.1.0.U</v>
          </cell>
          <cell r="B1230">
            <v>19</v>
          </cell>
          <cell r="C1230">
            <v>1</v>
          </cell>
          <cell r="D1230">
            <v>0</v>
          </cell>
          <cell r="E1230" t="e">
            <v>#N/A</v>
          </cell>
          <cell r="F1230">
            <v>3.3300000000000003E-2</v>
          </cell>
        </row>
        <row r="1231">
          <cell r="A1231" t="str">
            <v>19.1.52.T</v>
          </cell>
          <cell r="B1231">
            <v>19</v>
          </cell>
          <cell r="C1231">
            <v>1</v>
          </cell>
          <cell r="D1231">
            <v>52</v>
          </cell>
          <cell r="E1231" t="str">
            <v>T</v>
          </cell>
          <cell r="F1231">
            <v>6.9000000000000006E-2</v>
          </cell>
        </row>
        <row r="1232">
          <cell r="A1232" t="str">
            <v>20.1.1X.U</v>
          </cell>
          <cell r="B1232">
            <v>20</v>
          </cell>
          <cell r="C1232">
            <v>1</v>
          </cell>
          <cell r="D1232" t="str">
            <v>1X</v>
          </cell>
          <cell r="E1232" t="e">
            <v>#N/A</v>
          </cell>
          <cell r="F1232">
            <v>2.0400000000000001E-2</v>
          </cell>
        </row>
        <row r="1233">
          <cell r="A1233" t="str">
            <v>25.1.1X.U</v>
          </cell>
          <cell r="B1233">
            <v>25</v>
          </cell>
          <cell r="C1233">
            <v>1</v>
          </cell>
          <cell r="D1233" t="str">
            <v>1X</v>
          </cell>
          <cell r="E1233" t="e">
            <v>#N/A</v>
          </cell>
          <cell r="F1233">
            <v>2.86E-2</v>
          </cell>
        </row>
        <row r="1234">
          <cell r="A1234" t="str">
            <v>26.1.1X.U</v>
          </cell>
          <cell r="B1234">
            <v>26</v>
          </cell>
          <cell r="C1234">
            <v>1</v>
          </cell>
          <cell r="D1234" t="str">
            <v>1X</v>
          </cell>
          <cell r="E1234" t="e">
            <v>#N/A</v>
          </cell>
          <cell r="F1234">
            <v>4.3499999999999997E-2</v>
          </cell>
        </row>
        <row r="1235">
          <cell r="A1235" t="str">
            <v>26.1.3X.U</v>
          </cell>
          <cell r="B1235">
            <v>26</v>
          </cell>
          <cell r="C1235">
            <v>1</v>
          </cell>
          <cell r="D1235" t="str">
            <v>3X</v>
          </cell>
          <cell r="E1235" t="e">
            <v>#N/A</v>
          </cell>
          <cell r="F1235">
            <v>7.6899999999999996E-2</v>
          </cell>
        </row>
        <row r="1236">
          <cell r="A1236" t="str">
            <v>27.1.1X.U</v>
          </cell>
          <cell r="B1236">
            <v>27</v>
          </cell>
          <cell r="C1236">
            <v>1</v>
          </cell>
          <cell r="D1236" t="str">
            <v>1X</v>
          </cell>
          <cell r="E1236" t="e">
            <v>#N/A</v>
          </cell>
          <cell r="F1236">
            <v>2.9399999999999999E-2</v>
          </cell>
        </row>
        <row r="1237">
          <cell r="A1237" t="str">
            <v>29.1.52.T</v>
          </cell>
          <cell r="B1237">
            <v>29</v>
          </cell>
          <cell r="C1237">
            <v>1</v>
          </cell>
          <cell r="D1237">
            <v>52</v>
          </cell>
          <cell r="E1237" t="str">
            <v>T</v>
          </cell>
          <cell r="F1237">
            <v>6.6799999999999998E-2</v>
          </cell>
        </row>
        <row r="1238">
          <cell r="A1238" t="str">
            <v>31.1.0.U</v>
          </cell>
          <cell r="B1238">
            <v>31</v>
          </cell>
          <cell r="C1238">
            <v>1</v>
          </cell>
          <cell r="D1238">
            <v>0</v>
          </cell>
          <cell r="E1238" t="e">
            <v>#N/A</v>
          </cell>
          <cell r="F1238">
            <v>2.3300000000000001E-2</v>
          </cell>
        </row>
        <row r="1239">
          <cell r="A1239" t="str">
            <v>35.1.0.U</v>
          </cell>
          <cell r="B1239">
            <v>35</v>
          </cell>
          <cell r="C1239">
            <v>1</v>
          </cell>
          <cell r="D1239">
            <v>0</v>
          </cell>
          <cell r="E1239" t="e">
            <v>#N/A</v>
          </cell>
          <cell r="F1239">
            <v>2.86E-2</v>
          </cell>
        </row>
        <row r="1240">
          <cell r="A1240" t="str">
            <v>37.1.0.U</v>
          </cell>
          <cell r="B1240">
            <v>37</v>
          </cell>
          <cell r="C1240">
            <v>1</v>
          </cell>
          <cell r="D1240">
            <v>0</v>
          </cell>
          <cell r="E1240" t="e">
            <v>#N/A</v>
          </cell>
          <cell r="F1240">
            <v>6.25E-2</v>
          </cell>
        </row>
        <row r="1241">
          <cell r="A1241" t="str">
            <v>39.1.10.U</v>
          </cell>
          <cell r="B1241">
            <v>39</v>
          </cell>
          <cell r="C1241">
            <v>1</v>
          </cell>
          <cell r="D1241">
            <v>10</v>
          </cell>
          <cell r="E1241" t="e">
            <v>#N/A</v>
          </cell>
          <cell r="F1241">
            <v>1.9599999999999999E-2</v>
          </cell>
        </row>
        <row r="1242">
          <cell r="A1242" t="str">
            <v>39.1.20.U</v>
          </cell>
          <cell r="B1242">
            <v>39</v>
          </cell>
          <cell r="C1242">
            <v>1</v>
          </cell>
          <cell r="D1242">
            <v>20</v>
          </cell>
          <cell r="E1242" t="e">
            <v>#N/A</v>
          </cell>
          <cell r="F1242">
            <v>1.9599999999999999E-2</v>
          </cell>
        </row>
        <row r="1243">
          <cell r="A1243" t="str">
            <v>52.1.40.N</v>
          </cell>
          <cell r="B1243">
            <v>52</v>
          </cell>
          <cell r="C1243">
            <v>1</v>
          </cell>
          <cell r="D1243">
            <v>40</v>
          </cell>
          <cell r="E1243" t="str">
            <v>N</v>
          </cell>
          <cell r="F1243">
            <v>0.2</v>
          </cell>
        </row>
        <row r="1244">
          <cell r="A1244" t="str">
            <v>57.1.52.T</v>
          </cell>
          <cell r="B1244">
            <v>57</v>
          </cell>
          <cell r="C1244">
            <v>1</v>
          </cell>
          <cell r="D1244">
            <v>52</v>
          </cell>
          <cell r="E1244" t="str">
            <v>T</v>
          </cell>
          <cell r="F1244">
            <v>0.12909999999999999</v>
          </cell>
        </row>
        <row r="1245">
          <cell r="A1245" t="str">
            <v>59.1.5.U</v>
          </cell>
          <cell r="B1245">
            <v>59</v>
          </cell>
          <cell r="C1245">
            <v>1</v>
          </cell>
          <cell r="D1245">
            <v>5</v>
          </cell>
          <cell r="E1245" t="e">
            <v>#N/A</v>
          </cell>
          <cell r="F1245">
            <v>0.16669999999999999</v>
          </cell>
        </row>
        <row r="1246">
          <cell r="A1246" t="str">
            <v>25.1.2X.Q</v>
          </cell>
          <cell r="B1246">
            <v>25</v>
          </cell>
          <cell r="C1246">
            <v>1</v>
          </cell>
          <cell r="D1246" t="str">
            <v>2X</v>
          </cell>
          <cell r="E1246" t="str">
            <v>Q</v>
          </cell>
          <cell r="F1246">
            <v>4.5499999999999999E-2</v>
          </cell>
        </row>
        <row r="1247">
          <cell r="A1247" t="str">
            <v>37.1.0.Q</v>
          </cell>
          <cell r="B1247">
            <v>37</v>
          </cell>
          <cell r="C1247">
            <v>1</v>
          </cell>
          <cell r="D1247">
            <v>0</v>
          </cell>
          <cell r="E1247" t="str">
            <v>Q</v>
          </cell>
          <cell r="F1247">
            <v>6.25E-2</v>
          </cell>
        </row>
        <row r="1248">
          <cell r="A1248" t="str">
            <v>57.7P.50.N</v>
          </cell>
          <cell r="B1248">
            <v>57</v>
          </cell>
          <cell r="C1248" t="str">
            <v>7P</v>
          </cell>
          <cell r="D1248">
            <v>50</v>
          </cell>
          <cell r="E1248" t="str">
            <v>N</v>
          </cell>
          <cell r="F1248">
            <v>2.5100000000000001E-2</v>
          </cell>
        </row>
        <row r="1249">
          <cell r="A1249" t="str">
            <v>...</v>
          </cell>
        </row>
        <row r="1250">
          <cell r="A1250" t="str">
            <v>...</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ssumptions"/>
      <sheetName val="BCA Summary"/>
      <sheetName val="Annualized Operations"/>
      <sheetName val="User Benefits (VHT) - Network"/>
      <sheetName val="User Benefits (VHT) - Corridor"/>
      <sheetName val="User Benefits (VHT) - Nodal"/>
      <sheetName val="Operation Benefits (VMT) - Netw"/>
      <sheetName val="Operation Benefits (VMT) - Corr"/>
      <sheetName val="Safety Benefits"/>
      <sheetName val="Air Quality"/>
      <sheetName val="RCV Calc"/>
      <sheetName val="Operation and Maintenance"/>
      <sheetName val="WisDOT TT Tool Input - No Build"/>
      <sheetName val="WisDOT TT Tool Input - Build"/>
      <sheetName val="WisDOT Travel Time Tool Output"/>
      <sheetName val="GDP Deflator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https://www.google.com/maps/dir/46.1982401,-100.9385337/46.0883805,-100.6701416/@46.1195257,-100.882008,11.25z/data=!4m13!4m12!1m5!3m4!1m2!1d-100.7321636!2d46.1867208!3s0x52d64f0c40590581:0xbf937759d978154c!1m0!2m3!6e0!7e2!8j1675957200!3e0" TargetMode="External"/><Relationship Id="rId13" Type="http://schemas.openxmlformats.org/officeDocument/2006/relationships/printerSettings" Target="../printerSettings/printerSettings3.bin"/><Relationship Id="rId3" Type="http://schemas.openxmlformats.org/officeDocument/2006/relationships/hyperlink" Target="https://www.google.com/maps/dir/46.1982401,-100.9385337/46.0883805,-100.6701416/@46.1017418,-100.9458022,11z/data=!4m9!4m8!1m5!3m4!1m2!1d-100.8767223!2d46.0450118!3s0x52d63efaaa82563b:0xc7c92d743c9d887c!1m0!3e0" TargetMode="External"/><Relationship Id="rId7" Type="http://schemas.openxmlformats.org/officeDocument/2006/relationships/hyperlink" Target="https://www.google.com/maps/dir/46.1982401,-100.9385337/46.0883805,-100.6701416/@46.1195257,-100.882008,11.25z/data=!4m13!4m12!1m5!3m4!1m2!1d-100.7321636!2d46.1867208!3s0x52d64f0c40590581:0xbf937759d978154c!1m0!2m3!6e0!7e2!8j1675957200!3e0" TargetMode="External"/><Relationship Id="rId12" Type="http://schemas.openxmlformats.org/officeDocument/2006/relationships/hyperlink" Target="https://www.google.com/maps/dir/46.471699,-100.9233482/46.1572419,-100.6834642/@46.3285587,-100.9328321,11z/data=!4m2!4m1!3e0" TargetMode="External"/><Relationship Id="rId2" Type="http://schemas.openxmlformats.org/officeDocument/2006/relationships/hyperlink" Target="https://www.google.com/maps/dir/46.471699,-100.9233482/46.1572419,-100.6834642/@46.3285587,-100.9328321,11z/data=!4m2!4m1!3e0" TargetMode="External"/><Relationship Id="rId1" Type="http://schemas.openxmlformats.org/officeDocument/2006/relationships/hyperlink" Target="https://www.google.com/maps/dir/46.471699,-100.9233482/46.1572419,-100.6834642/@46.3285587,-100.9328321,11z/data=!4m2!4m1!3e0" TargetMode="External"/><Relationship Id="rId6" Type="http://schemas.openxmlformats.org/officeDocument/2006/relationships/hyperlink" Target="https://www.google.com/maps/dir/46.471699,-100.9233482/46.1572419,-100.6834642/@46.3285587,-100.9328321,11z/data=!4m2!4m1!3e0" TargetMode="External"/><Relationship Id="rId11" Type="http://schemas.openxmlformats.org/officeDocument/2006/relationships/hyperlink" Target="https://www.google.com/maps/dir/46.471699,-100.9233482/46.1572419,-100.6834642/@46.3285587,-100.9328321,11z/data=!4m2!4m1!3e0" TargetMode="External"/><Relationship Id="rId5" Type="http://schemas.openxmlformats.org/officeDocument/2006/relationships/hyperlink" Target="https://www.google.com/maps/dir/46.471699,-100.9233482/46.1572419,-100.6834642/@46.3285587,-100.9328321,11z/data=!4m2!4m1!3e0" TargetMode="External"/><Relationship Id="rId10" Type="http://schemas.openxmlformats.org/officeDocument/2006/relationships/hyperlink" Target="https://www.google.com/maps/dir/46.1982401,-100.9385337/46.0883805,-100.6701416/@46.1017418,-100.9458022,11z/data=!4m9!4m8!1m5!3m4!1m2!1d-100.8767223!2d46.0450118!3s0x52d63efaaa82563b:0xc7c92d743c9d887c!1m0!3e0" TargetMode="External"/><Relationship Id="rId4" Type="http://schemas.openxmlformats.org/officeDocument/2006/relationships/hyperlink" Target="https://www.google.com/maps/dir/46.1982401,-100.9385337/46.0883805,-100.6701416/@46.1195257,-100.882008,11.25z/data=!4m13!4m12!1m5!3m4!1m2!1d-100.7321636!2d46.1867208!3s0x52d64f0c40590581:0xbf937759d978154c!1m0!2m3!6e0!7e2!8j1675957200!3e0" TargetMode="External"/><Relationship Id="rId9" Type="http://schemas.openxmlformats.org/officeDocument/2006/relationships/hyperlink" Target="https://www.google.com/maps/dir/46.1982401,-100.9385337/46.0883805,-100.6701416/@46.1195257,-100.882008,11.25z/data=!4m13!4m12!1m5!3m4!1m2!1d-100.7321636!2d46.1867208!3s0x52d64f0c40590581:0xbf937759d978154c!1m0!2m3!6e0!7e2!8j1675957200!3e0" TargetMode="External"/><Relationship Id="rId14"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https://gis.dot.nd.gov/external/ge_html/?viewer=ext_transinfo" TargetMode="External"/><Relationship Id="rId1" Type="http://schemas.openxmlformats.org/officeDocument/2006/relationships/hyperlink" Target="https://gis.dot.nd.gov/external/ge_html/?viewer=ext_transinfo" TargetMode="External"/><Relationship Id="rId4" Type="http://schemas.openxmlformats.org/officeDocument/2006/relationships/drawing" Target="../drawings/drawing4.x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14.bin"/><Relationship Id="rId1" Type="http://schemas.openxmlformats.org/officeDocument/2006/relationships/hyperlink" Target="https://gis.dot.nd.gov/external/ge_html/?viewer=ext_transinfo"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theme="4" tint="0.59999389629810485"/>
    <pageSetUpPr fitToPage="1"/>
  </sheetPr>
  <dimension ref="A2:V344"/>
  <sheetViews>
    <sheetView tabSelected="1" view="pageBreakPreview" zoomScale="85" zoomScaleNormal="55" zoomScaleSheetLayoutView="85" workbookViewId="0">
      <selection activeCell="C5" sqref="C5"/>
    </sheetView>
  </sheetViews>
  <sheetFormatPr defaultColWidth="10.7109375" defaultRowHeight="15" customHeight="1" x14ac:dyDescent="0.25"/>
  <cols>
    <col min="1" max="1" width="10.7109375" style="172"/>
    <col min="2" max="2" width="5.7109375" style="172" customWidth="1"/>
    <col min="3" max="3" width="61.140625" style="172" customWidth="1"/>
    <col min="4" max="5" width="15.7109375" style="172" customWidth="1"/>
    <col min="6" max="6" width="29.140625" style="172" bestFit="1" customWidth="1"/>
    <col min="7" max="8" width="15.7109375" style="172" customWidth="1"/>
    <col min="9" max="9" width="10.7109375" style="172"/>
    <col min="10" max="10" width="20.7109375" style="172" bestFit="1" customWidth="1"/>
    <col min="11" max="13" width="10.7109375" style="172"/>
    <col min="14" max="14" width="14.28515625" style="172" customWidth="1"/>
    <col min="15" max="15" width="11.7109375" style="330" bestFit="1" customWidth="1"/>
    <col min="16" max="21" width="10.7109375" style="330"/>
    <col min="22" max="16384" width="10.7109375" style="172"/>
  </cols>
  <sheetData>
    <row r="2" spans="2:22" x14ac:dyDescent="0.25"/>
    <row r="3" spans="2:22" ht="23.25" x14ac:dyDescent="0.35">
      <c r="B3" s="13"/>
      <c r="C3" s="9" t="s">
        <v>798</v>
      </c>
      <c r="D3" s="14"/>
      <c r="E3" s="14"/>
      <c r="F3" s="14"/>
      <c r="G3" s="14"/>
      <c r="H3" s="14"/>
      <c r="I3" s="14"/>
      <c r="J3" s="14"/>
      <c r="O3" s="172"/>
      <c r="P3" s="172"/>
      <c r="Q3" s="172"/>
      <c r="R3" s="172"/>
      <c r="S3" s="172"/>
      <c r="T3" s="172"/>
      <c r="U3" s="172"/>
    </row>
    <row r="4" spans="2:22" ht="15" customHeight="1" x14ac:dyDescent="0.25">
      <c r="B4" s="13"/>
      <c r="D4" s="173"/>
      <c r="E4" s="173"/>
      <c r="F4" s="173"/>
      <c r="G4" s="173"/>
      <c r="H4" s="173"/>
      <c r="I4" s="173"/>
      <c r="J4" s="173"/>
      <c r="O4" s="172"/>
      <c r="P4" s="172"/>
      <c r="Q4" s="172"/>
      <c r="R4" s="172"/>
      <c r="S4" s="172"/>
      <c r="T4" s="172"/>
      <c r="U4" s="172"/>
    </row>
    <row r="5" spans="2:22" ht="15" customHeight="1" x14ac:dyDescent="0.25">
      <c r="C5" s="1" t="s">
        <v>16</v>
      </c>
      <c r="F5" s="40" t="s">
        <v>245</v>
      </c>
      <c r="I5" s="325"/>
      <c r="L5" s="40"/>
      <c r="O5" s="172"/>
      <c r="P5" s="172"/>
      <c r="Q5" s="172"/>
      <c r="R5" s="172"/>
      <c r="S5" s="172"/>
      <c r="T5" s="172"/>
      <c r="U5" s="172"/>
    </row>
    <row r="6" spans="2:22" ht="15" customHeight="1" x14ac:dyDescent="0.25">
      <c r="C6" s="326" t="s">
        <v>72</v>
      </c>
      <c r="D6" s="327">
        <v>2023</v>
      </c>
      <c r="I6" s="325"/>
      <c r="K6" s="328"/>
      <c r="L6" s="328"/>
      <c r="M6" s="328"/>
      <c r="N6" s="329"/>
      <c r="O6" s="328"/>
      <c r="P6" s="328"/>
      <c r="Q6" s="328"/>
      <c r="R6" s="328"/>
      <c r="S6" s="328"/>
      <c r="T6" s="328"/>
    </row>
    <row r="7" spans="2:22" ht="15" customHeight="1" x14ac:dyDescent="0.25">
      <c r="B7" s="328"/>
      <c r="C7" s="326" t="s">
        <v>71</v>
      </c>
      <c r="D7" s="327">
        <v>2021</v>
      </c>
      <c r="E7" s="328"/>
      <c r="F7" s="328"/>
      <c r="G7" s="328"/>
      <c r="H7" s="328"/>
      <c r="J7" s="329"/>
      <c r="K7" s="328"/>
      <c r="O7" s="172"/>
      <c r="P7" s="328"/>
      <c r="Q7" s="328"/>
      <c r="R7" s="328"/>
      <c r="S7" s="328"/>
      <c r="T7" s="328"/>
      <c r="U7" s="172"/>
    </row>
    <row r="8" spans="2:22" ht="15" customHeight="1" x14ac:dyDescent="0.25">
      <c r="B8" s="328"/>
      <c r="C8" s="326" t="s">
        <v>28</v>
      </c>
      <c r="D8" s="331">
        <v>20</v>
      </c>
      <c r="E8" s="328"/>
      <c r="F8" s="328"/>
      <c r="G8" s="328"/>
      <c r="H8" s="328"/>
      <c r="J8" s="40"/>
      <c r="O8" s="172"/>
      <c r="P8" s="172"/>
      <c r="Q8" s="172"/>
      <c r="R8" s="172"/>
      <c r="S8" s="172"/>
      <c r="T8" s="172"/>
      <c r="U8" s="172"/>
    </row>
    <row r="9" spans="2:22" s="173" customFormat="1" ht="15" customHeight="1" x14ac:dyDescent="0.25">
      <c r="B9" s="172"/>
      <c r="C9" s="326" t="s">
        <v>231</v>
      </c>
      <c r="D9" s="331">
        <v>2026</v>
      </c>
      <c r="E9" s="328"/>
      <c r="F9" s="328"/>
      <c r="G9" s="328"/>
      <c r="H9" s="328"/>
      <c r="I9" s="172"/>
      <c r="J9" s="329"/>
    </row>
    <row r="10" spans="2:22" ht="14.25" customHeight="1" x14ac:dyDescent="0.25">
      <c r="B10" s="173"/>
      <c r="C10" s="326" t="s">
        <v>232</v>
      </c>
      <c r="D10" s="327">
        <f>D9+D8-1</f>
        <v>2045</v>
      </c>
      <c r="E10" s="173"/>
      <c r="F10" s="173"/>
      <c r="G10" s="173"/>
      <c r="H10" s="173"/>
      <c r="I10" s="173"/>
      <c r="J10" s="173"/>
      <c r="O10" s="172"/>
      <c r="P10" s="172"/>
      <c r="Q10" s="172"/>
      <c r="R10" s="172"/>
      <c r="S10" s="172"/>
      <c r="T10" s="172"/>
      <c r="U10" s="172"/>
    </row>
    <row r="11" spans="2:22" ht="15" customHeight="1" x14ac:dyDescent="0.25">
      <c r="C11" s="173"/>
      <c r="D11" s="173"/>
      <c r="E11" s="328"/>
      <c r="F11" s="328"/>
      <c r="G11" s="328"/>
      <c r="H11" s="328"/>
      <c r="I11" s="328"/>
      <c r="O11" s="172"/>
      <c r="P11" s="172"/>
      <c r="Q11" s="172"/>
      <c r="R11" s="172"/>
      <c r="S11" s="172"/>
      <c r="T11" s="172"/>
      <c r="U11" s="172"/>
    </row>
    <row r="12" spans="2:22" ht="15" customHeight="1" x14ac:dyDescent="0.25">
      <c r="C12" s="1" t="s">
        <v>17</v>
      </c>
      <c r="E12" s="328"/>
      <c r="F12" s="328"/>
      <c r="G12" s="328"/>
      <c r="H12" s="328"/>
      <c r="I12" s="328"/>
      <c r="M12" s="332"/>
      <c r="N12" s="332"/>
      <c r="O12" s="172"/>
      <c r="P12" s="172"/>
      <c r="Q12" s="172"/>
      <c r="R12" s="172"/>
      <c r="S12" s="172"/>
      <c r="T12" s="172"/>
      <c r="U12" s="172"/>
    </row>
    <row r="13" spans="2:22" ht="15" customHeight="1" x14ac:dyDescent="0.25">
      <c r="C13" s="326"/>
      <c r="D13" s="333" t="s">
        <v>77</v>
      </c>
      <c r="E13" s="328"/>
      <c r="F13" s="328"/>
      <c r="G13" s="328"/>
      <c r="H13" s="328"/>
      <c r="I13" s="328"/>
      <c r="O13" s="172"/>
      <c r="P13" s="172"/>
      <c r="Q13" s="172"/>
      <c r="R13" s="172"/>
      <c r="S13" s="172"/>
      <c r="T13" s="172"/>
      <c r="U13" s="172"/>
    </row>
    <row r="14" spans="2:22" ht="15" customHeight="1" x14ac:dyDescent="0.25">
      <c r="C14" s="326" t="s">
        <v>233</v>
      </c>
      <c r="D14" s="334">
        <f>1-$D$15</f>
        <v>0.92105263157894735</v>
      </c>
      <c r="E14" s="328"/>
      <c r="F14" s="328"/>
      <c r="G14" s="328"/>
      <c r="H14" s="328"/>
      <c r="O14" s="172"/>
      <c r="P14" s="172"/>
      <c r="Q14" s="172"/>
      <c r="R14" s="172"/>
      <c r="S14" s="172"/>
      <c r="T14" s="172"/>
      <c r="U14" s="172"/>
      <c r="V14" s="328"/>
    </row>
    <row r="15" spans="2:22" ht="15" customHeight="1" x14ac:dyDescent="0.25">
      <c r="C15" s="326" t="s">
        <v>234</v>
      </c>
      <c r="D15" s="335">
        <v>7.8947368421052627E-2</v>
      </c>
      <c r="E15" s="328"/>
      <c r="F15" s="328"/>
      <c r="G15" s="328"/>
      <c r="H15" s="328"/>
      <c r="O15" s="172"/>
      <c r="P15" s="172"/>
      <c r="Q15" s="172"/>
      <c r="R15" s="172"/>
      <c r="S15" s="172"/>
      <c r="T15" s="172"/>
      <c r="U15" s="172"/>
    </row>
    <row r="16" spans="2:22" ht="15" customHeight="1" x14ac:dyDescent="0.25">
      <c r="C16" s="326" t="s">
        <v>235</v>
      </c>
      <c r="D16" s="327">
        <v>1.67</v>
      </c>
      <c r="E16" s="328"/>
      <c r="F16" s="328"/>
      <c r="G16" s="328"/>
      <c r="H16" s="328"/>
      <c r="O16" s="172"/>
      <c r="P16" s="172"/>
      <c r="Q16" s="172"/>
      <c r="R16" s="172"/>
      <c r="S16" s="172"/>
      <c r="T16" s="172"/>
      <c r="U16" s="172"/>
    </row>
    <row r="17" spans="3:21" ht="15" customHeight="1" x14ac:dyDescent="0.25">
      <c r="C17" s="326" t="s">
        <v>236</v>
      </c>
      <c r="D17" s="336">
        <v>1</v>
      </c>
      <c r="F17" s="328"/>
      <c r="G17" s="328"/>
      <c r="H17" s="328"/>
      <c r="O17" s="172"/>
      <c r="P17" s="172"/>
      <c r="Q17" s="172"/>
      <c r="R17" s="172"/>
      <c r="S17" s="172"/>
      <c r="T17" s="172"/>
      <c r="U17" s="172"/>
    </row>
    <row r="18" spans="3:21" ht="15" customHeight="1" x14ac:dyDescent="0.25">
      <c r="C18" s="328"/>
      <c r="D18" s="328"/>
      <c r="E18" s="328"/>
      <c r="I18" s="328"/>
      <c r="O18" s="172"/>
      <c r="P18" s="172"/>
      <c r="Q18" s="172"/>
      <c r="R18" s="172"/>
      <c r="S18" s="172"/>
      <c r="T18" s="172"/>
      <c r="U18" s="172"/>
    </row>
    <row r="19" spans="3:21" ht="15" customHeight="1" x14ac:dyDescent="0.25">
      <c r="C19" s="1" t="s">
        <v>18</v>
      </c>
      <c r="D19" s="337"/>
      <c r="E19" s="328"/>
      <c r="I19" s="328"/>
      <c r="O19" s="172"/>
      <c r="P19" s="172"/>
      <c r="Q19" s="172"/>
      <c r="R19" s="172"/>
      <c r="S19" s="172"/>
      <c r="T19" s="172"/>
      <c r="U19" s="172"/>
    </row>
    <row r="20" spans="3:21" ht="15" customHeight="1" x14ac:dyDescent="0.25">
      <c r="C20" s="326" t="s">
        <v>237</v>
      </c>
      <c r="D20" s="327">
        <v>365</v>
      </c>
      <c r="O20" s="172"/>
      <c r="P20" s="172"/>
      <c r="Q20" s="172"/>
      <c r="R20" s="172"/>
      <c r="S20" s="172"/>
      <c r="T20" s="172"/>
      <c r="U20" s="172"/>
    </row>
    <row r="21" spans="3:21" ht="15" customHeight="1" x14ac:dyDescent="0.25">
      <c r="C21" s="326" t="s">
        <v>238</v>
      </c>
      <c r="D21" s="338">
        <v>18.8</v>
      </c>
      <c r="O21" s="172"/>
      <c r="P21" s="172"/>
      <c r="Q21" s="172"/>
      <c r="R21" s="172"/>
      <c r="S21" s="172"/>
      <c r="T21" s="172"/>
      <c r="U21" s="172"/>
    </row>
    <row r="22" spans="3:21" ht="15" customHeight="1" x14ac:dyDescent="0.25">
      <c r="C22" s="326" t="s">
        <v>239</v>
      </c>
      <c r="D22" s="338">
        <v>34</v>
      </c>
      <c r="O22" s="172"/>
      <c r="P22" s="172"/>
      <c r="Q22" s="172"/>
      <c r="R22" s="172"/>
      <c r="S22" s="172"/>
      <c r="T22" s="172"/>
      <c r="U22" s="172"/>
    </row>
    <row r="23" spans="3:21" ht="15" customHeight="1" x14ac:dyDescent="0.25">
      <c r="C23" s="326" t="s">
        <v>240</v>
      </c>
      <c r="D23" s="338">
        <v>0.46</v>
      </c>
      <c r="O23" s="172"/>
      <c r="P23" s="172"/>
      <c r="Q23" s="172"/>
      <c r="R23" s="172"/>
      <c r="S23" s="172"/>
      <c r="T23" s="172"/>
      <c r="U23" s="172"/>
    </row>
    <row r="24" spans="3:21" ht="15" customHeight="1" x14ac:dyDescent="0.25">
      <c r="C24" s="326" t="s">
        <v>241</v>
      </c>
      <c r="D24" s="338">
        <v>1.01</v>
      </c>
      <c r="I24" s="328"/>
      <c r="O24" s="172"/>
      <c r="P24" s="172"/>
      <c r="Q24" s="172"/>
      <c r="R24" s="172"/>
      <c r="S24" s="172"/>
      <c r="T24" s="172"/>
      <c r="U24" s="172"/>
    </row>
    <row r="25" spans="3:21" ht="15" customHeight="1" x14ac:dyDescent="0.25">
      <c r="C25" s="326" t="s">
        <v>716</v>
      </c>
      <c r="D25" s="327">
        <v>13.15</v>
      </c>
      <c r="O25" s="172"/>
      <c r="P25" s="172"/>
      <c r="Q25" s="172"/>
      <c r="R25" s="172"/>
      <c r="S25" s="172"/>
      <c r="T25" s="172"/>
      <c r="U25" s="172"/>
    </row>
    <row r="26" spans="3:21" ht="15" customHeight="1" x14ac:dyDescent="0.25">
      <c r="C26" s="326" t="s">
        <v>822</v>
      </c>
      <c r="D26" s="327">
        <v>65</v>
      </c>
      <c r="O26" s="172"/>
      <c r="P26" s="172"/>
      <c r="Q26" s="172"/>
      <c r="R26" s="172"/>
      <c r="S26" s="172"/>
      <c r="T26" s="172"/>
      <c r="U26" s="172"/>
    </row>
    <row r="27" spans="3:21" ht="15" customHeight="1" x14ac:dyDescent="0.25">
      <c r="C27" s="326" t="s">
        <v>823</v>
      </c>
      <c r="D27" s="327">
        <v>50</v>
      </c>
      <c r="O27" s="172"/>
      <c r="P27" s="172"/>
      <c r="Q27" s="172"/>
      <c r="R27" s="172"/>
      <c r="S27" s="172"/>
      <c r="T27" s="172"/>
      <c r="U27" s="172"/>
    </row>
    <row r="28" spans="3:21" ht="15" customHeight="1" x14ac:dyDescent="0.25">
      <c r="C28" s="326" t="s">
        <v>765</v>
      </c>
      <c r="D28" s="327">
        <v>25</v>
      </c>
      <c r="O28" s="172"/>
      <c r="P28" s="172"/>
      <c r="Q28" s="172"/>
      <c r="R28" s="172"/>
      <c r="S28" s="172"/>
      <c r="T28" s="172"/>
      <c r="U28" s="172"/>
    </row>
    <row r="29" spans="3:21" ht="15" customHeight="1" x14ac:dyDescent="0.25">
      <c r="E29" s="328"/>
      <c r="O29" s="172"/>
      <c r="P29" s="172"/>
      <c r="Q29" s="172"/>
      <c r="R29" s="172"/>
      <c r="S29" s="172"/>
      <c r="T29" s="172"/>
      <c r="U29" s="172"/>
    </row>
    <row r="30" spans="3:21" ht="15" customHeight="1" x14ac:dyDescent="0.25">
      <c r="C30" s="1" t="s">
        <v>242</v>
      </c>
      <c r="D30" s="339"/>
      <c r="E30" s="328"/>
      <c r="O30" s="172"/>
      <c r="P30" s="172"/>
      <c r="Q30" s="172"/>
      <c r="R30" s="172"/>
      <c r="S30" s="172"/>
      <c r="T30" s="172"/>
      <c r="U30" s="172"/>
    </row>
    <row r="31" spans="3:21" ht="15" customHeight="1" x14ac:dyDescent="0.25">
      <c r="C31" s="327" t="s">
        <v>75</v>
      </c>
      <c r="D31" s="340">
        <v>6.9444444444444441E-3</v>
      </c>
      <c r="E31" s="328"/>
      <c r="O31" s="172"/>
      <c r="P31" s="172"/>
      <c r="Q31" s="172"/>
      <c r="R31" s="172"/>
      <c r="S31" s="172"/>
      <c r="T31" s="172"/>
      <c r="U31" s="172"/>
    </row>
    <row r="32" spans="3:21" ht="15" customHeight="1" x14ac:dyDescent="0.25">
      <c r="C32" s="327" t="s">
        <v>259</v>
      </c>
      <c r="D32" s="331">
        <v>2025</v>
      </c>
      <c r="E32" s="328"/>
      <c r="O32" s="172"/>
      <c r="P32" s="172"/>
      <c r="Q32" s="172"/>
      <c r="R32" s="172"/>
      <c r="S32" s="172"/>
      <c r="T32" s="172"/>
      <c r="U32" s="172"/>
    </row>
    <row r="33" spans="2:21" ht="15" customHeight="1" x14ac:dyDescent="0.25">
      <c r="C33" s="327">
        <v>2022</v>
      </c>
      <c r="D33" s="341">
        <v>205</v>
      </c>
      <c r="O33" s="172"/>
      <c r="P33" s="172"/>
      <c r="Q33" s="172"/>
      <c r="R33" s="172"/>
      <c r="S33" s="172"/>
      <c r="T33" s="172"/>
      <c r="U33" s="172"/>
    </row>
    <row r="34" spans="2:21" ht="15" customHeight="1" x14ac:dyDescent="0.25">
      <c r="C34" s="327">
        <v>2039</v>
      </c>
      <c r="D34" s="341">
        <f>D33+(D33*D31*(C34-C33))</f>
        <v>229.20138888888889</v>
      </c>
      <c r="O34" s="172"/>
      <c r="P34" s="172"/>
      <c r="Q34" s="172"/>
      <c r="R34" s="172"/>
      <c r="S34" s="172"/>
      <c r="T34" s="172"/>
      <c r="U34" s="172"/>
    </row>
    <row r="35" spans="2:21" ht="15" customHeight="1" x14ac:dyDescent="0.25">
      <c r="C35" s="342"/>
      <c r="O35" s="172"/>
      <c r="P35" s="172"/>
      <c r="Q35" s="172"/>
      <c r="R35" s="172"/>
      <c r="S35" s="172"/>
      <c r="T35" s="172"/>
      <c r="U35" s="172"/>
    </row>
    <row r="36" spans="2:21" ht="15" customHeight="1" x14ac:dyDescent="0.25">
      <c r="B36" s="343" t="s">
        <v>3</v>
      </c>
      <c r="C36" s="343"/>
      <c r="D36" s="343"/>
      <c r="O36" s="172"/>
      <c r="P36" s="172"/>
      <c r="Q36" s="172"/>
      <c r="R36" s="172"/>
      <c r="S36" s="172"/>
      <c r="T36" s="172"/>
      <c r="U36" s="172"/>
    </row>
    <row r="37" spans="2:21" ht="15" customHeight="1" x14ac:dyDescent="0.25">
      <c r="B37" s="11" t="s">
        <v>19</v>
      </c>
      <c r="C37" s="388" t="s">
        <v>681</v>
      </c>
      <c r="D37" s="388"/>
      <c r="E37" s="388"/>
      <c r="F37" s="388"/>
      <c r="G37" s="388"/>
      <c r="H37" s="388"/>
      <c r="I37" s="388"/>
      <c r="J37" s="388"/>
      <c r="O37" s="172"/>
      <c r="P37" s="172"/>
      <c r="Q37" s="172"/>
      <c r="R37" s="172"/>
      <c r="S37" s="172"/>
      <c r="T37" s="172"/>
      <c r="U37" s="172"/>
    </row>
    <row r="38" spans="2:21" ht="15" customHeight="1" x14ac:dyDescent="0.25">
      <c r="B38" s="12"/>
      <c r="C38" s="47"/>
      <c r="D38" s="47"/>
      <c r="E38" s="47"/>
      <c r="F38" s="47"/>
      <c r="G38" s="47"/>
      <c r="H38" s="47"/>
      <c r="I38" s="47"/>
      <c r="J38" s="47"/>
      <c r="O38" s="172"/>
      <c r="P38" s="172"/>
      <c r="Q38" s="172"/>
      <c r="R38" s="172"/>
      <c r="S38" s="172"/>
      <c r="T38" s="172"/>
      <c r="U38" s="172"/>
    </row>
    <row r="39" spans="2:21" ht="15" customHeight="1" x14ac:dyDescent="0.25">
      <c r="B39" s="12"/>
      <c r="C39" s="47"/>
      <c r="D39" s="47"/>
      <c r="E39" s="47"/>
      <c r="F39" s="47"/>
      <c r="G39" s="47"/>
      <c r="H39" s="47"/>
      <c r="I39" s="47"/>
      <c r="J39" s="47"/>
      <c r="O39" s="172"/>
      <c r="P39" s="172"/>
      <c r="Q39" s="172"/>
      <c r="R39" s="172"/>
      <c r="S39" s="172"/>
      <c r="T39" s="172"/>
      <c r="U39" s="172"/>
    </row>
    <row r="40" spans="2:21" ht="15" customHeight="1" x14ac:dyDescent="0.25">
      <c r="B40" s="11" t="s">
        <v>25</v>
      </c>
      <c r="C40" s="388" t="s">
        <v>682</v>
      </c>
      <c r="D40" s="388"/>
      <c r="E40" s="388"/>
      <c r="F40" s="388"/>
      <c r="G40" s="388"/>
      <c r="H40" s="388"/>
      <c r="I40" s="388"/>
      <c r="J40" s="388"/>
      <c r="O40" s="172"/>
      <c r="P40" s="172"/>
      <c r="Q40" s="172"/>
      <c r="R40" s="172"/>
      <c r="S40" s="172"/>
      <c r="T40" s="172"/>
      <c r="U40" s="172"/>
    </row>
    <row r="41" spans="2:21" ht="15" customHeight="1" x14ac:dyDescent="0.25">
      <c r="C41" s="388"/>
      <c r="D41" s="388"/>
      <c r="E41" s="388"/>
      <c r="F41" s="388"/>
      <c r="G41" s="388"/>
      <c r="H41" s="388"/>
      <c r="I41" s="388"/>
      <c r="J41" s="388"/>
      <c r="O41" s="172"/>
      <c r="P41" s="172"/>
      <c r="Q41" s="172"/>
      <c r="R41" s="172"/>
      <c r="S41" s="172"/>
      <c r="T41" s="172"/>
      <c r="U41" s="172"/>
    </row>
    <row r="42" spans="2:21" ht="15" customHeight="1" x14ac:dyDescent="0.25">
      <c r="C42" s="388"/>
      <c r="D42" s="388"/>
      <c r="E42" s="388"/>
      <c r="F42" s="388"/>
      <c r="G42" s="388"/>
      <c r="H42" s="388"/>
      <c r="I42" s="388"/>
      <c r="J42" s="388"/>
      <c r="O42" s="172"/>
      <c r="P42" s="172"/>
      <c r="Q42" s="172"/>
      <c r="R42" s="172"/>
      <c r="S42" s="172"/>
      <c r="T42" s="172"/>
      <c r="U42" s="172"/>
    </row>
    <row r="43" spans="2:21" ht="15" customHeight="1" x14ac:dyDescent="0.25">
      <c r="C43" s="43"/>
      <c r="D43" s="43"/>
      <c r="E43" s="43"/>
      <c r="F43" s="43"/>
      <c r="G43" s="43"/>
      <c r="H43" s="43"/>
      <c r="I43" s="43"/>
      <c r="J43" s="43"/>
      <c r="O43" s="172"/>
      <c r="P43" s="172"/>
      <c r="Q43" s="172"/>
      <c r="R43" s="172"/>
      <c r="S43" s="172"/>
      <c r="T43" s="172"/>
      <c r="U43" s="172"/>
    </row>
    <row r="44" spans="2:21" ht="15" customHeight="1" x14ac:dyDescent="0.25">
      <c r="B44" s="11" t="s">
        <v>26</v>
      </c>
      <c r="C44" s="388" t="s">
        <v>683</v>
      </c>
      <c r="D44" s="388"/>
      <c r="E44" s="388"/>
      <c r="F44" s="388"/>
      <c r="G44" s="388"/>
      <c r="H44" s="388"/>
      <c r="I44" s="388"/>
      <c r="J44" s="388"/>
      <c r="O44" s="172"/>
      <c r="P44" s="172"/>
      <c r="Q44" s="172"/>
      <c r="R44" s="172"/>
      <c r="S44" s="172"/>
      <c r="T44" s="172"/>
      <c r="U44" s="172"/>
    </row>
    <row r="45" spans="2:21" ht="15" customHeight="1" x14ac:dyDescent="0.25">
      <c r="B45" s="11"/>
      <c r="C45" s="388"/>
      <c r="D45" s="388"/>
      <c r="E45" s="388"/>
      <c r="F45" s="388"/>
      <c r="G45" s="388"/>
      <c r="H45" s="388"/>
      <c r="I45" s="388"/>
      <c r="J45" s="388"/>
      <c r="O45" s="172"/>
      <c r="P45" s="172"/>
      <c r="Q45" s="172"/>
      <c r="R45" s="172"/>
      <c r="S45" s="172"/>
      <c r="T45" s="172"/>
      <c r="U45" s="172"/>
    </row>
    <row r="46" spans="2:21" ht="15" customHeight="1" x14ac:dyDescent="0.25">
      <c r="B46" s="11"/>
      <c r="C46" s="47"/>
      <c r="D46" s="47"/>
      <c r="E46" s="47"/>
      <c r="F46" s="47"/>
      <c r="G46" s="47"/>
      <c r="H46" s="47"/>
      <c r="I46" s="47"/>
      <c r="J46" s="47"/>
      <c r="O46" s="172"/>
      <c r="P46" s="172"/>
      <c r="Q46" s="172"/>
      <c r="R46" s="172"/>
      <c r="S46" s="172"/>
      <c r="T46" s="172"/>
      <c r="U46" s="172"/>
    </row>
    <row r="47" spans="2:21" ht="15" customHeight="1" x14ac:dyDescent="0.25">
      <c r="B47" s="13" t="s">
        <v>260</v>
      </c>
      <c r="C47" s="388" t="s">
        <v>684</v>
      </c>
      <c r="D47" s="388"/>
      <c r="E47" s="388"/>
      <c r="F47" s="388"/>
      <c r="G47" s="388"/>
      <c r="H47" s="388"/>
      <c r="I47" s="388"/>
      <c r="J47" s="388"/>
    </row>
    <row r="48" spans="2:21" ht="15" customHeight="1" x14ac:dyDescent="0.25">
      <c r="C48" s="388"/>
      <c r="D48" s="388"/>
      <c r="E48" s="388"/>
      <c r="F48" s="388"/>
      <c r="G48" s="388"/>
      <c r="H48" s="388"/>
      <c r="I48" s="388"/>
      <c r="J48" s="388"/>
      <c r="O48" s="172"/>
      <c r="P48" s="172"/>
      <c r="Q48" s="172"/>
      <c r="R48" s="172"/>
      <c r="S48" s="172"/>
      <c r="T48" s="172"/>
      <c r="U48" s="172"/>
    </row>
    <row r="49" spans="1:21" ht="15" customHeight="1" x14ac:dyDescent="0.25">
      <c r="D49" s="48"/>
      <c r="E49" s="48"/>
      <c r="F49" s="48"/>
      <c r="G49" s="48"/>
      <c r="H49" s="48"/>
      <c r="I49" s="48"/>
      <c r="J49" s="48"/>
      <c r="O49" s="172"/>
      <c r="P49" s="172"/>
      <c r="Q49" s="172"/>
      <c r="R49" s="172"/>
      <c r="S49" s="172"/>
      <c r="T49" s="172"/>
      <c r="U49" s="172"/>
    </row>
    <row r="50" spans="1:21" ht="15" customHeight="1" x14ac:dyDescent="0.25">
      <c r="B50" s="13" t="s">
        <v>27</v>
      </c>
      <c r="C50" s="388" t="s">
        <v>685</v>
      </c>
      <c r="D50" s="388"/>
      <c r="E50" s="388"/>
      <c r="F50" s="388"/>
      <c r="G50" s="388"/>
      <c r="H50" s="388"/>
      <c r="I50" s="388"/>
      <c r="J50" s="388"/>
      <c r="O50" s="172"/>
      <c r="P50" s="172"/>
      <c r="Q50" s="172"/>
      <c r="R50" s="172"/>
      <c r="S50" s="172"/>
      <c r="T50" s="172"/>
      <c r="U50" s="172"/>
    </row>
    <row r="51" spans="1:21" ht="15" customHeight="1" x14ac:dyDescent="0.25">
      <c r="B51" s="13"/>
      <c r="C51" s="388"/>
      <c r="D51" s="388"/>
      <c r="E51" s="388"/>
      <c r="F51" s="388"/>
      <c r="G51" s="388"/>
      <c r="H51" s="388"/>
      <c r="I51" s="388"/>
      <c r="J51" s="388"/>
      <c r="O51" s="172"/>
      <c r="P51" s="172"/>
      <c r="Q51" s="172"/>
      <c r="R51" s="172"/>
      <c r="S51" s="172"/>
      <c r="T51" s="172"/>
      <c r="U51" s="172"/>
    </row>
    <row r="52" spans="1:21" ht="15" customHeight="1" x14ac:dyDescent="0.25">
      <c r="B52" s="13"/>
      <c r="C52" s="388"/>
      <c r="D52" s="388"/>
      <c r="E52" s="388"/>
      <c r="F52" s="388"/>
      <c r="G52" s="388"/>
      <c r="H52" s="388"/>
      <c r="I52" s="388"/>
      <c r="J52" s="388"/>
      <c r="O52" s="172"/>
      <c r="P52" s="172"/>
      <c r="Q52" s="172"/>
      <c r="R52" s="172"/>
      <c r="S52" s="172"/>
      <c r="T52" s="172"/>
      <c r="U52" s="172"/>
    </row>
    <row r="53" spans="1:21" ht="15" customHeight="1" x14ac:dyDescent="0.25">
      <c r="B53" s="13"/>
      <c r="C53" s="388"/>
      <c r="D53" s="388"/>
      <c r="E53" s="388"/>
      <c r="F53" s="388"/>
      <c r="G53" s="388"/>
      <c r="H53" s="388"/>
      <c r="I53" s="388"/>
      <c r="J53" s="388"/>
      <c r="O53" s="172"/>
      <c r="P53" s="172"/>
      <c r="Q53" s="172"/>
      <c r="R53" s="172"/>
      <c r="S53" s="172"/>
      <c r="T53" s="172"/>
      <c r="U53" s="172"/>
    </row>
    <row r="54" spans="1:21" ht="15" customHeight="1" x14ac:dyDescent="0.25">
      <c r="B54" s="13"/>
      <c r="C54" s="14"/>
      <c r="D54" s="14"/>
      <c r="E54" s="14"/>
      <c r="F54" s="14"/>
      <c r="G54" s="14"/>
      <c r="H54" s="14"/>
      <c r="I54" s="14"/>
      <c r="J54" s="14"/>
      <c r="O54" s="172"/>
      <c r="P54" s="172"/>
      <c r="Q54" s="172"/>
      <c r="R54" s="172"/>
      <c r="S54" s="172"/>
      <c r="T54" s="172"/>
      <c r="U54" s="172"/>
    </row>
    <row r="55" spans="1:21" ht="15" customHeight="1" x14ac:dyDescent="0.25">
      <c r="B55" s="13" t="s">
        <v>52</v>
      </c>
      <c r="C55" s="387" t="s">
        <v>799</v>
      </c>
      <c r="D55" s="387"/>
      <c r="E55" s="387"/>
      <c r="F55" s="387"/>
      <c r="G55" s="387"/>
      <c r="H55" s="387"/>
      <c r="I55" s="387"/>
      <c r="J55" s="387"/>
      <c r="K55" s="344"/>
      <c r="L55" s="345"/>
      <c r="M55" s="345"/>
      <c r="O55" s="172"/>
      <c r="P55" s="172"/>
      <c r="Q55" s="172"/>
      <c r="R55" s="172"/>
      <c r="S55" s="172"/>
      <c r="T55" s="172"/>
      <c r="U55" s="172"/>
    </row>
    <row r="56" spans="1:21" ht="15" customHeight="1" x14ac:dyDescent="0.25">
      <c r="B56" s="13"/>
      <c r="C56" s="387"/>
      <c r="D56" s="387"/>
      <c r="E56" s="387"/>
      <c r="F56" s="387"/>
      <c r="G56" s="387"/>
      <c r="H56" s="387"/>
      <c r="I56" s="387"/>
      <c r="J56" s="387"/>
      <c r="K56" s="344"/>
      <c r="L56" s="345"/>
      <c r="M56" s="345"/>
      <c r="O56" s="172"/>
      <c r="P56" s="172"/>
      <c r="Q56" s="172"/>
      <c r="R56" s="172"/>
      <c r="S56" s="172"/>
      <c r="T56" s="172"/>
      <c r="U56" s="172"/>
    </row>
    <row r="57" spans="1:21" ht="15" customHeight="1" x14ac:dyDescent="0.25">
      <c r="C57" s="14"/>
      <c r="D57" s="14"/>
      <c r="E57" s="14"/>
      <c r="F57" s="14"/>
      <c r="G57" s="14"/>
      <c r="H57" s="14"/>
      <c r="I57" s="14"/>
      <c r="J57" s="14"/>
      <c r="K57" s="345"/>
      <c r="O57" s="172"/>
      <c r="P57" s="172"/>
      <c r="Q57" s="172"/>
      <c r="R57" s="172"/>
      <c r="S57" s="172"/>
      <c r="T57" s="172"/>
      <c r="U57" s="172"/>
    </row>
    <row r="58" spans="1:21" ht="15" customHeight="1" x14ac:dyDescent="0.25">
      <c r="B58" s="345"/>
      <c r="O58" s="172"/>
      <c r="P58" s="172"/>
      <c r="Q58" s="172"/>
      <c r="R58" s="172"/>
      <c r="S58" s="172"/>
      <c r="T58" s="172"/>
      <c r="U58" s="172"/>
    </row>
    <row r="59" spans="1:21" ht="15" customHeight="1" x14ac:dyDescent="0.25">
      <c r="B59" s="13" t="s">
        <v>79</v>
      </c>
      <c r="C59" s="387" t="s">
        <v>815</v>
      </c>
      <c r="D59" s="387"/>
      <c r="E59" s="387"/>
      <c r="F59" s="387"/>
      <c r="G59" s="387"/>
      <c r="H59" s="387"/>
      <c r="I59" s="387"/>
      <c r="J59" s="387"/>
      <c r="K59" s="345"/>
      <c r="O59" s="345"/>
      <c r="R59" s="172"/>
      <c r="S59" s="172"/>
      <c r="T59" s="172"/>
      <c r="U59" s="172"/>
    </row>
    <row r="60" spans="1:21" ht="15" customHeight="1" x14ac:dyDescent="0.25">
      <c r="A60" s="173"/>
      <c r="B60" s="13"/>
      <c r="C60" s="387"/>
      <c r="D60" s="387"/>
      <c r="E60" s="387"/>
      <c r="F60" s="387"/>
      <c r="G60" s="387"/>
      <c r="H60" s="387"/>
      <c r="I60" s="387"/>
      <c r="J60" s="387"/>
      <c r="O60" s="345"/>
      <c r="P60" s="172"/>
      <c r="Q60" s="172"/>
      <c r="R60" s="172"/>
      <c r="S60" s="345"/>
      <c r="T60" s="345"/>
      <c r="U60" s="345"/>
    </row>
    <row r="61" spans="1:21" ht="15" customHeight="1" x14ac:dyDescent="0.25">
      <c r="A61" s="173"/>
      <c r="B61" s="13"/>
      <c r="C61" s="387"/>
      <c r="D61" s="387"/>
      <c r="E61" s="387"/>
      <c r="F61" s="387"/>
      <c r="G61" s="387"/>
      <c r="H61" s="387"/>
      <c r="I61" s="387"/>
      <c r="J61" s="387"/>
      <c r="N61" s="345"/>
      <c r="O61" s="345"/>
      <c r="P61" s="345"/>
      <c r="Q61" s="345"/>
      <c r="R61" s="345"/>
      <c r="S61" s="172"/>
      <c r="T61" s="172"/>
      <c r="U61" s="172"/>
    </row>
    <row r="62" spans="1:21" ht="15" customHeight="1" x14ac:dyDescent="0.25">
      <c r="B62" s="13"/>
      <c r="C62" s="387"/>
      <c r="D62" s="387"/>
      <c r="E62" s="387"/>
      <c r="F62" s="387"/>
      <c r="G62" s="387"/>
      <c r="H62" s="387"/>
      <c r="I62" s="387"/>
      <c r="J62" s="387"/>
      <c r="O62" s="345"/>
      <c r="P62" s="172"/>
      <c r="Q62" s="172"/>
      <c r="R62" s="172"/>
      <c r="S62" s="172"/>
      <c r="T62" s="172"/>
      <c r="U62" s="172"/>
    </row>
    <row r="63" spans="1:21" ht="15" customHeight="1" x14ac:dyDescent="0.25">
      <c r="B63" s="13"/>
      <c r="C63" s="387"/>
      <c r="D63" s="387"/>
      <c r="E63" s="387"/>
      <c r="F63" s="387"/>
      <c r="G63" s="387"/>
      <c r="H63" s="387"/>
      <c r="I63" s="387"/>
      <c r="J63" s="387"/>
      <c r="O63" s="172"/>
      <c r="P63" s="172"/>
      <c r="Q63" s="172"/>
      <c r="R63" s="172"/>
      <c r="S63" s="172"/>
      <c r="T63" s="172"/>
      <c r="U63" s="172"/>
    </row>
    <row r="64" spans="1:21" ht="15" customHeight="1" x14ac:dyDescent="0.25">
      <c r="B64" s="13"/>
      <c r="C64" s="387"/>
      <c r="D64" s="387"/>
      <c r="E64" s="387"/>
      <c r="F64" s="387"/>
      <c r="G64" s="387"/>
      <c r="H64" s="387"/>
      <c r="I64" s="387"/>
      <c r="J64" s="387"/>
      <c r="O64" s="172"/>
      <c r="P64" s="172"/>
      <c r="Q64" s="172"/>
      <c r="R64" s="172"/>
      <c r="S64" s="172"/>
      <c r="T64" s="172"/>
      <c r="U64" s="172"/>
    </row>
    <row r="65" spans="2:21" ht="15" customHeight="1" x14ac:dyDescent="0.25">
      <c r="B65" s="345"/>
      <c r="E65" s="330"/>
      <c r="F65" s="330"/>
      <c r="G65" s="330"/>
      <c r="H65" s="330"/>
      <c r="I65" s="330"/>
      <c r="J65" s="330"/>
      <c r="O65" s="172"/>
      <c r="P65" s="172"/>
      <c r="Q65" s="172"/>
      <c r="R65" s="172"/>
      <c r="S65" s="172"/>
      <c r="T65" s="172"/>
      <c r="U65" s="172"/>
    </row>
    <row r="66" spans="2:21" ht="15" customHeight="1" x14ac:dyDescent="0.25">
      <c r="B66" s="345"/>
      <c r="E66" s="330"/>
      <c r="F66" s="330"/>
      <c r="G66" s="330"/>
      <c r="H66" s="330"/>
      <c r="I66" s="330"/>
      <c r="J66" s="330"/>
      <c r="O66" s="172"/>
      <c r="P66" s="172"/>
      <c r="Q66" s="172"/>
      <c r="R66" s="172"/>
      <c r="S66" s="172"/>
      <c r="T66" s="172"/>
      <c r="U66" s="172"/>
    </row>
    <row r="67" spans="2:21" ht="15" customHeight="1" x14ac:dyDescent="0.25">
      <c r="B67" s="345"/>
      <c r="O67" s="172"/>
      <c r="P67" s="172"/>
      <c r="Q67" s="172"/>
      <c r="R67" s="172"/>
      <c r="S67" s="172"/>
      <c r="T67" s="172"/>
      <c r="U67" s="172"/>
    </row>
    <row r="68" spans="2:21" ht="15" customHeight="1" x14ac:dyDescent="0.25">
      <c r="O68" s="172"/>
      <c r="P68" s="172"/>
      <c r="Q68" s="172"/>
      <c r="R68" s="172"/>
      <c r="S68" s="172"/>
      <c r="T68" s="172"/>
      <c r="U68" s="172"/>
    </row>
    <row r="69" spans="2:21" ht="15" customHeight="1" x14ac:dyDescent="0.25">
      <c r="O69" s="172"/>
      <c r="P69" s="172"/>
      <c r="Q69" s="172"/>
      <c r="R69" s="172"/>
      <c r="S69" s="172"/>
      <c r="T69" s="172"/>
      <c r="U69" s="172"/>
    </row>
    <row r="70" spans="2:21" ht="15" customHeight="1" x14ac:dyDescent="0.25">
      <c r="O70" s="172"/>
      <c r="P70" s="172"/>
      <c r="Q70" s="172"/>
      <c r="R70" s="172"/>
      <c r="S70" s="172"/>
      <c r="T70" s="172"/>
      <c r="U70" s="172"/>
    </row>
    <row r="71" spans="2:21" ht="15" customHeight="1" x14ac:dyDescent="0.25">
      <c r="O71" s="172"/>
      <c r="P71" s="172"/>
      <c r="Q71" s="172"/>
      <c r="R71" s="172"/>
      <c r="S71" s="172"/>
      <c r="T71" s="172"/>
      <c r="U71" s="172"/>
    </row>
    <row r="72" spans="2:21" ht="15" customHeight="1" x14ac:dyDescent="0.25">
      <c r="O72" s="172"/>
      <c r="P72" s="172"/>
      <c r="Q72" s="172"/>
      <c r="R72" s="172"/>
      <c r="S72" s="172"/>
      <c r="T72" s="172"/>
      <c r="U72" s="172"/>
    </row>
    <row r="73" spans="2:21" ht="15" customHeight="1" x14ac:dyDescent="0.25">
      <c r="O73" s="172"/>
      <c r="P73" s="172"/>
      <c r="Q73" s="172"/>
      <c r="R73" s="172"/>
      <c r="S73" s="172"/>
      <c r="T73" s="172"/>
      <c r="U73" s="172"/>
    </row>
    <row r="74" spans="2:21" ht="15" customHeight="1" x14ac:dyDescent="0.25">
      <c r="L74" s="40"/>
      <c r="O74" s="172"/>
      <c r="P74" s="172"/>
      <c r="Q74" s="172"/>
      <c r="R74" s="172"/>
      <c r="S74" s="172"/>
      <c r="T74" s="172"/>
      <c r="U74" s="172"/>
    </row>
    <row r="75" spans="2:21" ht="15" customHeight="1" x14ac:dyDescent="0.25">
      <c r="O75" s="172"/>
      <c r="P75" s="172"/>
      <c r="Q75" s="172"/>
      <c r="R75" s="172"/>
      <c r="S75" s="172"/>
      <c r="T75" s="172"/>
      <c r="U75" s="172"/>
    </row>
    <row r="76" spans="2:21" ht="15" customHeight="1" x14ac:dyDescent="0.25">
      <c r="L76" s="40"/>
      <c r="O76" s="172"/>
      <c r="P76" s="172"/>
      <c r="Q76" s="172"/>
      <c r="R76" s="172"/>
      <c r="S76" s="172"/>
      <c r="T76" s="172"/>
      <c r="U76" s="172"/>
    </row>
    <row r="77" spans="2:21" ht="15" customHeight="1" x14ac:dyDescent="0.25">
      <c r="L77" s="40"/>
      <c r="O77" s="172"/>
      <c r="P77" s="172"/>
      <c r="Q77" s="172"/>
      <c r="R77" s="172"/>
      <c r="S77" s="172"/>
      <c r="T77" s="172"/>
      <c r="U77" s="172"/>
    </row>
    <row r="78" spans="2:21" ht="15" customHeight="1" x14ac:dyDescent="0.25">
      <c r="K78" s="330"/>
      <c r="O78" s="172"/>
      <c r="P78" s="172"/>
      <c r="Q78" s="172"/>
      <c r="R78" s="172"/>
      <c r="S78" s="172"/>
      <c r="T78" s="172"/>
      <c r="U78" s="172"/>
    </row>
    <row r="79" spans="2:21" ht="15" customHeight="1" x14ac:dyDescent="0.25">
      <c r="K79" s="330"/>
      <c r="O79" s="172"/>
      <c r="P79" s="172"/>
      <c r="Q79" s="172"/>
      <c r="R79" s="172"/>
      <c r="S79" s="172"/>
      <c r="T79" s="172"/>
      <c r="U79" s="172"/>
    </row>
    <row r="80" spans="2:21" ht="15" customHeight="1" x14ac:dyDescent="0.25">
      <c r="O80" s="172"/>
      <c r="P80" s="172"/>
      <c r="Q80" s="172"/>
      <c r="R80" s="172"/>
      <c r="S80" s="172"/>
      <c r="T80" s="172"/>
      <c r="U80" s="172"/>
    </row>
    <row r="81" spans="15:21" ht="15" customHeight="1" x14ac:dyDescent="0.25">
      <c r="O81" s="172"/>
      <c r="P81" s="172"/>
      <c r="Q81" s="172"/>
      <c r="R81" s="172"/>
      <c r="S81" s="172"/>
      <c r="T81" s="172"/>
      <c r="U81" s="172"/>
    </row>
    <row r="82" spans="15:21" ht="15" customHeight="1" x14ac:dyDescent="0.25">
      <c r="O82" s="172"/>
      <c r="P82" s="172"/>
      <c r="Q82" s="172"/>
      <c r="R82" s="172"/>
      <c r="S82" s="172"/>
      <c r="T82" s="172"/>
      <c r="U82" s="172"/>
    </row>
    <row r="83" spans="15:21" ht="15" customHeight="1" x14ac:dyDescent="0.25">
      <c r="O83" s="172"/>
      <c r="P83" s="172"/>
      <c r="Q83" s="172"/>
      <c r="R83" s="172"/>
      <c r="S83" s="172"/>
      <c r="T83" s="172"/>
      <c r="U83" s="172"/>
    </row>
    <row r="84" spans="15:21" ht="15" customHeight="1" x14ac:dyDescent="0.25">
      <c r="O84" s="172"/>
      <c r="P84" s="172"/>
      <c r="Q84" s="172"/>
      <c r="R84" s="172"/>
      <c r="S84" s="172"/>
      <c r="T84" s="172"/>
      <c r="U84" s="172"/>
    </row>
    <row r="85" spans="15:21" ht="15" customHeight="1" x14ac:dyDescent="0.25">
      <c r="O85" s="172"/>
      <c r="P85" s="172"/>
      <c r="Q85" s="172"/>
      <c r="R85" s="172"/>
      <c r="S85" s="172"/>
      <c r="T85" s="172"/>
      <c r="U85" s="172"/>
    </row>
    <row r="86" spans="15:21" ht="15" customHeight="1" x14ac:dyDescent="0.25">
      <c r="O86" s="172"/>
      <c r="P86" s="345"/>
      <c r="Q86" s="172"/>
      <c r="R86" s="172"/>
      <c r="U86" s="172"/>
    </row>
    <row r="87" spans="15:21" ht="15" customHeight="1" x14ac:dyDescent="0.25">
      <c r="O87" s="172"/>
      <c r="P87" s="172"/>
      <c r="Q87" s="172"/>
      <c r="S87" s="172"/>
      <c r="T87" s="172"/>
      <c r="U87" s="172"/>
    </row>
    <row r="88" spans="15:21" ht="15" customHeight="1" x14ac:dyDescent="0.25">
      <c r="O88" s="345"/>
      <c r="P88" s="172"/>
      <c r="Q88" s="345"/>
      <c r="R88" s="172"/>
      <c r="S88" s="172"/>
      <c r="T88" s="172"/>
      <c r="U88" s="40"/>
    </row>
    <row r="89" spans="15:21" ht="15" customHeight="1" x14ac:dyDescent="0.25">
      <c r="O89" s="345"/>
      <c r="P89" s="345"/>
      <c r="Q89" s="172"/>
      <c r="R89" s="172"/>
      <c r="U89" s="40"/>
    </row>
    <row r="90" spans="15:21" ht="15" customHeight="1" x14ac:dyDescent="0.25">
      <c r="Q90" s="172"/>
      <c r="S90" s="172"/>
      <c r="T90" s="172"/>
    </row>
    <row r="91" spans="15:21" ht="15" customHeight="1" x14ac:dyDescent="0.25">
      <c r="Q91" s="345"/>
      <c r="R91" s="172"/>
    </row>
    <row r="95" spans="15:21" ht="15" customHeight="1" x14ac:dyDescent="0.25">
      <c r="O95" s="172"/>
      <c r="P95" s="172"/>
      <c r="U95" s="172"/>
    </row>
    <row r="96" spans="15:21" ht="15" customHeight="1" x14ac:dyDescent="0.25">
      <c r="O96" s="345"/>
      <c r="P96" s="172"/>
      <c r="S96" s="172"/>
      <c r="T96" s="172"/>
      <c r="U96" s="172"/>
    </row>
    <row r="97" spans="15:21" ht="15" customHeight="1" x14ac:dyDescent="0.25">
      <c r="O97" s="345"/>
      <c r="P97" s="345"/>
      <c r="Q97" s="172"/>
      <c r="R97" s="172"/>
      <c r="S97" s="172"/>
      <c r="T97" s="172"/>
      <c r="U97" s="172"/>
    </row>
    <row r="98" spans="15:21" ht="15" customHeight="1" x14ac:dyDescent="0.25">
      <c r="O98" s="345"/>
      <c r="P98" s="345"/>
      <c r="Q98" s="172"/>
      <c r="R98" s="172"/>
      <c r="S98" s="172"/>
      <c r="T98" s="172"/>
      <c r="U98" s="172"/>
    </row>
    <row r="99" spans="15:21" ht="15" customHeight="1" x14ac:dyDescent="0.25">
      <c r="O99" s="345"/>
      <c r="P99" s="172"/>
      <c r="Q99" s="345"/>
      <c r="R99" s="172"/>
      <c r="S99" s="172"/>
      <c r="T99" s="172"/>
      <c r="U99" s="172"/>
    </row>
    <row r="100" spans="15:21" ht="15" customHeight="1" x14ac:dyDescent="0.25">
      <c r="O100" s="345"/>
      <c r="P100" s="172"/>
      <c r="Q100" s="345"/>
      <c r="R100" s="172"/>
      <c r="S100" s="172"/>
      <c r="T100" s="172"/>
      <c r="U100" s="172"/>
    </row>
    <row r="101" spans="15:21" ht="15" customHeight="1" x14ac:dyDescent="0.25">
      <c r="Q101" s="172"/>
      <c r="R101" s="172"/>
      <c r="S101" s="172"/>
      <c r="T101" s="172"/>
      <c r="U101" s="172"/>
    </row>
    <row r="102" spans="15:21" ht="15" customHeight="1" x14ac:dyDescent="0.25">
      <c r="Q102" s="172"/>
      <c r="R102" s="172"/>
      <c r="U102" s="172"/>
    </row>
    <row r="103" spans="15:21" ht="15" customHeight="1" x14ac:dyDescent="0.25">
      <c r="S103" s="172"/>
      <c r="T103" s="172"/>
      <c r="U103" s="172"/>
    </row>
    <row r="104" spans="15:21" ht="15" customHeight="1" x14ac:dyDescent="0.25">
      <c r="O104" s="172"/>
      <c r="P104" s="172"/>
      <c r="R104" s="172"/>
      <c r="S104" s="172"/>
      <c r="T104" s="172"/>
      <c r="U104" s="172"/>
    </row>
    <row r="105" spans="15:21" ht="15" customHeight="1" x14ac:dyDescent="0.25">
      <c r="O105" s="172"/>
      <c r="P105" s="172"/>
      <c r="R105" s="172"/>
      <c r="S105" s="172"/>
      <c r="T105" s="172"/>
      <c r="U105" s="172"/>
    </row>
    <row r="106" spans="15:21" ht="15" customHeight="1" x14ac:dyDescent="0.25">
      <c r="O106" s="172"/>
      <c r="P106" s="172"/>
      <c r="Q106" s="172"/>
      <c r="R106" s="172"/>
      <c r="S106" s="172"/>
      <c r="T106" s="172"/>
      <c r="U106" s="172"/>
    </row>
    <row r="107" spans="15:21" ht="15" customHeight="1" x14ac:dyDescent="0.25">
      <c r="O107" s="345"/>
      <c r="Q107" s="172"/>
      <c r="R107" s="172"/>
      <c r="S107" s="172"/>
      <c r="T107" s="172"/>
      <c r="U107" s="172"/>
    </row>
    <row r="108" spans="15:21" ht="15" customHeight="1" x14ac:dyDescent="0.25">
      <c r="O108" s="345"/>
      <c r="Q108" s="172"/>
      <c r="R108" s="172"/>
      <c r="U108" s="172"/>
    </row>
    <row r="109" spans="15:21" ht="15" customHeight="1" x14ac:dyDescent="0.25">
      <c r="U109" s="172"/>
    </row>
    <row r="110" spans="15:21" ht="15" customHeight="1" x14ac:dyDescent="0.25">
      <c r="O110" s="172"/>
      <c r="P110" s="172"/>
      <c r="U110" s="172"/>
    </row>
    <row r="111" spans="15:21" ht="15" customHeight="1" x14ac:dyDescent="0.25">
      <c r="O111" s="172"/>
      <c r="P111" s="172"/>
      <c r="S111" s="172"/>
      <c r="T111" s="172"/>
      <c r="U111" s="172"/>
    </row>
    <row r="112" spans="15:21" ht="15" customHeight="1" x14ac:dyDescent="0.25">
      <c r="O112" s="172"/>
      <c r="P112" s="172"/>
      <c r="Q112" s="172"/>
      <c r="R112" s="172"/>
      <c r="S112" s="172"/>
      <c r="T112" s="172"/>
      <c r="U112" s="172"/>
    </row>
    <row r="113" s="172" customFormat="1" ht="15" customHeight="1" x14ac:dyDescent="0.25"/>
    <row r="114" s="172" customFormat="1" ht="15" customHeight="1" x14ac:dyDescent="0.25"/>
    <row r="115" s="172" customFormat="1" ht="15" customHeight="1" x14ac:dyDescent="0.25"/>
    <row r="116" s="172" customFormat="1" ht="15" customHeight="1" x14ac:dyDescent="0.25"/>
    <row r="117" s="172" customFormat="1" ht="15" customHeight="1" x14ac:dyDescent="0.25"/>
    <row r="118" s="172" customFormat="1" ht="15" customHeight="1" x14ac:dyDescent="0.25"/>
    <row r="119" s="172" customFormat="1" ht="15" customHeight="1" x14ac:dyDescent="0.25"/>
    <row r="120" s="172" customFormat="1" ht="15" customHeight="1" x14ac:dyDescent="0.25"/>
    <row r="121" s="172" customFormat="1" ht="15" customHeight="1" x14ac:dyDescent="0.25"/>
    <row r="122" s="172" customFormat="1" ht="15" customHeight="1" x14ac:dyDescent="0.25"/>
    <row r="123" s="172" customFormat="1" ht="15" customHeight="1" x14ac:dyDescent="0.25"/>
    <row r="124" s="172" customFormat="1" ht="15" customHeight="1" x14ac:dyDescent="0.25"/>
    <row r="125" s="172" customFormat="1" ht="15" customHeight="1" x14ac:dyDescent="0.25"/>
    <row r="126" s="172" customFormat="1" ht="15" customHeight="1" x14ac:dyDescent="0.25"/>
    <row r="127" s="172" customFormat="1" ht="15" customHeight="1" x14ac:dyDescent="0.25"/>
    <row r="128" s="172" customFormat="1" ht="15" customHeight="1" x14ac:dyDescent="0.25"/>
    <row r="129" s="172" customFormat="1" ht="15" customHeight="1" x14ac:dyDescent="0.25"/>
    <row r="130" s="172" customFormat="1" ht="15" customHeight="1" x14ac:dyDescent="0.25"/>
    <row r="131" s="172" customFormat="1" ht="15" customHeight="1" x14ac:dyDescent="0.25"/>
    <row r="132" s="172" customFormat="1" ht="15" customHeight="1" x14ac:dyDescent="0.25"/>
    <row r="133" s="172" customFormat="1" ht="15" customHeight="1" x14ac:dyDescent="0.25"/>
    <row r="134" s="172" customFormat="1" ht="15" customHeight="1" x14ac:dyDescent="0.25"/>
    <row r="135" s="172" customFormat="1" ht="15" customHeight="1" x14ac:dyDescent="0.25"/>
    <row r="136" s="172" customFormat="1" ht="15" customHeight="1" x14ac:dyDescent="0.25"/>
    <row r="137" s="172" customFormat="1" ht="15" customHeight="1" x14ac:dyDescent="0.25"/>
    <row r="138" s="172" customFormat="1" ht="15" customHeight="1" x14ac:dyDescent="0.25"/>
    <row r="139" s="172" customFormat="1" ht="15" customHeight="1" x14ac:dyDescent="0.25"/>
    <row r="140" s="172" customFormat="1" ht="15" customHeight="1" x14ac:dyDescent="0.25"/>
    <row r="141" s="172" customFormat="1" ht="15" customHeight="1" x14ac:dyDescent="0.25"/>
    <row r="142" s="172" customFormat="1" ht="15" customHeight="1" x14ac:dyDescent="0.25"/>
    <row r="143" s="172" customFormat="1" ht="15" customHeight="1" x14ac:dyDescent="0.25"/>
    <row r="144" s="172" customFormat="1" ht="15" customHeight="1" x14ac:dyDescent="0.25"/>
    <row r="145" s="172" customFormat="1" ht="15" customHeight="1" x14ac:dyDescent="0.25"/>
    <row r="146" s="172" customFormat="1" ht="15" customHeight="1" x14ac:dyDescent="0.25"/>
    <row r="147" s="172" customFormat="1" ht="15" customHeight="1" x14ac:dyDescent="0.25"/>
    <row r="148" s="172" customFormat="1" ht="15" customHeight="1" x14ac:dyDescent="0.25"/>
    <row r="149" s="172" customFormat="1" ht="15" customHeight="1" x14ac:dyDescent="0.25"/>
    <row r="150" s="172" customFormat="1" ht="15" customHeight="1" x14ac:dyDescent="0.25"/>
    <row r="151" s="172" customFormat="1" ht="15" customHeight="1" x14ac:dyDescent="0.25"/>
    <row r="152" s="172" customFormat="1" ht="15" customHeight="1" x14ac:dyDescent="0.25"/>
    <row r="153" s="172" customFormat="1" ht="15" customHeight="1" x14ac:dyDescent="0.25"/>
    <row r="154" s="172" customFormat="1" ht="15" customHeight="1" x14ac:dyDescent="0.25"/>
    <row r="155" s="172" customFormat="1" ht="15" customHeight="1" x14ac:dyDescent="0.25"/>
    <row r="156" s="172" customFormat="1" ht="15" customHeight="1" x14ac:dyDescent="0.25"/>
    <row r="157" s="172" customFormat="1" ht="15" customHeight="1" x14ac:dyDescent="0.25"/>
    <row r="158" s="172" customFormat="1" ht="15" customHeight="1" x14ac:dyDescent="0.25"/>
    <row r="159" s="172" customFormat="1" ht="15" customHeight="1" x14ac:dyDescent="0.25"/>
    <row r="160" s="172" customFormat="1" ht="15" customHeight="1" x14ac:dyDescent="0.25"/>
    <row r="161" s="172" customFormat="1" ht="15" customHeight="1" x14ac:dyDescent="0.25"/>
    <row r="162" s="172" customFormat="1" ht="15" customHeight="1" x14ac:dyDescent="0.25"/>
    <row r="163" s="172" customFormat="1" ht="15" customHeight="1" x14ac:dyDescent="0.25"/>
    <row r="164" s="172" customFormat="1" ht="15" customHeight="1" x14ac:dyDescent="0.25"/>
    <row r="165" s="172" customFormat="1" ht="15" customHeight="1" x14ac:dyDescent="0.25"/>
    <row r="166" s="172" customFormat="1" ht="15" customHeight="1" x14ac:dyDescent="0.25"/>
    <row r="167" s="172" customFormat="1" ht="15" customHeight="1" x14ac:dyDescent="0.25"/>
    <row r="168" s="172" customFormat="1" ht="15" customHeight="1" x14ac:dyDescent="0.25"/>
    <row r="169" s="172" customFormat="1" ht="15" customHeight="1" x14ac:dyDescent="0.25"/>
    <row r="170" s="172" customFormat="1" ht="15" customHeight="1" x14ac:dyDescent="0.25"/>
    <row r="171" s="172" customFormat="1" ht="15" customHeight="1" x14ac:dyDescent="0.25"/>
    <row r="172" s="172" customFormat="1" ht="15" customHeight="1" x14ac:dyDescent="0.25"/>
    <row r="173" s="172" customFormat="1" ht="15" customHeight="1" x14ac:dyDescent="0.25"/>
    <row r="174" s="172" customFormat="1" ht="15" customHeight="1" x14ac:dyDescent="0.25"/>
    <row r="175" s="172" customFormat="1" ht="15" customHeight="1" x14ac:dyDescent="0.25"/>
    <row r="176" s="172" customFormat="1" ht="15" customHeight="1" x14ac:dyDescent="0.25"/>
    <row r="177" s="172" customFormat="1" ht="15" customHeight="1" x14ac:dyDescent="0.25"/>
    <row r="178" s="172" customFormat="1" ht="15" customHeight="1" x14ac:dyDescent="0.25"/>
    <row r="179" s="172" customFormat="1" ht="15" customHeight="1" x14ac:dyDescent="0.25"/>
    <row r="180" s="172" customFormat="1" ht="15" customHeight="1" x14ac:dyDescent="0.25"/>
    <row r="181" s="172" customFormat="1" ht="15" customHeight="1" x14ac:dyDescent="0.25"/>
    <row r="182" s="172" customFormat="1" ht="15" customHeight="1" x14ac:dyDescent="0.25"/>
    <row r="183" s="172" customFormat="1" ht="15" customHeight="1" x14ac:dyDescent="0.25"/>
    <row r="184" s="172" customFormat="1" ht="15" customHeight="1" x14ac:dyDescent="0.25"/>
    <row r="185" s="172" customFormat="1" ht="15" customHeight="1" x14ac:dyDescent="0.25"/>
    <row r="186" s="172" customFormat="1" ht="15" customHeight="1" x14ac:dyDescent="0.25"/>
    <row r="187" s="172" customFormat="1" ht="15" customHeight="1" x14ac:dyDescent="0.25"/>
    <row r="188" s="172" customFormat="1" ht="15" customHeight="1" x14ac:dyDescent="0.25"/>
    <row r="189" s="172" customFormat="1" ht="15" customHeight="1" x14ac:dyDescent="0.25"/>
    <row r="190" s="172" customFormat="1" ht="15" customHeight="1" x14ac:dyDescent="0.25"/>
    <row r="191" s="172" customFormat="1" ht="15" customHeight="1" x14ac:dyDescent="0.25"/>
    <row r="192" s="172" customFormat="1" ht="15" customHeight="1" x14ac:dyDescent="0.25"/>
    <row r="193" s="172" customFormat="1" ht="15" customHeight="1" x14ac:dyDescent="0.25"/>
    <row r="194" s="172" customFormat="1" ht="15" customHeight="1" x14ac:dyDescent="0.25"/>
    <row r="195" s="172" customFormat="1" ht="15" customHeight="1" x14ac:dyDescent="0.25"/>
    <row r="196" s="172" customFormat="1" ht="15" customHeight="1" x14ac:dyDescent="0.25"/>
    <row r="197" s="172" customFormat="1" ht="15" customHeight="1" x14ac:dyDescent="0.25"/>
    <row r="198" s="172" customFormat="1" ht="15" customHeight="1" x14ac:dyDescent="0.25"/>
    <row r="199" s="172" customFormat="1" ht="15" customHeight="1" x14ac:dyDescent="0.25"/>
    <row r="200" s="172" customFormat="1" ht="15" customHeight="1" x14ac:dyDescent="0.25"/>
    <row r="201" s="172" customFormat="1" ht="15" customHeight="1" x14ac:dyDescent="0.25"/>
    <row r="202" s="172" customFormat="1" ht="15" customHeight="1" x14ac:dyDescent="0.25"/>
    <row r="203" s="172" customFormat="1" ht="15" customHeight="1" x14ac:dyDescent="0.25"/>
    <row r="204" s="172" customFormat="1" ht="15" customHeight="1" x14ac:dyDescent="0.25"/>
    <row r="205" s="172" customFormat="1" ht="15" customHeight="1" x14ac:dyDescent="0.25"/>
    <row r="206" s="172" customFormat="1" ht="15" customHeight="1" x14ac:dyDescent="0.25"/>
    <row r="207" s="172" customFormat="1" ht="15" customHeight="1" x14ac:dyDescent="0.25"/>
    <row r="208" s="172" customFormat="1" ht="15" customHeight="1" x14ac:dyDescent="0.25"/>
    <row r="209" s="172" customFormat="1" ht="15" customHeight="1" x14ac:dyDescent="0.25"/>
    <row r="210" s="172" customFormat="1" ht="15" customHeight="1" x14ac:dyDescent="0.25"/>
    <row r="211" s="172" customFormat="1" ht="15" customHeight="1" x14ac:dyDescent="0.25"/>
    <row r="212" s="172" customFormat="1" ht="15" customHeight="1" x14ac:dyDescent="0.25"/>
    <row r="213" s="172" customFormat="1" ht="15" customHeight="1" x14ac:dyDescent="0.25"/>
    <row r="214" s="172" customFormat="1" ht="15" customHeight="1" x14ac:dyDescent="0.25"/>
    <row r="215" s="172" customFormat="1" ht="15" customHeight="1" x14ac:dyDescent="0.25"/>
    <row r="216" s="172" customFormat="1" ht="15" customHeight="1" x14ac:dyDescent="0.25"/>
    <row r="217" s="172" customFormat="1" ht="15" customHeight="1" x14ac:dyDescent="0.25"/>
    <row r="218" s="172" customFormat="1" ht="15" customHeight="1" x14ac:dyDescent="0.25"/>
    <row r="219" s="172" customFormat="1" ht="15" customHeight="1" x14ac:dyDescent="0.25"/>
    <row r="220" s="172" customFormat="1" ht="15" customHeight="1" x14ac:dyDescent="0.25"/>
    <row r="221" s="172" customFormat="1" ht="15" customHeight="1" x14ac:dyDescent="0.25"/>
    <row r="222" s="172" customFormat="1" ht="15" customHeight="1" x14ac:dyDescent="0.25"/>
    <row r="223" s="172" customFormat="1" ht="15" customHeight="1" x14ac:dyDescent="0.25"/>
    <row r="224" s="172" customFormat="1" ht="15" customHeight="1" x14ac:dyDescent="0.25"/>
    <row r="225" s="172" customFormat="1" ht="15" customHeight="1" x14ac:dyDescent="0.25"/>
    <row r="226" s="172" customFormat="1" ht="15" customHeight="1" x14ac:dyDescent="0.25"/>
    <row r="227" s="172" customFormat="1" ht="15" customHeight="1" x14ac:dyDescent="0.25"/>
    <row r="228" s="172" customFormat="1" ht="15" customHeight="1" x14ac:dyDescent="0.25"/>
    <row r="229" s="172" customFormat="1" ht="15" customHeight="1" x14ac:dyDescent="0.25"/>
    <row r="230" s="172" customFormat="1" ht="15" customHeight="1" x14ac:dyDescent="0.25"/>
    <row r="231" s="172" customFormat="1" ht="15" customHeight="1" x14ac:dyDescent="0.25"/>
    <row r="232" s="172" customFormat="1" ht="15" customHeight="1" x14ac:dyDescent="0.25"/>
    <row r="233" s="172" customFormat="1" ht="15" customHeight="1" x14ac:dyDescent="0.25"/>
    <row r="234" s="172" customFormat="1" ht="15" customHeight="1" x14ac:dyDescent="0.25"/>
    <row r="235" s="172" customFormat="1" ht="15" customHeight="1" x14ac:dyDescent="0.25"/>
    <row r="236" s="172" customFormat="1" ht="15" customHeight="1" x14ac:dyDescent="0.25"/>
    <row r="237" s="172" customFormat="1" ht="15" customHeight="1" x14ac:dyDescent="0.25"/>
    <row r="238" s="172" customFormat="1" ht="15" customHeight="1" x14ac:dyDescent="0.25"/>
    <row r="239" s="172" customFormat="1" ht="15" customHeight="1" x14ac:dyDescent="0.25"/>
    <row r="240" s="172" customFormat="1" ht="15" customHeight="1" x14ac:dyDescent="0.25"/>
    <row r="241" s="172" customFormat="1" ht="15" customHeight="1" x14ac:dyDescent="0.25"/>
    <row r="242" s="172" customFormat="1" ht="15" customHeight="1" x14ac:dyDescent="0.25"/>
    <row r="243" s="172" customFormat="1" ht="15" customHeight="1" x14ac:dyDescent="0.25"/>
    <row r="244" s="172" customFormat="1" ht="15" customHeight="1" x14ac:dyDescent="0.25"/>
    <row r="245" s="172" customFormat="1" ht="15" customHeight="1" x14ac:dyDescent="0.25"/>
    <row r="246" s="172" customFormat="1" ht="15" customHeight="1" x14ac:dyDescent="0.25"/>
    <row r="247" s="172" customFormat="1" ht="15" customHeight="1" x14ac:dyDescent="0.25"/>
    <row r="248" s="172" customFormat="1" ht="15" customHeight="1" x14ac:dyDescent="0.25"/>
    <row r="249" s="172" customFormat="1" ht="15" customHeight="1" x14ac:dyDescent="0.25"/>
    <row r="250" s="172" customFormat="1" ht="15" customHeight="1" x14ac:dyDescent="0.25"/>
    <row r="251" s="172" customFormat="1" ht="15" customHeight="1" x14ac:dyDescent="0.25"/>
    <row r="252" s="172" customFormat="1" ht="15" customHeight="1" x14ac:dyDescent="0.25"/>
    <row r="253" s="172" customFormat="1" ht="15" customHeight="1" x14ac:dyDescent="0.25"/>
    <row r="254" s="172" customFormat="1" ht="15" customHeight="1" x14ac:dyDescent="0.25"/>
    <row r="255" s="172" customFormat="1" ht="15" customHeight="1" x14ac:dyDescent="0.25"/>
    <row r="256" s="172" customFormat="1" ht="15" customHeight="1" x14ac:dyDescent="0.25"/>
    <row r="257" s="172" customFormat="1" ht="15" customHeight="1" x14ac:dyDescent="0.25"/>
    <row r="258" s="172" customFormat="1" ht="15" customHeight="1" x14ac:dyDescent="0.25"/>
    <row r="259" s="172" customFormat="1" ht="15" customHeight="1" x14ac:dyDescent="0.25"/>
    <row r="260" s="172" customFormat="1" ht="15" customHeight="1" x14ac:dyDescent="0.25"/>
    <row r="261" s="172" customFormat="1" ht="15" customHeight="1" x14ac:dyDescent="0.25"/>
    <row r="262" s="172" customFormat="1" ht="15" customHeight="1" x14ac:dyDescent="0.25"/>
    <row r="263" s="172" customFormat="1" ht="15" customHeight="1" x14ac:dyDescent="0.25"/>
    <row r="264" s="172" customFormat="1" ht="15" customHeight="1" x14ac:dyDescent="0.25"/>
    <row r="265" s="172" customFormat="1" ht="15" customHeight="1" x14ac:dyDescent="0.25"/>
    <row r="266" s="172" customFormat="1" ht="15" customHeight="1" x14ac:dyDescent="0.25"/>
    <row r="267" s="172" customFormat="1" ht="15" customHeight="1" x14ac:dyDescent="0.25"/>
    <row r="268" s="172" customFormat="1" ht="15" customHeight="1" x14ac:dyDescent="0.25"/>
    <row r="269" s="172" customFormat="1" ht="15" customHeight="1" x14ac:dyDescent="0.25"/>
    <row r="270" s="172" customFormat="1" ht="15" customHeight="1" x14ac:dyDescent="0.25"/>
    <row r="271" s="172" customFormat="1" ht="15" customHeight="1" x14ac:dyDescent="0.25"/>
    <row r="272" s="172" customFormat="1" ht="15" customHeight="1" x14ac:dyDescent="0.25"/>
    <row r="273" s="172" customFormat="1" ht="15" customHeight="1" x14ac:dyDescent="0.25"/>
    <row r="274" s="172" customFormat="1" ht="15" customHeight="1" x14ac:dyDescent="0.25"/>
    <row r="275" s="172" customFormat="1" ht="15" customHeight="1" x14ac:dyDescent="0.25"/>
    <row r="276" s="172" customFormat="1" ht="15" customHeight="1" x14ac:dyDescent="0.25"/>
    <row r="277" s="172" customFormat="1" ht="15" customHeight="1" x14ac:dyDescent="0.25"/>
    <row r="278" s="172" customFormat="1" ht="15" customHeight="1" x14ac:dyDescent="0.25"/>
    <row r="279" s="172" customFormat="1" ht="15" customHeight="1" x14ac:dyDescent="0.25"/>
    <row r="280" s="172" customFormat="1" ht="15" customHeight="1" x14ac:dyDescent="0.25"/>
    <row r="281" s="172" customFormat="1" ht="15" customHeight="1" x14ac:dyDescent="0.25"/>
    <row r="282" s="172" customFormat="1" ht="15" customHeight="1" x14ac:dyDescent="0.25"/>
    <row r="283" s="172" customFormat="1" ht="15" customHeight="1" x14ac:dyDescent="0.25"/>
    <row r="284" s="172" customFormat="1" ht="15" customHeight="1" x14ac:dyDescent="0.25"/>
    <row r="285" s="172" customFormat="1" ht="15" customHeight="1" x14ac:dyDescent="0.25"/>
    <row r="286" s="172" customFormat="1" ht="15" customHeight="1" x14ac:dyDescent="0.25"/>
    <row r="287" s="172" customFormat="1" ht="15" customHeight="1" x14ac:dyDescent="0.25"/>
    <row r="288" s="172" customFormat="1" ht="15" customHeight="1" x14ac:dyDescent="0.25"/>
    <row r="289" s="172" customFormat="1" ht="15" customHeight="1" x14ac:dyDescent="0.25"/>
    <row r="290" s="172" customFormat="1" ht="15" customHeight="1" x14ac:dyDescent="0.25"/>
    <row r="291" s="172" customFormat="1" ht="15" customHeight="1" x14ac:dyDescent="0.25"/>
    <row r="292" s="172" customFormat="1" ht="15" customHeight="1" x14ac:dyDescent="0.25"/>
    <row r="293" s="172" customFormat="1" ht="15" customHeight="1" x14ac:dyDescent="0.25"/>
    <row r="294" s="172" customFormat="1" ht="15" customHeight="1" x14ac:dyDescent="0.25"/>
    <row r="295" s="172" customFormat="1" ht="15" customHeight="1" x14ac:dyDescent="0.25"/>
    <row r="296" s="172" customFormat="1" ht="15" customHeight="1" x14ac:dyDescent="0.25"/>
    <row r="297" s="172" customFormat="1" ht="15" customHeight="1" x14ac:dyDescent="0.25"/>
    <row r="298" s="172" customFormat="1" ht="15" customHeight="1" x14ac:dyDescent="0.25"/>
    <row r="299" s="172" customFormat="1" ht="15" customHeight="1" x14ac:dyDescent="0.25"/>
    <row r="300" s="172" customFormat="1" ht="15" customHeight="1" x14ac:dyDescent="0.25"/>
    <row r="301" s="172" customFormat="1" ht="15" customHeight="1" x14ac:dyDescent="0.25"/>
    <row r="302" s="172" customFormat="1" ht="15" customHeight="1" x14ac:dyDescent="0.25"/>
    <row r="303" s="172" customFormat="1" ht="15" customHeight="1" x14ac:dyDescent="0.25"/>
    <row r="304" s="172" customFormat="1" ht="15" customHeight="1" x14ac:dyDescent="0.25"/>
    <row r="305" s="172" customFormat="1" ht="15" customHeight="1" x14ac:dyDescent="0.25"/>
    <row r="306" s="172" customFormat="1" ht="15" customHeight="1" x14ac:dyDescent="0.25"/>
    <row r="307" s="172" customFormat="1" ht="15" customHeight="1" x14ac:dyDescent="0.25"/>
    <row r="308" s="172" customFormat="1" ht="15" customHeight="1" x14ac:dyDescent="0.25"/>
    <row r="309" s="172" customFormat="1" ht="15" customHeight="1" x14ac:dyDescent="0.25"/>
    <row r="310" s="172" customFormat="1" ht="15" customHeight="1" x14ac:dyDescent="0.25"/>
    <row r="311" s="172" customFormat="1" ht="15" customHeight="1" x14ac:dyDescent="0.25"/>
    <row r="312" s="172" customFormat="1" ht="15" customHeight="1" x14ac:dyDescent="0.25"/>
    <row r="313" s="172" customFormat="1" ht="15" customHeight="1" x14ac:dyDescent="0.25"/>
    <row r="314" s="172" customFormat="1" ht="15" customHeight="1" x14ac:dyDescent="0.25"/>
    <row r="315" s="172" customFormat="1" ht="15" customHeight="1" x14ac:dyDescent="0.25"/>
    <row r="316" s="172" customFormat="1" ht="15" customHeight="1" x14ac:dyDescent="0.25"/>
    <row r="317" s="172" customFormat="1" ht="15" customHeight="1" x14ac:dyDescent="0.25"/>
    <row r="318" s="172" customFormat="1" ht="15" customHeight="1" x14ac:dyDescent="0.25"/>
    <row r="319" s="172" customFormat="1" ht="15" customHeight="1" x14ac:dyDescent="0.25"/>
    <row r="320" s="172" customFormat="1" ht="15" customHeight="1" x14ac:dyDescent="0.25"/>
    <row r="321" s="172" customFormat="1" ht="15" customHeight="1" x14ac:dyDescent="0.25"/>
    <row r="322" s="172" customFormat="1" ht="15" customHeight="1" x14ac:dyDescent="0.25"/>
    <row r="323" s="172" customFormat="1" ht="15" customHeight="1" x14ac:dyDescent="0.25"/>
    <row r="324" s="172" customFormat="1" ht="15" customHeight="1" x14ac:dyDescent="0.25"/>
    <row r="325" s="172" customFormat="1" ht="15" customHeight="1" x14ac:dyDescent="0.25"/>
    <row r="326" s="172" customFormat="1" ht="15" customHeight="1" x14ac:dyDescent="0.25"/>
    <row r="327" s="172" customFormat="1" ht="15" customHeight="1" x14ac:dyDescent="0.25"/>
    <row r="328" s="172" customFormat="1" ht="15" customHeight="1" x14ac:dyDescent="0.25"/>
    <row r="329" s="172" customFormat="1" ht="15" customHeight="1" x14ac:dyDescent="0.25"/>
    <row r="330" s="172" customFormat="1" ht="15" customHeight="1" x14ac:dyDescent="0.25"/>
    <row r="331" s="172" customFormat="1" ht="15" customHeight="1" x14ac:dyDescent="0.25"/>
    <row r="332" s="172" customFormat="1" ht="15" customHeight="1" x14ac:dyDescent="0.25"/>
    <row r="333" s="172" customFormat="1" ht="15" customHeight="1" x14ac:dyDescent="0.25"/>
    <row r="334" s="172" customFormat="1" ht="15" customHeight="1" x14ac:dyDescent="0.25"/>
    <row r="335" s="172" customFormat="1" ht="15" customHeight="1" x14ac:dyDescent="0.25"/>
    <row r="336" s="172" customFormat="1" ht="15" customHeight="1" x14ac:dyDescent="0.25"/>
    <row r="337" spans="15:21" ht="15" customHeight="1" x14ac:dyDescent="0.25">
      <c r="Q337" s="172"/>
      <c r="R337" s="172"/>
      <c r="S337" s="172"/>
      <c r="T337" s="172"/>
      <c r="U337" s="172"/>
    </row>
    <row r="338" spans="15:21" ht="15" customHeight="1" x14ac:dyDescent="0.25">
      <c r="Q338" s="172"/>
      <c r="R338" s="172"/>
    </row>
    <row r="341" spans="15:21" ht="15" customHeight="1" x14ac:dyDescent="0.25">
      <c r="O341" s="172"/>
      <c r="P341" s="172"/>
    </row>
    <row r="342" spans="15:21" ht="15" customHeight="1" x14ac:dyDescent="0.25">
      <c r="O342" s="172"/>
      <c r="P342" s="172"/>
      <c r="S342" s="172"/>
      <c r="T342" s="172"/>
      <c r="U342" s="172"/>
    </row>
    <row r="343" spans="15:21" ht="15" customHeight="1" x14ac:dyDescent="0.25">
      <c r="Q343" s="172"/>
      <c r="R343" s="172"/>
      <c r="S343" s="172"/>
      <c r="T343" s="172"/>
      <c r="U343" s="172"/>
    </row>
    <row r="344" spans="15:21" ht="15" customHeight="1" x14ac:dyDescent="0.25">
      <c r="Q344" s="172"/>
      <c r="R344" s="172"/>
    </row>
  </sheetData>
  <mergeCells count="7">
    <mergeCell ref="C59:J64"/>
    <mergeCell ref="C44:J45"/>
    <mergeCell ref="C47:J48"/>
    <mergeCell ref="C37:J37"/>
    <mergeCell ref="C40:J42"/>
    <mergeCell ref="C50:J53"/>
    <mergeCell ref="C55:J56"/>
  </mergeCells>
  <printOptions horizontalCentered="1"/>
  <pageMargins left="0.25" right="0.25" top="0.75" bottom="0.75" header="0.3" footer="0.3"/>
  <pageSetup paperSize="3" scale="70" orientation="portrait" r:id="rId1"/>
  <headerFooter alignWithMargins="0"/>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4652C0-21B7-47D1-A47C-8593551B6954}">
  <sheetPr>
    <tabColor rgb="FF0070C0"/>
    <pageSetUpPr fitToPage="1"/>
  </sheetPr>
  <dimension ref="B2:S128"/>
  <sheetViews>
    <sheetView view="pageBreakPreview" topLeftCell="A21" zoomScale="70" zoomScaleNormal="40" zoomScaleSheetLayoutView="70" workbookViewId="0">
      <selection activeCell="H20" sqref="H20"/>
    </sheetView>
  </sheetViews>
  <sheetFormatPr defaultRowHeight="15" outlineLevelRow="1" x14ac:dyDescent="0.25"/>
  <cols>
    <col min="3" max="3" width="15.7109375" customWidth="1"/>
    <col min="4" max="16" width="17.140625" customWidth="1"/>
    <col min="17" max="20" width="15.7109375" customWidth="1"/>
  </cols>
  <sheetData>
    <row r="2" spans="3:19" ht="23.25" x14ac:dyDescent="0.35">
      <c r="C2" s="9" t="s">
        <v>807</v>
      </c>
      <c r="S2" s="3"/>
    </row>
    <row r="3" spans="3:19" x14ac:dyDescent="0.25">
      <c r="N3" s="10"/>
      <c r="O3" s="10"/>
      <c r="P3" s="3"/>
    </row>
    <row r="4" spans="3:19" ht="15.75" thickBot="1" x14ac:dyDescent="0.3">
      <c r="C4" s="150" t="s">
        <v>6</v>
      </c>
      <c r="G4" s="10"/>
      <c r="H4" s="10"/>
    </row>
    <row r="5" spans="3:19" ht="16.5" customHeight="1" thickBot="1" x14ac:dyDescent="0.3">
      <c r="C5" s="150"/>
      <c r="D5" s="412" t="s">
        <v>8</v>
      </c>
      <c r="E5" s="413"/>
      <c r="F5" s="413"/>
      <c r="G5" s="414"/>
      <c r="H5" s="409" t="s">
        <v>32</v>
      </c>
      <c r="I5" s="410"/>
      <c r="J5" s="411"/>
      <c r="K5" s="409" t="s">
        <v>9</v>
      </c>
      <c r="L5" s="411"/>
      <c r="M5" s="407" t="s">
        <v>80</v>
      </c>
      <c r="N5" s="408"/>
    </row>
    <row r="6" spans="3:19" ht="35.1" customHeight="1" x14ac:dyDescent="0.25">
      <c r="C6" s="389" t="s">
        <v>0</v>
      </c>
      <c r="D6" s="397" t="s">
        <v>30</v>
      </c>
      <c r="E6" s="403" t="s">
        <v>668</v>
      </c>
      <c r="F6" s="403" t="s">
        <v>74</v>
      </c>
      <c r="G6" s="393" t="s">
        <v>228</v>
      </c>
      <c r="H6" s="395" t="s">
        <v>819</v>
      </c>
      <c r="I6" s="401" t="s">
        <v>820</v>
      </c>
      <c r="J6" s="399" t="s">
        <v>821</v>
      </c>
      <c r="K6" s="395" t="s">
        <v>150</v>
      </c>
      <c r="L6" s="395" t="s">
        <v>669</v>
      </c>
      <c r="M6" s="397" t="s">
        <v>48</v>
      </c>
      <c r="N6" s="393" t="s">
        <v>50</v>
      </c>
      <c r="O6" s="405" t="s">
        <v>227</v>
      </c>
      <c r="P6" s="391" t="s">
        <v>49</v>
      </c>
    </row>
    <row r="7" spans="3:19" ht="35.1" customHeight="1" thickBot="1" x14ac:dyDescent="0.3">
      <c r="C7" s="390"/>
      <c r="D7" s="398"/>
      <c r="E7" s="404"/>
      <c r="F7" s="404"/>
      <c r="G7" s="394"/>
      <c r="H7" s="396"/>
      <c r="I7" s="402"/>
      <c r="J7" s="400"/>
      <c r="K7" s="396"/>
      <c r="L7" s="396"/>
      <c r="M7" s="398"/>
      <c r="N7" s="394"/>
      <c r="O7" s="406"/>
      <c r="P7" s="392"/>
      <c r="S7" s="1"/>
    </row>
    <row r="8" spans="3:19" ht="15" customHeight="1" x14ac:dyDescent="0.25">
      <c r="C8" s="295">
        <f>Assumptions!D6</f>
        <v>2023</v>
      </c>
      <c r="D8" s="356">
        <f>IFERROR(_xlfn.XLOOKUP($C8,'Travel Time Savings'!$B$6:$B$41,'Travel Time Savings'!$G$6:$G$41,0,0,1),0)</f>
        <v>0</v>
      </c>
      <c r="E8" s="382">
        <f>IFERROR(_xlfn.XLOOKUP($C8,'Construction Travel Time Impact'!$B$6:$B$41,'Construction Travel Time Impact'!$G$6:$G$41,0,0,1),0)</f>
        <v>0</v>
      </c>
      <c r="F8" s="382">
        <f>IFERROR(_xlfn.XLOOKUP($C8,'VOC Savings'!$B$6:$B$41,'VOC Savings'!$G$6:$G$41,0,0,1),0)</f>
        <v>0</v>
      </c>
      <c r="G8" s="383">
        <f>IFERROR(_xlfn.XLOOKUP($C8,'Gravel Road VOC Impacts'!$B$6:$B$41,'Gravel Road VOC Impacts'!$G$6:$G$41,0,0,1),0)</f>
        <v>0</v>
      </c>
      <c r="H8" s="260">
        <f>IFERROR(_xlfn.XLOOKUP($C8,'Air Quality'!$B$6:$B$40,'Air Quality'!$D$6:$D$40,0,0,1),0)</f>
        <v>0</v>
      </c>
      <c r="I8" s="296">
        <f>IFERROR(_xlfn.XLOOKUP($C8,'Air Quality'!$B$6:$B$40,'Air Quality'!$L$6:$L$40,0,0,1),0)</f>
        <v>0</v>
      </c>
      <c r="J8" s="297">
        <f>IFERROR(_xlfn.XLOOKUP($C8,'Air Quality'!$B$6:$B$40,'Air Quality'!$E$6:$E$40,0,0,1),0)</f>
        <v>0</v>
      </c>
      <c r="K8" s="260">
        <f>IFERROR(_xlfn.XLOOKUP($C8,'Safety Improvements'!B$6:B$35,'Safety Improvements'!E$6:E$35,0,0,1),0)</f>
        <v>0</v>
      </c>
      <c r="L8" s="259">
        <f>IFERROR(_xlfn.XLOOKUP($C8,'Safety Impacts of Alt Routes'!$B$6:$B$35,'Safety Impacts of Alt Routes'!$E$6:$E$35,0,0,1),0)</f>
        <v>0</v>
      </c>
      <c r="M8" s="260">
        <f>IFERROR(_xlfn.XLOOKUP($C8,'O&amp;M + Rehab'!$B$5:$B$40,'O&amp;M + Rehab'!$E$5:$E$40,0,0,1),0)</f>
        <v>0</v>
      </c>
      <c r="N8" s="259">
        <f>IFERROR(_xlfn.XLOOKUP($C8,'Capital Cost + RCV'!$B$6:$B$41,'Capital Cost + RCV'!$E$6:$E$41,0,0,1),0)</f>
        <v>0</v>
      </c>
      <c r="O8" s="298">
        <f t="shared" ref="O8:O39" si="0">IFERROR(SUM(D8:I8,K8:N8),0)</f>
        <v>0</v>
      </c>
      <c r="P8" s="299">
        <f>IFERROR(SUM(D8,E8,I8,K8:N8,G8,F8)*(1+0.07)^-($C8-Assumptions!$D$7)+J8,0)</f>
        <v>0</v>
      </c>
    </row>
    <row r="9" spans="3:19" ht="15" customHeight="1" x14ac:dyDescent="0.25">
      <c r="C9" s="300">
        <f>C8+1</f>
        <v>2024</v>
      </c>
      <c r="D9" s="245">
        <f>IFERROR(_xlfn.XLOOKUP($C9,'Travel Time Savings'!$B$6:$B$41,'Travel Time Savings'!$G$6:$G$41,0,0,1),0)</f>
        <v>0</v>
      </c>
      <c r="E9" s="301">
        <f>IFERROR(_xlfn.XLOOKUP($C9,'Construction Travel Time Impact'!$B$6:$B$41,'Construction Travel Time Impact'!$G$6:$G$41,0,0,1),0)</f>
        <v>-164648.09143198386</v>
      </c>
      <c r="F9" s="301">
        <f>IFERROR(_xlfn.XLOOKUP($C9,'VOC Savings'!$B$6:$B$41,'VOC Savings'!$G$6:$G$41,0,0,1),0)</f>
        <v>0</v>
      </c>
      <c r="G9" s="302">
        <f>IFERROR(_xlfn.XLOOKUP($C9,'Gravel Road VOC Impacts'!$B$6:$B$41,'Gravel Road VOC Impacts'!$G$6:$G$41,0,0,1),0)</f>
        <v>0</v>
      </c>
      <c r="H9" s="245">
        <f>IFERROR(_xlfn.XLOOKUP($C9,'Air Quality'!$B$6:$B$40,'Air Quality'!$D$6:$D$40,0,0,1),0)</f>
        <v>0</v>
      </c>
      <c r="I9" s="301">
        <f>IFERROR(_xlfn.XLOOKUP($C9,'Air Quality'!$B$6:$B$40,'Air Quality'!$L$6:$L$40,0,0,1),0)</f>
        <v>0</v>
      </c>
      <c r="J9" s="302">
        <f>IFERROR(_xlfn.XLOOKUP($C9,'Air Quality'!$B$6:$B$40,'Air Quality'!$E$6:$E$40,0,0,1),0)</f>
        <v>0</v>
      </c>
      <c r="K9" s="245">
        <f>IFERROR(_xlfn.XLOOKUP($C9,'Safety Improvements'!B$6:B$35,'Safety Improvements'!E$6:E$35,0,0,1),0)</f>
        <v>0</v>
      </c>
      <c r="L9" s="244">
        <f>IFERROR(_xlfn.XLOOKUP($C9,'Safety Impacts of Alt Routes'!$B$6:$B$35,'Safety Impacts of Alt Routes'!$E$6:$E$35,0,0,1),0)</f>
        <v>0</v>
      </c>
      <c r="M9" s="245">
        <f>IFERROR(_xlfn.XLOOKUP($C9,'O&amp;M + Rehab'!$B$5:$B$40,'O&amp;M + Rehab'!$E$5:$E$40,0,0,1),0)</f>
        <v>47330.038022813686</v>
      </c>
      <c r="N9" s="244">
        <f>IFERROR(_xlfn.XLOOKUP($C9,'Capital Cost + RCV'!$B$6:$B$41,'Capital Cost + RCV'!$E$6:$E$41,0,0,1),0)</f>
        <v>0</v>
      </c>
      <c r="O9" s="303">
        <f t="shared" si="0"/>
        <v>-117318.05340917018</v>
      </c>
      <c r="P9" s="304">
        <f>IFERROR(SUM(D9,E9,I9,K9:N9,G9,F9)*(1+0.07)^-($C9-Assumptions!$D$7)+J9,0)</f>
        <v>-95766.477918873192</v>
      </c>
    </row>
    <row r="10" spans="3:19" ht="15" customHeight="1" x14ac:dyDescent="0.25">
      <c r="C10" s="300">
        <f>C9+1</f>
        <v>2025</v>
      </c>
      <c r="D10" s="245">
        <f>IFERROR(_xlfn.XLOOKUP($C10,'Travel Time Savings'!$B$6:$B$41,'Travel Time Savings'!$G$6:$G$41,0,0,1),0)</f>
        <v>0</v>
      </c>
      <c r="E10" s="301">
        <f>IFERROR(_xlfn.XLOOKUP($C10,'Construction Travel Time Impact'!$B$6:$B$41,'Construction Travel Time Impact'!$G$6:$G$41,0,0,1),0)</f>
        <v>-150624.26481973665</v>
      </c>
      <c r="F10" s="301">
        <f>IFERROR(_xlfn.XLOOKUP($C10,'VOC Savings'!$B$6:$B$41,'VOC Savings'!$G$6:$G$41,0,0,1),0)</f>
        <v>0</v>
      </c>
      <c r="G10" s="302">
        <f>IFERROR(_xlfn.XLOOKUP($C10,'Gravel Road VOC Impacts'!$B$6:$B$41,'Gravel Road VOC Impacts'!$G$6:$G$41,0,0,1),0)</f>
        <v>0</v>
      </c>
      <c r="H10" s="245">
        <f>IFERROR(_xlfn.XLOOKUP($C10,'Air Quality'!$B$6:$B$40,'Air Quality'!$D$6:$D$40,0,0,1),0)</f>
        <v>0</v>
      </c>
      <c r="I10" s="301">
        <f>IFERROR(_xlfn.XLOOKUP($C10,'Air Quality'!$B$6:$B$40,'Air Quality'!$L$6:$L$40,0,0,1),0)</f>
        <v>0</v>
      </c>
      <c r="J10" s="302">
        <f>IFERROR(_xlfn.XLOOKUP($C10,'Air Quality'!$B$6:$B$40,'Air Quality'!$E$6:$E$40,0,0,1),0)</f>
        <v>0</v>
      </c>
      <c r="K10" s="245">
        <f>IFERROR(_xlfn.XLOOKUP($C10,'Safety Improvements'!B$6:B$35,'Safety Improvements'!E$6:E$35,0,0,1),0)</f>
        <v>0</v>
      </c>
      <c r="L10" s="244">
        <f>IFERROR(_xlfn.XLOOKUP($C10,'Safety Impacts of Alt Routes'!$B$6:$B$35,'Safety Impacts of Alt Routes'!$E$6:$E$35,0,0,1),0)</f>
        <v>0</v>
      </c>
      <c r="M10" s="245">
        <f>IFERROR(_xlfn.XLOOKUP($C10,'O&amp;M + Rehab'!$B$5:$B$40,'O&amp;M + Rehab'!$E$5:$E$40,0,0,1),0)</f>
        <v>31769.977800000008</v>
      </c>
      <c r="N10" s="244">
        <f>IFERROR(_xlfn.XLOOKUP($C10,'Capital Cost + RCV'!$B$6:$B$41,'Capital Cost + RCV'!$E$6:$E$41,0,0,1),0)</f>
        <v>0</v>
      </c>
      <c r="O10" s="303">
        <f t="shared" si="0"/>
        <v>-118854.28701973664</v>
      </c>
      <c r="P10" s="304">
        <f>IFERROR(SUM(D10,E10,I10,K10:N10,G10,F10)*(1+0.07)^-($C10-Assumptions!$D$7)+J10,0)</f>
        <v>-90673.366498679403</v>
      </c>
    </row>
    <row r="11" spans="3:19" ht="15" customHeight="1" x14ac:dyDescent="0.25">
      <c r="C11" s="300">
        <f>C10+1</f>
        <v>2026</v>
      </c>
      <c r="D11" s="245">
        <f>IFERROR(_xlfn.XLOOKUP($C11,'Travel Time Savings'!$B$6:$B$41,'Travel Time Savings'!$G$6:$G$41,0,0,1),0)</f>
        <v>159776.25044025923</v>
      </c>
      <c r="E11" s="301">
        <f>IFERROR(_xlfn.XLOOKUP($C11,'Construction Travel Time Impact'!$B$6:$B$41,'Construction Travel Time Impact'!$G$6:$G$41,0,0,1),0)</f>
        <v>0</v>
      </c>
      <c r="F11" s="301">
        <f>IFERROR(_xlfn.XLOOKUP($C11,'VOC Savings'!$B$6:$B$41,'VOC Savings'!$G$6:$G$41,0,0,1),0)</f>
        <v>139403.32885234174</v>
      </c>
      <c r="G11" s="302">
        <f>IFERROR(_xlfn.XLOOKUP($C11,'Gravel Road VOC Impacts'!$B$6:$B$41,'Gravel Road VOC Impacts'!$G$6:$G$41,0,0,1),0)</f>
        <v>49930.405715308196</v>
      </c>
      <c r="H11" s="245">
        <f>IFERROR(_xlfn.XLOOKUP($C11,'Air Quality'!$B$6:$B$40,'Air Quality'!$D$6:$D$40,0,0,1),0)</f>
        <v>6915.6920586164797</v>
      </c>
      <c r="I11" s="301">
        <f>IFERROR(_xlfn.XLOOKUP($C11,'Air Quality'!$B$6:$B$40,'Air Quality'!$L$6:$L$40,0,0,1),0)</f>
        <v>8735.2461502685164</v>
      </c>
      <c r="J11" s="302">
        <f>IFERROR(_xlfn.XLOOKUP($C11,'Air Quality'!$B$6:$B$40,'Air Quality'!$E$6:$E$40,0,0,1),0)</f>
        <v>5965.536719858379</v>
      </c>
      <c r="K11" s="245">
        <f>IFERROR(_xlfn.XLOOKUP($C11,'Safety Improvements'!B$6:B$35,'Safety Improvements'!E$6:E$35,0,0,1),0)</f>
        <v>-271.85263157894707</v>
      </c>
      <c r="L11" s="244">
        <f>IFERROR(_xlfn.XLOOKUP($C11,'Safety Impacts of Alt Routes'!$B$6:$B$35,'Safety Impacts of Alt Routes'!$E$6:$E$35,0,0,1),0)</f>
        <v>2397394.0560599654</v>
      </c>
      <c r="M11" s="245">
        <f>IFERROR(_xlfn.XLOOKUP($C11,'O&amp;M + Rehab'!$B$5:$B$40,'O&amp;M + Rehab'!$E$5:$E$40,0,0,1),0)</f>
        <v>15654.19255</v>
      </c>
      <c r="N11" s="244">
        <f>IFERROR(_xlfn.XLOOKUP($C11,'Capital Cost + RCV'!$B$6:$B$41,'Capital Cost + RCV'!$E$6:$E$41,0,0,1),0)</f>
        <v>0</v>
      </c>
      <c r="O11" s="303">
        <f t="shared" si="0"/>
        <v>2777537.3191951807</v>
      </c>
      <c r="P11" s="304">
        <f>IFERROR(SUM(D11,E11,I11,K11:N11,G11,F11)*(1+0.07)^-($C11-Assumptions!$D$7)+J11,0)</f>
        <v>1981380.4654467818</v>
      </c>
    </row>
    <row r="12" spans="3:19" ht="15" customHeight="1" x14ac:dyDescent="0.25">
      <c r="C12" s="300">
        <f t="shared" ref="C12:C68" si="1">C11+1</f>
        <v>2027</v>
      </c>
      <c r="D12" s="245">
        <f>IFERROR(_xlfn.XLOOKUP($C12,'Travel Time Savings'!$B$6:$B$41,'Travel Time Savings'!$G$6:$G$41,0,0,1),0)</f>
        <v>160855.81969999266</v>
      </c>
      <c r="E12" s="301">
        <f>IFERROR(_xlfn.XLOOKUP($C12,'Construction Travel Time Impact'!$B$6:$B$41,'Construction Travel Time Impact'!$G$6:$G$41,0,0,1),0)</f>
        <v>0</v>
      </c>
      <c r="F12" s="301">
        <f>IFERROR(_xlfn.XLOOKUP($C12,'VOC Savings'!$B$6:$B$41,'VOC Savings'!$G$6:$G$41,0,0,1),0)</f>
        <v>140345.24323647772</v>
      </c>
      <c r="G12" s="302">
        <f>IFERROR(_xlfn.XLOOKUP($C12,'Gravel Road VOC Impacts'!$B$6:$B$41,'Gravel Road VOC Impacts'!$G$6:$G$41,0,0,1),0)</f>
        <v>50267.773321492663</v>
      </c>
      <c r="H12" s="245">
        <f>IFERROR(_xlfn.XLOOKUP($C12,'Air Quality'!$B$6:$B$40,'Air Quality'!$D$6:$D$40,0,0,1),0)</f>
        <v>7078.4600361221437</v>
      </c>
      <c r="I12" s="301">
        <f>IFERROR(_xlfn.XLOOKUP($C12,'Air Quality'!$B$6:$B$40,'Air Quality'!$L$6:$L$40,0,0,1),0)</f>
        <v>8967.1283384910475</v>
      </c>
      <c r="J12" s="302">
        <f>IFERROR(_xlfn.XLOOKUP($C12,'Air Quality'!$B$6:$B$40,'Air Quality'!$E$6:$E$40,0,0,1),0)</f>
        <v>5928.0988418167071</v>
      </c>
      <c r="K12" s="245">
        <f>IFERROR(_xlfn.XLOOKUP($C12,'Safety Improvements'!B$6:B$35,'Safety Improvements'!E$6:E$35,0,0,1),0)</f>
        <v>-273.68947368420947</v>
      </c>
      <c r="L12" s="244">
        <f>IFERROR(_xlfn.XLOOKUP($C12,'Safety Impacts of Alt Routes'!$B$6:$B$35,'Safety Impacts of Alt Routes'!$E$6:$E$35,0,0,1),0)</f>
        <v>2413592.6645468604</v>
      </c>
      <c r="M12" s="245">
        <f>IFERROR(_xlfn.XLOOKUP($C12,'O&amp;M + Rehab'!$B$5:$B$40,'O&amp;M + Rehab'!$E$5:$E$40,0,0,1),0)</f>
        <v>15654.19255</v>
      </c>
      <c r="N12" s="244">
        <f>IFERROR(_xlfn.XLOOKUP($C12,'Capital Cost + RCV'!$B$6:$B$41,'Capital Cost + RCV'!$E$6:$E$41,0,0,1),0)</f>
        <v>0</v>
      </c>
      <c r="O12" s="303">
        <f t="shared" si="0"/>
        <v>2796487.5922557521</v>
      </c>
      <c r="P12" s="304">
        <f>IFERROR(SUM(D12,E12,I12,K12:N12,G12,F12)*(1+0.07)^-($C12-Assumptions!$D$7)+J12,0)</f>
        <v>1864629.1831391335</v>
      </c>
    </row>
    <row r="13" spans="3:19" ht="15" customHeight="1" x14ac:dyDescent="0.25">
      <c r="C13" s="300">
        <f t="shared" si="1"/>
        <v>2028</v>
      </c>
      <c r="D13" s="245">
        <f>IFERROR(_xlfn.XLOOKUP($C13,'Travel Time Savings'!$B$6:$B$41,'Travel Time Savings'!$G$6:$G$41,0,0,1),0)</f>
        <v>161935.38895972422</v>
      </c>
      <c r="E13" s="301">
        <f>IFERROR(_xlfn.XLOOKUP($C13,'Construction Travel Time Impact'!$B$6:$B$41,'Construction Travel Time Impact'!$G$6:$G$41,0,0,1),0)</f>
        <v>0</v>
      </c>
      <c r="F13" s="301">
        <f>IFERROR(_xlfn.XLOOKUP($C13,'VOC Savings'!$B$6:$B$41,'VOC Savings'!$G$6:$G$41,0,0,1),0)</f>
        <v>141287.15762061556</v>
      </c>
      <c r="G13" s="302">
        <f>IFERROR(_xlfn.XLOOKUP($C13,'Gravel Road VOC Impacts'!$B$6:$B$41,'Gravel Road VOC Impacts'!$G$6:$G$41,0,0,1),0)</f>
        <v>50605.140927677232</v>
      </c>
      <c r="H13" s="245">
        <f>IFERROR(_xlfn.XLOOKUP($C13,'Air Quality'!$B$6:$B$40,'Air Quality'!$D$6:$D$40,0,0,1),0)</f>
        <v>7242.7856019293695</v>
      </c>
      <c r="I13" s="301">
        <f>IFERROR(_xlfn.XLOOKUP($C13,'Air Quality'!$B$6:$B$40,'Air Quality'!$L$6:$L$40,0,0,1),0)</f>
        <v>9176.0900687006779</v>
      </c>
      <c r="J13" s="302">
        <f>IFERROR(_xlfn.XLOOKUP($C13,'Air Quality'!$B$6:$B$40,'Air Quality'!$E$6:$E$40,0,0,1),0)</f>
        <v>5889.0474914086335</v>
      </c>
      <c r="K13" s="245">
        <f>IFERROR(_xlfn.XLOOKUP($C13,'Safety Improvements'!B$6:B$35,'Safety Improvements'!E$6:E$35,0,0,1),0)</f>
        <v>-275.52631578947347</v>
      </c>
      <c r="L13" s="244">
        <f>IFERROR(_xlfn.XLOOKUP($C13,'Safety Impacts of Alt Routes'!$B$6:$B$35,'Safety Impacts of Alt Routes'!$E$6:$E$35,0,0,1),0)</f>
        <v>2429791.2730337502</v>
      </c>
      <c r="M13" s="245">
        <f>IFERROR(_xlfn.XLOOKUP($C13,'O&amp;M + Rehab'!$B$5:$B$40,'O&amp;M + Rehab'!$E$5:$E$40,0,0,1),0)</f>
        <v>15654.19255</v>
      </c>
      <c r="N13" s="244">
        <f>IFERROR(_xlfn.XLOOKUP($C13,'Capital Cost + RCV'!$B$6:$B$41,'Capital Cost + RCV'!$E$6:$E$41,0,0,1),0)</f>
        <v>0</v>
      </c>
      <c r="O13" s="303">
        <f t="shared" si="0"/>
        <v>2815416.5024466077</v>
      </c>
      <c r="P13" s="304">
        <f>IFERROR(SUM(D13,E13,I13,K13:N13,G13,F13)*(1+0.07)^-($C13-Assumptions!$D$7)+J13,0)</f>
        <v>1754678.5048235245</v>
      </c>
    </row>
    <row r="14" spans="3:19" ht="15" customHeight="1" x14ac:dyDescent="0.25">
      <c r="C14" s="300">
        <f t="shared" si="1"/>
        <v>2029</v>
      </c>
      <c r="D14" s="245">
        <f>IFERROR(_xlfn.XLOOKUP($C14,'Travel Time Savings'!$B$6:$B$41,'Travel Time Savings'!$G$6:$G$41,0,0,1),0)</f>
        <v>163014.95821945579</v>
      </c>
      <c r="E14" s="301">
        <f>IFERROR(_xlfn.XLOOKUP($C14,'Construction Travel Time Impact'!$B$6:$B$41,'Construction Travel Time Impact'!$G$6:$G$41,0,0,1),0)</f>
        <v>0</v>
      </c>
      <c r="F14" s="301">
        <f>IFERROR(_xlfn.XLOOKUP($C14,'VOC Savings'!$B$6:$B$41,'VOC Savings'!$G$6:$G$41,0,0,1),0)</f>
        <v>142229.07200475386</v>
      </c>
      <c r="G14" s="302">
        <f>IFERROR(_xlfn.XLOOKUP($C14,'Gravel Road VOC Impacts'!$B$6:$B$41,'Gravel Road VOC Impacts'!$G$6:$G$41,0,0,1),0)</f>
        <v>50942.508533861699</v>
      </c>
      <c r="H14" s="245">
        <f>IFERROR(_xlfn.XLOOKUP($C14,'Air Quality'!$B$6:$B$40,'Air Quality'!$D$6:$D$40,0,0,1),0)</f>
        <v>7408.6687560381206</v>
      </c>
      <c r="I14" s="301">
        <f>IFERROR(_xlfn.XLOOKUP($C14,'Air Quality'!$B$6:$B$40,'Air Quality'!$L$6:$L$40,0,0,1),0)</f>
        <v>9412.7688662760902</v>
      </c>
      <c r="J14" s="302">
        <f>IFERROR(_xlfn.XLOOKUP($C14,'Air Quality'!$B$6:$B$40,'Air Quality'!$E$6:$E$40,0,0,1),0)</f>
        <v>5848.4715299896316</v>
      </c>
      <c r="K14" s="245">
        <f>IFERROR(_xlfn.XLOOKUP($C14,'Safety Improvements'!B$6:B$35,'Safety Improvements'!E$6:E$35,0,0,1),0)</f>
        <v>-277.36315789473593</v>
      </c>
      <c r="L14" s="244">
        <f>IFERROR(_xlfn.XLOOKUP($C14,'Safety Impacts of Alt Routes'!$B$6:$B$35,'Safety Impacts of Alt Routes'!$E$6:$E$35,0,0,1),0)</f>
        <v>2445989.8815206401</v>
      </c>
      <c r="M14" s="245">
        <f>IFERROR(_xlfn.XLOOKUP($C14,'O&amp;M + Rehab'!$B$5:$B$40,'O&amp;M + Rehab'!$E$5:$E$40,0,0,1),0)</f>
        <v>15654.19255</v>
      </c>
      <c r="N14" s="244">
        <f>IFERROR(_xlfn.XLOOKUP($C14,'Capital Cost + RCV'!$B$6:$B$41,'Capital Cost + RCV'!$E$6:$E$41,0,0,1),0)</f>
        <v>0</v>
      </c>
      <c r="O14" s="303">
        <f t="shared" si="0"/>
        <v>2834374.6872931309</v>
      </c>
      <c r="P14" s="304">
        <f>IFERROR(SUM(D14,E14,I14,K14:N14,G14,F14)*(1+0.07)^-($C14-Assumptions!$D$7)+J14,0)</f>
        <v>1651168.4326145544</v>
      </c>
    </row>
    <row r="15" spans="3:19" ht="15" customHeight="1" x14ac:dyDescent="0.25">
      <c r="C15" s="300">
        <f t="shared" si="1"/>
        <v>2030</v>
      </c>
      <c r="D15" s="245">
        <f>IFERROR(_xlfn.XLOOKUP($C15,'Travel Time Savings'!$B$6:$B$41,'Travel Time Savings'!$G$6:$G$41,0,0,1),0)</f>
        <v>164094.52747918526</v>
      </c>
      <c r="E15" s="301">
        <f>IFERROR(_xlfn.XLOOKUP($C15,'Construction Travel Time Impact'!$B$6:$B$41,'Construction Travel Time Impact'!$G$6:$G$41,0,0,1),0)</f>
        <v>0</v>
      </c>
      <c r="F15" s="301">
        <f>IFERROR(_xlfn.XLOOKUP($C15,'VOC Savings'!$B$6:$B$41,'VOC Savings'!$G$6:$G$41,0,0,1),0)</f>
        <v>143170.98638889147</v>
      </c>
      <c r="G15" s="302">
        <f>IFERROR(_xlfn.XLOOKUP($C15,'Gravel Road VOC Impacts'!$B$6:$B$41,'Gravel Road VOC Impacts'!$G$6:$G$41,0,0,1),0)</f>
        <v>51279.876140046268</v>
      </c>
      <c r="H15" s="245">
        <f>IFERROR(_xlfn.XLOOKUP($C15,'Air Quality'!$B$6:$B$40,'Air Quality'!$D$6:$D$40,0,0,1),0)</f>
        <v>7694.4862093615839</v>
      </c>
      <c r="I15" s="301">
        <f>IFERROR(_xlfn.XLOOKUP($C15,'Air Quality'!$B$6:$B$40,'Air Quality'!$L$6:$L$40,0,0,1),0)</f>
        <v>9639.0162436126193</v>
      </c>
      <c r="J15" s="302">
        <f>IFERROR(_xlfn.XLOOKUP($C15,'Air Quality'!$B$6:$B$40,'Air Quality'!$E$6:$E$40,0,0,1),0)</f>
        <v>5897.1829776420054</v>
      </c>
      <c r="K15" s="245">
        <f>IFERROR(_xlfn.XLOOKUP($C15,'Safety Improvements'!B$6:B$35,'Safety Improvements'!E$6:E$35,0,0,1),0)</f>
        <v>-279.19999999999948</v>
      </c>
      <c r="L15" s="244">
        <f>IFERROR(_xlfn.XLOOKUP($C15,'Safety Impacts of Alt Routes'!$B$6:$B$35,'Safety Impacts of Alt Routes'!$E$6:$E$35,0,0,1),0)</f>
        <v>2462188.4900075356</v>
      </c>
      <c r="M15" s="245">
        <f>IFERROR(_xlfn.XLOOKUP($C15,'O&amp;M + Rehab'!$B$5:$B$40,'O&amp;M + Rehab'!$E$5:$E$40,0,0,1),0)</f>
        <v>15654.19255</v>
      </c>
      <c r="N15" s="244">
        <f>IFERROR(_xlfn.XLOOKUP($C15,'Capital Cost + RCV'!$B$6:$B$41,'Capital Cost + RCV'!$E$6:$E$41,0,0,1),0)</f>
        <v>0</v>
      </c>
      <c r="O15" s="303">
        <f t="shared" si="0"/>
        <v>2853442.3750186325</v>
      </c>
      <c r="P15" s="304">
        <f>IFERROR(SUM(D15,E15,I15,K15:N15,G15,F15)*(1+0.07)^-($C15-Assumptions!$D$7)+J15,0)</f>
        <v>1553795.4825886069</v>
      </c>
    </row>
    <row r="16" spans="3:19" ht="15" customHeight="1" x14ac:dyDescent="0.25">
      <c r="C16" s="300">
        <f t="shared" si="1"/>
        <v>2031</v>
      </c>
      <c r="D16" s="245">
        <f>IFERROR(_xlfn.XLOOKUP($C16,'Travel Time Savings'!$B$6:$B$41,'Travel Time Savings'!$G$6:$G$41,0,0,1),0)</f>
        <v>165174.09673891682</v>
      </c>
      <c r="E16" s="301">
        <f>IFERROR(_xlfn.XLOOKUP($C16,'Construction Travel Time Impact'!$B$6:$B$41,'Construction Travel Time Impact'!$G$6:$G$41,0,0,1),0)</f>
        <v>0</v>
      </c>
      <c r="F16" s="301">
        <f>IFERROR(_xlfn.XLOOKUP($C16,'VOC Savings'!$B$6:$B$41,'VOC Savings'!$G$6:$G$41,0,0,1),0)</f>
        <v>144112.90077302745</v>
      </c>
      <c r="G16" s="302">
        <f>IFERROR(_xlfn.XLOOKUP($C16,'Gravel Road VOC Impacts'!$B$6:$B$41,'Gravel Road VOC Impacts'!$G$6:$G$41,0,0,1),0)</f>
        <v>51617.243746230735</v>
      </c>
      <c r="H16" s="245">
        <f>IFERROR(_xlfn.XLOOKUP($C16,'Air Quality'!$B$6:$B$40,'Air Quality'!$D$6:$D$40,0,0,1),0)</f>
        <v>7864.2633342239478</v>
      </c>
      <c r="I16" s="301">
        <f>IFERROR(_xlfn.XLOOKUP($C16,'Air Quality'!$B$6:$B$40,'Air Quality'!$L$6:$L$40,0,0,1),0)</f>
        <v>9702.430824162635</v>
      </c>
      <c r="J16" s="302">
        <f>IFERROR(_xlfn.XLOOKUP($C16,'Air Quality'!$B$6:$B$40,'Air Quality'!$E$6:$E$40,0,0,1),0)</f>
        <v>5851.7504921414702</v>
      </c>
      <c r="K16" s="245">
        <f>IFERROR(_xlfn.XLOOKUP($C16,'Safety Improvements'!B$6:B$35,'Safety Improvements'!E$6:E$35,0,0,1),0)</f>
        <v>-281.03684210526347</v>
      </c>
      <c r="L16" s="244">
        <f>IFERROR(_xlfn.XLOOKUP($C16,'Safety Impacts of Alt Routes'!$B$6:$B$35,'Safety Impacts of Alt Routes'!$E$6:$E$35,0,0,1),0)</f>
        <v>2478387.098494424</v>
      </c>
      <c r="M16" s="245">
        <f>IFERROR(_xlfn.XLOOKUP($C16,'O&amp;M + Rehab'!$B$5:$B$40,'O&amp;M + Rehab'!$E$5:$E$40,0,0,1),0)</f>
        <v>15654.19255</v>
      </c>
      <c r="N16" s="244">
        <f>IFERROR(_xlfn.XLOOKUP($C16,'Capital Cost + RCV'!$B$6:$B$41,'Capital Cost + RCV'!$E$6:$E$41,0,0,1),0)</f>
        <v>0</v>
      </c>
      <c r="O16" s="303">
        <f t="shared" si="0"/>
        <v>2872231.1896188799</v>
      </c>
      <c r="P16" s="304">
        <f>IFERROR(SUM(D16,E16,I16,K16:N16,G16,F16)*(1+0.07)^-($C16-Assumptions!$D$7)+J16,0)</f>
        <v>1461950.649883044</v>
      </c>
    </row>
    <row r="17" spans="3:16" ht="15" customHeight="1" x14ac:dyDescent="0.25">
      <c r="C17" s="300">
        <f t="shared" si="1"/>
        <v>2032</v>
      </c>
      <c r="D17" s="245">
        <f>IFERROR(_xlfn.XLOOKUP($C17,'Travel Time Savings'!$B$6:$B$41,'Travel Time Savings'!$G$6:$G$41,0,0,1),0)</f>
        <v>166253.66599864978</v>
      </c>
      <c r="E17" s="301">
        <f>IFERROR(_xlfn.XLOOKUP($C17,'Construction Travel Time Impact'!$B$6:$B$41,'Construction Travel Time Impact'!$G$6:$G$41,0,0,1),0)</f>
        <v>0</v>
      </c>
      <c r="F17" s="301">
        <f>IFERROR(_xlfn.XLOOKUP($C17,'VOC Savings'!$B$6:$B$41,'VOC Savings'!$G$6:$G$41,0,0,1),0)</f>
        <v>145054.81515716575</v>
      </c>
      <c r="G17" s="302">
        <f>IFERROR(_xlfn.XLOOKUP($C17,'Gravel Road VOC Impacts'!$B$6:$B$41,'Gravel Road VOC Impacts'!$G$6:$G$41,0,0,1),0)</f>
        <v>51954.611352415304</v>
      </c>
      <c r="H17" s="245">
        <f>IFERROR(_xlfn.XLOOKUP($C17,'Air Quality'!$B$6:$B$40,'Air Quality'!$D$6:$D$40,0,0,1),0)</f>
        <v>8035.5980473879208</v>
      </c>
      <c r="I17" s="301">
        <f>IFERROR(_xlfn.XLOOKUP($C17,'Air Quality'!$B$6:$B$40,'Air Quality'!$L$6:$L$40,0,0,1),0)</f>
        <v>9765.8454047127925</v>
      </c>
      <c r="J17" s="302">
        <f>IFERROR(_xlfn.XLOOKUP($C17,'Air Quality'!$B$6:$B$40,'Air Quality'!$E$6:$E$40,0,0,1),0)</f>
        <v>5805.0869996285037</v>
      </c>
      <c r="K17" s="245">
        <f>IFERROR(_xlfn.XLOOKUP($C17,'Safety Improvements'!B$6:B$35,'Safety Improvements'!E$6:E$35,0,0,1),0)</f>
        <v>-282.87368421052577</v>
      </c>
      <c r="L17" s="244">
        <f>IFERROR(_xlfn.XLOOKUP($C17,'Safety Impacts of Alt Routes'!$B$6:$B$35,'Safety Impacts of Alt Routes'!$E$6:$E$35,0,0,1),0)</f>
        <v>2494585.7069813143</v>
      </c>
      <c r="M17" s="245">
        <f>IFERROR(_xlfn.XLOOKUP($C17,'O&amp;M + Rehab'!$B$5:$B$40,'O&amp;M + Rehab'!$E$5:$E$40,0,0,1),0)</f>
        <v>15654.19255</v>
      </c>
      <c r="N17" s="244">
        <f>IFERROR(_xlfn.XLOOKUP($C17,'Capital Cost + RCV'!$B$6:$B$41,'Capital Cost + RCV'!$E$6:$E$41,0,0,1),0)</f>
        <v>0</v>
      </c>
      <c r="O17" s="303">
        <f t="shared" si="0"/>
        <v>2891021.561807435</v>
      </c>
      <c r="P17" s="304">
        <f>IFERROR(SUM(D17,E17,I17,K17:N17,G17,F17)*(1+0.07)^-($C17-Assumptions!$D$7)+J17,0)</f>
        <v>1375490.9504685509</v>
      </c>
    </row>
    <row r="18" spans="3:16" ht="15" customHeight="1" x14ac:dyDescent="0.25">
      <c r="C18" s="300">
        <f t="shared" si="1"/>
        <v>2033</v>
      </c>
      <c r="D18" s="245">
        <f>IFERROR(_xlfn.XLOOKUP($C18,'Travel Time Savings'!$B$6:$B$41,'Travel Time Savings'!$G$6:$G$41,0,0,1),0)</f>
        <v>167333.23525838135</v>
      </c>
      <c r="E18" s="301">
        <f>IFERROR(_xlfn.XLOOKUP($C18,'Construction Travel Time Impact'!$B$6:$B$41,'Construction Travel Time Impact'!$G$6:$G$41,0,0,1),0)</f>
        <v>0</v>
      </c>
      <c r="F18" s="301">
        <f>IFERROR(_xlfn.XLOOKUP($C18,'VOC Savings'!$B$6:$B$41,'VOC Savings'!$G$6:$G$41,0,0,1),0)</f>
        <v>145996.72954130359</v>
      </c>
      <c r="G18" s="302">
        <f>IFERROR(_xlfn.XLOOKUP($C18,'Gravel Road VOC Impacts'!$B$6:$B$41,'Gravel Road VOC Impacts'!$G$6:$G$41,0,0,1),0)</f>
        <v>52291.978958599771</v>
      </c>
      <c r="H18" s="245">
        <f>IFERROR(_xlfn.XLOOKUP($C18,'Air Quality'!$B$6:$B$40,'Air Quality'!$D$6:$D$40,0,0,1),0)</f>
        <v>8208.4903488533437</v>
      </c>
      <c r="I18" s="301">
        <f>IFERROR(_xlfn.XLOOKUP($C18,'Air Quality'!$B$6:$B$40,'Air Quality'!$L$6:$L$40,0,0,1),0)</f>
        <v>9829.2599852628755</v>
      </c>
      <c r="J18" s="302">
        <f>IFERROR(_xlfn.XLOOKUP($C18,'Air Quality'!$B$6:$B$40,'Air Quality'!$E$6:$E$40,0,0,1),0)</f>
        <v>5757.2699774439352</v>
      </c>
      <c r="K18" s="245">
        <f>IFERROR(_xlfn.XLOOKUP($C18,'Safety Improvements'!B$6:B$35,'Safety Improvements'!E$6:E$35,0,0,1),0)</f>
        <v>-284.71052631578954</v>
      </c>
      <c r="L18" s="244">
        <f>IFERROR(_xlfn.XLOOKUP($C18,'Safety Impacts of Alt Routes'!$B$6:$B$35,'Safety Impacts of Alt Routes'!$E$6:$E$35,0,0,1),0)</f>
        <v>2510784.3154682093</v>
      </c>
      <c r="M18" s="245">
        <f>IFERROR(_xlfn.XLOOKUP($C18,'O&amp;M + Rehab'!$B$5:$B$40,'O&amp;M + Rehab'!$E$5:$E$40,0,0,1),0)</f>
        <v>15654.19255</v>
      </c>
      <c r="N18" s="244">
        <f>IFERROR(_xlfn.XLOOKUP($C18,'Capital Cost + RCV'!$B$6:$B$41,'Capital Cost + RCV'!$E$6:$E$41,0,0,1),0)</f>
        <v>0</v>
      </c>
      <c r="O18" s="303">
        <f t="shared" si="0"/>
        <v>2909813.4915842945</v>
      </c>
      <c r="P18" s="304">
        <f>IFERROR(SUM(D18,E18,I18,K18:N18,G18,F18)*(1+0.07)^-($C18-Assumptions!$D$7)+J18,0)</f>
        <v>1294104.591518708</v>
      </c>
    </row>
    <row r="19" spans="3:16" ht="15" customHeight="1" x14ac:dyDescent="0.25">
      <c r="C19" s="300">
        <f t="shared" si="1"/>
        <v>2034</v>
      </c>
      <c r="D19" s="245">
        <f>IFERROR(_xlfn.XLOOKUP($C19,'Travel Time Savings'!$B$6:$B$41,'Travel Time Savings'!$G$6:$G$41,0,0,1),0)</f>
        <v>168412.80451811431</v>
      </c>
      <c r="E19" s="301">
        <f>IFERROR(_xlfn.XLOOKUP($C19,'Construction Travel Time Impact'!$B$6:$B$41,'Construction Travel Time Impact'!$G$6:$G$41,0,0,1),0)</f>
        <v>0</v>
      </c>
      <c r="F19" s="301">
        <f>IFERROR(_xlfn.XLOOKUP($C19,'VOC Savings'!$B$6:$B$41,'VOC Savings'!$G$6:$G$41,0,0,1),0)</f>
        <v>146938.64392544073</v>
      </c>
      <c r="G19" s="302">
        <f>IFERROR(_xlfn.XLOOKUP($C19,'Gravel Road VOC Impacts'!$B$6:$B$41,'Gravel Road VOC Impacts'!$G$6:$G$41,0,0,1),0)</f>
        <v>52629.34656478434</v>
      </c>
      <c r="H19" s="245">
        <f>IFERROR(_xlfn.XLOOKUP($C19,'Air Quality'!$B$6:$B$40,'Air Quality'!$D$6:$D$40,0,0,1),0)</f>
        <v>8382.9402386202164</v>
      </c>
      <c r="I19" s="301">
        <f>IFERROR(_xlfn.XLOOKUP($C19,'Air Quality'!$B$6:$B$40,'Air Quality'!$L$6:$L$40,0,0,1),0)</f>
        <v>9892.6745658128948</v>
      </c>
      <c r="J19" s="302">
        <f>IFERROR(_xlfn.XLOOKUP($C19,'Air Quality'!$B$6:$B$40,'Air Quality'!$E$6:$E$40,0,0,1),0)</f>
        <v>5708.3743885711674</v>
      </c>
      <c r="K19" s="245">
        <f>IFERROR(_xlfn.XLOOKUP($C19,'Safety Improvements'!B$6:B$35,'Safety Improvements'!E$6:E$35,0,0,1),0)</f>
        <v>-286.54736842105183</v>
      </c>
      <c r="L19" s="244">
        <f>IFERROR(_xlfn.XLOOKUP($C19,'Safety Impacts of Alt Routes'!$B$6:$B$35,'Safety Impacts of Alt Routes'!$E$6:$E$35,0,0,1),0)</f>
        <v>2526982.9239550992</v>
      </c>
      <c r="M19" s="245">
        <f>IFERROR(_xlfn.XLOOKUP($C19,'O&amp;M + Rehab'!$B$5:$B$40,'O&amp;M + Rehab'!$E$5:$E$40,0,0,1),0)</f>
        <v>15654.19255</v>
      </c>
      <c r="N19" s="244">
        <f>IFERROR(_xlfn.XLOOKUP($C19,'Capital Cost + RCV'!$B$6:$B$41,'Capital Cost + RCV'!$E$6:$E$41,0,0,1),0)</f>
        <v>0</v>
      </c>
      <c r="O19" s="303">
        <f t="shared" si="0"/>
        <v>2928606.9789494504</v>
      </c>
      <c r="P19" s="304">
        <f>IFERROR(SUM(D19,E19,I19,K19:N19,G19,F19)*(1+0.07)^-($C19-Assumptions!$D$7)+J19,0)</f>
        <v>1217497.530323046</v>
      </c>
    </row>
    <row r="20" spans="3:16" ht="15" customHeight="1" x14ac:dyDescent="0.25">
      <c r="C20" s="300">
        <f t="shared" si="1"/>
        <v>2035</v>
      </c>
      <c r="D20" s="245">
        <f>IFERROR(_xlfn.XLOOKUP($C20,'Travel Time Savings'!$B$6:$B$41,'Travel Time Savings'!$G$6:$G$41,0,0,1),0)</f>
        <v>169492.37377784611</v>
      </c>
      <c r="E20" s="301">
        <f>IFERROR(_xlfn.XLOOKUP($C20,'Construction Travel Time Impact'!$B$6:$B$41,'Construction Travel Time Impact'!$G$6:$G$41,0,0,1),0)</f>
        <v>0</v>
      </c>
      <c r="F20" s="301">
        <f>IFERROR(_xlfn.XLOOKUP($C20,'VOC Savings'!$B$6:$B$41,'VOC Savings'!$G$6:$G$41,0,0,1),0)</f>
        <v>147880.55830957671</v>
      </c>
      <c r="G20" s="302">
        <f>IFERROR(_xlfn.XLOOKUP($C20,'Gravel Road VOC Impacts'!$B$6:$B$41,'Gravel Road VOC Impacts'!$G$6:$G$41,0,0,1),0)</f>
        <v>52966.714170968808</v>
      </c>
      <c r="H20" s="245">
        <f>IFERROR(_xlfn.XLOOKUP($C20,'Air Quality'!$B$6:$B$40,'Air Quality'!$D$6:$D$40,0,0,1),0)</f>
        <v>8558.9477166885372</v>
      </c>
      <c r="I20" s="301">
        <f>IFERROR(_xlfn.XLOOKUP($C20,'Air Quality'!$B$6:$B$40,'Air Quality'!$L$6:$L$40,0,0,1),0)</f>
        <v>9956.0891463629123</v>
      </c>
      <c r="J20" s="302">
        <f>IFERROR(_xlfn.XLOOKUP($C20,'Air Quality'!$B$6:$B$40,'Air Quality'!$E$6:$E$40,0,0,1),0)</f>
        <v>5658.4727345734063</v>
      </c>
      <c r="K20" s="245">
        <f>IFERROR(_xlfn.XLOOKUP($C20,'Safety Improvements'!B$6:B$35,'Safety Improvements'!E$6:E$35,0,0,1),0)</f>
        <v>-288.38421052631583</v>
      </c>
      <c r="L20" s="244">
        <f>IFERROR(_xlfn.XLOOKUP($C20,'Safety Impacts of Alt Routes'!$B$6:$B$35,'Safety Impacts of Alt Routes'!$E$6:$E$35,0,0,1),0)</f>
        <v>2543181.5324419895</v>
      </c>
      <c r="M20" s="245">
        <f>IFERROR(_xlfn.XLOOKUP($C20,'O&amp;M + Rehab'!$B$5:$B$40,'O&amp;M + Rehab'!$E$5:$E$40,0,0,1),0)</f>
        <v>-36317.747449999995</v>
      </c>
      <c r="N20" s="244">
        <f>IFERROR(_xlfn.XLOOKUP($C20,'Capital Cost + RCV'!$B$6:$B$41,'Capital Cost + RCV'!$E$6:$E$41,0,0,1),0)</f>
        <v>0</v>
      </c>
      <c r="O20" s="303">
        <f t="shared" si="0"/>
        <v>2895430.0839029062</v>
      </c>
      <c r="P20" s="304">
        <f>IFERROR(SUM(D20,E20,I20,K20:N20,G20,F20)*(1+0.07)^-($C20-Assumptions!$D$7)+J20,0)</f>
        <v>1125236.8719428619</v>
      </c>
    </row>
    <row r="21" spans="3:16" ht="15" customHeight="1" x14ac:dyDescent="0.25">
      <c r="C21" s="300">
        <f t="shared" si="1"/>
        <v>2036</v>
      </c>
      <c r="D21" s="245">
        <f>IFERROR(_xlfn.XLOOKUP($C21,'Travel Time Savings'!$B$6:$B$41,'Travel Time Savings'!$G$6:$G$41,0,0,1),0)</f>
        <v>170571.94303757558</v>
      </c>
      <c r="E21" s="301">
        <f>IFERROR(_xlfn.XLOOKUP($C21,'Construction Travel Time Impact'!$B$6:$B$41,'Construction Travel Time Impact'!$G$6:$G$41,0,0,1),0)</f>
        <v>0</v>
      </c>
      <c r="F21" s="301">
        <f>IFERROR(_xlfn.XLOOKUP($C21,'VOC Savings'!$B$6:$B$41,'VOC Savings'!$G$6:$G$41,0,0,1),0)</f>
        <v>148822.47269371501</v>
      </c>
      <c r="G21" s="302">
        <f>IFERROR(_xlfn.XLOOKUP($C21,'Gravel Road VOC Impacts'!$B$6:$B$41,'Gravel Road VOC Impacts'!$G$6:$G$41,0,0,1),0)</f>
        <v>53304.081777153275</v>
      </c>
      <c r="H21" s="245">
        <f>IFERROR(_xlfn.XLOOKUP($C21,'Air Quality'!$B$6:$B$40,'Air Quality'!$D$6:$D$40,0,0,1),0)</f>
        <v>8859.562258876198</v>
      </c>
      <c r="I21" s="301">
        <f>IFERROR(_xlfn.XLOOKUP($C21,'Air Quality'!$B$6:$B$40,'Air Quality'!$L$6:$L$40,0,0,1),0)</f>
        <v>10019.50372691307</v>
      </c>
      <c r="J21" s="302">
        <f>IFERROR(_xlfn.XLOOKUP($C21,'Air Quality'!$B$6:$B$40,'Air Quality'!$E$6:$E$40,0,0,1),0)</f>
        <v>5686.6158845647396</v>
      </c>
      <c r="K21" s="245">
        <f>IFERROR(_xlfn.XLOOKUP($C21,'Safety Improvements'!B$6:B$35,'Safety Improvements'!E$6:E$35,0,0,1),0)</f>
        <v>-290.22105263157823</v>
      </c>
      <c r="L21" s="244">
        <f>IFERROR(_xlfn.XLOOKUP($C21,'Safety Impacts of Alt Routes'!$B$6:$B$35,'Safety Impacts of Alt Routes'!$E$6:$E$35,0,0,1),0)</f>
        <v>2559380.1409288845</v>
      </c>
      <c r="M21" s="245">
        <f>IFERROR(_xlfn.XLOOKUP($C21,'O&amp;M + Rehab'!$B$5:$B$40,'O&amp;M + Rehab'!$E$5:$E$40,0,0,1),0)</f>
        <v>15654.19255</v>
      </c>
      <c r="N21" s="244">
        <f>IFERROR(_xlfn.XLOOKUP($C21,'Capital Cost + RCV'!$B$6:$B$41,'Capital Cost + RCV'!$E$6:$E$41,0,0,1),0)</f>
        <v>0</v>
      </c>
      <c r="O21" s="303">
        <f t="shared" si="0"/>
        <v>2966321.675920486</v>
      </c>
      <c r="P21" s="304">
        <f>IFERROR(SUM(D21,E21,I21,K21:N21,G21,F21)*(1+0.07)^-($C21-Assumptions!$D$7)+J21,0)</f>
        <v>1077606.987224295</v>
      </c>
    </row>
    <row r="22" spans="3:16" ht="15" customHeight="1" x14ac:dyDescent="0.25">
      <c r="C22" s="300">
        <f t="shared" si="1"/>
        <v>2037</v>
      </c>
      <c r="D22" s="245">
        <f>IFERROR(_xlfn.XLOOKUP($C22,'Travel Time Savings'!$B$6:$B$41,'Travel Time Savings'!$G$6:$G$41,0,0,1),0)</f>
        <v>171651.51229730691</v>
      </c>
      <c r="E22" s="301">
        <f>IFERROR(_xlfn.XLOOKUP($C22,'Construction Travel Time Impact'!$B$6:$B$41,'Construction Travel Time Impact'!$G$6:$G$41,0,0,1),0)</f>
        <v>0</v>
      </c>
      <c r="F22" s="301">
        <f>IFERROR(_xlfn.XLOOKUP($C22,'VOC Savings'!$B$6:$B$41,'VOC Savings'!$G$6:$G$41,0,0,1),0)</f>
        <v>149764.38707785262</v>
      </c>
      <c r="G22" s="302">
        <f>IFERROR(_xlfn.XLOOKUP($C22,'Gravel Road VOC Impacts'!$B$6:$B$41,'Gravel Road VOC Impacts'!$G$6:$G$41,0,0,1),0)</f>
        <v>53641.449383337844</v>
      </c>
      <c r="H22" s="245">
        <f>IFERROR(_xlfn.XLOOKUP($C22,'Air Quality'!$B$6:$B$40,'Air Quality'!$D$6:$D$40,0,0,1),0)</f>
        <v>9039.4637076983272</v>
      </c>
      <c r="I22" s="301">
        <f>IFERROR(_xlfn.XLOOKUP($C22,'Air Quality'!$B$6:$B$40,'Air Quality'!$L$6:$L$40,0,0,1),0)</f>
        <v>10082.918307463155</v>
      </c>
      <c r="J22" s="302">
        <f>IFERROR(_xlfn.XLOOKUP($C22,'Air Quality'!$B$6:$B$40,'Air Quality'!$E$6:$E$40,0,0,1),0)</f>
        <v>5633.0949309176731</v>
      </c>
      <c r="K22" s="245">
        <f>IFERROR(_xlfn.XLOOKUP($C22,'Safety Improvements'!B$6:B$35,'Safety Improvements'!E$6:E$35,0,0,1),0)</f>
        <v>-292.05789473684172</v>
      </c>
      <c r="L22" s="244">
        <f>IFERROR(_xlfn.XLOOKUP($C22,'Safety Impacts of Alt Routes'!$B$6:$B$35,'Safety Impacts of Alt Routes'!$E$6:$E$35,0,0,1),0)</f>
        <v>2575578.7494157744</v>
      </c>
      <c r="M22" s="245">
        <f>IFERROR(_xlfn.XLOOKUP($C22,'O&amp;M + Rehab'!$B$5:$B$40,'O&amp;M + Rehab'!$E$5:$E$40,0,0,1),0)</f>
        <v>15654.19255</v>
      </c>
      <c r="N22" s="244">
        <f>IFERROR(_xlfn.XLOOKUP($C22,'Capital Cost + RCV'!$B$6:$B$41,'Capital Cost + RCV'!$E$6:$E$41,0,0,1),0)</f>
        <v>0</v>
      </c>
      <c r="O22" s="303">
        <f t="shared" si="0"/>
        <v>2985120.6148446961</v>
      </c>
      <c r="P22" s="304">
        <f>IFERROR(SUM(D22,E22,I22,K22:N22,G22,F22)*(1+0.07)^-($C22-Assumptions!$D$7)+J22,0)</f>
        <v>1013734.7466713447</v>
      </c>
    </row>
    <row r="23" spans="3:16" ht="15" customHeight="1" x14ac:dyDescent="0.25">
      <c r="C23" s="300">
        <f t="shared" si="1"/>
        <v>2038</v>
      </c>
      <c r="D23" s="245">
        <f>IFERROR(_xlfn.XLOOKUP($C23,'Travel Time Savings'!$B$6:$B$41,'Travel Time Savings'!$G$6:$G$41,0,0,1),0)</f>
        <v>172731.08155703847</v>
      </c>
      <c r="E23" s="301">
        <f>IFERROR(_xlfn.XLOOKUP($C23,'Construction Travel Time Impact'!$B$6:$B$41,'Construction Travel Time Impact'!$G$6:$G$41,0,0,1),0)</f>
        <v>0</v>
      </c>
      <c r="F23" s="301">
        <f>IFERROR(_xlfn.XLOOKUP($C23,'VOC Savings'!$B$6:$B$41,'VOC Savings'!$G$6:$G$41,0,0,1),0)</f>
        <v>150706.30146199046</v>
      </c>
      <c r="G23" s="302">
        <f>IFERROR(_xlfn.XLOOKUP($C23,'Gravel Road VOC Impacts'!$B$6:$B$41,'Gravel Road VOC Impacts'!$G$6:$G$41,0,0,1),0)</f>
        <v>53978.816989522311</v>
      </c>
      <c r="H23" s="245">
        <f>IFERROR(_xlfn.XLOOKUP($C23,'Air Quality'!$B$6:$B$40,'Air Quality'!$D$6:$D$40,0,0,1),0)</f>
        <v>9220.9227448219481</v>
      </c>
      <c r="I23" s="301">
        <f>IFERROR(_xlfn.XLOOKUP($C23,'Air Quality'!$B$6:$B$40,'Air Quality'!$L$6:$L$40,0,0,1),0)</f>
        <v>10146.332888013241</v>
      </c>
      <c r="J23" s="302">
        <f>IFERROR(_xlfn.XLOOKUP($C23,'Air Quality'!$B$6:$B$40,'Air Quality'!$E$6:$E$40,0,0,1),0)</f>
        <v>5578.8099064813869</v>
      </c>
      <c r="K23" s="245">
        <f>IFERROR(_xlfn.XLOOKUP($C23,'Safety Improvements'!B$6:B$35,'Safety Improvements'!E$6:E$35,0,0,1),0)</f>
        <v>-293.89473684210418</v>
      </c>
      <c r="L23" s="244">
        <f>IFERROR(_xlfn.XLOOKUP($C23,'Safety Impacts of Alt Routes'!$B$6:$B$35,'Safety Impacts of Alt Routes'!$E$6:$E$35,0,0,1),0)</f>
        <v>2591777.3579026647</v>
      </c>
      <c r="M23" s="245">
        <f>IFERROR(_xlfn.XLOOKUP($C23,'O&amp;M + Rehab'!$B$5:$B$40,'O&amp;M + Rehab'!$E$5:$E$40,0,0,1),0)</f>
        <v>15654.19255</v>
      </c>
      <c r="N23" s="244">
        <f>IFERROR(_xlfn.XLOOKUP($C23,'Capital Cost + RCV'!$B$6:$B$41,'Capital Cost + RCV'!$E$6:$E$41,0,0,1),0)</f>
        <v>0</v>
      </c>
      <c r="O23" s="303">
        <f t="shared" si="0"/>
        <v>3003921.1113572088</v>
      </c>
      <c r="P23" s="304">
        <f>IFERROR(SUM(D23,E23,I23,K23:N23,G23,F23)*(1+0.07)^-($C23-Assumptions!$D$7)+J23,0)</f>
        <v>953624.19673920365</v>
      </c>
    </row>
    <row r="24" spans="3:16" ht="15" customHeight="1" x14ac:dyDescent="0.25">
      <c r="C24" s="300">
        <f t="shared" si="1"/>
        <v>2039</v>
      </c>
      <c r="D24" s="245">
        <f>IFERROR(_xlfn.XLOOKUP($C24,'Travel Time Savings'!$B$6:$B$41,'Travel Time Savings'!$G$6:$G$41,0,0,1),0)</f>
        <v>173810.65081677004</v>
      </c>
      <c r="E24" s="301">
        <f>IFERROR(_xlfn.XLOOKUP($C24,'Construction Travel Time Impact'!$B$6:$B$41,'Construction Travel Time Impact'!$G$6:$G$41,0,0,1),0)</f>
        <v>0</v>
      </c>
      <c r="F24" s="301">
        <f>IFERROR(_xlfn.XLOOKUP($C24,'VOC Savings'!$B$6:$B$41,'VOC Savings'!$G$6:$G$41,0,0,1),0)</f>
        <v>151648.2158461269</v>
      </c>
      <c r="G24" s="302">
        <f>IFERROR(_xlfn.XLOOKUP($C24,'Gravel Road VOC Impacts'!$B$6:$B$41,'Gravel Road VOC Impacts'!$G$6:$G$41,0,0,1),0)</f>
        <v>54316.18459570688</v>
      </c>
      <c r="H24" s="245">
        <f>IFERROR(_xlfn.XLOOKUP($C24,'Air Quality'!$B$6:$B$40,'Air Quality'!$D$6:$D$40,0,0,1),0)</f>
        <v>9403.9393702469697</v>
      </c>
      <c r="I24" s="301">
        <f>IFERROR(_xlfn.XLOOKUP($C24,'Air Quality'!$B$6:$B$40,'Air Quality'!$L$6:$L$40,0,0,1),0)</f>
        <v>10209.747468563261</v>
      </c>
      <c r="J24" s="302">
        <f>IFERROR(_xlfn.XLOOKUP($C24,'Air Quality'!$B$6:$B$40,'Air Quality'!$E$6:$E$40,0,0,1),0)</f>
        <v>5523.8232764335316</v>
      </c>
      <c r="K24" s="245">
        <f>IFERROR(_xlfn.XLOOKUP($C24,'Safety Improvements'!B$6:B$35,'Safety Improvements'!E$6:E$35,0,0,1),0)</f>
        <v>-295.73157894736806</v>
      </c>
      <c r="L24" s="244">
        <f>IFERROR(_xlfn.XLOOKUP($C24,'Safety Impacts of Alt Routes'!$B$6:$B$35,'Safety Impacts of Alt Routes'!$E$6:$E$35,0,0,1),0)</f>
        <v>2607975.9663895587</v>
      </c>
      <c r="M24" s="245">
        <f>IFERROR(_xlfn.XLOOKUP($C24,'O&amp;M + Rehab'!$B$5:$B$40,'O&amp;M + Rehab'!$E$5:$E$40,0,0,1),0)</f>
        <v>15654.19255</v>
      </c>
      <c r="N24" s="244">
        <f>IFERROR(_xlfn.XLOOKUP($C24,'Capital Cost + RCV'!$B$6:$B$41,'Capital Cost + RCV'!$E$6:$E$41,0,0,1),0)</f>
        <v>0</v>
      </c>
      <c r="O24" s="303">
        <f t="shared" si="0"/>
        <v>3022723.1654580254</v>
      </c>
      <c r="P24" s="304">
        <f>IFERROR(SUM(D24,E24,I24,K24:N24,G24,F24)*(1+0.07)^-($C24-Assumptions!$D$7)+J24,0)</f>
        <v>897056.25063393114</v>
      </c>
    </row>
    <row r="25" spans="3:16" ht="15" customHeight="1" x14ac:dyDescent="0.25">
      <c r="C25" s="300">
        <f t="shared" si="1"/>
        <v>2040</v>
      </c>
      <c r="D25" s="245">
        <f>IFERROR(_xlfn.XLOOKUP($C25,'Travel Time Savings'!$B$6:$B$41,'Travel Time Savings'!$G$6:$G$41,0,0,1),0)</f>
        <v>174890.22007650114</v>
      </c>
      <c r="E25" s="301">
        <f>IFERROR(_xlfn.XLOOKUP($C25,'Construction Travel Time Impact'!$B$6:$B$41,'Construction Travel Time Impact'!$G$6:$G$41,0,0,1),0)</f>
        <v>0</v>
      </c>
      <c r="F25" s="301">
        <f>IFERROR(_xlfn.XLOOKUP($C25,'VOC Savings'!$B$6:$B$41,'VOC Savings'!$G$6:$G$41,0,0,1),0)</f>
        <v>152590.13023026497</v>
      </c>
      <c r="G25" s="302">
        <f>IFERROR(_xlfn.XLOOKUP($C25,'Gravel Road VOC Impacts'!$B$6:$B$41,'Gravel Road VOC Impacts'!$G$6:$G$41,0,0,1),0)</f>
        <v>54653.552201891347</v>
      </c>
      <c r="H25" s="245">
        <f>IFERROR(_xlfn.XLOOKUP($C25,'Air Quality'!$B$6:$B$40,'Air Quality'!$D$6:$D$40,0,0,1),0)</f>
        <v>9588.513583973614</v>
      </c>
      <c r="I25" s="301">
        <f>IFERROR(_xlfn.XLOOKUP($C25,'Air Quality'!$B$6:$B$40,'Air Quality'!$L$6:$L$40,0,0,1),0)</f>
        <v>10273.162049113416</v>
      </c>
      <c r="J25" s="302">
        <f>IFERROR(_xlfn.XLOOKUP($C25,'Air Quality'!$B$6:$B$40,'Air Quality'!$E$6:$E$40,0,0,1),0)</f>
        <v>5468.1953148364837</v>
      </c>
      <c r="K25" s="245">
        <f>IFERROR(_xlfn.XLOOKUP($C25,'Safety Improvements'!B$6:B$35,'Safety Improvements'!E$6:E$35,0,0,1),0)</f>
        <v>-297.56842105263178</v>
      </c>
      <c r="L25" s="244">
        <f>IFERROR(_xlfn.XLOOKUP($C25,'Safety Impacts of Alt Routes'!$B$6:$B$35,'Safety Impacts of Alt Routes'!$E$6:$E$35,0,0,1),0)</f>
        <v>2624174.5748764491</v>
      </c>
      <c r="M25" s="245">
        <f>IFERROR(_xlfn.XLOOKUP($C25,'O&amp;M + Rehab'!$B$5:$B$40,'O&amp;M + Rehab'!$E$5:$E$40,0,0,1),0)</f>
        <v>15654.19255</v>
      </c>
      <c r="N25" s="244">
        <f>IFERROR(_xlfn.XLOOKUP($C25,'Capital Cost + RCV'!$B$6:$B$41,'Capital Cost + RCV'!$E$6:$E$41,0,0,1),0)</f>
        <v>0</v>
      </c>
      <c r="O25" s="303">
        <f t="shared" si="0"/>
        <v>3041526.7771471408</v>
      </c>
      <c r="P25" s="304">
        <f>IFERROR(SUM(D25,E25,I25,K25:N25,G25,F25)*(1+0.07)^-($C25-Assumptions!$D$7)+J25,0)</f>
        <v>843824.39036446717</v>
      </c>
    </row>
    <row r="26" spans="3:16" ht="15" customHeight="1" x14ac:dyDescent="0.25">
      <c r="C26" s="300">
        <f t="shared" si="1"/>
        <v>2041</v>
      </c>
      <c r="D26" s="245">
        <f>IFERROR(_xlfn.XLOOKUP($C26,'Travel Time Savings'!$B$6:$B$41,'Travel Time Savings'!$G$6:$G$41,0,0,1),0)</f>
        <v>175969.78933623107</v>
      </c>
      <c r="E26" s="301">
        <f>IFERROR(_xlfn.XLOOKUP($C26,'Construction Travel Time Impact'!$B$6:$B$41,'Construction Travel Time Impact'!$G$6:$G$41,0,0,1),0)</f>
        <v>0</v>
      </c>
      <c r="F26" s="301">
        <f>IFERROR(_xlfn.XLOOKUP($C26,'VOC Savings'!$B$6:$B$41,'VOC Savings'!$G$6:$G$41,0,0,1),0)</f>
        <v>153532.04461440258</v>
      </c>
      <c r="G26" s="302">
        <f>IFERROR(_xlfn.XLOOKUP($C26,'Gravel Road VOC Impacts'!$B$6:$B$41,'Gravel Road VOC Impacts'!$G$6:$G$41,0,0,1),0)</f>
        <v>54990.919808075916</v>
      </c>
      <c r="H26" s="245">
        <f>IFERROR(_xlfn.XLOOKUP($C26,'Air Quality'!$B$6:$B$40,'Air Quality'!$D$6:$D$40,0,0,1),0)</f>
        <v>9901.5888325731557</v>
      </c>
      <c r="I26" s="301">
        <f>IFERROR(_xlfn.XLOOKUP($C26,'Air Quality'!$B$6:$B$40,'Air Quality'!$L$6:$L$40,0,0,1),0)</f>
        <v>10336.576629663501</v>
      </c>
      <c r="J26" s="302">
        <f>IFERROR(_xlfn.XLOOKUP($C26,'Air Quality'!$B$6:$B$40,'Air Quality'!$E$6:$E$40,0,0,1),0)</f>
        <v>5482.269664517934</v>
      </c>
      <c r="K26" s="245">
        <f>IFERROR(_xlfn.XLOOKUP($C26,'Safety Improvements'!B$6:B$35,'Safety Improvements'!E$6:E$35,0,0,1),0)</f>
        <v>-299.40526315789418</v>
      </c>
      <c r="L26" s="244">
        <f>IFERROR(_xlfn.XLOOKUP($C26,'Safety Impacts of Alt Routes'!$B$6:$B$35,'Safety Impacts of Alt Routes'!$E$6:$E$35,0,0,1),0)</f>
        <v>2640373.1833633436</v>
      </c>
      <c r="M26" s="245">
        <f>IFERROR(_xlfn.XLOOKUP($C26,'O&amp;M + Rehab'!$B$5:$B$40,'O&amp;M + Rehab'!$E$5:$E$40,0,0,1),0)</f>
        <v>15654.19255</v>
      </c>
      <c r="N26" s="244">
        <f>IFERROR(_xlfn.XLOOKUP($C26,'Capital Cost + RCV'!$B$6:$B$41,'Capital Cost + RCV'!$E$6:$E$41,0,0,1),0)</f>
        <v>0</v>
      </c>
      <c r="O26" s="303">
        <f t="shared" si="0"/>
        <v>3060458.8898711316</v>
      </c>
      <c r="P26" s="304">
        <f>IFERROR(SUM(D26,E26,I26,K26:N26,G26,F26)*(1+0.07)^-($C26-Assumptions!$D$7)+J26,0)</f>
        <v>793804.24542546889</v>
      </c>
    </row>
    <row r="27" spans="3:16" ht="15" customHeight="1" x14ac:dyDescent="0.25">
      <c r="C27" s="300">
        <f t="shared" si="1"/>
        <v>2042</v>
      </c>
      <c r="D27" s="245">
        <f>IFERROR(_xlfn.XLOOKUP($C27,'Travel Time Savings'!$B$6:$B$41,'Travel Time Savings'!$G$6:$G$41,0,0,1),0)</f>
        <v>177049.35859596217</v>
      </c>
      <c r="E27" s="301">
        <f>IFERROR(_xlfn.XLOOKUP($C27,'Construction Travel Time Impact'!$B$6:$B$41,'Construction Travel Time Impact'!$G$6:$G$41,0,0,1),0)</f>
        <v>0</v>
      </c>
      <c r="F27" s="301">
        <f>IFERROR(_xlfn.XLOOKUP($C27,'VOC Savings'!$B$6:$B$41,'VOC Savings'!$G$6:$G$41,0,0,1),0)</f>
        <v>154473.95899854042</v>
      </c>
      <c r="G27" s="302">
        <f>IFERROR(_xlfn.XLOOKUP($C27,'Gravel Road VOC Impacts'!$B$6:$B$41,'Gravel Road VOC Impacts'!$G$6:$G$41,0,0,1),0)</f>
        <v>55328.287414260383</v>
      </c>
      <c r="H27" s="245">
        <f>IFERROR(_xlfn.XLOOKUP($C27,'Air Quality'!$B$6:$B$40,'Air Quality'!$D$6:$D$40,0,0,1),0)</f>
        <v>10090.057017053483</v>
      </c>
      <c r="I27" s="301">
        <f>IFERROR(_xlfn.XLOOKUP($C27,'Air Quality'!$B$6:$B$40,'Air Quality'!$L$6:$L$40,0,0,1),0)</f>
        <v>10399.991210213586</v>
      </c>
      <c r="J27" s="302">
        <f>IFERROR(_xlfn.XLOOKUP($C27,'Air Quality'!$B$6:$B$40,'Air Quality'!$E$6:$E$40,0,0,1),0)</f>
        <v>5423.9028433982612</v>
      </c>
      <c r="K27" s="245">
        <f>IFERROR(_xlfn.XLOOKUP($C27,'Safety Improvements'!B$6:B$35,'Safety Improvements'!E$6:E$35,0,0,1),0)</f>
        <v>-301.24210526315767</v>
      </c>
      <c r="L27" s="244">
        <f>IFERROR(_xlfn.XLOOKUP($C27,'Safety Impacts of Alt Routes'!$B$6:$B$35,'Safety Impacts of Alt Routes'!$E$6:$E$35,0,0,1),0)</f>
        <v>2656571.7918502335</v>
      </c>
      <c r="M27" s="245">
        <f>IFERROR(_xlfn.XLOOKUP($C27,'O&amp;M + Rehab'!$B$5:$B$40,'O&amp;M + Rehab'!$E$5:$E$40,0,0,1),0)</f>
        <v>15654.19255</v>
      </c>
      <c r="N27" s="244">
        <f>IFERROR(_xlfn.XLOOKUP($C27,'Capital Cost + RCV'!$B$6:$B$41,'Capital Cost + RCV'!$E$6:$E$41,0,0,1),0)</f>
        <v>0</v>
      </c>
      <c r="O27" s="303">
        <f t="shared" si="0"/>
        <v>3079266.3955310001</v>
      </c>
      <c r="P27" s="304">
        <f>IFERROR(SUM(D27,E27,I27,K27:N27,G27,F27)*(1+0.07)^-($C27-Assumptions!$D$7)+J27,0)</f>
        <v>746670.15411320655</v>
      </c>
    </row>
    <row r="28" spans="3:16" ht="15" customHeight="1" x14ac:dyDescent="0.25">
      <c r="C28" s="300">
        <f t="shared" si="1"/>
        <v>2043</v>
      </c>
      <c r="D28" s="245">
        <f>IFERROR(_xlfn.XLOOKUP($C28,'Travel Time Savings'!$B$6:$B$41,'Travel Time Savings'!$G$6:$G$41,0,0,1),0)</f>
        <v>178128.92785569397</v>
      </c>
      <c r="E28" s="301">
        <f>IFERROR(_xlfn.XLOOKUP($C28,'Construction Travel Time Impact'!$B$6:$B$41,'Construction Travel Time Impact'!$G$6:$G$41,0,0,1),0)</f>
        <v>0</v>
      </c>
      <c r="F28" s="301">
        <f>IFERROR(_xlfn.XLOOKUP($C28,'VOC Savings'!$B$6:$B$41,'VOC Savings'!$G$6:$G$41,0,0,1),0)</f>
        <v>155415.87338267686</v>
      </c>
      <c r="G28" s="302">
        <f>IFERROR(_xlfn.XLOOKUP($C28,'Gravel Road VOC Impacts'!$B$6:$B$41,'Gravel Road VOC Impacts'!$G$6:$G$41,0,0,1),0)</f>
        <v>55665.655020444952</v>
      </c>
      <c r="H28" s="245">
        <f>IFERROR(_xlfn.XLOOKUP($C28,'Air Quality'!$B$6:$B$40,'Air Quality'!$D$6:$D$40,0,0,1),0)</f>
        <v>10280.082789835251</v>
      </c>
      <c r="I28" s="301">
        <f>IFERROR(_xlfn.XLOOKUP($C28,'Air Quality'!$B$6:$B$40,'Air Quality'!$L$6:$L$40,0,0,1),0)</f>
        <v>10463.405790763678</v>
      </c>
      <c r="J28" s="302">
        <f>IFERROR(_xlfn.XLOOKUP($C28,'Air Quality'!$B$6:$B$40,'Air Quality'!$E$6:$E$40,0,0,1),0)</f>
        <v>5365.0981164671457</v>
      </c>
      <c r="K28" s="245">
        <f>IFERROR(_xlfn.XLOOKUP($C28,'Safety Improvements'!B$6:B$35,'Safety Improvements'!E$6:E$35,0,0,1),0)</f>
        <v>-303.07894736842047</v>
      </c>
      <c r="L28" s="244">
        <f>IFERROR(_xlfn.XLOOKUP($C28,'Safety Impacts of Alt Routes'!$B$6:$B$35,'Safety Impacts of Alt Routes'!$E$6:$E$35,0,0,1),0)</f>
        <v>2672770.4003371233</v>
      </c>
      <c r="M28" s="245">
        <f>IFERROR(_xlfn.XLOOKUP($C28,'O&amp;M + Rehab'!$B$5:$B$40,'O&amp;M + Rehab'!$E$5:$E$40,0,0,1),0)</f>
        <v>15654.19255</v>
      </c>
      <c r="N28" s="244">
        <f>IFERROR(_xlfn.XLOOKUP($C28,'Capital Cost + RCV'!$B$6:$B$41,'Capital Cost + RCV'!$E$6:$E$41,0,0,1),0)</f>
        <v>0</v>
      </c>
      <c r="O28" s="303">
        <f t="shared" si="0"/>
        <v>3098075.4587791692</v>
      </c>
      <c r="P28" s="304">
        <f>IFERROR(SUM(D28,E28,I28,K28:N28,G28,F28)*(1+0.07)^-($C28-Assumptions!$D$7)+J28,0)</f>
        <v>702321.16585726419</v>
      </c>
    </row>
    <row r="29" spans="3:16" ht="15" customHeight="1" x14ac:dyDescent="0.25">
      <c r="C29" s="300">
        <f t="shared" si="1"/>
        <v>2044</v>
      </c>
      <c r="D29" s="245">
        <f>IFERROR(_xlfn.XLOOKUP($C29,'Travel Time Savings'!$B$6:$B$41,'Travel Time Savings'!$G$6:$G$41,0,0,1),0)</f>
        <v>179208.49711542926</v>
      </c>
      <c r="E29" s="301">
        <f>IFERROR(_xlfn.XLOOKUP($C29,'Construction Travel Time Impact'!$B$6:$B$41,'Construction Travel Time Impact'!$G$6:$G$41,0,0,1),0)</f>
        <v>0</v>
      </c>
      <c r="F29" s="301">
        <f>IFERROR(_xlfn.XLOOKUP($C29,'VOC Savings'!$B$6:$B$41,'VOC Savings'!$G$6:$G$41,0,0,1),0)</f>
        <v>156357.78776681423</v>
      </c>
      <c r="G29" s="302">
        <f>IFERROR(_xlfn.XLOOKUP($C29,'Gravel Road VOC Impacts'!$B$6:$B$41,'Gravel Road VOC Impacts'!$G$6:$G$41,0,0,1),0)</f>
        <v>56003.022626629419</v>
      </c>
      <c r="H29" s="245">
        <f>IFERROR(_xlfn.XLOOKUP($C29,'Air Quality'!$B$6:$B$40,'Air Quality'!$D$6:$D$40,0,0,1),0)</f>
        <v>10471.666150918511</v>
      </c>
      <c r="I29" s="301">
        <f>IFERROR(_xlfn.XLOOKUP($C29,'Air Quality'!$B$6:$B$40,'Air Quality'!$L$6:$L$40,0,0,1),0)</f>
        <v>10526.820371313692</v>
      </c>
      <c r="J29" s="302">
        <f>IFERROR(_xlfn.XLOOKUP($C29,'Air Quality'!$B$6:$B$40,'Air Quality'!$E$6:$E$40,0,0,1),0)</f>
        <v>5305.9068309809509</v>
      </c>
      <c r="K29" s="245">
        <f>IFERROR(_xlfn.XLOOKUP($C29,'Safety Improvements'!B$6:B$35,'Safety Improvements'!E$6:E$35,0,0,1),0)</f>
        <v>-304.91578947368413</v>
      </c>
      <c r="L29" s="244">
        <f>IFERROR(_xlfn.XLOOKUP($C29,'Safety Impacts of Alt Routes'!$B$6:$B$35,'Safety Impacts of Alt Routes'!$E$6:$E$35,0,0,1),0)</f>
        <v>2688969.0088240188</v>
      </c>
      <c r="M29" s="245">
        <f>IFERROR(_xlfn.XLOOKUP($C29,'O&amp;M + Rehab'!$B$5:$B$40,'O&amp;M + Rehab'!$E$5:$E$40,0,0,1),0)</f>
        <v>15654.19255</v>
      </c>
      <c r="N29" s="244">
        <f>IFERROR(_xlfn.XLOOKUP($C29,'Capital Cost + RCV'!$B$6:$B$41,'Capital Cost + RCV'!$E$6:$E$41,0,0,1),0)</f>
        <v>0</v>
      </c>
      <c r="O29" s="303">
        <f t="shared" si="0"/>
        <v>3116886.0796156502</v>
      </c>
      <c r="P29" s="304">
        <f>IFERROR(SUM(D29,E29,I29,K29:N29,G29,F29)*(1+0.07)^-($C29-Assumptions!$D$7)+J29,0)</f>
        <v>660594.34573001112</v>
      </c>
    </row>
    <row r="30" spans="3:16" ht="15" hidden="1" customHeight="1" outlineLevel="1" x14ac:dyDescent="0.25">
      <c r="C30" s="300">
        <f>C29+1</f>
        <v>2045</v>
      </c>
      <c r="D30" s="245">
        <f>IFERROR(_xlfn.XLOOKUP($C30,'Travel Time Savings'!$B$6:$B$41,'Travel Time Savings'!$G$6:$G$41,0,0,1),0)</f>
        <v>180288.06637516082</v>
      </c>
      <c r="E30" s="301">
        <f>IFERROR(_xlfn.XLOOKUP($C30,'Construction Travel Time Impact'!$B$6:$B$41,'Construction Travel Time Impact'!$G$6:$G$41,0,0,1),0)</f>
        <v>0</v>
      </c>
      <c r="F30" s="301">
        <f>IFERROR(_xlfn.XLOOKUP($C30,'VOC Savings'!$B$6:$B$41,'VOC Savings'!$G$6:$G$41,0,0,1),0)</f>
        <v>157299.70215095184</v>
      </c>
      <c r="G30" s="302">
        <f>IFERROR(_xlfn.XLOOKUP($C30,'Gravel Road VOC Impacts'!$B$6:$B$41,'Gravel Road VOC Impacts'!$G$6:$G$41,0,0,1),0)</f>
        <v>56340.390232813988</v>
      </c>
      <c r="H30" s="245">
        <f>IFERROR(_xlfn.XLOOKUP($C30,'Air Quality'!$B$6:$B$40,'Air Quality'!$D$6:$D$40,0,0,1),0)</f>
        <v>10664.807100303309</v>
      </c>
      <c r="I30" s="301">
        <f>IFERROR(_xlfn.XLOOKUP($C30,'Air Quality'!$B$6:$B$40,'Air Quality'!$L$6:$L$40,0,0,1),0)</f>
        <v>10590.234951863778</v>
      </c>
      <c r="J30" s="302">
        <f>IFERROR(_xlfn.XLOOKUP($C30,'Air Quality'!$B$6:$B$40,'Air Quality'!$E$6:$E$40,0,0,1),0)</f>
        <v>5246.3784041923363</v>
      </c>
      <c r="K30" s="245">
        <f>IFERROR(_xlfn.XLOOKUP($C30,'Safety Improvements'!B$6:B$35,'Safety Improvements'!E$6:E$35,0,0,1),0)</f>
        <v>-306.75263157894653</v>
      </c>
      <c r="L30" s="244">
        <f>IFERROR(_xlfn.XLOOKUP($C30,'Safety Impacts of Alt Routes'!$B$6:$B$35,'Safety Impacts of Alt Routes'!$E$6:$E$35,0,0,1),0)</f>
        <v>2705167.6173109082</v>
      </c>
      <c r="M30" s="245">
        <f>IFERROR(_xlfn.XLOOKUP($C30,'O&amp;M + Rehab'!$B$5:$B$40,'O&amp;M + Rehab'!$E$5:$E$40,0,0,1),0)</f>
        <v>15654.19255</v>
      </c>
      <c r="N30" s="244">
        <f>IFERROR(_xlfn.XLOOKUP($C30,'Capital Cost + RCV'!$B$6:$B$41,'Capital Cost + RCV'!$E$6:$E$41,0,0,1),0)</f>
        <v>0</v>
      </c>
      <c r="O30" s="303">
        <f t="shared" si="0"/>
        <v>3135698.2580404226</v>
      </c>
      <c r="P30" s="304">
        <f>IFERROR(SUM(D30,E30,I30,K30:N30,G30,F30)*(1+0.07)^-($C30-Assumptions!$D$7)+J30,0)</f>
        <v>621336.1604839596</v>
      </c>
    </row>
    <row r="31" spans="3:16" ht="15" hidden="1" customHeight="1" outlineLevel="1" x14ac:dyDescent="0.25">
      <c r="C31" s="300">
        <f>C30+1</f>
        <v>2046</v>
      </c>
      <c r="D31" s="245">
        <f>IFERROR(_xlfn.XLOOKUP($C31,'Travel Time Savings'!$B$6:$B$41,'Travel Time Savings'!$G$6:$G$41,0,0,1),0)</f>
        <v>0</v>
      </c>
      <c r="E31" s="301">
        <f>IFERROR(_xlfn.XLOOKUP($C31,'Construction Travel Time Impact'!$B$6:$B$41,'Construction Travel Time Impact'!$G$6:$G$41,0,0,1),0)</f>
        <v>0</v>
      </c>
      <c r="F31" s="301">
        <f>IFERROR(_xlfn.XLOOKUP($C31,'VOC Savings'!$B$6:$B$41,'VOC Savings'!$G$6:$G$41,0,0,1),0)</f>
        <v>0</v>
      </c>
      <c r="G31" s="302">
        <f>IFERROR(_xlfn.XLOOKUP($C31,'Gravel Road VOC Impacts'!$B$6:$B$41,'Gravel Road VOC Impacts'!$G$6:$G$41,0,0,1),0)</f>
        <v>0</v>
      </c>
      <c r="H31" s="245">
        <f>IFERROR(_xlfn.XLOOKUP($C31,'Air Quality'!$B$6:$B$40,'Air Quality'!$D$6:$D$40,0,0,1),0)</f>
        <v>0</v>
      </c>
      <c r="I31" s="301">
        <f>IFERROR(_xlfn.XLOOKUP($C31,'Air Quality'!$B$6:$B$40,'Air Quality'!$L$6:$L$40,0,0,1),0)</f>
        <v>0</v>
      </c>
      <c r="J31" s="302">
        <f>IFERROR(_xlfn.XLOOKUP($C31,'Air Quality'!$B$6:$B$40,'Air Quality'!$E$6:$E$40,0,0,1),0)</f>
        <v>0</v>
      </c>
      <c r="K31" s="245">
        <f>IFERROR(_xlfn.XLOOKUP($C31,'Safety Improvements'!B$6:B$35,'Safety Improvements'!E$6:E$35,0,0,1),0)</f>
        <v>0</v>
      </c>
      <c r="L31" s="244">
        <f>IFERROR(_xlfn.XLOOKUP($C31,'Safety Impacts of Alt Routes'!$B$6:$B$35,'Safety Impacts of Alt Routes'!$E$6:$E$35,0,0,1),0)</f>
        <v>0</v>
      </c>
      <c r="M31" s="245">
        <f>IFERROR(_xlfn.XLOOKUP($C31,'O&amp;M + Rehab'!$B$5:$B$40,'O&amp;M + Rehab'!$E$5:$E$40,0,0,1),0)</f>
        <v>0</v>
      </c>
      <c r="N31" s="244">
        <f>IFERROR(_xlfn.XLOOKUP($C31,'Capital Cost + RCV'!$B$6:$B$41,'Capital Cost + RCV'!$E$6:$E$41,0,0,1),0)</f>
        <v>0</v>
      </c>
      <c r="O31" s="303">
        <f t="shared" si="0"/>
        <v>0</v>
      </c>
      <c r="P31" s="304">
        <f>IFERROR(SUM(D31,E31,I31,K31:N31,G31,F31)*(1+0.07)^-($C31-Assumptions!$D$7)+J31,0)</f>
        <v>0</v>
      </c>
    </row>
    <row r="32" spans="3:16" ht="15" hidden="1" customHeight="1" outlineLevel="1" x14ac:dyDescent="0.25">
      <c r="C32" s="300">
        <f t="shared" si="1"/>
        <v>2047</v>
      </c>
      <c r="D32" s="245">
        <f>IFERROR(_xlfn.XLOOKUP($C32,'Travel Time Savings'!$B$6:$B$41,'Travel Time Savings'!$G$6:$G$41,0,0,1),0)</f>
        <v>0</v>
      </c>
      <c r="E32" s="301">
        <f>IFERROR(_xlfn.XLOOKUP($C32,'Construction Travel Time Impact'!$B$6:$B$41,'Construction Travel Time Impact'!$G$6:$G$41,0,0,1),0)</f>
        <v>0</v>
      </c>
      <c r="F32" s="301">
        <f>IFERROR(_xlfn.XLOOKUP($C32,'VOC Savings'!$B$6:$B$41,'VOC Savings'!$G$6:$G$41,0,0,1),0)</f>
        <v>0</v>
      </c>
      <c r="G32" s="302">
        <f>IFERROR(_xlfn.XLOOKUP($C32,'Gravel Road VOC Impacts'!$B$6:$B$41,'Gravel Road VOC Impacts'!$G$6:$G$41,0,0,1),0)</f>
        <v>0</v>
      </c>
      <c r="H32" s="245">
        <f>IFERROR(_xlfn.XLOOKUP($C32,'Air Quality'!$B$6:$B$40,'Air Quality'!$D$6:$D$40,0,0,1),0)</f>
        <v>0</v>
      </c>
      <c r="I32" s="301">
        <f>IFERROR(_xlfn.XLOOKUP($C32,'Air Quality'!$B$6:$B$40,'Air Quality'!$L$6:$L$40,0,0,1),0)</f>
        <v>0</v>
      </c>
      <c r="J32" s="302">
        <f>IFERROR(_xlfn.XLOOKUP($C32,'Air Quality'!$B$6:$B$40,'Air Quality'!$E$6:$E$40,0,0,1),0)</f>
        <v>0</v>
      </c>
      <c r="K32" s="245">
        <f>IFERROR(_xlfn.XLOOKUP($C32,'Safety Improvements'!B$6:B$35,'Safety Improvements'!E$6:E$35,0,0,1),0)</f>
        <v>0</v>
      </c>
      <c r="L32" s="244">
        <f>IFERROR(_xlfn.XLOOKUP($C32,'Safety Impacts of Alt Routes'!$B$6:$B$35,'Safety Impacts of Alt Routes'!$E$6:$E$35,0,0,1),0)</f>
        <v>0</v>
      </c>
      <c r="M32" s="245">
        <f>IFERROR(_xlfn.XLOOKUP($C32,'O&amp;M + Rehab'!$B$5:$B$40,'O&amp;M + Rehab'!$E$5:$E$40,0,0,1),0)</f>
        <v>0</v>
      </c>
      <c r="N32" s="244">
        <f>IFERROR(_xlfn.XLOOKUP($C32,'Capital Cost + RCV'!$B$6:$B$41,'Capital Cost + RCV'!$E$6:$E$41,0,0,1),0)</f>
        <v>0</v>
      </c>
      <c r="O32" s="303">
        <f t="shared" si="0"/>
        <v>0</v>
      </c>
      <c r="P32" s="304">
        <f>IFERROR(SUM(D32,E32,I32,K32:N32,G32,F32)*(1+0.07)^-($C32-Assumptions!$D$7)+J32,0)</f>
        <v>0</v>
      </c>
    </row>
    <row r="33" spans="3:16" ht="15" hidden="1" customHeight="1" outlineLevel="1" x14ac:dyDescent="0.25">
      <c r="C33" s="300">
        <f t="shared" si="1"/>
        <v>2048</v>
      </c>
      <c r="D33" s="245">
        <f>IFERROR(_xlfn.XLOOKUP($C33,'Travel Time Savings'!$B$6:$B$41,'Travel Time Savings'!$G$6:$G$41,0,0,1),0)</f>
        <v>0</v>
      </c>
      <c r="E33" s="301">
        <f>IFERROR(_xlfn.XLOOKUP($C33,'Construction Travel Time Impact'!$B$6:$B$41,'Construction Travel Time Impact'!$G$6:$G$41,0,0,1),0)</f>
        <v>0</v>
      </c>
      <c r="F33" s="301">
        <f>IFERROR(_xlfn.XLOOKUP($C33,'VOC Savings'!$B$6:$B$41,'VOC Savings'!$G$6:$G$41,0,0,1),0)</f>
        <v>0</v>
      </c>
      <c r="G33" s="302">
        <f>IFERROR(_xlfn.XLOOKUP($C33,'Gravel Road VOC Impacts'!$B$6:$B$41,'Gravel Road VOC Impacts'!$G$6:$G$41,0,0,1),0)</f>
        <v>0</v>
      </c>
      <c r="H33" s="245">
        <f>IFERROR(_xlfn.XLOOKUP($C33,'Air Quality'!$B$6:$B$40,'Air Quality'!$D$6:$D$40,0,0,1),0)</f>
        <v>0</v>
      </c>
      <c r="I33" s="301">
        <f>IFERROR(_xlfn.XLOOKUP($C33,'Air Quality'!$B$6:$B$40,'Air Quality'!$L$6:$L$40,0,0,1),0)</f>
        <v>0</v>
      </c>
      <c r="J33" s="302">
        <f>IFERROR(_xlfn.XLOOKUP($C33,'Air Quality'!$B$6:$B$40,'Air Quality'!$E$6:$E$40,0,0,1),0)</f>
        <v>0</v>
      </c>
      <c r="K33" s="245">
        <f>IFERROR(_xlfn.XLOOKUP($C33,'Safety Improvements'!B$6:B$35,'Safety Improvements'!E$6:E$35,0,0,1),0)</f>
        <v>0</v>
      </c>
      <c r="L33" s="244">
        <f>IFERROR(_xlfn.XLOOKUP($C33,'Safety Impacts of Alt Routes'!$B$6:$B$35,'Safety Impacts of Alt Routes'!$E$6:$E$35,0,0,1),0)</f>
        <v>0</v>
      </c>
      <c r="M33" s="245">
        <f>IFERROR(_xlfn.XLOOKUP($C33,'O&amp;M + Rehab'!$B$5:$B$40,'O&amp;M + Rehab'!$E$5:$E$40,0,0,1),0)</f>
        <v>0</v>
      </c>
      <c r="N33" s="244">
        <f>IFERROR(_xlfn.XLOOKUP($C33,'Capital Cost + RCV'!$B$6:$B$41,'Capital Cost + RCV'!$E$6:$E$41,0,0,1),0)</f>
        <v>0</v>
      </c>
      <c r="O33" s="303">
        <f t="shared" si="0"/>
        <v>0</v>
      </c>
      <c r="P33" s="304">
        <f>IFERROR(SUM(D33,E33,I33,K33:N33,G33,F33)*(1+0.07)^-($C33-Assumptions!$D$7)+J33,0)</f>
        <v>0</v>
      </c>
    </row>
    <row r="34" spans="3:16" ht="15" hidden="1" customHeight="1" outlineLevel="1" x14ac:dyDescent="0.25">
      <c r="C34" s="300">
        <f t="shared" si="1"/>
        <v>2049</v>
      </c>
      <c r="D34" s="245">
        <f>IFERROR(_xlfn.XLOOKUP($C34,'Travel Time Savings'!$B$6:$B$41,'Travel Time Savings'!$G$6:$G$41,0,0,1),0)</f>
        <v>0</v>
      </c>
      <c r="E34" s="301">
        <f>IFERROR(_xlfn.XLOOKUP($C34,'Construction Travel Time Impact'!$B$6:$B$41,'Construction Travel Time Impact'!$G$6:$G$41,0,0,1),0)</f>
        <v>0</v>
      </c>
      <c r="F34" s="301">
        <f>IFERROR(_xlfn.XLOOKUP($C34,'VOC Savings'!$B$6:$B$41,'VOC Savings'!$G$6:$G$41,0,0,1),0)</f>
        <v>0</v>
      </c>
      <c r="G34" s="302">
        <f>IFERROR(_xlfn.XLOOKUP($C34,'Gravel Road VOC Impacts'!$B$6:$B$41,'Gravel Road VOC Impacts'!$G$6:$G$41,0,0,1),0)</f>
        <v>0</v>
      </c>
      <c r="H34" s="245">
        <f>IFERROR(_xlfn.XLOOKUP($C34,'Air Quality'!$B$6:$B$40,'Air Quality'!$D$6:$D$40,0,0,1),0)</f>
        <v>0</v>
      </c>
      <c r="I34" s="301">
        <f>IFERROR(_xlfn.XLOOKUP($C34,'Air Quality'!$B$6:$B$40,'Air Quality'!$L$6:$L$40,0,0,1),0)</f>
        <v>0</v>
      </c>
      <c r="J34" s="302">
        <f>IFERROR(_xlfn.XLOOKUP($C34,'Air Quality'!$B$6:$B$40,'Air Quality'!$E$6:$E$40,0,0,1),0)</f>
        <v>0</v>
      </c>
      <c r="K34" s="245">
        <f>IFERROR(_xlfn.XLOOKUP($C34,'Safety Improvements'!B$6:B$35,'Safety Improvements'!E$6:E$35,0,0,1),0)</f>
        <v>0</v>
      </c>
      <c r="L34" s="244">
        <f>IFERROR(_xlfn.XLOOKUP($C34,'Safety Impacts of Alt Routes'!$B$6:$B$35,'Safety Impacts of Alt Routes'!$E$6:$E$35,0,0,1),0)</f>
        <v>0</v>
      </c>
      <c r="M34" s="245">
        <f>IFERROR(_xlfn.XLOOKUP($C34,'O&amp;M + Rehab'!$B$5:$B$40,'O&amp;M + Rehab'!$E$5:$E$40,0,0,1),0)</f>
        <v>0</v>
      </c>
      <c r="N34" s="244">
        <f>IFERROR(_xlfn.XLOOKUP($C34,'Capital Cost + RCV'!$B$6:$B$41,'Capital Cost + RCV'!$E$6:$E$41,0,0,1),0)</f>
        <v>0</v>
      </c>
      <c r="O34" s="303">
        <f t="shared" si="0"/>
        <v>0</v>
      </c>
      <c r="P34" s="304">
        <f>IFERROR(SUM(D34,E34,I34,K34:N34,G34,F34)*(1+0.07)^-($C34-Assumptions!$D$7)+J34,0)</f>
        <v>0</v>
      </c>
    </row>
    <row r="35" spans="3:16" ht="15" hidden="1" customHeight="1" outlineLevel="1" x14ac:dyDescent="0.25">
      <c r="C35" s="300">
        <f t="shared" si="1"/>
        <v>2050</v>
      </c>
      <c r="D35" s="245">
        <f>IFERROR(_xlfn.XLOOKUP($C35,'Travel Time Savings'!$B$6:$B$41,'Travel Time Savings'!$G$6:$G$41,0,0,1),0)</f>
        <v>0</v>
      </c>
      <c r="E35" s="301">
        <f>IFERROR(_xlfn.XLOOKUP($C35,'Construction Travel Time Impact'!$B$6:$B$41,'Construction Travel Time Impact'!$G$6:$G$41,0,0,1),0)</f>
        <v>0</v>
      </c>
      <c r="F35" s="301">
        <f>IFERROR(_xlfn.XLOOKUP($C35,'VOC Savings'!$B$6:$B$41,'VOC Savings'!$G$6:$G$41,0,0,1),0)</f>
        <v>0</v>
      </c>
      <c r="G35" s="302">
        <f>IFERROR(_xlfn.XLOOKUP($C35,'Gravel Road VOC Impacts'!$B$6:$B$41,'Gravel Road VOC Impacts'!$G$6:$G$41,0,0,1),0)</f>
        <v>0</v>
      </c>
      <c r="H35" s="245">
        <f>IFERROR(_xlfn.XLOOKUP($C35,'Air Quality'!$B$6:$B$40,'Air Quality'!$D$6:$D$40,0,0,1),0)</f>
        <v>0</v>
      </c>
      <c r="I35" s="301">
        <f>IFERROR(_xlfn.XLOOKUP($C35,'Air Quality'!$B$6:$B$40,'Air Quality'!$L$6:$L$40,0,0,1),0)</f>
        <v>0</v>
      </c>
      <c r="J35" s="302">
        <f>IFERROR(_xlfn.XLOOKUP($C35,'Air Quality'!$B$6:$B$40,'Air Quality'!$E$6:$E$40,0,0,1),0)</f>
        <v>0</v>
      </c>
      <c r="K35" s="245">
        <f>IFERROR(_xlfn.XLOOKUP($C35,'Safety Improvements'!B$6:B$35,'Safety Improvements'!E$6:E$35,0,0,1),0)</f>
        <v>0</v>
      </c>
      <c r="L35" s="244">
        <f>IFERROR(_xlfn.XLOOKUP($C35,'Safety Impacts of Alt Routes'!$B$6:$B$35,'Safety Impacts of Alt Routes'!$E$6:$E$35,0,0,1),0)</f>
        <v>0</v>
      </c>
      <c r="M35" s="245">
        <f>IFERROR(_xlfn.XLOOKUP($C35,'O&amp;M + Rehab'!$B$5:$B$40,'O&amp;M + Rehab'!$E$5:$E$40,0,0,1),0)</f>
        <v>0</v>
      </c>
      <c r="N35" s="244">
        <f>IFERROR(_xlfn.XLOOKUP($C35,'Capital Cost + RCV'!$B$6:$B$41,'Capital Cost + RCV'!$E$6:$E$41,0,0,1),0)</f>
        <v>0</v>
      </c>
      <c r="O35" s="303">
        <f t="shared" si="0"/>
        <v>0</v>
      </c>
      <c r="P35" s="304">
        <f>IFERROR(SUM(D35,E35,I35,K35:N35,G35,F35)*(1+0.07)^-($C35-Assumptions!$D$7)+J35,0)</f>
        <v>0</v>
      </c>
    </row>
    <row r="36" spans="3:16" ht="15" hidden="1" customHeight="1" outlineLevel="1" x14ac:dyDescent="0.25">
      <c r="C36" s="300">
        <f t="shared" si="1"/>
        <v>2051</v>
      </c>
      <c r="D36" s="245">
        <f>IFERROR(_xlfn.XLOOKUP($C36,'Travel Time Savings'!$B$6:$B$41,'Travel Time Savings'!$G$6:$G$41,0,0,1),0)</f>
        <v>0</v>
      </c>
      <c r="E36" s="301">
        <f>IFERROR(_xlfn.XLOOKUP($C36,'Construction Travel Time Impact'!$B$6:$B$41,'Construction Travel Time Impact'!$G$6:$G$41,0,0,1),0)</f>
        <v>0</v>
      </c>
      <c r="F36" s="301">
        <f>IFERROR(_xlfn.XLOOKUP($C36,'VOC Savings'!$B$6:$B$41,'VOC Savings'!$G$6:$G$41,0,0,1),0)</f>
        <v>0</v>
      </c>
      <c r="G36" s="302">
        <f>IFERROR(_xlfn.XLOOKUP($C36,'Gravel Road VOC Impacts'!$B$6:$B$41,'Gravel Road VOC Impacts'!$G$6:$G$41,0,0,1),0)</f>
        <v>0</v>
      </c>
      <c r="H36" s="245">
        <f>IFERROR(_xlfn.XLOOKUP($C36,'Air Quality'!$B$6:$B$40,'Air Quality'!$D$6:$D$40,0,0,1),0)</f>
        <v>0</v>
      </c>
      <c r="I36" s="301">
        <f>IFERROR(_xlfn.XLOOKUP($C36,'Air Quality'!$B$6:$B$40,'Air Quality'!$L$6:$L$40,0,0,1),0)</f>
        <v>0</v>
      </c>
      <c r="J36" s="302">
        <f>IFERROR(_xlfn.XLOOKUP($C36,'Air Quality'!$B$6:$B$40,'Air Quality'!$E$6:$E$40,0,0,1),0)</f>
        <v>0</v>
      </c>
      <c r="K36" s="245">
        <f>IFERROR(_xlfn.XLOOKUP($C36,'Safety Improvements'!B$6:B$35,'Safety Improvements'!E$6:E$35,0,0,1),0)</f>
        <v>0</v>
      </c>
      <c r="L36" s="244">
        <f>IFERROR(_xlfn.XLOOKUP($C36,'Safety Impacts of Alt Routes'!$B$6:$B$35,'Safety Impacts of Alt Routes'!$E$6:$E$35,0,0,1),0)</f>
        <v>0</v>
      </c>
      <c r="M36" s="245">
        <f>IFERROR(_xlfn.XLOOKUP($C36,'O&amp;M + Rehab'!$B$5:$B$40,'O&amp;M + Rehab'!$E$5:$E$40,0,0,1),0)</f>
        <v>0</v>
      </c>
      <c r="N36" s="244">
        <f>IFERROR(_xlfn.XLOOKUP($C36,'Capital Cost + RCV'!$B$6:$B$41,'Capital Cost + RCV'!$E$6:$E$41,0,0,1),0)</f>
        <v>0</v>
      </c>
      <c r="O36" s="303">
        <f t="shared" si="0"/>
        <v>0</v>
      </c>
      <c r="P36" s="304">
        <f>IFERROR(SUM(D36,E36,I36,K36:N36,G36,F36)*(1+0.07)^-($C36-Assumptions!$D$7)+J36,0)</f>
        <v>0</v>
      </c>
    </row>
    <row r="37" spans="3:16" ht="15" hidden="1" customHeight="1" outlineLevel="1" x14ac:dyDescent="0.25">
      <c r="C37" s="300">
        <f t="shared" si="1"/>
        <v>2052</v>
      </c>
      <c r="D37" s="245">
        <f>IFERROR(_xlfn.XLOOKUP($C37,'Travel Time Savings'!$B$6:$B$41,'Travel Time Savings'!$G$6:$G$41,0,0,1),0)</f>
        <v>0</v>
      </c>
      <c r="E37" s="301">
        <f>IFERROR(_xlfn.XLOOKUP($C37,'Construction Travel Time Impact'!$B$6:$B$41,'Construction Travel Time Impact'!$G$6:$G$41,0,0,1),0)</f>
        <v>0</v>
      </c>
      <c r="F37" s="301">
        <f>IFERROR(_xlfn.XLOOKUP($C37,'VOC Savings'!$B$6:$B$41,'VOC Savings'!$G$6:$G$41,0,0,1),0)</f>
        <v>0</v>
      </c>
      <c r="G37" s="302">
        <f>IFERROR(_xlfn.XLOOKUP($C37,'Gravel Road VOC Impacts'!$B$6:$B$41,'Gravel Road VOC Impacts'!$G$6:$G$41,0,0,1),0)</f>
        <v>0</v>
      </c>
      <c r="H37" s="245">
        <f>IFERROR(_xlfn.XLOOKUP($C37,'Air Quality'!$B$6:$B$40,'Air Quality'!$D$6:$D$40,0,0,1),0)</f>
        <v>0</v>
      </c>
      <c r="I37" s="301">
        <f>IFERROR(_xlfn.XLOOKUP($C37,'Air Quality'!$B$6:$B$40,'Air Quality'!$L$6:$L$40,0,0,1),0)</f>
        <v>0</v>
      </c>
      <c r="J37" s="302">
        <f>IFERROR(_xlfn.XLOOKUP($C37,'Air Quality'!$B$6:$B$40,'Air Quality'!$E$6:$E$40,0,0,1),0)</f>
        <v>0</v>
      </c>
      <c r="K37" s="245">
        <f>IFERROR(_xlfn.XLOOKUP($C37,'Safety Improvements'!B$6:B$35,'Safety Improvements'!E$6:E$35,0,0,1),0)</f>
        <v>0</v>
      </c>
      <c r="L37" s="244">
        <f>IFERROR(_xlfn.XLOOKUP($C37,'Safety Impacts of Alt Routes'!$B$6:$B$35,'Safety Impacts of Alt Routes'!$E$6:$E$35,0,0,1),0)</f>
        <v>0</v>
      </c>
      <c r="M37" s="245">
        <f>IFERROR(_xlfn.XLOOKUP($C37,'O&amp;M + Rehab'!$B$5:$B$40,'O&amp;M + Rehab'!$E$5:$E$40,0,0,1),0)</f>
        <v>0</v>
      </c>
      <c r="N37" s="244">
        <f>IFERROR(_xlfn.XLOOKUP($C37,'Capital Cost + RCV'!$B$6:$B$41,'Capital Cost + RCV'!$E$6:$E$41,0,0,1),0)</f>
        <v>0</v>
      </c>
      <c r="O37" s="303">
        <f t="shared" si="0"/>
        <v>0</v>
      </c>
      <c r="P37" s="304">
        <f>IFERROR(SUM(D37,E37,I37,K37:N37,G37,F37)*(1+0.07)^-($C37-Assumptions!$D$7)+J37,0)</f>
        <v>0</v>
      </c>
    </row>
    <row r="38" spans="3:16" ht="15" hidden="1" customHeight="1" outlineLevel="1" x14ac:dyDescent="0.25">
      <c r="C38" s="187">
        <f t="shared" si="1"/>
        <v>2053</v>
      </c>
      <c r="D38" s="245">
        <f>IFERROR(_xlfn.XLOOKUP($C38,'Travel Time Savings'!$B$6:$B$41,'Travel Time Savings'!$G$6:$G$41,0,0,1),0)</f>
        <v>0</v>
      </c>
      <c r="E38" s="301">
        <f>IFERROR(_xlfn.XLOOKUP($C38,'Construction Travel Time Impact'!$B$6:$B$41,'Construction Travel Time Impact'!$G$6:$G$41,0,0,1),0)</f>
        <v>0</v>
      </c>
      <c r="F38" s="301">
        <f>IFERROR(_xlfn.XLOOKUP($C38,'VOC Savings'!$B$6:$B$41,'VOC Savings'!$G$6:$G$41,0,0,1),0)</f>
        <v>0</v>
      </c>
      <c r="G38" s="302">
        <f>IFERROR(_xlfn.XLOOKUP($C38,'Gravel Road VOC Impacts'!$B$6:$B$41,'Gravel Road VOC Impacts'!$G$6:$G$41,0,0,1),0)</f>
        <v>0</v>
      </c>
      <c r="H38" s="245">
        <f>IFERROR(_xlfn.XLOOKUP($C38,'Air Quality'!$B$6:$B$40,'Air Quality'!$D$6:$D$40,0,0,1),0)</f>
        <v>0</v>
      </c>
      <c r="I38" s="301">
        <f>IFERROR(_xlfn.XLOOKUP($C38,'Air Quality'!$B$6:$B$40,'Air Quality'!$L$6:$L$40,0,0,1),0)</f>
        <v>0</v>
      </c>
      <c r="J38" s="302">
        <f>IFERROR(_xlfn.XLOOKUP($C38,'Air Quality'!$B$6:$B$40,'Air Quality'!$E$6:$E$40,0,0,1),0)</f>
        <v>0</v>
      </c>
      <c r="K38" s="245">
        <f>IFERROR(_xlfn.XLOOKUP($C38,'Safety Improvements'!B$6:B$35,'Safety Improvements'!E$6:E$35,0,0,1),0)</f>
        <v>0</v>
      </c>
      <c r="L38" s="244">
        <f>IFERROR(_xlfn.XLOOKUP($C38,'Safety Impacts of Alt Routes'!$B$6:$B$35,'Safety Impacts of Alt Routes'!$E$6:$E$35,0,0,1),0)</f>
        <v>0</v>
      </c>
      <c r="M38" s="245">
        <f>IFERROR(_xlfn.XLOOKUP($C38,'O&amp;M + Rehab'!$B$5:$B$40,'O&amp;M + Rehab'!$E$5:$E$40,0,0,1),0)</f>
        <v>0</v>
      </c>
      <c r="N38" s="244">
        <f>IFERROR(_xlfn.XLOOKUP($C38,'Capital Cost + RCV'!$B$6:$B$41,'Capital Cost + RCV'!$E$6:$E$41,0,0,1),0)</f>
        <v>0</v>
      </c>
      <c r="O38" s="303">
        <f t="shared" si="0"/>
        <v>0</v>
      </c>
      <c r="P38" s="304">
        <f>IFERROR(SUM(D38,E38,I38,K38:N38,G38,F38)*(1+0.07)^-($C38-Assumptions!$D$7)+J38,0)</f>
        <v>0</v>
      </c>
    </row>
    <row r="39" spans="3:16" ht="15" hidden="1" customHeight="1" outlineLevel="1" x14ac:dyDescent="0.25">
      <c r="C39" s="187">
        <f t="shared" si="1"/>
        <v>2054</v>
      </c>
      <c r="D39" s="245">
        <f>IFERROR(_xlfn.XLOOKUP($C39,'Travel Time Savings'!$B$6:$B$41,'Travel Time Savings'!$G$6:$G$41,0,0,1),0)</f>
        <v>0</v>
      </c>
      <c r="E39" s="301">
        <f>IFERROR(_xlfn.XLOOKUP($C39,'Construction Travel Time Impact'!$B$6:$B$41,'Construction Travel Time Impact'!$G$6:$G$41,0,0,1),0)</f>
        <v>0</v>
      </c>
      <c r="F39" s="301">
        <f>IFERROR(_xlfn.XLOOKUP($C39,'VOC Savings'!$B$6:$B$41,'VOC Savings'!$G$6:$G$41,0,0,1),0)</f>
        <v>0</v>
      </c>
      <c r="G39" s="302">
        <f>IFERROR(_xlfn.XLOOKUP($C39,'Gravel Road VOC Impacts'!$B$6:$B$41,'Gravel Road VOC Impacts'!$G$6:$G$41,0,0,1),0)</f>
        <v>0</v>
      </c>
      <c r="H39" s="245">
        <f>IFERROR(_xlfn.XLOOKUP($C39,'Air Quality'!$B$6:$B$40,'Air Quality'!$D$6:$D$40,0,0,1),0)</f>
        <v>0</v>
      </c>
      <c r="I39" s="301">
        <f>IFERROR(_xlfn.XLOOKUP($C39,'Air Quality'!$B$6:$B$40,'Air Quality'!$L$6:$L$40,0,0,1),0)</f>
        <v>0</v>
      </c>
      <c r="J39" s="302">
        <f>IFERROR(_xlfn.XLOOKUP($C39,'Air Quality'!$B$6:$B$40,'Air Quality'!$E$6:$E$40,0,0,1),0)</f>
        <v>0</v>
      </c>
      <c r="K39" s="245">
        <f>IFERROR(_xlfn.XLOOKUP($C39,'Safety Improvements'!B$6:B$35,'Safety Improvements'!E$6:E$35,0,0,1),0)</f>
        <v>0</v>
      </c>
      <c r="L39" s="244">
        <f>IFERROR(_xlfn.XLOOKUP($C39,'Safety Impacts of Alt Routes'!$B$6:$B$35,'Safety Impacts of Alt Routes'!$E$6:$E$35,0,0,1),0)</f>
        <v>0</v>
      </c>
      <c r="M39" s="245">
        <f>IFERROR(_xlfn.XLOOKUP($C39,'O&amp;M + Rehab'!$B$5:$B$40,'O&amp;M + Rehab'!$E$5:$E$40,0,0,1),0)</f>
        <v>0</v>
      </c>
      <c r="N39" s="244">
        <f>IFERROR(_xlfn.XLOOKUP($C39,'Capital Cost + RCV'!$B$6:$B$41,'Capital Cost + RCV'!$E$6:$E$41,0,0,1),0)</f>
        <v>0</v>
      </c>
      <c r="O39" s="303">
        <f t="shared" si="0"/>
        <v>0</v>
      </c>
      <c r="P39" s="304">
        <f>IFERROR(SUM(D39,E39,I39,K39:N39,G39,F39)*(1+0.07)^-($C39-Assumptions!$D$7)+J39,0)</f>
        <v>0</v>
      </c>
    </row>
    <row r="40" spans="3:16" ht="15" hidden="1" customHeight="1" outlineLevel="1" x14ac:dyDescent="0.25">
      <c r="C40" s="187">
        <f t="shared" si="1"/>
        <v>2055</v>
      </c>
      <c r="D40" s="245">
        <f>IFERROR(_xlfn.XLOOKUP($C40,'Travel Time Savings'!$B$6:$B$41,'Travel Time Savings'!$G$6:$G$41,0,0,1),0)</f>
        <v>0</v>
      </c>
      <c r="E40" s="301">
        <f>IFERROR(_xlfn.XLOOKUP($C40,'Construction Travel Time Impact'!$B$6:$B$41,'Construction Travel Time Impact'!$G$6:$G$41,0,0,1),0)</f>
        <v>0</v>
      </c>
      <c r="F40" s="301">
        <f>IFERROR(_xlfn.XLOOKUP($C40,'VOC Savings'!$B$6:$B$41,'VOC Savings'!$G$6:$G$41,0,0,1),0)</f>
        <v>0</v>
      </c>
      <c r="G40" s="302">
        <f>IFERROR(_xlfn.XLOOKUP($C40,'Gravel Road VOC Impacts'!$B$6:$B$41,'Gravel Road VOC Impacts'!$G$6:$G$41,0,0,1),0)</f>
        <v>0</v>
      </c>
      <c r="H40" s="245">
        <f>IFERROR(_xlfn.XLOOKUP($C40,'Air Quality'!$B$6:$B$40,'Air Quality'!$D$6:$D$40,0,0,1),0)</f>
        <v>0</v>
      </c>
      <c r="I40" s="301">
        <f>IFERROR(_xlfn.XLOOKUP($C40,'Air Quality'!$B$6:$B$40,'Air Quality'!$L$6:$L$40,0,0,1),0)</f>
        <v>0</v>
      </c>
      <c r="J40" s="302">
        <f>IFERROR(_xlfn.XLOOKUP($C40,'Air Quality'!$B$6:$B$40,'Air Quality'!$E$6:$E$40,0,0,1),0)</f>
        <v>0</v>
      </c>
      <c r="K40" s="245">
        <f>IFERROR(_xlfn.XLOOKUP($C40,'Safety Improvements'!B$6:B$35,'Safety Improvements'!E$6:E$35,0,0,1),0)</f>
        <v>0</v>
      </c>
      <c r="L40" s="244">
        <f>IFERROR(_xlfn.XLOOKUP($C40,'Safety Impacts of Alt Routes'!$B$6:$B$35,'Safety Impacts of Alt Routes'!$E$6:$E$35,0,0,1),0)</f>
        <v>0</v>
      </c>
      <c r="M40" s="245">
        <f>IFERROR(_xlfn.XLOOKUP($C40,'O&amp;M + Rehab'!$B$5:$B$40,'O&amp;M + Rehab'!$E$5:$E$40,0,0,1),0)</f>
        <v>0</v>
      </c>
      <c r="N40" s="244">
        <f>IFERROR(_xlfn.XLOOKUP($C40,'Capital Cost + RCV'!$B$6:$B$41,'Capital Cost + RCV'!$E$6:$E$41,0,0,1),0)</f>
        <v>0</v>
      </c>
      <c r="O40" s="303">
        <f t="shared" ref="O40:O68" si="2">IFERROR(SUM(D40:I40,K40:N40),0)</f>
        <v>0</v>
      </c>
      <c r="P40" s="304">
        <f>IFERROR(SUM(D40,E40,I40,K40:N40,G40,F40)*(1+0.07)^-($C40-Assumptions!$D$7)+J40,0)</f>
        <v>0</v>
      </c>
    </row>
    <row r="41" spans="3:16" ht="15" hidden="1" customHeight="1" outlineLevel="1" x14ac:dyDescent="0.25">
      <c r="C41" s="187">
        <f t="shared" si="1"/>
        <v>2056</v>
      </c>
      <c r="D41" s="245">
        <f>IFERROR(_xlfn.XLOOKUP($C41,'Travel Time Savings'!$B$6:$B$41,'Travel Time Savings'!$G$6:$G$41,0,0,1),0)</f>
        <v>0</v>
      </c>
      <c r="E41" s="301">
        <f>IFERROR(_xlfn.XLOOKUP($C41,'Construction Travel Time Impact'!$B$6:$B$41,'Construction Travel Time Impact'!$G$6:$G$41,0,0,1),0)</f>
        <v>0</v>
      </c>
      <c r="F41" s="301">
        <f>IFERROR(_xlfn.XLOOKUP($C41,'VOC Savings'!$B$6:$B$41,'VOC Savings'!$G$6:$G$41,0,0,1),0)</f>
        <v>0</v>
      </c>
      <c r="G41" s="302">
        <f>IFERROR(_xlfn.XLOOKUP($C41,'Gravel Road VOC Impacts'!$B$6:$B$41,'Gravel Road VOC Impacts'!$G$6:$G$41,0,0,1),0)</f>
        <v>0</v>
      </c>
      <c r="H41" s="245">
        <f>IFERROR(_xlfn.XLOOKUP($C41,'Air Quality'!$B$6:$B$40,'Air Quality'!$D$6:$D$40,0,0,1),0)</f>
        <v>0</v>
      </c>
      <c r="I41" s="301">
        <f>IFERROR(_xlfn.XLOOKUP($C41,'Air Quality'!$B$6:$B$40,'Air Quality'!$L$6:$L$40,0,0,1),0)</f>
        <v>0</v>
      </c>
      <c r="J41" s="302">
        <f>IFERROR(_xlfn.XLOOKUP($C41,'Air Quality'!$B$6:$B$40,'Air Quality'!$E$6:$E$40,0,0,1),0)</f>
        <v>0</v>
      </c>
      <c r="K41" s="245">
        <f>IFERROR(_xlfn.XLOOKUP($C41,'Safety Improvements'!B$6:B$35,'Safety Improvements'!E$6:E$35,0,0,1),0)</f>
        <v>0</v>
      </c>
      <c r="L41" s="244">
        <f>IFERROR(_xlfn.XLOOKUP($C41,'Safety Impacts of Alt Routes'!$B$6:$B$35,'Safety Impacts of Alt Routes'!$E$6:$E$35,0,0,1),0)</f>
        <v>0</v>
      </c>
      <c r="M41" s="245">
        <f>IFERROR(_xlfn.XLOOKUP($C41,'O&amp;M + Rehab'!$B$5:$B$40,'O&amp;M + Rehab'!$E$5:$E$40,0,0,1),0)</f>
        <v>0</v>
      </c>
      <c r="N41" s="244">
        <f>IFERROR(_xlfn.XLOOKUP($C41,'Capital Cost + RCV'!$B$6:$B$41,'Capital Cost + RCV'!$E$6:$E$41,0,0,1),0)</f>
        <v>0</v>
      </c>
      <c r="O41" s="303">
        <f t="shared" si="2"/>
        <v>0</v>
      </c>
      <c r="P41" s="304">
        <f>IFERROR(SUM(D41,E41,I41,K41:N41,G41,F41)*(1+0.07)^-($C41-Assumptions!$D$7)+J41,0)</f>
        <v>0</v>
      </c>
    </row>
    <row r="42" spans="3:16" ht="15" hidden="1" customHeight="1" outlineLevel="1" x14ac:dyDescent="0.25">
      <c r="C42" s="187">
        <f t="shared" si="1"/>
        <v>2057</v>
      </c>
      <c r="D42" s="245">
        <f>IFERROR(_xlfn.XLOOKUP($C42,'Travel Time Savings'!$B$6:$B$41,'Travel Time Savings'!$G$6:$G$41,0,0,1),0)</f>
        <v>0</v>
      </c>
      <c r="E42" s="301">
        <f>IFERROR(_xlfn.XLOOKUP($C42,'Construction Travel Time Impact'!$B$6:$B$41,'Construction Travel Time Impact'!$G$6:$G$41,0,0,1),0)</f>
        <v>0</v>
      </c>
      <c r="F42" s="301">
        <f>IFERROR(_xlfn.XLOOKUP($C42,'VOC Savings'!$B$6:$B$41,'VOC Savings'!$G$6:$G$41,0,0,1),0)</f>
        <v>0</v>
      </c>
      <c r="G42" s="302">
        <f>IFERROR(_xlfn.XLOOKUP($C42,'Gravel Road VOC Impacts'!$B$6:$B$41,'Gravel Road VOC Impacts'!$G$6:$G$41,0,0,1),0)</f>
        <v>0</v>
      </c>
      <c r="H42" s="245">
        <f>IFERROR(_xlfn.XLOOKUP($C42,'Air Quality'!$B$6:$B$40,'Air Quality'!$D$6:$D$40,0,0,1),0)</f>
        <v>0</v>
      </c>
      <c r="I42" s="301">
        <f>IFERROR(_xlfn.XLOOKUP($C42,'Air Quality'!$B$6:$B$40,'Air Quality'!$L$6:$L$40,0,0,1),0)</f>
        <v>0</v>
      </c>
      <c r="J42" s="302">
        <f>IFERROR(_xlfn.XLOOKUP($C42,'Air Quality'!$B$6:$B$40,'Air Quality'!$E$6:$E$40,0,0,1),0)</f>
        <v>0</v>
      </c>
      <c r="K42" s="245">
        <f>IFERROR(_xlfn.XLOOKUP($C42,'Safety Improvements'!B$6:B$35,'Safety Improvements'!E$6:E$35,0,0,1),0)</f>
        <v>0</v>
      </c>
      <c r="L42" s="244">
        <f>IFERROR(_xlfn.XLOOKUP($C42,'Safety Impacts of Alt Routes'!$B$6:$B$35,'Safety Impacts of Alt Routes'!$E$6:$E$35,0,0,1),0)</f>
        <v>0</v>
      </c>
      <c r="M42" s="245">
        <f>IFERROR(_xlfn.XLOOKUP($C42,'O&amp;M + Rehab'!$B$5:$B$40,'O&amp;M + Rehab'!$E$5:$E$40,0,0,1),0)</f>
        <v>0</v>
      </c>
      <c r="N42" s="244">
        <f>IFERROR(_xlfn.XLOOKUP($C42,'Capital Cost + RCV'!$B$6:$B$41,'Capital Cost + RCV'!$E$6:$E$41,0,0,1),0)</f>
        <v>0</v>
      </c>
      <c r="O42" s="303">
        <f t="shared" si="2"/>
        <v>0</v>
      </c>
      <c r="P42" s="304">
        <f>IFERROR(SUM(D42,E42,I42,K42:N42,G42,F42)*(1+0.07)^-($C42-Assumptions!$D$7)+J42,0)</f>
        <v>0</v>
      </c>
    </row>
    <row r="43" spans="3:16" ht="15" hidden="1" customHeight="1" outlineLevel="1" x14ac:dyDescent="0.25">
      <c r="C43" s="187">
        <f t="shared" si="1"/>
        <v>2058</v>
      </c>
      <c r="D43" s="245">
        <f>IFERROR(_xlfn.XLOOKUP($C43,'Travel Time Savings'!$B$6:$B$41,'Travel Time Savings'!$G$6:$G$41,0,0,1),0)</f>
        <v>0</v>
      </c>
      <c r="E43" s="301">
        <f>IFERROR(_xlfn.XLOOKUP($C43,'Construction Travel Time Impact'!$B$6:$B$41,'Construction Travel Time Impact'!$G$6:$G$41,0,0,1),0)</f>
        <v>0</v>
      </c>
      <c r="F43" s="301">
        <f>IFERROR(_xlfn.XLOOKUP($C43,'VOC Savings'!$B$6:$B$41,'VOC Savings'!$G$6:$G$41,0,0,1),0)</f>
        <v>0</v>
      </c>
      <c r="G43" s="302">
        <f>IFERROR(_xlfn.XLOOKUP($C43,'Gravel Road VOC Impacts'!$B$6:$B$41,'Gravel Road VOC Impacts'!$G$6:$G$41,0,0,1),0)</f>
        <v>0</v>
      </c>
      <c r="H43" s="245">
        <f>IFERROR(_xlfn.XLOOKUP($C43,'Air Quality'!$B$6:$B$40,'Air Quality'!$D$6:$D$40,0,0,1),0)</f>
        <v>0</v>
      </c>
      <c r="I43" s="301">
        <f>IFERROR(_xlfn.XLOOKUP($C43,'Air Quality'!$B$6:$B$40,'Air Quality'!$L$6:$L$40,0,0,1),0)</f>
        <v>0</v>
      </c>
      <c r="J43" s="302">
        <f>IFERROR(_xlfn.XLOOKUP($C43,'Air Quality'!$B$6:$B$40,'Air Quality'!$E$6:$E$40,0,0,1),0)</f>
        <v>0</v>
      </c>
      <c r="K43" s="245">
        <f>IFERROR(_xlfn.XLOOKUP($C43,'Safety Improvements'!B$6:B$35,'Safety Improvements'!E$6:E$35,0,0,1),0)</f>
        <v>0</v>
      </c>
      <c r="L43" s="244">
        <f>IFERROR(_xlfn.XLOOKUP($C43,'Safety Impacts of Alt Routes'!$B$6:$B$35,'Safety Impacts of Alt Routes'!$E$6:$E$35,0,0,1),0)</f>
        <v>0</v>
      </c>
      <c r="M43" s="245">
        <f>IFERROR(_xlfn.XLOOKUP($C43,'O&amp;M + Rehab'!$B$5:$B$40,'O&amp;M + Rehab'!$E$5:$E$40,0,0,1),0)</f>
        <v>0</v>
      </c>
      <c r="N43" s="244">
        <f>IFERROR(_xlfn.XLOOKUP($C43,'Capital Cost + RCV'!$B$6:$B$41,'Capital Cost + RCV'!$E$6:$E$41,0,0,1),0)</f>
        <v>0</v>
      </c>
      <c r="O43" s="303">
        <f t="shared" si="2"/>
        <v>0</v>
      </c>
      <c r="P43" s="304">
        <f>IFERROR(SUM(D43,E43,I43,K43:N43,G43,F43)*(1+0.07)^-($C43-Assumptions!$D$7)+J43,0)</f>
        <v>0</v>
      </c>
    </row>
    <row r="44" spans="3:16" ht="15" hidden="1" customHeight="1" outlineLevel="1" x14ac:dyDescent="0.25">
      <c r="C44" s="187">
        <f t="shared" si="1"/>
        <v>2059</v>
      </c>
      <c r="D44" s="245">
        <f>IFERROR(_xlfn.XLOOKUP($C44,'Travel Time Savings'!$B$6:$B$41,'Travel Time Savings'!$G$6:$G$41,0,0,1),0)</f>
        <v>0</v>
      </c>
      <c r="E44" s="301">
        <f>IFERROR(_xlfn.XLOOKUP($C44,'Construction Travel Time Impact'!$B$6:$B$41,'Construction Travel Time Impact'!$G$6:$G$41,0,0,1),0)</f>
        <v>0</v>
      </c>
      <c r="F44" s="301">
        <f>IFERROR(_xlfn.XLOOKUP($C44,'VOC Savings'!$B$6:$B$41,'VOC Savings'!$G$6:$G$41,0,0,1),0)</f>
        <v>0</v>
      </c>
      <c r="G44" s="302">
        <f>IFERROR(_xlfn.XLOOKUP($C44,'Gravel Road VOC Impacts'!$B$6:$B$41,'Gravel Road VOC Impacts'!$G$6:$G$41,0,0,1),0)</f>
        <v>0</v>
      </c>
      <c r="H44" s="245">
        <f>IFERROR(_xlfn.XLOOKUP($C44,'Air Quality'!$B$6:$B$40,'Air Quality'!$D$6:$D$40,0,0,1),0)</f>
        <v>0</v>
      </c>
      <c r="I44" s="301">
        <f>IFERROR(_xlfn.XLOOKUP($C44,'Air Quality'!$B$6:$B$40,'Air Quality'!$L$6:$L$40,0,0,1),0)</f>
        <v>0</v>
      </c>
      <c r="J44" s="302">
        <f>IFERROR(_xlfn.XLOOKUP($C44,'Air Quality'!$B$6:$B$40,'Air Quality'!$E$6:$E$40,0,0,1),0)</f>
        <v>0</v>
      </c>
      <c r="K44" s="245">
        <f>IFERROR(_xlfn.XLOOKUP($C44,'Safety Improvements'!B$6:B$35,'Safety Improvements'!E$6:E$35,0,0,1),0)</f>
        <v>0</v>
      </c>
      <c r="L44" s="244">
        <f>IFERROR(_xlfn.XLOOKUP($C44,'Safety Impacts of Alt Routes'!$B$6:$B$35,'Safety Impacts of Alt Routes'!$E$6:$E$35,0,0,1),0)</f>
        <v>0</v>
      </c>
      <c r="M44" s="245">
        <f>IFERROR(_xlfn.XLOOKUP($C44,'O&amp;M + Rehab'!$B$5:$B$40,'O&amp;M + Rehab'!$E$5:$E$40,0,0,1),0)</f>
        <v>0</v>
      </c>
      <c r="N44" s="244">
        <f>IFERROR(_xlfn.XLOOKUP($C44,'Capital Cost + RCV'!$B$6:$B$41,'Capital Cost + RCV'!$E$6:$E$41,0,0,1),0)</f>
        <v>0</v>
      </c>
      <c r="O44" s="303">
        <f t="shared" si="2"/>
        <v>0</v>
      </c>
      <c r="P44" s="304">
        <f>IFERROR(SUM(D44,E44,I44,K44:N44,G44,F44)*(1+0.07)^-($C44-Assumptions!$D$7)+J44,0)</f>
        <v>0</v>
      </c>
    </row>
    <row r="45" spans="3:16" ht="15" hidden="1" customHeight="1" outlineLevel="1" x14ac:dyDescent="0.25">
      <c r="C45" s="187">
        <f t="shared" si="1"/>
        <v>2060</v>
      </c>
      <c r="D45" s="245">
        <f>IFERROR(_xlfn.XLOOKUP($C45,'Travel Time Savings'!$B$6:$B$41,'Travel Time Savings'!$G$6:$G$41,0,0,1),0)</f>
        <v>0</v>
      </c>
      <c r="E45" s="301">
        <f>IFERROR(_xlfn.XLOOKUP($C45,'Construction Travel Time Impact'!$B$6:$B$41,'Construction Travel Time Impact'!$G$6:$G$41,0,0,1),0)</f>
        <v>0</v>
      </c>
      <c r="F45" s="301">
        <f>IFERROR(_xlfn.XLOOKUP($C45,'VOC Savings'!$B$6:$B$41,'VOC Savings'!$G$6:$G$41,0,0,1),0)</f>
        <v>0</v>
      </c>
      <c r="G45" s="302">
        <f>IFERROR(_xlfn.XLOOKUP($C45,'Gravel Road VOC Impacts'!$B$6:$B$41,'Gravel Road VOC Impacts'!$G$6:$G$41,0,0,1),0)</f>
        <v>0</v>
      </c>
      <c r="H45" s="245">
        <f>IFERROR(_xlfn.XLOOKUP($C45,'Air Quality'!$B$6:$B$40,'Air Quality'!$D$6:$D$40,0,0,1),0)</f>
        <v>0</v>
      </c>
      <c r="I45" s="301">
        <f>IFERROR(_xlfn.XLOOKUP($C45,'Air Quality'!$B$6:$B$40,'Air Quality'!$L$6:$L$40,0,0,1),0)</f>
        <v>0</v>
      </c>
      <c r="J45" s="302">
        <f>IFERROR(_xlfn.XLOOKUP($C45,'Air Quality'!$B$6:$B$40,'Air Quality'!$E$6:$E$40,0,0,1),0)</f>
        <v>0</v>
      </c>
      <c r="K45" s="245">
        <f>IFERROR(_xlfn.XLOOKUP($C45,'Safety Improvements'!B$6:B$35,'Safety Improvements'!E$6:E$35,0,0,1),0)</f>
        <v>0</v>
      </c>
      <c r="L45" s="244">
        <f>IFERROR(_xlfn.XLOOKUP($C45,'Safety Impacts of Alt Routes'!$B$6:$B$35,'Safety Impacts of Alt Routes'!$E$6:$E$35,0,0,1),0)</f>
        <v>0</v>
      </c>
      <c r="M45" s="245">
        <f>IFERROR(_xlfn.XLOOKUP($C45,'O&amp;M + Rehab'!$B$5:$B$40,'O&amp;M + Rehab'!$E$5:$E$40,0,0,1),0)</f>
        <v>0</v>
      </c>
      <c r="N45" s="244">
        <f>IFERROR(_xlfn.XLOOKUP($C45,'Capital Cost + RCV'!$B$6:$B$41,'Capital Cost + RCV'!$E$6:$E$41,0,0,1),0)</f>
        <v>0</v>
      </c>
      <c r="O45" s="303">
        <f t="shared" si="2"/>
        <v>0</v>
      </c>
      <c r="P45" s="304">
        <f>IFERROR(SUM(D45,E45,I45,K45:N45,G45,F45)*(1+0.07)^-($C45-Assumptions!$D$7)+J45,0)</f>
        <v>0</v>
      </c>
    </row>
    <row r="46" spans="3:16" ht="15" hidden="1" customHeight="1" outlineLevel="1" x14ac:dyDescent="0.25">
      <c r="C46" s="187">
        <f t="shared" si="1"/>
        <v>2061</v>
      </c>
      <c r="D46" s="245">
        <f>IFERROR(_xlfn.XLOOKUP($C46,'Travel Time Savings'!$B$6:$B$41,'Travel Time Savings'!$G$6:$G$41,0,0,1),0)</f>
        <v>0</v>
      </c>
      <c r="E46" s="301">
        <f>IFERROR(_xlfn.XLOOKUP($C46,'Construction Travel Time Impact'!$B$6:$B$41,'Construction Travel Time Impact'!$G$6:$G$41,0,0,1),0)</f>
        <v>0</v>
      </c>
      <c r="F46" s="301">
        <f>IFERROR(_xlfn.XLOOKUP($C46,'VOC Savings'!$B$6:$B$41,'VOC Savings'!$G$6:$G$41,0,0,1),0)</f>
        <v>0</v>
      </c>
      <c r="G46" s="302">
        <f>IFERROR(_xlfn.XLOOKUP($C46,'Gravel Road VOC Impacts'!$B$6:$B$41,'Gravel Road VOC Impacts'!$G$6:$G$41,0,0,1),0)</f>
        <v>0</v>
      </c>
      <c r="H46" s="245">
        <f>IFERROR(_xlfn.XLOOKUP($C46,'Air Quality'!$B$6:$B$40,'Air Quality'!$D$6:$D$40,0,0,1),0)</f>
        <v>0</v>
      </c>
      <c r="I46" s="301">
        <f>IFERROR(_xlfn.XLOOKUP($C46,'Air Quality'!$B$6:$B$40,'Air Quality'!$L$6:$L$40,0,0,1),0)</f>
        <v>0</v>
      </c>
      <c r="J46" s="302">
        <f>IFERROR(_xlfn.XLOOKUP($C46,'Air Quality'!$B$6:$B$40,'Air Quality'!$E$6:$E$40,0,0,1),0)</f>
        <v>0</v>
      </c>
      <c r="K46" s="245">
        <f>IFERROR(_xlfn.XLOOKUP($C46,'Safety Improvements'!B$6:B$35,'Safety Improvements'!E$6:E$35,0,0,1),0)</f>
        <v>0</v>
      </c>
      <c r="L46" s="244">
        <f>IFERROR(_xlfn.XLOOKUP($C46,'Safety Impacts of Alt Routes'!$B$6:$B$35,'Safety Impacts of Alt Routes'!$E$6:$E$35,0,0,1),0)</f>
        <v>0</v>
      </c>
      <c r="M46" s="245">
        <f>IFERROR(_xlfn.XLOOKUP($C46,'O&amp;M + Rehab'!$B$5:$B$40,'O&amp;M + Rehab'!$E$5:$E$40,0,0,1),0)</f>
        <v>0</v>
      </c>
      <c r="N46" s="244">
        <f>IFERROR(_xlfn.XLOOKUP($C46,'Capital Cost + RCV'!$B$6:$B$41,'Capital Cost + RCV'!$E$6:$E$41,0,0,1),0)</f>
        <v>0</v>
      </c>
      <c r="O46" s="303">
        <f t="shared" si="2"/>
        <v>0</v>
      </c>
      <c r="P46" s="304">
        <f>IFERROR(SUM(D46,E46,I46,K46:N46,G46,F46)*(1+0.07)^-($C46-Assumptions!$D$7)+J46,0)</f>
        <v>0</v>
      </c>
    </row>
    <row r="47" spans="3:16" ht="15" hidden="1" customHeight="1" outlineLevel="1" x14ac:dyDescent="0.25">
      <c r="C47" s="187">
        <f t="shared" si="1"/>
        <v>2062</v>
      </c>
      <c r="D47" s="245">
        <f>IFERROR(_xlfn.XLOOKUP($C47,'Travel Time Savings'!$B$6:$B$41,'Travel Time Savings'!$G$6:$G$41,0,0,1),0)</f>
        <v>0</v>
      </c>
      <c r="E47" s="301">
        <f>IFERROR(_xlfn.XLOOKUP($C47,'Construction Travel Time Impact'!$B$6:$B$41,'Construction Travel Time Impact'!$G$6:$G$41,0,0,1),0)</f>
        <v>0</v>
      </c>
      <c r="F47" s="301">
        <f>IFERROR(_xlfn.XLOOKUP($C47,'VOC Savings'!$B$6:$B$41,'VOC Savings'!$G$6:$G$41,0,0,1),0)</f>
        <v>0</v>
      </c>
      <c r="G47" s="302">
        <f>IFERROR(_xlfn.XLOOKUP($C47,'Gravel Road VOC Impacts'!$B$6:$B$41,'Gravel Road VOC Impacts'!$G$6:$G$41,0,0,1),0)</f>
        <v>0</v>
      </c>
      <c r="H47" s="245">
        <f>IFERROR(_xlfn.XLOOKUP($C47,'Air Quality'!$B$6:$B$40,'Air Quality'!$D$6:$D$40,0,0,1),0)</f>
        <v>0</v>
      </c>
      <c r="I47" s="301">
        <f>IFERROR(_xlfn.XLOOKUP($C47,'Air Quality'!$B$6:$B$40,'Air Quality'!$L$6:$L$40,0,0,1),0)</f>
        <v>0</v>
      </c>
      <c r="J47" s="302">
        <f>IFERROR(_xlfn.XLOOKUP($C47,'Air Quality'!$B$6:$B$40,'Air Quality'!$E$6:$E$40,0,0,1),0)</f>
        <v>0</v>
      </c>
      <c r="K47" s="245">
        <f>IFERROR(_xlfn.XLOOKUP($C47,'Safety Improvements'!B$6:B$35,'Safety Improvements'!E$6:E$35,0,0,1),0)</f>
        <v>0</v>
      </c>
      <c r="L47" s="244">
        <f>IFERROR(_xlfn.XLOOKUP($C47,'Safety Impacts of Alt Routes'!$B$6:$B$35,'Safety Impacts of Alt Routes'!$E$6:$E$35,0,0,1),0)</f>
        <v>0</v>
      </c>
      <c r="M47" s="245">
        <f>IFERROR(_xlfn.XLOOKUP($C47,'O&amp;M + Rehab'!$B$5:$B$40,'O&amp;M + Rehab'!$E$5:$E$40,0,0,1),0)</f>
        <v>0</v>
      </c>
      <c r="N47" s="244">
        <f>IFERROR(_xlfn.XLOOKUP($C47,'Capital Cost + RCV'!$B$6:$B$41,'Capital Cost + RCV'!$E$6:$E$41,0,0,1),0)</f>
        <v>0</v>
      </c>
      <c r="O47" s="303">
        <f t="shared" si="2"/>
        <v>0</v>
      </c>
      <c r="P47" s="304">
        <f>IFERROR(SUM(D47,E47,I47,K47:N47,G47,F47)*(1+0.07)^-($C47-Assumptions!$D$7)+J47,0)</f>
        <v>0</v>
      </c>
    </row>
    <row r="48" spans="3:16" ht="15" hidden="1" customHeight="1" outlineLevel="1" x14ac:dyDescent="0.25">
      <c r="C48" s="187">
        <f t="shared" si="1"/>
        <v>2063</v>
      </c>
      <c r="D48" s="245">
        <f>IFERROR(_xlfn.XLOOKUP($C48,'Travel Time Savings'!$B$6:$B$41,'Travel Time Savings'!$G$6:$G$41,0,0,1),0)</f>
        <v>0</v>
      </c>
      <c r="E48" s="301">
        <f>IFERROR(_xlfn.XLOOKUP($C48,'Construction Travel Time Impact'!$B$6:$B$41,'Construction Travel Time Impact'!$G$6:$G$41,0,0,1),0)</f>
        <v>0</v>
      </c>
      <c r="F48" s="301">
        <f>IFERROR(_xlfn.XLOOKUP($C48,'VOC Savings'!$B$6:$B$41,'VOC Savings'!$G$6:$G$41,0,0,1),0)</f>
        <v>0</v>
      </c>
      <c r="G48" s="302">
        <f>IFERROR(_xlfn.XLOOKUP($C48,'Gravel Road VOC Impacts'!$B$6:$B$41,'Gravel Road VOC Impacts'!$G$6:$G$41,0,0,1),0)</f>
        <v>0</v>
      </c>
      <c r="H48" s="245">
        <f>IFERROR(_xlfn.XLOOKUP($C48,'Air Quality'!$B$6:$B$40,'Air Quality'!$D$6:$D$40,0,0,1),0)</f>
        <v>0</v>
      </c>
      <c r="I48" s="301">
        <f>IFERROR(_xlfn.XLOOKUP($C48,'Air Quality'!$B$6:$B$40,'Air Quality'!$L$6:$L$40,0,0,1),0)</f>
        <v>0</v>
      </c>
      <c r="J48" s="302">
        <f>IFERROR(_xlfn.XLOOKUP($C48,'Air Quality'!$B$6:$B$40,'Air Quality'!$E$6:$E$40,0,0,1),0)</f>
        <v>0</v>
      </c>
      <c r="K48" s="245">
        <f>IFERROR(_xlfn.XLOOKUP($C48,'Safety Improvements'!B$6:B$35,'Safety Improvements'!E$6:E$35,0,0,1),0)</f>
        <v>0</v>
      </c>
      <c r="L48" s="244">
        <f>IFERROR(_xlfn.XLOOKUP($C48,'Safety Impacts of Alt Routes'!$B$6:$B$35,'Safety Impacts of Alt Routes'!$E$6:$E$35,0,0,1),0)</f>
        <v>0</v>
      </c>
      <c r="M48" s="245">
        <f>IFERROR(_xlfn.XLOOKUP($C48,'O&amp;M + Rehab'!$B$5:$B$40,'O&amp;M + Rehab'!$E$5:$E$40,0,0,1),0)</f>
        <v>0</v>
      </c>
      <c r="N48" s="244">
        <f>IFERROR(_xlfn.XLOOKUP($C48,'Capital Cost + RCV'!$B$6:$B$41,'Capital Cost + RCV'!$E$6:$E$41,0,0,1),0)</f>
        <v>0</v>
      </c>
      <c r="O48" s="303">
        <f t="shared" si="2"/>
        <v>0</v>
      </c>
      <c r="P48" s="304">
        <f>IFERROR(SUM(D48,E48,I48,K48:N48,G48,F48)*(1+0.07)^-($C48-Assumptions!$D$7)+J48,0)</f>
        <v>0</v>
      </c>
    </row>
    <row r="49" spans="3:16" ht="15" hidden="1" customHeight="1" outlineLevel="1" x14ac:dyDescent="0.25">
      <c r="C49" s="187">
        <f t="shared" si="1"/>
        <v>2064</v>
      </c>
      <c r="D49" s="245">
        <f>IFERROR(_xlfn.XLOOKUP($C49,'Travel Time Savings'!$B$6:$B$41,'Travel Time Savings'!$G$6:$G$41,0,0,1),0)</f>
        <v>0</v>
      </c>
      <c r="E49" s="301">
        <f>IFERROR(_xlfn.XLOOKUP($C49,'Construction Travel Time Impact'!$B$6:$B$41,'Construction Travel Time Impact'!$G$6:$G$41,0,0,1),0)</f>
        <v>0</v>
      </c>
      <c r="F49" s="301">
        <f>IFERROR(_xlfn.XLOOKUP($C49,'VOC Savings'!$B$6:$B$41,'VOC Savings'!$G$6:$G$41,0,0,1),0)</f>
        <v>0</v>
      </c>
      <c r="G49" s="302">
        <f>IFERROR(_xlfn.XLOOKUP($C49,'Gravel Road VOC Impacts'!$B$6:$B$41,'Gravel Road VOC Impacts'!$G$6:$G$41,0,0,1),0)</f>
        <v>0</v>
      </c>
      <c r="H49" s="245">
        <f>IFERROR(_xlfn.XLOOKUP($C49,'Air Quality'!$B$6:$B$40,'Air Quality'!$D$6:$D$40,0,0,1),0)</f>
        <v>0</v>
      </c>
      <c r="I49" s="301">
        <f>IFERROR(_xlfn.XLOOKUP($C49,'Air Quality'!$B$6:$B$40,'Air Quality'!$L$6:$L$40,0,0,1),0)</f>
        <v>0</v>
      </c>
      <c r="J49" s="302">
        <f>IFERROR(_xlfn.XLOOKUP($C49,'Air Quality'!$B$6:$B$40,'Air Quality'!$E$6:$E$40,0,0,1),0)</f>
        <v>0</v>
      </c>
      <c r="K49" s="245">
        <f>IFERROR(_xlfn.XLOOKUP($C49,'Safety Improvements'!B$6:B$35,'Safety Improvements'!E$6:E$35,0,0,1),0)</f>
        <v>0</v>
      </c>
      <c r="L49" s="244">
        <f>IFERROR(_xlfn.XLOOKUP($C49,'Safety Impacts of Alt Routes'!$B$6:$B$35,'Safety Impacts of Alt Routes'!$E$6:$E$35,0,0,1),0)</f>
        <v>0</v>
      </c>
      <c r="M49" s="245">
        <f>IFERROR(_xlfn.XLOOKUP($C49,'O&amp;M + Rehab'!$B$5:$B$40,'O&amp;M + Rehab'!$E$5:$E$40,0,0,1),0)</f>
        <v>0</v>
      </c>
      <c r="N49" s="244">
        <f>IFERROR(_xlfn.XLOOKUP($C49,'Capital Cost + RCV'!$B$6:$B$41,'Capital Cost + RCV'!$E$6:$E$41,0,0,1),0)</f>
        <v>0</v>
      </c>
      <c r="O49" s="303">
        <f t="shared" si="2"/>
        <v>0</v>
      </c>
      <c r="P49" s="304">
        <f>IFERROR(SUM(D49,E49,I49,K49:N49,G49,F49)*(1+0.07)^-($C49-Assumptions!$D$7)+J49,0)</f>
        <v>0</v>
      </c>
    </row>
    <row r="50" spans="3:16" ht="15" hidden="1" customHeight="1" outlineLevel="1" x14ac:dyDescent="0.25">
      <c r="C50" s="187">
        <f t="shared" si="1"/>
        <v>2065</v>
      </c>
      <c r="D50" s="245">
        <f>IFERROR(_xlfn.XLOOKUP($C50,'Travel Time Savings'!$B$6:$B$41,'Travel Time Savings'!$G$6:$G$41,0,0,1),0)</f>
        <v>0</v>
      </c>
      <c r="E50" s="301">
        <f>IFERROR(_xlfn.XLOOKUP($C50,'Construction Travel Time Impact'!$B$6:$B$41,'Construction Travel Time Impact'!$G$6:$G$41,0,0,1),0)</f>
        <v>0</v>
      </c>
      <c r="F50" s="301">
        <f>IFERROR(_xlfn.XLOOKUP($C50,'VOC Savings'!$B$6:$B$41,'VOC Savings'!$G$6:$G$41,0,0,1),0)</f>
        <v>0</v>
      </c>
      <c r="G50" s="302">
        <f>IFERROR(_xlfn.XLOOKUP($C50,'Gravel Road VOC Impacts'!$B$6:$B$41,'Gravel Road VOC Impacts'!$G$6:$G$41,0,0,1),0)</f>
        <v>0</v>
      </c>
      <c r="H50" s="245">
        <f>IFERROR(_xlfn.XLOOKUP($C50,'Air Quality'!$B$6:$B$40,'Air Quality'!$D$6:$D$40,0,0,1),0)</f>
        <v>0</v>
      </c>
      <c r="I50" s="301">
        <f>IFERROR(_xlfn.XLOOKUP($C50,'Air Quality'!$B$6:$B$40,'Air Quality'!$L$6:$L$40,0,0,1),0)</f>
        <v>0</v>
      </c>
      <c r="J50" s="302">
        <f>IFERROR(_xlfn.XLOOKUP($C50,'Air Quality'!$B$6:$B$40,'Air Quality'!$E$6:$E$40,0,0,1),0)</f>
        <v>0</v>
      </c>
      <c r="K50" s="245">
        <f>IFERROR(_xlfn.XLOOKUP($C50,'Safety Improvements'!B$6:B$35,'Safety Improvements'!E$6:E$35,0,0,1),0)</f>
        <v>0</v>
      </c>
      <c r="L50" s="244">
        <f>IFERROR(_xlfn.XLOOKUP($C50,'Safety Impacts of Alt Routes'!$B$6:$B$35,'Safety Impacts of Alt Routes'!$E$6:$E$35,0,0,1),0)</f>
        <v>0</v>
      </c>
      <c r="M50" s="245">
        <f>IFERROR(_xlfn.XLOOKUP($C50,'O&amp;M + Rehab'!$B$5:$B$40,'O&amp;M + Rehab'!$E$5:$E$40,0,0,1),0)</f>
        <v>0</v>
      </c>
      <c r="N50" s="244">
        <f>IFERROR(_xlfn.XLOOKUP($C50,'Capital Cost + RCV'!$B$6:$B$41,'Capital Cost + RCV'!$E$6:$E$41,0,0,1),0)</f>
        <v>0</v>
      </c>
      <c r="O50" s="303">
        <f t="shared" si="2"/>
        <v>0</v>
      </c>
      <c r="P50" s="304">
        <f>IFERROR(SUM(D50,E50,I50,K50:N50,G50,F50)*(1+0.07)^-($C50-Assumptions!$D$7)+J50,0)</f>
        <v>0</v>
      </c>
    </row>
    <row r="51" spans="3:16" ht="15" hidden="1" customHeight="1" outlineLevel="1" x14ac:dyDescent="0.25">
      <c r="C51" s="187">
        <f t="shared" si="1"/>
        <v>2066</v>
      </c>
      <c r="D51" s="245">
        <f>IFERROR(_xlfn.XLOOKUP($C51,'Travel Time Savings'!$B$6:$B$41,'Travel Time Savings'!$G$6:$G$41,0,0,1),0)</f>
        <v>0</v>
      </c>
      <c r="E51" s="301">
        <f>IFERROR(_xlfn.XLOOKUP($C51,'Construction Travel Time Impact'!$B$6:$B$41,'Construction Travel Time Impact'!$G$6:$G$41,0,0,1),0)</f>
        <v>0</v>
      </c>
      <c r="F51" s="301">
        <f>IFERROR(_xlfn.XLOOKUP($C51,'VOC Savings'!$B$6:$B$41,'VOC Savings'!$G$6:$G$41,0,0,1),0)</f>
        <v>0</v>
      </c>
      <c r="G51" s="302">
        <f>IFERROR(_xlfn.XLOOKUP($C51,'Gravel Road VOC Impacts'!$B$6:$B$41,'Gravel Road VOC Impacts'!$G$6:$G$41,0,0,1),0)</f>
        <v>0</v>
      </c>
      <c r="H51" s="245">
        <f>IFERROR(_xlfn.XLOOKUP($C51,'Air Quality'!$B$6:$B$40,'Air Quality'!$D$6:$D$40,0,0,1),0)</f>
        <v>0</v>
      </c>
      <c r="I51" s="301">
        <f>IFERROR(_xlfn.XLOOKUP($C51,'Air Quality'!$B$6:$B$40,'Air Quality'!$L$6:$L$40,0,0,1),0)</f>
        <v>0</v>
      </c>
      <c r="J51" s="302">
        <f>IFERROR(_xlfn.XLOOKUP($C51,'Air Quality'!$B$6:$B$40,'Air Quality'!$E$6:$E$40,0,0,1),0)</f>
        <v>0</v>
      </c>
      <c r="K51" s="245">
        <f>IFERROR(_xlfn.XLOOKUP($C51,'Safety Improvements'!B$6:B$35,'Safety Improvements'!E$6:E$35,0,0,1),0)</f>
        <v>0</v>
      </c>
      <c r="L51" s="244">
        <f>IFERROR(_xlfn.XLOOKUP($C51,'Safety Impacts of Alt Routes'!$B$6:$B$35,'Safety Impacts of Alt Routes'!$E$6:$E$35,0,0,1),0)</f>
        <v>0</v>
      </c>
      <c r="M51" s="245">
        <f>IFERROR(_xlfn.XLOOKUP($C51,'O&amp;M + Rehab'!$B$5:$B$40,'O&amp;M + Rehab'!$E$5:$E$40,0,0,1),0)</f>
        <v>0</v>
      </c>
      <c r="N51" s="244">
        <f>IFERROR(_xlfn.XLOOKUP($C51,'Capital Cost + RCV'!$B$6:$B$41,'Capital Cost + RCV'!$E$6:$E$41,0,0,1),0)</f>
        <v>0</v>
      </c>
      <c r="O51" s="303">
        <f t="shared" si="2"/>
        <v>0</v>
      </c>
      <c r="P51" s="304">
        <f>IFERROR(SUM(D51,E51,I51,K51:N51,G51,F51)*(1+0.07)^-($C51-Assumptions!$D$7)+J51,0)</f>
        <v>0</v>
      </c>
    </row>
    <row r="52" spans="3:16" ht="15" hidden="1" customHeight="1" outlineLevel="1" x14ac:dyDescent="0.25">
      <c r="C52" s="187">
        <f t="shared" si="1"/>
        <v>2067</v>
      </c>
      <c r="D52" s="245">
        <f>IFERROR(_xlfn.XLOOKUP($C52,'Travel Time Savings'!$B$6:$B$41,'Travel Time Savings'!$G$6:$G$41,0,0,1),0)</f>
        <v>0</v>
      </c>
      <c r="E52" s="301">
        <f>IFERROR(_xlfn.XLOOKUP($C52,'Construction Travel Time Impact'!$B$6:$B$41,'Construction Travel Time Impact'!$G$6:$G$41,0,0,1),0)</f>
        <v>0</v>
      </c>
      <c r="F52" s="301">
        <f>IFERROR(_xlfn.XLOOKUP($C52,'VOC Savings'!$B$6:$B$41,'VOC Savings'!$G$6:$G$41,0,0,1),0)</f>
        <v>0</v>
      </c>
      <c r="G52" s="302">
        <f>IFERROR(_xlfn.XLOOKUP($C52,'Gravel Road VOC Impacts'!$B$6:$B$41,'Gravel Road VOC Impacts'!$G$6:$G$41,0,0,1),0)</f>
        <v>0</v>
      </c>
      <c r="H52" s="245">
        <f>IFERROR(_xlfn.XLOOKUP($C52,'Air Quality'!$B$6:$B$40,'Air Quality'!$D$6:$D$40,0,0,1),0)</f>
        <v>0</v>
      </c>
      <c r="I52" s="301">
        <f>IFERROR(_xlfn.XLOOKUP($C52,'Air Quality'!$B$6:$B$40,'Air Quality'!$L$6:$L$40,0,0,1),0)</f>
        <v>0</v>
      </c>
      <c r="J52" s="302">
        <f>IFERROR(_xlfn.XLOOKUP($C52,'Air Quality'!$B$6:$B$40,'Air Quality'!$E$6:$E$40,0,0,1),0)</f>
        <v>0</v>
      </c>
      <c r="K52" s="245">
        <f>IFERROR(_xlfn.XLOOKUP($C52,'Safety Improvements'!B$6:B$35,'Safety Improvements'!E$6:E$35,0,0,1),0)</f>
        <v>0</v>
      </c>
      <c r="L52" s="244">
        <f>IFERROR(_xlfn.XLOOKUP($C52,'Safety Impacts of Alt Routes'!$B$6:$B$35,'Safety Impacts of Alt Routes'!$E$6:$E$35,0,0,1),0)</f>
        <v>0</v>
      </c>
      <c r="M52" s="245">
        <f>IFERROR(_xlfn.XLOOKUP($C52,'O&amp;M + Rehab'!$B$5:$B$40,'O&amp;M + Rehab'!$E$5:$E$40,0,0,1),0)</f>
        <v>0</v>
      </c>
      <c r="N52" s="244">
        <f>IFERROR(_xlfn.XLOOKUP($C52,'Capital Cost + RCV'!$B$6:$B$41,'Capital Cost + RCV'!$E$6:$E$41,0,0,1),0)</f>
        <v>0</v>
      </c>
      <c r="O52" s="303">
        <f t="shared" si="2"/>
        <v>0</v>
      </c>
      <c r="P52" s="304">
        <f>IFERROR(SUM(D52,E52,I52,K52:N52,G52,F52)*(1+0.07)^-($C52-Assumptions!$D$7)+J52,0)</f>
        <v>0</v>
      </c>
    </row>
    <row r="53" spans="3:16" ht="15" hidden="1" customHeight="1" outlineLevel="1" x14ac:dyDescent="0.25">
      <c r="C53" s="187">
        <f t="shared" si="1"/>
        <v>2068</v>
      </c>
      <c r="D53" s="245">
        <f>IFERROR(_xlfn.XLOOKUP($C53,'Travel Time Savings'!$B$6:$B$41,'Travel Time Savings'!$G$6:$G$41,0,0,1),0)</f>
        <v>0</v>
      </c>
      <c r="E53" s="301">
        <f>IFERROR(_xlfn.XLOOKUP($C53,'Construction Travel Time Impact'!$B$6:$B$41,'Construction Travel Time Impact'!$G$6:$G$41,0,0,1),0)</f>
        <v>0</v>
      </c>
      <c r="F53" s="301">
        <f>IFERROR(_xlfn.XLOOKUP($C53,'VOC Savings'!$B$6:$B$41,'VOC Savings'!$G$6:$G$41,0,0,1),0)</f>
        <v>0</v>
      </c>
      <c r="G53" s="302">
        <f>IFERROR(_xlfn.XLOOKUP($C53,'Gravel Road VOC Impacts'!$B$6:$B$41,'Gravel Road VOC Impacts'!$G$6:$G$41,0,0,1),0)</f>
        <v>0</v>
      </c>
      <c r="H53" s="245">
        <f>IFERROR(_xlfn.XLOOKUP($C53,'Air Quality'!$B$6:$B$40,'Air Quality'!$D$6:$D$40,0,0,1),0)</f>
        <v>0</v>
      </c>
      <c r="I53" s="301">
        <f>IFERROR(_xlfn.XLOOKUP($C53,'Air Quality'!$B$6:$B$40,'Air Quality'!$L$6:$L$40,0,0,1),0)</f>
        <v>0</v>
      </c>
      <c r="J53" s="302">
        <f>IFERROR(_xlfn.XLOOKUP($C53,'Air Quality'!$B$6:$B$40,'Air Quality'!$E$6:$E$40,0,0,1),0)</f>
        <v>0</v>
      </c>
      <c r="K53" s="245">
        <f>IFERROR(_xlfn.XLOOKUP($C53,'Safety Improvements'!B$6:B$35,'Safety Improvements'!E$6:E$35,0,0,1),0)</f>
        <v>0</v>
      </c>
      <c r="L53" s="244">
        <f>IFERROR(_xlfn.XLOOKUP($C53,'Safety Impacts of Alt Routes'!$B$6:$B$35,'Safety Impacts of Alt Routes'!$E$6:$E$35,0,0,1),0)</f>
        <v>0</v>
      </c>
      <c r="M53" s="245">
        <f>IFERROR(_xlfn.XLOOKUP($C53,'O&amp;M + Rehab'!$B$5:$B$40,'O&amp;M + Rehab'!$E$5:$E$40,0,0,1),0)</f>
        <v>0</v>
      </c>
      <c r="N53" s="244">
        <f>IFERROR(_xlfn.XLOOKUP($C53,'Capital Cost + RCV'!$B$6:$B$41,'Capital Cost + RCV'!$E$6:$E$41,0,0,1),0)</f>
        <v>0</v>
      </c>
      <c r="O53" s="303">
        <f t="shared" si="2"/>
        <v>0</v>
      </c>
      <c r="P53" s="304">
        <f>IFERROR(SUM(D53,E53,I53,K53:N53,G53,F53)*(1+0.07)^-($C53-Assumptions!$D$7)+J53,0)</f>
        <v>0</v>
      </c>
    </row>
    <row r="54" spans="3:16" ht="15" hidden="1" customHeight="1" outlineLevel="1" x14ac:dyDescent="0.25">
      <c r="C54" s="187">
        <f t="shared" si="1"/>
        <v>2069</v>
      </c>
      <c r="D54" s="245">
        <f>IFERROR(_xlfn.XLOOKUP($C54,'Travel Time Savings'!$B$6:$B$41,'Travel Time Savings'!$G$6:$G$41,0,0,1),0)</f>
        <v>0</v>
      </c>
      <c r="E54" s="301">
        <f>IFERROR(_xlfn.XLOOKUP($C54,'Construction Travel Time Impact'!$B$6:$B$41,'Construction Travel Time Impact'!$G$6:$G$41,0,0,1),0)</f>
        <v>0</v>
      </c>
      <c r="F54" s="301">
        <f>IFERROR(_xlfn.XLOOKUP($C54,'VOC Savings'!$B$6:$B$41,'VOC Savings'!$G$6:$G$41,0,0,1),0)</f>
        <v>0</v>
      </c>
      <c r="G54" s="302">
        <f>IFERROR(_xlfn.XLOOKUP($C54,'Gravel Road VOC Impacts'!$B$6:$B$41,'Gravel Road VOC Impacts'!$G$6:$G$41,0,0,1),0)</f>
        <v>0</v>
      </c>
      <c r="H54" s="245">
        <f>IFERROR(_xlfn.XLOOKUP($C54,'Air Quality'!$B$6:$B$40,'Air Quality'!$D$6:$D$40,0,0,1),0)</f>
        <v>0</v>
      </c>
      <c r="I54" s="301">
        <f>IFERROR(_xlfn.XLOOKUP($C54,'Air Quality'!$B$6:$B$40,'Air Quality'!$L$6:$L$40,0,0,1),0)</f>
        <v>0</v>
      </c>
      <c r="J54" s="302">
        <f>IFERROR(_xlfn.XLOOKUP($C54,'Air Quality'!$B$6:$B$40,'Air Quality'!$E$6:$E$40,0,0,1),0)</f>
        <v>0</v>
      </c>
      <c r="K54" s="245">
        <f>IFERROR(_xlfn.XLOOKUP($C54,'Safety Improvements'!B$6:B$35,'Safety Improvements'!E$6:E$35,0,0,1),0)</f>
        <v>0</v>
      </c>
      <c r="L54" s="244">
        <f>IFERROR(_xlfn.XLOOKUP($C54,'Safety Impacts of Alt Routes'!$B$6:$B$35,'Safety Impacts of Alt Routes'!$E$6:$E$35,0,0,1),0)</f>
        <v>0</v>
      </c>
      <c r="M54" s="245">
        <f>IFERROR(_xlfn.XLOOKUP($C54,'O&amp;M + Rehab'!$B$5:$B$40,'O&amp;M + Rehab'!$E$5:$E$40,0,0,1),0)</f>
        <v>0</v>
      </c>
      <c r="N54" s="244">
        <f>IFERROR(_xlfn.XLOOKUP($C54,'Capital Cost + RCV'!$B$6:$B$41,'Capital Cost + RCV'!$E$6:$E$41,0,0,1),0)</f>
        <v>0</v>
      </c>
      <c r="O54" s="303">
        <f t="shared" si="2"/>
        <v>0</v>
      </c>
      <c r="P54" s="304">
        <f>IFERROR(SUM(D54,E54,I54,K54:N54,G54,F54)*(1+0.07)^-($C54-Assumptions!$D$7)+J54,0)</f>
        <v>0</v>
      </c>
    </row>
    <row r="55" spans="3:16" ht="15" hidden="1" customHeight="1" outlineLevel="1" x14ac:dyDescent="0.25">
      <c r="C55" s="187">
        <f t="shared" si="1"/>
        <v>2070</v>
      </c>
      <c r="D55" s="245">
        <f>IFERROR(_xlfn.XLOOKUP($C55,'Travel Time Savings'!$B$6:$B$41,'Travel Time Savings'!$G$6:$G$41,0,0,1),0)</f>
        <v>0</v>
      </c>
      <c r="E55" s="301">
        <f>IFERROR(_xlfn.XLOOKUP($C55,'Construction Travel Time Impact'!$B$6:$B$41,'Construction Travel Time Impact'!$G$6:$G$41,0,0,1),0)</f>
        <v>0</v>
      </c>
      <c r="F55" s="301">
        <f>IFERROR(_xlfn.XLOOKUP($C55,'VOC Savings'!$B$6:$B$41,'VOC Savings'!$G$6:$G$41,0,0,1),0)</f>
        <v>0</v>
      </c>
      <c r="G55" s="302">
        <f>IFERROR(_xlfn.XLOOKUP($C55,'Gravel Road VOC Impacts'!$B$6:$B$41,'Gravel Road VOC Impacts'!$G$6:$G$41,0,0,1),0)</f>
        <v>0</v>
      </c>
      <c r="H55" s="245">
        <f>IFERROR(_xlfn.XLOOKUP($C55,'Air Quality'!$B$6:$B$40,'Air Quality'!$D$6:$D$40,0,0,1),0)</f>
        <v>0</v>
      </c>
      <c r="I55" s="301">
        <f>IFERROR(_xlfn.XLOOKUP($C55,'Air Quality'!$B$6:$B$40,'Air Quality'!$L$6:$L$40,0,0,1),0)</f>
        <v>0</v>
      </c>
      <c r="J55" s="302">
        <f>IFERROR(_xlfn.XLOOKUP($C55,'Air Quality'!$B$6:$B$40,'Air Quality'!$E$6:$E$40,0,0,1),0)</f>
        <v>0</v>
      </c>
      <c r="K55" s="245">
        <f>IFERROR(_xlfn.XLOOKUP($C55,'Safety Improvements'!B$6:B$35,'Safety Improvements'!E$6:E$35,0,0,1),0)</f>
        <v>0</v>
      </c>
      <c r="L55" s="244">
        <f>IFERROR(_xlfn.XLOOKUP($C55,'Safety Impacts of Alt Routes'!$B$6:$B$35,'Safety Impacts of Alt Routes'!$E$6:$E$35,0,0,1),0)</f>
        <v>0</v>
      </c>
      <c r="M55" s="245">
        <f>IFERROR(_xlfn.XLOOKUP($C55,'O&amp;M + Rehab'!$B$5:$B$40,'O&amp;M + Rehab'!$E$5:$E$40,0,0,1),0)</f>
        <v>0</v>
      </c>
      <c r="N55" s="244">
        <f>IFERROR(_xlfn.XLOOKUP($C55,'Capital Cost + RCV'!$B$6:$B$41,'Capital Cost + RCV'!$E$6:$E$41,0,0,1),0)</f>
        <v>0</v>
      </c>
      <c r="O55" s="303">
        <f t="shared" si="2"/>
        <v>0</v>
      </c>
      <c r="P55" s="304">
        <f>IFERROR(SUM(D55,E55,I55,K55:N55,G55,F55)*(1+0.07)^-($C55-Assumptions!$D$7)+J55,0)</f>
        <v>0</v>
      </c>
    </row>
    <row r="56" spans="3:16" ht="15" hidden="1" customHeight="1" outlineLevel="1" x14ac:dyDescent="0.25">
      <c r="C56" s="187">
        <f t="shared" si="1"/>
        <v>2071</v>
      </c>
      <c r="D56" s="245">
        <f>IFERROR(_xlfn.XLOOKUP($C56,'Travel Time Savings'!$B$6:$B$41,'Travel Time Savings'!$G$6:$G$41,0,0,1),0)</f>
        <v>0</v>
      </c>
      <c r="E56" s="301">
        <f>IFERROR(_xlfn.XLOOKUP($C56,'Construction Travel Time Impact'!$B$6:$B$41,'Construction Travel Time Impact'!$G$6:$G$41,0,0,1),0)</f>
        <v>0</v>
      </c>
      <c r="F56" s="301">
        <f>IFERROR(_xlfn.XLOOKUP($C56,'VOC Savings'!$B$6:$B$41,'VOC Savings'!$G$6:$G$41,0,0,1),0)</f>
        <v>0</v>
      </c>
      <c r="G56" s="302">
        <f>IFERROR(_xlfn.XLOOKUP($C56,'Gravel Road VOC Impacts'!$B$6:$B$41,'Gravel Road VOC Impacts'!$G$6:$G$41,0,0,1),0)</f>
        <v>0</v>
      </c>
      <c r="H56" s="245">
        <f>IFERROR(_xlfn.XLOOKUP($C56,'Air Quality'!$B$6:$B$40,'Air Quality'!$D$6:$D$40,0,0,1),0)</f>
        <v>0</v>
      </c>
      <c r="I56" s="301">
        <f>IFERROR(_xlfn.XLOOKUP($C56,'Air Quality'!$B$6:$B$40,'Air Quality'!$L$6:$L$40,0,0,1),0)</f>
        <v>0</v>
      </c>
      <c r="J56" s="302">
        <f>IFERROR(_xlfn.XLOOKUP($C56,'Air Quality'!$B$6:$B$40,'Air Quality'!$E$6:$E$40,0,0,1),0)</f>
        <v>0</v>
      </c>
      <c r="K56" s="245">
        <f>IFERROR(_xlfn.XLOOKUP($C56,'Safety Improvements'!B$6:B$35,'Safety Improvements'!E$6:E$35,0,0,1),0)</f>
        <v>0</v>
      </c>
      <c r="L56" s="244">
        <f>IFERROR(_xlfn.XLOOKUP($C56,'Safety Impacts of Alt Routes'!$B$6:$B$35,'Safety Impacts of Alt Routes'!$E$6:$E$35,0,0,1),0)</f>
        <v>0</v>
      </c>
      <c r="M56" s="245">
        <f>IFERROR(_xlfn.XLOOKUP($C56,'O&amp;M + Rehab'!$B$5:$B$40,'O&amp;M + Rehab'!$E$5:$E$40,0,0,1),0)</f>
        <v>0</v>
      </c>
      <c r="N56" s="244">
        <f>IFERROR(_xlfn.XLOOKUP($C56,'Capital Cost + RCV'!$B$6:$B$41,'Capital Cost + RCV'!$E$6:$E$41,0,0,1),0)</f>
        <v>0</v>
      </c>
      <c r="O56" s="303">
        <f t="shared" si="2"/>
        <v>0</v>
      </c>
      <c r="P56" s="304">
        <f>IFERROR(SUM(D56,E56,I56,K56:N56,G56,F56)*(1+0.07)^-($C56-Assumptions!$D$7)+J56,0)</f>
        <v>0</v>
      </c>
    </row>
    <row r="57" spans="3:16" ht="15" hidden="1" customHeight="1" outlineLevel="1" x14ac:dyDescent="0.25">
      <c r="C57" s="187">
        <f t="shared" si="1"/>
        <v>2072</v>
      </c>
      <c r="D57" s="245">
        <f>IFERROR(_xlfn.XLOOKUP($C57,'Travel Time Savings'!$B$6:$B$41,'Travel Time Savings'!$G$6:$G$41,0,0,1),0)</f>
        <v>0</v>
      </c>
      <c r="E57" s="301">
        <f>IFERROR(_xlfn.XLOOKUP($C57,'Construction Travel Time Impact'!$B$6:$B$41,'Construction Travel Time Impact'!$G$6:$G$41,0,0,1),0)</f>
        <v>0</v>
      </c>
      <c r="F57" s="301">
        <f>IFERROR(_xlfn.XLOOKUP($C57,'VOC Savings'!$B$6:$B$41,'VOC Savings'!$G$6:$G$41,0,0,1),0)</f>
        <v>0</v>
      </c>
      <c r="G57" s="302">
        <f>IFERROR(_xlfn.XLOOKUP($C57,'Gravel Road VOC Impacts'!$B$6:$B$41,'Gravel Road VOC Impacts'!$G$6:$G$41,0,0,1),0)</f>
        <v>0</v>
      </c>
      <c r="H57" s="245">
        <f>IFERROR(_xlfn.XLOOKUP($C57,'Air Quality'!$B$6:$B$40,'Air Quality'!$D$6:$D$40,0,0,1),0)</f>
        <v>0</v>
      </c>
      <c r="I57" s="301">
        <f>IFERROR(_xlfn.XLOOKUP($C57,'Air Quality'!$B$6:$B$40,'Air Quality'!$L$6:$L$40,0,0,1),0)</f>
        <v>0</v>
      </c>
      <c r="J57" s="302">
        <f>IFERROR(_xlfn.XLOOKUP($C57,'Air Quality'!$B$6:$B$40,'Air Quality'!$E$6:$E$40,0,0,1),0)</f>
        <v>0</v>
      </c>
      <c r="K57" s="245">
        <f>IFERROR(_xlfn.XLOOKUP($C57,'Safety Improvements'!B$6:B$35,'Safety Improvements'!E$6:E$35,0,0,1),0)</f>
        <v>0</v>
      </c>
      <c r="L57" s="244">
        <f>IFERROR(_xlfn.XLOOKUP($C57,'Safety Impacts of Alt Routes'!$B$6:$B$35,'Safety Impacts of Alt Routes'!$E$6:$E$35,0,0,1),0)</f>
        <v>0</v>
      </c>
      <c r="M57" s="245">
        <f>IFERROR(_xlfn.XLOOKUP($C57,'O&amp;M + Rehab'!$B$5:$B$40,'O&amp;M + Rehab'!$E$5:$E$40,0,0,1),0)</f>
        <v>0</v>
      </c>
      <c r="N57" s="244">
        <f>IFERROR(_xlfn.XLOOKUP($C57,'Capital Cost + RCV'!$B$6:$B$41,'Capital Cost + RCV'!$E$6:$E$41,0,0,1),0)</f>
        <v>0</v>
      </c>
      <c r="O57" s="303">
        <f t="shared" si="2"/>
        <v>0</v>
      </c>
      <c r="P57" s="304">
        <f>IFERROR(SUM(D57,E57,I57,K57:N57,G57,F57)*(1+0.07)^-($C57-Assumptions!$D$7)+J57,0)</f>
        <v>0</v>
      </c>
    </row>
    <row r="58" spans="3:16" ht="15" hidden="1" customHeight="1" outlineLevel="1" x14ac:dyDescent="0.25">
      <c r="C58" s="187">
        <f t="shared" si="1"/>
        <v>2073</v>
      </c>
      <c r="D58" s="245">
        <f>IFERROR(_xlfn.XLOOKUP($C58,'Travel Time Savings'!$B$6:$B$41,'Travel Time Savings'!$G$6:$G$41,0,0,1),0)</f>
        <v>0</v>
      </c>
      <c r="E58" s="301">
        <f>IFERROR(_xlfn.XLOOKUP($C58,'Construction Travel Time Impact'!$B$6:$B$41,'Construction Travel Time Impact'!$G$6:$G$41,0,0,1),0)</f>
        <v>0</v>
      </c>
      <c r="F58" s="301">
        <f>IFERROR(_xlfn.XLOOKUP($C58,'VOC Savings'!$B$6:$B$41,'VOC Savings'!$G$6:$G$41,0,0,1),0)</f>
        <v>0</v>
      </c>
      <c r="G58" s="302">
        <f>IFERROR(_xlfn.XLOOKUP($C58,'Gravel Road VOC Impacts'!$B$6:$B$41,'Gravel Road VOC Impacts'!$G$6:$G$41,0,0,1),0)</f>
        <v>0</v>
      </c>
      <c r="H58" s="245">
        <f>IFERROR(_xlfn.XLOOKUP($C58,'Air Quality'!$B$6:$B$40,'Air Quality'!$D$6:$D$40,0,0,1),0)</f>
        <v>0</v>
      </c>
      <c r="I58" s="301">
        <f>IFERROR(_xlfn.XLOOKUP($C58,'Air Quality'!$B$6:$B$40,'Air Quality'!$L$6:$L$40,0,0,1),0)</f>
        <v>0</v>
      </c>
      <c r="J58" s="302">
        <f>IFERROR(_xlfn.XLOOKUP($C58,'Air Quality'!$B$6:$B$40,'Air Quality'!$E$6:$E$40,0,0,1),0)</f>
        <v>0</v>
      </c>
      <c r="K58" s="245">
        <f>IFERROR(_xlfn.XLOOKUP($C58,'Safety Improvements'!B$6:B$35,'Safety Improvements'!E$6:E$35,0,0,1),0)</f>
        <v>0</v>
      </c>
      <c r="L58" s="244">
        <f>IFERROR(_xlfn.XLOOKUP($C58,'Safety Impacts of Alt Routes'!$B$6:$B$35,'Safety Impacts of Alt Routes'!$E$6:$E$35,0,0,1),0)</f>
        <v>0</v>
      </c>
      <c r="M58" s="245">
        <f>IFERROR(_xlfn.XLOOKUP($C58,'O&amp;M + Rehab'!$B$5:$B$40,'O&amp;M + Rehab'!$E$5:$E$40,0,0,1),0)</f>
        <v>0</v>
      </c>
      <c r="N58" s="244">
        <f>IFERROR(_xlfn.XLOOKUP($C58,'Capital Cost + RCV'!$B$6:$B$41,'Capital Cost + RCV'!$E$6:$E$41,0,0,1),0)</f>
        <v>0</v>
      </c>
      <c r="O58" s="303">
        <f t="shared" si="2"/>
        <v>0</v>
      </c>
      <c r="P58" s="304">
        <f>IFERROR(SUM(D58,E58,I58,K58:N58,G58,F58)*(1+0.07)^-($C58-Assumptions!$D$7)+J58,0)</f>
        <v>0</v>
      </c>
    </row>
    <row r="59" spans="3:16" ht="15" hidden="1" customHeight="1" outlineLevel="1" x14ac:dyDescent="0.25">
      <c r="C59" s="187">
        <f t="shared" si="1"/>
        <v>2074</v>
      </c>
      <c r="D59" s="245">
        <f>IFERROR(_xlfn.XLOOKUP($C59,'Travel Time Savings'!$B$6:$B$41,'Travel Time Savings'!$G$6:$G$41,0,0,1),0)</f>
        <v>0</v>
      </c>
      <c r="E59" s="301">
        <f>IFERROR(_xlfn.XLOOKUP($C59,'Construction Travel Time Impact'!$B$6:$B$41,'Construction Travel Time Impact'!$G$6:$G$41,0,0,1),0)</f>
        <v>0</v>
      </c>
      <c r="F59" s="301">
        <f>IFERROR(_xlfn.XLOOKUP($C59,'VOC Savings'!$B$6:$B$41,'VOC Savings'!$G$6:$G$41,0,0,1),0)</f>
        <v>0</v>
      </c>
      <c r="G59" s="302">
        <f>IFERROR(_xlfn.XLOOKUP($C59,'Gravel Road VOC Impacts'!$B$6:$B$41,'Gravel Road VOC Impacts'!$G$6:$G$41,0,0,1),0)</f>
        <v>0</v>
      </c>
      <c r="H59" s="245">
        <f>IFERROR(_xlfn.XLOOKUP($C59,'Air Quality'!$B$6:$B$40,'Air Quality'!$D$6:$D$40,0,0,1),0)</f>
        <v>0</v>
      </c>
      <c r="I59" s="301">
        <f>IFERROR(_xlfn.XLOOKUP($C59,'Air Quality'!$B$6:$B$40,'Air Quality'!$L$6:$L$40,0,0,1),0)</f>
        <v>0</v>
      </c>
      <c r="J59" s="302">
        <f>IFERROR(_xlfn.XLOOKUP($C59,'Air Quality'!$B$6:$B$40,'Air Quality'!$E$6:$E$40,0,0,1),0)</f>
        <v>0</v>
      </c>
      <c r="K59" s="245">
        <f>IFERROR(_xlfn.XLOOKUP($C59,'Safety Improvements'!B$6:B$35,'Safety Improvements'!E$6:E$35,0,0,1),0)</f>
        <v>0</v>
      </c>
      <c r="L59" s="244">
        <f>IFERROR(_xlfn.XLOOKUP($C59,'Safety Impacts of Alt Routes'!$B$6:$B$35,'Safety Impacts of Alt Routes'!$E$6:$E$35,0,0,1),0)</f>
        <v>0</v>
      </c>
      <c r="M59" s="245">
        <f>IFERROR(_xlfn.XLOOKUP($C59,'O&amp;M + Rehab'!$B$5:$B$40,'O&amp;M + Rehab'!$E$5:$E$40,0,0,1),0)</f>
        <v>0</v>
      </c>
      <c r="N59" s="244">
        <f>IFERROR(_xlfn.XLOOKUP($C59,'Capital Cost + RCV'!$B$6:$B$41,'Capital Cost + RCV'!$E$6:$E$41,0,0,1),0)</f>
        <v>0</v>
      </c>
      <c r="O59" s="303">
        <f t="shared" si="2"/>
        <v>0</v>
      </c>
      <c r="P59" s="304">
        <f>IFERROR(SUM(D59,E59,I59,K59:N59,G59,F59)*(1+0.07)^-($C59-Assumptions!$D$7)+J59,0)</f>
        <v>0</v>
      </c>
    </row>
    <row r="60" spans="3:16" ht="15" hidden="1" customHeight="1" outlineLevel="1" x14ac:dyDescent="0.25">
      <c r="C60" s="187">
        <f t="shared" si="1"/>
        <v>2075</v>
      </c>
      <c r="D60" s="245">
        <f>IFERROR(_xlfn.XLOOKUP($C60,'Travel Time Savings'!$B$6:$B$41,'Travel Time Savings'!$G$6:$G$41,0,0,1),0)</f>
        <v>0</v>
      </c>
      <c r="E60" s="301">
        <f>IFERROR(_xlfn.XLOOKUP($C60,'Construction Travel Time Impact'!$B$6:$B$41,'Construction Travel Time Impact'!$G$6:$G$41,0,0,1),0)</f>
        <v>0</v>
      </c>
      <c r="F60" s="301">
        <f>IFERROR(_xlfn.XLOOKUP($C60,'VOC Savings'!$B$6:$B$41,'VOC Savings'!$G$6:$G$41,0,0,1),0)</f>
        <v>0</v>
      </c>
      <c r="G60" s="302">
        <f>IFERROR(_xlfn.XLOOKUP($C60,'Gravel Road VOC Impacts'!$B$6:$B$41,'Gravel Road VOC Impacts'!$G$6:$G$41,0,0,1),0)</f>
        <v>0</v>
      </c>
      <c r="H60" s="245">
        <f>IFERROR(_xlfn.XLOOKUP($C60,'Air Quality'!$B$6:$B$40,'Air Quality'!$D$6:$D$40,0,0,1),0)</f>
        <v>0</v>
      </c>
      <c r="I60" s="301">
        <f>IFERROR(_xlfn.XLOOKUP($C60,'Air Quality'!$B$6:$B$40,'Air Quality'!$L$6:$L$40,0,0,1),0)</f>
        <v>0</v>
      </c>
      <c r="J60" s="302">
        <f>IFERROR(_xlfn.XLOOKUP($C60,'Air Quality'!$B$6:$B$40,'Air Quality'!$E$6:$E$40,0,0,1),0)</f>
        <v>0</v>
      </c>
      <c r="K60" s="245">
        <f>IFERROR(_xlfn.XLOOKUP($C60,'Safety Improvements'!B$6:B$35,'Safety Improvements'!E$6:E$35,0,0,1),0)</f>
        <v>0</v>
      </c>
      <c r="L60" s="244">
        <f>IFERROR(_xlfn.XLOOKUP($C60,'Safety Impacts of Alt Routes'!$B$6:$B$35,'Safety Impacts of Alt Routes'!$E$6:$E$35,0,0,1),0)</f>
        <v>0</v>
      </c>
      <c r="M60" s="245">
        <f>IFERROR(_xlfn.XLOOKUP($C60,'O&amp;M + Rehab'!$B$5:$B$40,'O&amp;M + Rehab'!$E$5:$E$40,0,0,1),0)</f>
        <v>0</v>
      </c>
      <c r="N60" s="244">
        <f>IFERROR(_xlfn.XLOOKUP($C60,'Capital Cost + RCV'!$B$6:$B$41,'Capital Cost + RCV'!$E$6:$E$41,0,0,1),0)</f>
        <v>0</v>
      </c>
      <c r="O60" s="303">
        <f t="shared" si="2"/>
        <v>0</v>
      </c>
      <c r="P60" s="304">
        <f>IFERROR(SUM(D60,E60,I60,K60:N60,G60,F60)*(1+0.07)^-($C60-Assumptions!$D$7)+J60,0)</f>
        <v>0</v>
      </c>
    </row>
    <row r="61" spans="3:16" ht="15" hidden="1" customHeight="1" outlineLevel="1" x14ac:dyDescent="0.25">
      <c r="C61" s="187">
        <f t="shared" si="1"/>
        <v>2076</v>
      </c>
      <c r="D61" s="245">
        <f>IFERROR(_xlfn.XLOOKUP($C61,'Travel Time Savings'!$B$6:$B$41,'Travel Time Savings'!$G$6:$G$41,0,0,1),0)</f>
        <v>0</v>
      </c>
      <c r="E61" s="301">
        <f>IFERROR(_xlfn.XLOOKUP($C61,'Construction Travel Time Impact'!$B$6:$B$41,'Construction Travel Time Impact'!$G$6:$G$41,0,0,1),0)</f>
        <v>0</v>
      </c>
      <c r="F61" s="301">
        <f>IFERROR(_xlfn.XLOOKUP($C61,'VOC Savings'!$B$6:$B$41,'VOC Savings'!$G$6:$G$41,0,0,1),0)</f>
        <v>0</v>
      </c>
      <c r="G61" s="302">
        <f>IFERROR(_xlfn.XLOOKUP($C61,'Gravel Road VOC Impacts'!$B$6:$B$41,'Gravel Road VOC Impacts'!$G$6:$G$41,0,0,1),0)</f>
        <v>0</v>
      </c>
      <c r="H61" s="245">
        <f>IFERROR(_xlfn.XLOOKUP($C61,'Air Quality'!$B$6:$B$40,'Air Quality'!$D$6:$D$40,0,0,1),0)</f>
        <v>0</v>
      </c>
      <c r="I61" s="301">
        <f>IFERROR(_xlfn.XLOOKUP($C61,'Air Quality'!$B$6:$B$40,'Air Quality'!$L$6:$L$40,0,0,1),0)</f>
        <v>0</v>
      </c>
      <c r="J61" s="302">
        <f>IFERROR(_xlfn.XLOOKUP($C61,'Air Quality'!$B$6:$B$40,'Air Quality'!$E$6:$E$40,0,0,1),0)</f>
        <v>0</v>
      </c>
      <c r="K61" s="245">
        <f>IFERROR(_xlfn.XLOOKUP($C61,'Safety Improvements'!B$6:B$35,'Safety Improvements'!E$6:E$35,0,0,1),0)</f>
        <v>0</v>
      </c>
      <c r="L61" s="244">
        <f>IFERROR(_xlfn.XLOOKUP($C61,'Safety Impacts of Alt Routes'!$B$6:$B$35,'Safety Impacts of Alt Routes'!$E$6:$E$35,0,0,1),0)</f>
        <v>0</v>
      </c>
      <c r="M61" s="245">
        <f>IFERROR(_xlfn.XLOOKUP($C61,'O&amp;M + Rehab'!$B$5:$B$40,'O&amp;M + Rehab'!$E$5:$E$40,0,0,1),0)</f>
        <v>0</v>
      </c>
      <c r="N61" s="244">
        <f>IFERROR(_xlfn.XLOOKUP($C61,'Capital Cost + RCV'!$B$6:$B$41,'Capital Cost + RCV'!$E$6:$E$41,0,0,1),0)</f>
        <v>0</v>
      </c>
      <c r="O61" s="303">
        <f t="shared" si="2"/>
        <v>0</v>
      </c>
      <c r="P61" s="304">
        <f>IFERROR(SUM(D61,E61,I61,K61:N61,G61,F61)*(1+0.07)^-($C61-Assumptions!$D$7)+J61,0)</f>
        <v>0</v>
      </c>
    </row>
    <row r="62" spans="3:16" ht="15" hidden="1" customHeight="1" outlineLevel="1" x14ac:dyDescent="0.25">
      <c r="C62" s="187">
        <f t="shared" si="1"/>
        <v>2077</v>
      </c>
      <c r="D62" s="245">
        <f>IFERROR(_xlfn.XLOOKUP($C62,'Travel Time Savings'!$B$6:$B$41,'Travel Time Savings'!$G$6:$G$41,0,0,1),0)</f>
        <v>0</v>
      </c>
      <c r="E62" s="301">
        <f>IFERROR(_xlfn.XLOOKUP($C62,'Construction Travel Time Impact'!$B$6:$B$41,'Construction Travel Time Impact'!$G$6:$G$41,0,0,1),0)</f>
        <v>0</v>
      </c>
      <c r="F62" s="301">
        <f>IFERROR(_xlfn.XLOOKUP($C62,'VOC Savings'!$B$6:$B$41,'VOC Savings'!$G$6:$G$41,0,0,1),0)</f>
        <v>0</v>
      </c>
      <c r="G62" s="302">
        <f>IFERROR(_xlfn.XLOOKUP($C62,'Gravel Road VOC Impacts'!$B$6:$B$41,'Gravel Road VOC Impacts'!$G$6:$G$41,0,0,1),0)</f>
        <v>0</v>
      </c>
      <c r="H62" s="245">
        <f>IFERROR(_xlfn.XLOOKUP($C62,'Air Quality'!$B$6:$B$40,'Air Quality'!$D$6:$D$40,0,0,1),0)</f>
        <v>0</v>
      </c>
      <c r="I62" s="301">
        <f>IFERROR(_xlfn.XLOOKUP($C62,'Air Quality'!$B$6:$B$40,'Air Quality'!$L$6:$L$40,0,0,1),0)</f>
        <v>0</v>
      </c>
      <c r="J62" s="302">
        <f>IFERROR(_xlfn.XLOOKUP($C62,'Air Quality'!$B$6:$B$40,'Air Quality'!$E$6:$E$40,0,0,1),0)</f>
        <v>0</v>
      </c>
      <c r="K62" s="245">
        <f>IFERROR(_xlfn.XLOOKUP($C62,'Safety Improvements'!B$6:B$35,'Safety Improvements'!E$6:E$35,0,0,1),0)</f>
        <v>0</v>
      </c>
      <c r="L62" s="244">
        <f>IFERROR(_xlfn.XLOOKUP($C62,'Safety Impacts of Alt Routes'!$B$6:$B$35,'Safety Impacts of Alt Routes'!$E$6:$E$35,0,0,1),0)</f>
        <v>0</v>
      </c>
      <c r="M62" s="245">
        <f>IFERROR(_xlfn.XLOOKUP($C62,'O&amp;M + Rehab'!$B$5:$B$40,'O&amp;M + Rehab'!$E$5:$E$40,0,0,1),0)</f>
        <v>0</v>
      </c>
      <c r="N62" s="244">
        <f>IFERROR(_xlfn.XLOOKUP($C62,'Capital Cost + RCV'!$B$6:$B$41,'Capital Cost + RCV'!$E$6:$E$41,0,0,1),0)</f>
        <v>0</v>
      </c>
      <c r="O62" s="303">
        <f t="shared" si="2"/>
        <v>0</v>
      </c>
      <c r="P62" s="304">
        <f>IFERROR(SUM(D62,E62,I62,K62:N62,G62,F62)*(1+0.07)^-($C62-Assumptions!$D$7)+J62,0)</f>
        <v>0</v>
      </c>
    </row>
    <row r="63" spans="3:16" ht="15" hidden="1" customHeight="1" outlineLevel="1" x14ac:dyDescent="0.25">
      <c r="C63" s="187">
        <f t="shared" si="1"/>
        <v>2078</v>
      </c>
      <c r="D63" s="245">
        <f>IFERROR(_xlfn.XLOOKUP($C63,'Travel Time Savings'!$B$6:$B$41,'Travel Time Savings'!$G$6:$G$41,0,0,1),0)</f>
        <v>0</v>
      </c>
      <c r="E63" s="301">
        <f>IFERROR(_xlfn.XLOOKUP($C63,'Construction Travel Time Impact'!$B$6:$B$41,'Construction Travel Time Impact'!$G$6:$G$41,0,0,1),0)</f>
        <v>0</v>
      </c>
      <c r="F63" s="301">
        <f>IFERROR(_xlfn.XLOOKUP($C63,'VOC Savings'!$B$6:$B$41,'VOC Savings'!$G$6:$G$41,0,0,1),0)</f>
        <v>0</v>
      </c>
      <c r="G63" s="302">
        <f>IFERROR(_xlfn.XLOOKUP($C63,'Gravel Road VOC Impacts'!$B$6:$B$41,'Gravel Road VOC Impacts'!$G$6:$G$41,0,0,1),0)</f>
        <v>0</v>
      </c>
      <c r="H63" s="245">
        <f>IFERROR(_xlfn.XLOOKUP($C63,'Air Quality'!$B$6:$B$40,'Air Quality'!$D$6:$D$40,0,0,1),0)</f>
        <v>0</v>
      </c>
      <c r="I63" s="301">
        <f>IFERROR(_xlfn.XLOOKUP($C63,'Air Quality'!$B$6:$B$40,'Air Quality'!$L$6:$L$40,0,0,1),0)</f>
        <v>0</v>
      </c>
      <c r="J63" s="302">
        <f>IFERROR(_xlfn.XLOOKUP($C63,'Air Quality'!$B$6:$B$40,'Air Quality'!$E$6:$E$40,0,0,1),0)</f>
        <v>0</v>
      </c>
      <c r="K63" s="245">
        <f>IFERROR(_xlfn.XLOOKUP($C63,'Safety Improvements'!B$6:B$35,'Safety Improvements'!E$6:E$35,0,0,1),0)</f>
        <v>0</v>
      </c>
      <c r="L63" s="244">
        <f>IFERROR(_xlfn.XLOOKUP($C63,'Safety Impacts of Alt Routes'!$B$6:$B$35,'Safety Impacts of Alt Routes'!$E$6:$E$35,0,0,1),0)</f>
        <v>0</v>
      </c>
      <c r="M63" s="245">
        <f>IFERROR(_xlfn.XLOOKUP($C63,'O&amp;M + Rehab'!$B$5:$B$40,'O&amp;M + Rehab'!$E$5:$E$40,0,0,1),0)</f>
        <v>0</v>
      </c>
      <c r="N63" s="244">
        <f>IFERROR(_xlfn.XLOOKUP($C63,'Capital Cost + RCV'!$B$6:$B$41,'Capital Cost + RCV'!$E$6:$E$41,0,0,1),0)</f>
        <v>0</v>
      </c>
      <c r="O63" s="303">
        <f t="shared" si="2"/>
        <v>0</v>
      </c>
      <c r="P63" s="304">
        <f>IFERROR(SUM(D63,E63,I63,K63:N63,G63,F63)*(1+0.07)^-($C63-Assumptions!$D$7)+J63,0)</f>
        <v>0</v>
      </c>
    </row>
    <row r="64" spans="3:16" ht="15" hidden="1" customHeight="1" outlineLevel="1" x14ac:dyDescent="0.25">
      <c r="C64" s="187">
        <f t="shared" si="1"/>
        <v>2079</v>
      </c>
      <c r="D64" s="245">
        <f>IFERROR(_xlfn.XLOOKUP($C64,'Travel Time Savings'!$B$6:$B$41,'Travel Time Savings'!$G$6:$G$41,0,0,1),0)</f>
        <v>0</v>
      </c>
      <c r="E64" s="301">
        <f>IFERROR(_xlfn.XLOOKUP($C64,'Construction Travel Time Impact'!$B$6:$B$41,'Construction Travel Time Impact'!$G$6:$G$41,0,0,1),0)</f>
        <v>0</v>
      </c>
      <c r="F64" s="301">
        <f>IFERROR(_xlfn.XLOOKUP($C64,'VOC Savings'!$B$6:$B$41,'VOC Savings'!$G$6:$G$41,0,0,1),0)</f>
        <v>0</v>
      </c>
      <c r="G64" s="302">
        <f>IFERROR(_xlfn.XLOOKUP($C64,'Gravel Road VOC Impacts'!$B$6:$B$41,'Gravel Road VOC Impacts'!$G$6:$G$41,0,0,1),0)</f>
        <v>0</v>
      </c>
      <c r="H64" s="245">
        <f>IFERROR(_xlfn.XLOOKUP($C64,'Air Quality'!$B$6:$B$40,'Air Quality'!$D$6:$D$40,0,0,1),0)</f>
        <v>0</v>
      </c>
      <c r="I64" s="301">
        <f>IFERROR(_xlfn.XLOOKUP($C64,'Air Quality'!$B$6:$B$40,'Air Quality'!$L$6:$L$40,0,0,1),0)</f>
        <v>0</v>
      </c>
      <c r="J64" s="302">
        <f>IFERROR(_xlfn.XLOOKUP($C64,'Air Quality'!$B$6:$B$40,'Air Quality'!$E$6:$E$40,0,0,1),0)</f>
        <v>0</v>
      </c>
      <c r="K64" s="245">
        <f>IFERROR(_xlfn.XLOOKUP($C64,'Safety Improvements'!B$6:B$35,'Safety Improvements'!E$6:E$35,0,0,1),0)</f>
        <v>0</v>
      </c>
      <c r="L64" s="244">
        <f>IFERROR(_xlfn.XLOOKUP($C64,'Safety Impacts of Alt Routes'!$B$6:$B$35,'Safety Impacts of Alt Routes'!$E$6:$E$35,0,0,1),0)</f>
        <v>0</v>
      </c>
      <c r="M64" s="245">
        <f>IFERROR(_xlfn.XLOOKUP($C64,'O&amp;M + Rehab'!$B$5:$B$40,'O&amp;M + Rehab'!$E$5:$E$40,0,0,1),0)</f>
        <v>0</v>
      </c>
      <c r="N64" s="244">
        <f>IFERROR(_xlfn.XLOOKUP($C64,'Capital Cost + RCV'!$B$6:$B$41,'Capital Cost + RCV'!$E$6:$E$41,0,0,1),0)</f>
        <v>0</v>
      </c>
      <c r="O64" s="303">
        <f t="shared" si="2"/>
        <v>0</v>
      </c>
      <c r="P64" s="304">
        <f>IFERROR(SUM(D64,E64,I64,K64:N64,G64,F64)*(1+0.07)^-($C64-Assumptions!$D$7)+J64,0)</f>
        <v>0</v>
      </c>
    </row>
    <row r="65" spans="2:16" ht="15" hidden="1" customHeight="1" outlineLevel="1" x14ac:dyDescent="0.25">
      <c r="C65" s="187">
        <f t="shared" si="1"/>
        <v>2080</v>
      </c>
      <c r="D65" s="245">
        <f>IFERROR(_xlfn.XLOOKUP($C65,'Travel Time Savings'!$B$6:$B$41,'Travel Time Savings'!$G$6:$G$41,0,0,1),0)</f>
        <v>0</v>
      </c>
      <c r="E65" s="301">
        <f>IFERROR(_xlfn.XLOOKUP($C65,'Construction Travel Time Impact'!$B$6:$B$41,'Construction Travel Time Impact'!$G$6:$G$41,0,0,1),0)</f>
        <v>0</v>
      </c>
      <c r="F65" s="301">
        <f>IFERROR(_xlfn.XLOOKUP($C65,'VOC Savings'!$B$6:$B$41,'VOC Savings'!$G$6:$G$41,0,0,1),0)</f>
        <v>0</v>
      </c>
      <c r="G65" s="302">
        <f>IFERROR(_xlfn.XLOOKUP($C65,'Gravel Road VOC Impacts'!$B$6:$B$41,'Gravel Road VOC Impacts'!$G$6:$G$41,0,0,1),0)</f>
        <v>0</v>
      </c>
      <c r="H65" s="245">
        <f>IFERROR(_xlfn.XLOOKUP($C65,'Air Quality'!$B$6:$B$40,'Air Quality'!$D$6:$D$40,0,0,1),0)</f>
        <v>0</v>
      </c>
      <c r="I65" s="301">
        <f>IFERROR(_xlfn.XLOOKUP($C65,'Air Quality'!$B$6:$B$40,'Air Quality'!$L$6:$L$40,0,0,1),0)</f>
        <v>0</v>
      </c>
      <c r="J65" s="302">
        <f>IFERROR(_xlfn.XLOOKUP($C65,'Air Quality'!$B$6:$B$40,'Air Quality'!$E$6:$E$40,0,0,1),0)</f>
        <v>0</v>
      </c>
      <c r="K65" s="245">
        <f>IFERROR(_xlfn.XLOOKUP($C65,'Safety Improvements'!B$6:B$35,'Safety Improvements'!E$6:E$35,0,0,1),0)</f>
        <v>0</v>
      </c>
      <c r="L65" s="244">
        <f>IFERROR(_xlfn.XLOOKUP($C65,'Safety Impacts of Alt Routes'!$B$6:$B$35,'Safety Impacts of Alt Routes'!$E$6:$E$35,0,0,1),0)</f>
        <v>0</v>
      </c>
      <c r="M65" s="245">
        <f>IFERROR(_xlfn.XLOOKUP($C65,'O&amp;M + Rehab'!$B$5:$B$40,'O&amp;M + Rehab'!$E$5:$E$40,0,0,1),0)</f>
        <v>0</v>
      </c>
      <c r="N65" s="244">
        <f>IFERROR(_xlfn.XLOOKUP($C65,'Capital Cost + RCV'!$B$6:$B$41,'Capital Cost + RCV'!$E$6:$E$41,0,0,1),0)</f>
        <v>0</v>
      </c>
      <c r="O65" s="303">
        <f t="shared" si="2"/>
        <v>0</v>
      </c>
      <c r="P65" s="304">
        <f>IFERROR(SUM(D65,E65,I65,K65:N65,G65,F65)*(1+0.07)^-($C65-Assumptions!$D$7)+J65,0)</f>
        <v>0</v>
      </c>
    </row>
    <row r="66" spans="2:16" ht="15" hidden="1" customHeight="1" outlineLevel="1" x14ac:dyDescent="0.25">
      <c r="C66" s="187">
        <f t="shared" si="1"/>
        <v>2081</v>
      </c>
      <c r="D66" s="245">
        <f>IFERROR(_xlfn.XLOOKUP($C66,'Travel Time Savings'!$B$6:$B$41,'Travel Time Savings'!$G$6:$G$41,0,0,1),0)</f>
        <v>0</v>
      </c>
      <c r="E66" s="301">
        <f>IFERROR(_xlfn.XLOOKUP($C66,'Construction Travel Time Impact'!$B$6:$B$41,'Construction Travel Time Impact'!$G$6:$G$41,0,0,1),0)</f>
        <v>0</v>
      </c>
      <c r="F66" s="301">
        <f>IFERROR(_xlfn.XLOOKUP($C66,'VOC Savings'!$B$6:$B$41,'VOC Savings'!$G$6:$G$41,0,0,1),0)</f>
        <v>0</v>
      </c>
      <c r="G66" s="302">
        <f>IFERROR(_xlfn.XLOOKUP($C66,'Gravel Road VOC Impacts'!$B$6:$B$41,'Gravel Road VOC Impacts'!$G$6:$G$41,0,0,1),0)</f>
        <v>0</v>
      </c>
      <c r="H66" s="245">
        <f>IFERROR(_xlfn.XLOOKUP($C66,'Air Quality'!$B$6:$B$40,'Air Quality'!$D$6:$D$40,0,0,1),0)</f>
        <v>0</v>
      </c>
      <c r="I66" s="301">
        <f>IFERROR(_xlfn.XLOOKUP($C66,'Air Quality'!$B$6:$B$40,'Air Quality'!$L$6:$L$40,0,0,1),0)</f>
        <v>0</v>
      </c>
      <c r="J66" s="302">
        <f>IFERROR(_xlfn.XLOOKUP($C66,'Air Quality'!$B$6:$B$40,'Air Quality'!$E$6:$E$40,0,0,1),0)</f>
        <v>0</v>
      </c>
      <c r="K66" s="245">
        <f>IFERROR(_xlfn.XLOOKUP($C66,'Safety Improvements'!B$6:B$35,'Safety Improvements'!E$6:E$35,0,0,1),0)</f>
        <v>0</v>
      </c>
      <c r="L66" s="244">
        <f>IFERROR(_xlfn.XLOOKUP($C66,'Safety Impacts of Alt Routes'!$B$6:$B$35,'Safety Impacts of Alt Routes'!$E$6:$E$35,0,0,1),0)</f>
        <v>0</v>
      </c>
      <c r="M66" s="245">
        <f>IFERROR(_xlfn.XLOOKUP($C66,'O&amp;M + Rehab'!$B$5:$B$40,'O&amp;M + Rehab'!$E$5:$E$40,0,0,1),0)</f>
        <v>0</v>
      </c>
      <c r="N66" s="244">
        <f>IFERROR(_xlfn.XLOOKUP($C66,'Capital Cost + RCV'!$B$6:$B$41,'Capital Cost + RCV'!$E$6:$E$41,0,0,1),0)</f>
        <v>0</v>
      </c>
      <c r="O66" s="303">
        <f t="shared" si="2"/>
        <v>0</v>
      </c>
      <c r="P66" s="304">
        <f>IFERROR(SUM(D66,E66,I66,K66:N66,G66,F66)*(1+0.07)^-($C66-Assumptions!$D$7)+J66,0)</f>
        <v>0</v>
      </c>
    </row>
    <row r="67" spans="2:16" ht="15" hidden="1" customHeight="1" outlineLevel="1" x14ac:dyDescent="0.25">
      <c r="C67" s="187">
        <f t="shared" si="1"/>
        <v>2082</v>
      </c>
      <c r="D67" s="245">
        <f>IFERROR(_xlfn.XLOOKUP($C67,'Travel Time Savings'!$B$6:$B$41,'Travel Time Savings'!$G$6:$G$41,0,0,1),0)</f>
        <v>0</v>
      </c>
      <c r="E67" s="301">
        <f>IFERROR(_xlfn.XLOOKUP($C67,'Construction Travel Time Impact'!$B$6:$B$41,'Construction Travel Time Impact'!$G$6:$G$41,0,0,1),0)</f>
        <v>0</v>
      </c>
      <c r="F67" s="301">
        <f>IFERROR(_xlfn.XLOOKUP($C67,'VOC Savings'!$B$6:$B$41,'VOC Savings'!$G$6:$G$41,0,0,1),0)</f>
        <v>0</v>
      </c>
      <c r="G67" s="302">
        <f>IFERROR(_xlfn.XLOOKUP($C67,'Gravel Road VOC Impacts'!$B$6:$B$41,'Gravel Road VOC Impacts'!$G$6:$G$41,0,0,1),0)</f>
        <v>0</v>
      </c>
      <c r="H67" s="245">
        <f>IFERROR(_xlfn.XLOOKUP($C67,'Air Quality'!$B$6:$B$40,'Air Quality'!$D$6:$D$40,0,0,1),0)</f>
        <v>0</v>
      </c>
      <c r="I67" s="301">
        <f>IFERROR(_xlfn.XLOOKUP($C67,'Air Quality'!$B$6:$B$40,'Air Quality'!$L$6:$L$40,0,0,1),0)</f>
        <v>0</v>
      </c>
      <c r="J67" s="302">
        <f>IFERROR(_xlfn.XLOOKUP($C67,'Air Quality'!$B$6:$B$40,'Air Quality'!$E$6:$E$40,0,0,1),0)</f>
        <v>0</v>
      </c>
      <c r="K67" s="245">
        <f>IFERROR(_xlfn.XLOOKUP($C67,'Safety Improvements'!B$6:B$35,'Safety Improvements'!E$6:E$35,0,0,1),0)</f>
        <v>0</v>
      </c>
      <c r="L67" s="244">
        <f>IFERROR(_xlfn.XLOOKUP($C67,'Safety Impacts of Alt Routes'!$B$6:$B$35,'Safety Impacts of Alt Routes'!$E$6:$E$35,0,0,1),0)</f>
        <v>0</v>
      </c>
      <c r="M67" s="245">
        <f>IFERROR(_xlfn.XLOOKUP($C67,'O&amp;M + Rehab'!$B$5:$B$40,'O&amp;M + Rehab'!$E$5:$E$40,0,0,1),0)</f>
        <v>0</v>
      </c>
      <c r="N67" s="244">
        <f>IFERROR(_xlfn.XLOOKUP($C67,'Capital Cost + RCV'!$B$6:$B$41,'Capital Cost + RCV'!$E$6:$E$41,0,0,1),0)</f>
        <v>0</v>
      </c>
      <c r="O67" s="303">
        <f t="shared" si="2"/>
        <v>0</v>
      </c>
      <c r="P67" s="304">
        <f>IFERROR(SUM(D67,E67,I67,K67:N67,G67,F67)*(1+0.07)^-($C67-Assumptions!$D$7)+J67,0)</f>
        <v>0</v>
      </c>
    </row>
    <row r="68" spans="2:16" ht="15" hidden="1" customHeight="1" outlineLevel="1" thickBot="1" x14ac:dyDescent="0.3">
      <c r="C68" s="169">
        <f t="shared" si="1"/>
        <v>2083</v>
      </c>
      <c r="D68" s="248">
        <f>IFERROR(_xlfn.XLOOKUP($C68,'Travel Time Savings'!$B$6:$B$41,'Travel Time Savings'!$G$6:$G$41,0,0,1),0)</f>
        <v>0</v>
      </c>
      <c r="E68" s="305">
        <f>IFERROR(_xlfn.XLOOKUP($C68,'Construction Travel Time Impact'!$B$6:$B$41,'Construction Travel Time Impact'!$G$6:$G$41,0,0,1),0)</f>
        <v>0</v>
      </c>
      <c r="F68" s="305">
        <f>IFERROR(_xlfn.XLOOKUP($C68,'VOC Savings'!$B$6:$B$41,'VOC Savings'!$G$6:$G$41,0,0,1),0)</f>
        <v>0</v>
      </c>
      <c r="G68" s="306">
        <f>IFERROR(_xlfn.XLOOKUP($C68,'Gravel Road VOC Impacts'!$B$6:$B$41,'Gravel Road VOC Impacts'!$G$6:$G$41,0,0,1),0)</f>
        <v>0</v>
      </c>
      <c r="H68" s="248">
        <f>IFERROR(_xlfn.XLOOKUP($C68,'Air Quality'!$B$6:$B$40,'Air Quality'!$D$6:$D$40,0,0,1),0)</f>
        <v>0</v>
      </c>
      <c r="I68" s="305">
        <f>IFERROR(_xlfn.XLOOKUP($C68,'Air Quality'!$B$6:$B$40,'Air Quality'!$L$6:$L$40,0,0,1),0)</f>
        <v>0</v>
      </c>
      <c r="J68" s="306">
        <f>IFERROR(_xlfn.XLOOKUP($C68,'Air Quality'!$B$6:$B$40,'Air Quality'!$E$6:$E$40,0,0,1),0)</f>
        <v>0</v>
      </c>
      <c r="K68" s="248">
        <f>IFERROR(_xlfn.XLOOKUP($C68,'Safety Improvements'!B$6:B$35,'Safety Improvements'!E$6:E$35,0,0,1),0)</f>
        <v>0</v>
      </c>
      <c r="L68" s="247">
        <f>IFERROR(_xlfn.XLOOKUP($C68,'Safety Impacts of Alt Routes'!$B$6:$B$35,'Safety Impacts of Alt Routes'!$E$6:$E$35,0,0,1),0)</f>
        <v>0</v>
      </c>
      <c r="M68" s="248">
        <f>IFERROR(_xlfn.XLOOKUP($C68,'O&amp;M + Rehab'!$B$5:$B$40,'O&amp;M + Rehab'!$E$5:$E$40,0,0,1),0)</f>
        <v>0</v>
      </c>
      <c r="N68" s="247">
        <f>IFERROR(_xlfn.XLOOKUP($C68,'Capital Cost + RCV'!$B$6:$B$41,'Capital Cost + RCV'!$E$6:$E$41,0,0,1),0)</f>
        <v>0</v>
      </c>
      <c r="O68" s="307">
        <f t="shared" si="2"/>
        <v>0</v>
      </c>
      <c r="P68" s="308">
        <f>IFERROR(SUM(D68,E68,I68,K68:N68,G68,F68)*(1+0.07)^-($C68-Assumptions!$D$7)+J68,0)</f>
        <v>0</v>
      </c>
    </row>
    <row r="69" spans="2:16" collapsed="1" x14ac:dyDescent="0.25">
      <c r="C69" s="3"/>
      <c r="N69" s="17" t="s">
        <v>2</v>
      </c>
      <c r="O69" s="227">
        <f>SUM(O8:O68)</f>
        <v>58848187.868208297</v>
      </c>
      <c r="P69" s="227">
        <f>SUM(P8:P68)</f>
        <v>23404065.461574413</v>
      </c>
    </row>
    <row r="70" spans="2:16" x14ac:dyDescent="0.25">
      <c r="B70" s="51"/>
      <c r="O70" s="309"/>
      <c r="P70" s="53"/>
    </row>
    <row r="71" spans="2:16" x14ac:dyDescent="0.25">
      <c r="C71" s="2"/>
      <c r="D71" s="85"/>
      <c r="E71" s="85"/>
      <c r="F71" s="85"/>
      <c r="G71" s="85"/>
      <c r="H71" s="85"/>
      <c r="I71" s="85"/>
      <c r="J71" s="85"/>
      <c r="K71" s="85"/>
      <c r="L71" s="85"/>
      <c r="M71" s="85"/>
      <c r="N71" s="85"/>
      <c r="O71" s="85"/>
    </row>
    <row r="72" spans="2:16" x14ac:dyDescent="0.25">
      <c r="C72" s="86"/>
      <c r="D72" s="59"/>
      <c r="E72" s="59"/>
      <c r="F72" s="59"/>
      <c r="G72" s="59"/>
      <c r="H72" s="59"/>
      <c r="I72" s="59"/>
      <c r="J72" s="59"/>
      <c r="K72" s="59"/>
      <c r="L72" s="59"/>
      <c r="M72" s="59"/>
      <c r="N72" s="59"/>
      <c r="O72" s="59"/>
    </row>
    <row r="75" spans="2:16" ht="15.75" thickBot="1" x14ac:dyDescent="0.3">
      <c r="C75" s="150" t="s">
        <v>7</v>
      </c>
      <c r="D75" s="310"/>
      <c r="E75" s="310"/>
    </row>
    <row r="76" spans="2:16" x14ac:dyDescent="0.25">
      <c r="C76" s="389" t="s">
        <v>0</v>
      </c>
      <c r="D76" s="391" t="s">
        <v>35</v>
      </c>
      <c r="E76" s="391" t="s">
        <v>31</v>
      </c>
    </row>
    <row r="77" spans="2:16" ht="15.75" thickBot="1" x14ac:dyDescent="0.3">
      <c r="C77" s="390"/>
      <c r="D77" s="392"/>
      <c r="E77" s="392"/>
    </row>
    <row r="78" spans="2:16" hidden="1" outlineLevel="1" x14ac:dyDescent="0.25">
      <c r="C78" s="295">
        <f>Assumptions!$D$6</f>
        <v>2023</v>
      </c>
      <c r="D78" s="311">
        <f>_xlfn.XLOOKUP($C78,'Capital Cost + RCV'!$B$6:$B$41,'Capital Cost + RCV'!$C$6:$C$41)</f>
        <v>0</v>
      </c>
      <c r="E78" s="312">
        <f>D78*(1+0.07)^-($C78-Assumptions!$D$7)</f>
        <v>0</v>
      </c>
      <c r="I78" s="1"/>
    </row>
    <row r="79" spans="2:16" collapsed="1" x14ac:dyDescent="0.25">
      <c r="C79" s="300">
        <f>C78+1</f>
        <v>2024</v>
      </c>
      <c r="D79" s="313">
        <f>_xlfn.XLOOKUP($C79,'Capital Cost + RCV'!$B$6:$B$41,'Capital Cost + RCV'!$C$6:$C$41)</f>
        <v>13609779.558148311</v>
      </c>
      <c r="E79" s="314">
        <f>D79*(1+0.07)^-($C79-Assumptions!$D$7)</f>
        <v>11109634.158268983</v>
      </c>
      <c r="I79" s="1"/>
      <c r="J79" s="20"/>
    </row>
    <row r="80" spans="2:16" ht="15" customHeight="1" thickBot="1" x14ac:dyDescent="0.3">
      <c r="C80" s="300">
        <f>C79+1</f>
        <v>2025</v>
      </c>
      <c r="D80" s="315">
        <f>_xlfn.XLOOKUP($C80,'Capital Cost + RCV'!$B$6:$B$41,'Capital Cost + RCV'!$C$6:$C$41)</f>
        <v>3565824.82</v>
      </c>
      <c r="E80" s="316">
        <f>D80*(1+0.07)^-($C80-Assumptions!$D$7)</f>
        <v>2720350.6821782282</v>
      </c>
      <c r="I80" s="1"/>
    </row>
    <row r="81" spans="2:5" ht="15.75" hidden="1" customHeight="1" outlineLevel="1" x14ac:dyDescent="0.25">
      <c r="C81" s="300">
        <f>C80+1</f>
        <v>2026</v>
      </c>
      <c r="D81" s="315">
        <f>_xlfn.XLOOKUP($C81,'Capital Cost + RCV'!$B$6:$B$41,'Capital Cost + RCV'!$C$6:$C$41)</f>
        <v>0</v>
      </c>
      <c r="E81" s="316">
        <f>D81*(1+0.07)^-($C81-Assumptions!$D$7)</f>
        <v>0</v>
      </c>
    </row>
    <row r="82" spans="2:5" ht="15.75" hidden="1" customHeight="1" outlineLevel="1" x14ac:dyDescent="0.25">
      <c r="B82" s="2"/>
      <c r="C82" s="300">
        <f t="shared" ref="C82:C113" si="3">C81+1</f>
        <v>2027</v>
      </c>
      <c r="D82" s="315">
        <f>_xlfn.XLOOKUP($C82,'Capital Cost + RCV'!$B$6:$B$41,'Capital Cost + RCV'!$C$6:$C$41)</f>
        <v>0</v>
      </c>
      <c r="E82" s="316">
        <f>D82*(1+0.07)^-($C82-Assumptions!$D$7)</f>
        <v>0</v>
      </c>
    </row>
    <row r="83" spans="2:5" ht="15.75" hidden="1" customHeight="1" outlineLevel="1" x14ac:dyDescent="0.25">
      <c r="C83" s="300">
        <f t="shared" si="3"/>
        <v>2028</v>
      </c>
      <c r="D83" s="315">
        <f>_xlfn.XLOOKUP($C83,'Capital Cost + RCV'!$B$6:$B$41,'Capital Cost + RCV'!$C$6:$C$41)</f>
        <v>0</v>
      </c>
      <c r="E83" s="316">
        <f>D83*(1+0.07)^-($C83-Assumptions!$D$7)</f>
        <v>0</v>
      </c>
    </row>
    <row r="84" spans="2:5" ht="15.75" hidden="1" customHeight="1" outlineLevel="1" x14ac:dyDescent="0.25">
      <c r="C84" s="300">
        <f t="shared" si="3"/>
        <v>2029</v>
      </c>
      <c r="D84" s="315">
        <f>_xlfn.XLOOKUP($C84,'Capital Cost + RCV'!$B$6:$B$41,'Capital Cost + RCV'!$C$6:$C$41)</f>
        <v>0</v>
      </c>
      <c r="E84" s="316">
        <f>D84*(1+0.07)^-($C84-Assumptions!$D$7)</f>
        <v>0</v>
      </c>
    </row>
    <row r="85" spans="2:5" ht="15.75" hidden="1" customHeight="1" outlineLevel="1" x14ac:dyDescent="0.25">
      <c r="C85" s="300">
        <f t="shared" si="3"/>
        <v>2030</v>
      </c>
      <c r="D85" s="315">
        <f>_xlfn.XLOOKUP($C85,'Capital Cost + RCV'!$B$6:$B$41,'Capital Cost + RCV'!$C$6:$C$41)</f>
        <v>0</v>
      </c>
      <c r="E85" s="316">
        <f>D85*(1+0.07)^-($C85-Assumptions!$D$7)</f>
        <v>0</v>
      </c>
    </row>
    <row r="86" spans="2:5" ht="15.75" hidden="1" customHeight="1" outlineLevel="1" x14ac:dyDescent="0.25">
      <c r="C86" s="300">
        <f t="shared" si="3"/>
        <v>2031</v>
      </c>
      <c r="D86" s="315">
        <f>_xlfn.XLOOKUP($C86,'Capital Cost + RCV'!$B$6:$B$41,'Capital Cost + RCV'!$C$6:$C$41)</f>
        <v>0</v>
      </c>
      <c r="E86" s="316">
        <f>D86*(1+0.07)^-($C86-Assumptions!$D$7)</f>
        <v>0</v>
      </c>
    </row>
    <row r="87" spans="2:5" ht="15.75" hidden="1" customHeight="1" outlineLevel="1" x14ac:dyDescent="0.25">
      <c r="C87" s="300">
        <f t="shared" si="3"/>
        <v>2032</v>
      </c>
      <c r="D87" s="315">
        <f>_xlfn.XLOOKUP($C87,'Capital Cost + RCV'!$B$6:$B$41,'Capital Cost + RCV'!$C$6:$C$41)</f>
        <v>0</v>
      </c>
      <c r="E87" s="316">
        <f>D87*(1+0.07)^-($C87-Assumptions!$D$7)</f>
        <v>0</v>
      </c>
    </row>
    <row r="88" spans="2:5" ht="15.75" hidden="1" customHeight="1" outlineLevel="1" x14ac:dyDescent="0.25">
      <c r="C88" s="300">
        <f t="shared" si="3"/>
        <v>2033</v>
      </c>
      <c r="D88" s="315">
        <f>_xlfn.XLOOKUP($C88,'Capital Cost + RCV'!$B$6:$B$41,'Capital Cost + RCV'!$C$6:$C$41)</f>
        <v>0</v>
      </c>
      <c r="E88" s="316">
        <f>D88*(1+0.07)^-($C88-Assumptions!$D$7)</f>
        <v>0</v>
      </c>
    </row>
    <row r="89" spans="2:5" ht="15.75" hidden="1" customHeight="1" outlineLevel="1" x14ac:dyDescent="0.25">
      <c r="C89" s="300">
        <f t="shared" si="3"/>
        <v>2034</v>
      </c>
      <c r="D89" s="315">
        <f>_xlfn.XLOOKUP($C89,'Capital Cost + RCV'!$B$6:$B$41,'Capital Cost + RCV'!$C$6:$C$41)</f>
        <v>0</v>
      </c>
      <c r="E89" s="316">
        <f>D89*(1+0.07)^-($C89-Assumptions!$D$7)</f>
        <v>0</v>
      </c>
    </row>
    <row r="90" spans="2:5" ht="15.75" hidden="1" customHeight="1" outlineLevel="1" x14ac:dyDescent="0.25">
      <c r="C90" s="300">
        <f t="shared" si="3"/>
        <v>2035</v>
      </c>
      <c r="D90" s="315">
        <f>_xlfn.XLOOKUP($C90,'Capital Cost + RCV'!$B$6:$B$41,'Capital Cost + RCV'!$C$6:$C$41)</f>
        <v>0</v>
      </c>
      <c r="E90" s="316">
        <f>D90*(1+0.07)^-($C90-Assumptions!$D$7)</f>
        <v>0</v>
      </c>
    </row>
    <row r="91" spans="2:5" ht="15.75" hidden="1" customHeight="1" outlineLevel="1" x14ac:dyDescent="0.25">
      <c r="C91" s="300">
        <f t="shared" si="3"/>
        <v>2036</v>
      </c>
      <c r="D91" s="315">
        <f>_xlfn.XLOOKUP($C91,'Capital Cost + RCV'!$B$6:$B$41,'Capital Cost + RCV'!$C$6:$C$41)</f>
        <v>0</v>
      </c>
      <c r="E91" s="316">
        <f>D91*(1+0.07)^-($C91-Assumptions!$D$7)</f>
        <v>0</v>
      </c>
    </row>
    <row r="92" spans="2:5" ht="15.75" hidden="1" customHeight="1" outlineLevel="1" x14ac:dyDescent="0.25">
      <c r="C92" s="300">
        <f t="shared" si="3"/>
        <v>2037</v>
      </c>
      <c r="D92" s="315">
        <f>_xlfn.XLOOKUP($C92,'Capital Cost + RCV'!$B$6:$B$41,'Capital Cost + RCV'!$C$6:$C$41)</f>
        <v>0</v>
      </c>
      <c r="E92" s="316">
        <f>D92*(1+0.07)^-($C92-Assumptions!$D$7)</f>
        <v>0</v>
      </c>
    </row>
    <row r="93" spans="2:5" ht="15.75" hidden="1" customHeight="1" outlineLevel="1" x14ac:dyDescent="0.25">
      <c r="C93" s="300">
        <f t="shared" si="3"/>
        <v>2038</v>
      </c>
      <c r="D93" s="315">
        <f>_xlfn.XLOOKUP($C93,'Capital Cost + RCV'!$B$6:$B$41,'Capital Cost + RCV'!$C$6:$C$41)</f>
        <v>0</v>
      </c>
      <c r="E93" s="316">
        <f>D93*(1+0.07)^-($C93-Assumptions!$D$7)</f>
        <v>0</v>
      </c>
    </row>
    <row r="94" spans="2:5" ht="15.75" hidden="1" customHeight="1" outlineLevel="1" x14ac:dyDescent="0.25">
      <c r="C94" s="300">
        <f t="shared" si="3"/>
        <v>2039</v>
      </c>
      <c r="D94" s="315">
        <f>_xlfn.XLOOKUP($C94,'Capital Cost + RCV'!$B$6:$B$41,'Capital Cost + RCV'!$C$6:$C$41)</f>
        <v>0</v>
      </c>
      <c r="E94" s="316">
        <f>D94*(1+0.07)^-($C94-Assumptions!$D$7)</f>
        <v>0</v>
      </c>
    </row>
    <row r="95" spans="2:5" ht="15.75" hidden="1" customHeight="1" outlineLevel="1" x14ac:dyDescent="0.25">
      <c r="C95" s="300">
        <f t="shared" si="3"/>
        <v>2040</v>
      </c>
      <c r="D95" s="315">
        <f>_xlfn.XLOOKUP($C95,'Capital Cost + RCV'!$B$6:$B$41,'Capital Cost + RCV'!$C$6:$C$41)</f>
        <v>0</v>
      </c>
      <c r="E95" s="316">
        <f>D95*(1+0.07)^-($C95-Assumptions!$D$7)</f>
        <v>0</v>
      </c>
    </row>
    <row r="96" spans="2:5" ht="15.75" hidden="1" customHeight="1" outlineLevel="1" x14ac:dyDescent="0.25">
      <c r="C96" s="300">
        <f t="shared" si="3"/>
        <v>2041</v>
      </c>
      <c r="D96" s="315">
        <f>_xlfn.XLOOKUP($C96,'Capital Cost + RCV'!$B$6:$B$41,'Capital Cost + RCV'!$C$6:$C$41)</f>
        <v>0</v>
      </c>
      <c r="E96" s="316">
        <f>D96*(1+0.07)^-($C96-Assumptions!$D$7)</f>
        <v>0</v>
      </c>
    </row>
    <row r="97" spans="3:10" ht="15.75" hidden="1" customHeight="1" outlineLevel="1" x14ac:dyDescent="0.25">
      <c r="C97" s="300">
        <f t="shared" si="3"/>
        <v>2042</v>
      </c>
      <c r="D97" s="315">
        <f>_xlfn.XLOOKUP($C97,'Capital Cost + RCV'!$B$6:$B$41,'Capital Cost + RCV'!$C$6:$C$41)</f>
        <v>0</v>
      </c>
      <c r="E97" s="316">
        <f>D97*(1+0.07)^-($C97-Assumptions!$D$7)</f>
        <v>0</v>
      </c>
    </row>
    <row r="98" spans="3:10" ht="15.75" hidden="1" customHeight="1" outlineLevel="1" x14ac:dyDescent="0.25">
      <c r="C98" s="300">
        <f t="shared" si="3"/>
        <v>2043</v>
      </c>
      <c r="D98" s="315">
        <f>_xlfn.XLOOKUP($C98,'Capital Cost + RCV'!$B$6:$B$41,'Capital Cost + RCV'!$C$6:$C$41)</f>
        <v>0</v>
      </c>
      <c r="E98" s="316">
        <f>D98*(1+0.07)^-($C98-Assumptions!$D$7)</f>
        <v>0</v>
      </c>
    </row>
    <row r="99" spans="3:10" ht="15.75" hidden="1" customHeight="1" outlineLevel="1" x14ac:dyDescent="0.25">
      <c r="C99" s="300">
        <f t="shared" si="3"/>
        <v>2044</v>
      </c>
      <c r="D99" s="315">
        <f>_xlfn.XLOOKUP($C99,'Capital Cost + RCV'!$B$6:$B$41,'Capital Cost + RCV'!$C$6:$C$41)</f>
        <v>0</v>
      </c>
      <c r="E99" s="316">
        <f>D99*(1+0.07)^-($C99-Assumptions!$D$7)</f>
        <v>0</v>
      </c>
    </row>
    <row r="100" spans="3:10" ht="15.75" hidden="1" customHeight="1" outlineLevel="1" x14ac:dyDescent="0.25">
      <c r="C100" s="300">
        <f>C99+1</f>
        <v>2045</v>
      </c>
      <c r="D100" s="315">
        <f>_xlfn.XLOOKUP($C100,'Capital Cost + RCV'!$B$6:$B$41,'Capital Cost + RCV'!$C$6:$C$41)</f>
        <v>0</v>
      </c>
      <c r="E100" s="316">
        <f>D100*(1+0.07)^-($C100-Assumptions!$D$7)</f>
        <v>0</v>
      </c>
    </row>
    <row r="101" spans="3:10" ht="15.75" hidden="1" customHeight="1" outlineLevel="1" x14ac:dyDescent="0.25">
      <c r="C101" s="300">
        <f>C100+1</f>
        <v>2046</v>
      </c>
      <c r="D101" s="315">
        <f>_xlfn.XLOOKUP($C101,'Capital Cost + RCV'!$B$6:$B$41,'Capital Cost + RCV'!$C$6:$C$41)</f>
        <v>0</v>
      </c>
      <c r="E101" s="316">
        <f>D101*(1+0.07)^-($C101-Assumptions!$D$7)</f>
        <v>0</v>
      </c>
    </row>
    <row r="102" spans="3:10" ht="15.75" hidden="1" customHeight="1" outlineLevel="1" x14ac:dyDescent="0.25">
      <c r="C102" s="300">
        <f t="shared" si="3"/>
        <v>2047</v>
      </c>
      <c r="D102" s="315">
        <f>_xlfn.XLOOKUP($C102,'Capital Cost + RCV'!$B$6:$B$41,'Capital Cost + RCV'!$C$6:$C$41)</f>
        <v>0</v>
      </c>
      <c r="E102" s="316">
        <f>D102*(1+0.07)^-($C102-Assumptions!$D$7)</f>
        <v>0</v>
      </c>
    </row>
    <row r="103" spans="3:10" ht="15.75" hidden="1" customHeight="1" outlineLevel="1" x14ac:dyDescent="0.25">
      <c r="C103" s="300">
        <f t="shared" si="3"/>
        <v>2048</v>
      </c>
      <c r="D103" s="315">
        <f>_xlfn.XLOOKUP($C103,'Capital Cost + RCV'!$B$6:$B$41,'Capital Cost + RCV'!$C$6:$C$41)</f>
        <v>0</v>
      </c>
      <c r="E103" s="316">
        <f>D103*(1+0.07)^-($C103-Assumptions!$D$7)</f>
        <v>0</v>
      </c>
      <c r="I103" s="317"/>
      <c r="J103" s="317"/>
    </row>
    <row r="104" spans="3:10" ht="15.75" hidden="1" customHeight="1" outlineLevel="1" x14ac:dyDescent="0.25">
      <c r="C104" s="300">
        <f t="shared" si="3"/>
        <v>2049</v>
      </c>
      <c r="D104" s="315">
        <f>_xlfn.XLOOKUP($C104,'Capital Cost + RCV'!$B$6:$B$41,'Capital Cost + RCV'!$C$6:$C$41)</f>
        <v>0</v>
      </c>
      <c r="E104" s="316">
        <f>D104*(1+0.07)^-($C104-Assumptions!$D$7)</f>
        <v>0</v>
      </c>
      <c r="I104" s="4"/>
      <c r="J104" s="4"/>
    </row>
    <row r="105" spans="3:10" ht="15.75" hidden="1" customHeight="1" outlineLevel="1" x14ac:dyDescent="0.25">
      <c r="C105" s="300">
        <f t="shared" si="3"/>
        <v>2050</v>
      </c>
      <c r="D105" s="315">
        <f>_xlfn.XLOOKUP($C105,'Capital Cost + RCV'!$B$6:$B$41,'Capital Cost + RCV'!$C$6:$C$41)</f>
        <v>0</v>
      </c>
      <c r="E105" s="316">
        <f>D105*(1+0.07)^-($C105-Assumptions!$D$7)</f>
        <v>0</v>
      </c>
      <c r="I105" s="317"/>
      <c r="J105" s="317"/>
    </row>
    <row r="106" spans="3:10" ht="15.75" hidden="1" customHeight="1" outlineLevel="1" x14ac:dyDescent="0.25">
      <c r="C106" s="300">
        <f t="shared" si="3"/>
        <v>2051</v>
      </c>
      <c r="D106" s="315">
        <f>_xlfn.XLOOKUP($C106,'Capital Cost + RCV'!$B$6:$B$41,'Capital Cost + RCV'!$C$6:$C$41)</f>
        <v>0</v>
      </c>
      <c r="E106" s="316">
        <f>D106*(1+0.07)^-($C106-Assumptions!$D$7)</f>
        <v>0</v>
      </c>
      <c r="I106" s="317"/>
      <c r="J106" s="317"/>
    </row>
    <row r="107" spans="3:10" ht="15.75" hidden="1" customHeight="1" outlineLevel="1" x14ac:dyDescent="0.25">
      <c r="C107" s="300">
        <f t="shared" si="3"/>
        <v>2052</v>
      </c>
      <c r="D107" s="315">
        <f>_xlfn.XLOOKUP($C107,'Capital Cost + RCV'!$B$6:$B$41,'Capital Cost + RCV'!$C$6:$C$41)</f>
        <v>0</v>
      </c>
      <c r="E107" s="316">
        <f>D107*(1+0.07)^-($C107-Assumptions!$D$7)</f>
        <v>0</v>
      </c>
      <c r="I107" s="317"/>
      <c r="J107" s="317"/>
    </row>
    <row r="108" spans="3:10" ht="15.75" hidden="1" customHeight="1" outlineLevel="1" x14ac:dyDescent="0.25">
      <c r="C108" s="187">
        <f t="shared" si="3"/>
        <v>2053</v>
      </c>
      <c r="D108" s="315">
        <f>_xlfn.XLOOKUP($C108,'Capital Cost + RCV'!$B$6:$B$41,'Capital Cost + RCV'!$C$6:$C$41)</f>
        <v>0</v>
      </c>
      <c r="E108" s="316">
        <f>D108*(1+0.07)^-($C108-Assumptions!$D$7)</f>
        <v>0</v>
      </c>
      <c r="I108" s="317"/>
      <c r="J108" s="317"/>
    </row>
    <row r="109" spans="3:10" ht="15.75" hidden="1" customHeight="1" outlineLevel="1" x14ac:dyDescent="0.25">
      <c r="C109" s="187">
        <f t="shared" si="3"/>
        <v>2054</v>
      </c>
      <c r="D109" s="315">
        <f>_xlfn.XLOOKUP($C109,'Capital Cost + RCV'!$B$6:$B$41,'Capital Cost + RCV'!$C$6:$C$41)</f>
        <v>0</v>
      </c>
      <c r="E109" s="316">
        <f>D109*(1+0.07)^-($C109-Assumptions!$D$7)</f>
        <v>0</v>
      </c>
    </row>
    <row r="110" spans="3:10" ht="15.75" hidden="1" customHeight="1" outlineLevel="1" x14ac:dyDescent="0.25">
      <c r="C110" s="187">
        <f t="shared" si="3"/>
        <v>2055</v>
      </c>
      <c r="D110" s="315">
        <f>_xlfn.XLOOKUP($C110,'Capital Cost + RCV'!$B$6:$B$41,'Capital Cost + RCV'!$C$6:$C$41)</f>
        <v>0</v>
      </c>
      <c r="E110" s="316">
        <f>D110*(1+0.07)^-($C110-Assumptions!$D$7)</f>
        <v>0</v>
      </c>
    </row>
    <row r="111" spans="3:10" ht="15.75" hidden="1" customHeight="1" outlineLevel="1" x14ac:dyDescent="0.25">
      <c r="C111" s="187">
        <f t="shared" si="3"/>
        <v>2056</v>
      </c>
      <c r="D111" s="315">
        <f>_xlfn.XLOOKUP($C111,'Capital Cost + RCV'!$B$6:$B$41,'Capital Cost + RCV'!$C$6:$C$41)</f>
        <v>0</v>
      </c>
      <c r="E111" s="316">
        <f>D111*(1+0.07)^-($C111-Assumptions!$D$7)</f>
        <v>0</v>
      </c>
    </row>
    <row r="112" spans="3:10" ht="15.75" hidden="1" customHeight="1" outlineLevel="1" x14ac:dyDescent="0.25">
      <c r="C112" s="187">
        <f t="shared" si="3"/>
        <v>2057</v>
      </c>
      <c r="D112" s="315">
        <f>_xlfn.XLOOKUP($C112,'Capital Cost + RCV'!$B$6:$B$41,'Capital Cost + RCV'!$C$6:$C$41)</f>
        <v>0</v>
      </c>
      <c r="E112" s="316">
        <f>D112*(1+0.07)^-($C112-Assumptions!$D$7)</f>
        <v>0</v>
      </c>
    </row>
    <row r="113" spans="3:17" ht="15.75" hidden="1" customHeight="1" outlineLevel="1" thickBot="1" x14ac:dyDescent="0.3">
      <c r="C113" s="187">
        <f t="shared" si="3"/>
        <v>2058</v>
      </c>
      <c r="D113" s="315">
        <f>_xlfn.XLOOKUP($C113,'Capital Cost + RCV'!$B$6:$B$41,'Capital Cost + RCV'!$C$6:$C$41)</f>
        <v>0</v>
      </c>
      <c r="E113" s="316">
        <f>D113*(1+0.07)^-($C113-Assumptions!$D$7)</f>
        <v>0</v>
      </c>
    </row>
    <row r="114" spans="3:17" ht="15.75" collapsed="1" thickBot="1" x14ac:dyDescent="0.3">
      <c r="C114" s="41" t="s">
        <v>51</v>
      </c>
      <c r="D114" s="318">
        <f>SUM(D78:D113)</f>
        <v>17175604.37814831</v>
      </c>
      <c r="E114" s="319">
        <f>SUM(E78:E113)</f>
        <v>13829984.84044721</v>
      </c>
      <c r="J114" s="310"/>
      <c r="K114" s="320"/>
      <c r="L114" s="320"/>
    </row>
    <row r="115" spans="3:17" x14ac:dyDescent="0.25">
      <c r="D115" s="309"/>
      <c r="E115" s="53"/>
      <c r="F115" s="53"/>
      <c r="J115" s="310"/>
      <c r="K115" s="320"/>
      <c r="L115" s="320"/>
    </row>
    <row r="116" spans="3:17" ht="15.75" thickBot="1" x14ac:dyDescent="0.3">
      <c r="C116" s="38" t="s">
        <v>13</v>
      </c>
      <c r="E116" s="20"/>
      <c r="F116" s="20"/>
    </row>
    <row r="117" spans="3:17" ht="15.75" thickBot="1" x14ac:dyDescent="0.3">
      <c r="C117" s="321"/>
      <c r="D117" s="7">
        <v>7.0000000000000007E-2</v>
      </c>
      <c r="E117" s="20"/>
      <c r="F117" s="20"/>
    </row>
    <row r="118" spans="3:17" x14ac:dyDescent="0.25">
      <c r="C118" s="5" t="s">
        <v>10</v>
      </c>
      <c r="D118" s="322">
        <f>P69</f>
        <v>23404065.461574413</v>
      </c>
      <c r="E118" s="317"/>
      <c r="F118" s="317"/>
      <c r="J118" s="20"/>
      <c r="K118" s="20"/>
      <c r="L118" s="20"/>
      <c r="M118" s="20"/>
      <c r="N118" s="20"/>
      <c r="O118" s="20"/>
      <c r="P118" s="20"/>
      <c r="Q118" s="20"/>
    </row>
    <row r="119" spans="3:17" ht="15.75" thickBot="1" x14ac:dyDescent="0.3">
      <c r="C119" s="6" t="s">
        <v>11</v>
      </c>
      <c r="D119" s="323">
        <f>E114</f>
        <v>13829984.84044721</v>
      </c>
    </row>
    <row r="120" spans="3:17" ht="15.75" thickTop="1" x14ac:dyDescent="0.25">
      <c r="C120" s="23" t="s">
        <v>12</v>
      </c>
      <c r="D120" s="55">
        <f>D118/D119</f>
        <v>1.6922697842102343</v>
      </c>
    </row>
    <row r="121" spans="3:17" ht="15.75" thickBot="1" x14ac:dyDescent="0.3">
      <c r="C121" s="24" t="s">
        <v>34</v>
      </c>
      <c r="D121" s="324">
        <f>D118-D119</f>
        <v>9574080.6211272031</v>
      </c>
    </row>
    <row r="123" spans="3:17" ht="15.75" thickBot="1" x14ac:dyDescent="0.3">
      <c r="C123" s="38" t="s">
        <v>151</v>
      </c>
    </row>
    <row r="124" spans="3:17" ht="15.75" thickBot="1" x14ac:dyDescent="0.3">
      <c r="C124" s="321"/>
      <c r="D124" s="7">
        <v>7.0000000000000007E-2</v>
      </c>
    </row>
    <row r="125" spans="3:17" x14ac:dyDescent="0.25">
      <c r="C125" s="5" t="s">
        <v>10</v>
      </c>
      <c r="D125" s="322">
        <f>MROUND(D118,50000)</f>
        <v>23400000</v>
      </c>
    </row>
    <row r="126" spans="3:17" ht="15.75" thickBot="1" x14ac:dyDescent="0.3">
      <c r="C126" s="6" t="s">
        <v>11</v>
      </c>
      <c r="D126" s="323">
        <f>MROUND(D119,50000)</f>
        <v>13850000</v>
      </c>
    </row>
    <row r="127" spans="3:17" ht="15.75" thickTop="1" x14ac:dyDescent="0.25">
      <c r="C127" s="23" t="s">
        <v>12</v>
      </c>
      <c r="D127" s="55">
        <f>D125/D126</f>
        <v>1.6895306859205776</v>
      </c>
    </row>
    <row r="128" spans="3:17" ht="15.75" thickBot="1" x14ac:dyDescent="0.3">
      <c r="C128" s="24" t="s">
        <v>34</v>
      </c>
      <c r="D128" s="324">
        <f>D125-D126</f>
        <v>9550000</v>
      </c>
    </row>
  </sheetData>
  <mergeCells count="21">
    <mergeCell ref="O6:O7"/>
    <mergeCell ref="M5:N5"/>
    <mergeCell ref="P6:P7"/>
    <mergeCell ref="H5:J5"/>
    <mergeCell ref="D5:G5"/>
    <mergeCell ref="K5:L5"/>
    <mergeCell ref="E6:E7"/>
    <mergeCell ref="C76:C77"/>
    <mergeCell ref="D76:D77"/>
    <mergeCell ref="E76:E77"/>
    <mergeCell ref="N6:N7"/>
    <mergeCell ref="K6:K7"/>
    <mergeCell ref="M6:M7"/>
    <mergeCell ref="J6:J7"/>
    <mergeCell ref="C6:C7"/>
    <mergeCell ref="D6:D7"/>
    <mergeCell ref="I6:I7"/>
    <mergeCell ref="G6:G7"/>
    <mergeCell ref="H6:H7"/>
    <mergeCell ref="L6:L7"/>
    <mergeCell ref="F6:F7"/>
  </mergeCells>
  <pageMargins left="0.25" right="0.25" top="0.75" bottom="0.75" header="0.3" footer="0.3"/>
  <pageSetup paperSize="3" scale="8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B85DE4-7E91-48A8-9E9B-B8F0C21E3F82}">
  <sheetPr>
    <tabColor theme="0" tint="-0.14999847407452621"/>
    <pageSetUpPr fitToPage="1"/>
  </sheetPr>
  <dimension ref="B4:AJ228"/>
  <sheetViews>
    <sheetView view="pageBreakPreview" topLeftCell="A180" zoomScale="70" zoomScaleNormal="40" zoomScaleSheetLayoutView="70" workbookViewId="0">
      <selection activeCell="C203" sqref="C203:G211"/>
    </sheetView>
  </sheetViews>
  <sheetFormatPr defaultRowHeight="15" x14ac:dyDescent="0.25"/>
  <cols>
    <col min="2" max="2" width="13.140625" customWidth="1"/>
    <col min="3" max="3" width="82" customWidth="1"/>
    <col min="4" max="12" width="29.42578125" customWidth="1"/>
    <col min="13" max="13" width="17" bestFit="1" customWidth="1"/>
    <col min="14" max="15" width="13.85546875" bestFit="1" customWidth="1"/>
    <col min="16" max="17" width="26.42578125" bestFit="1" customWidth="1"/>
    <col min="18" max="19" width="25.85546875" bestFit="1" customWidth="1"/>
    <col min="20" max="22" width="23.28515625" bestFit="1" customWidth="1"/>
    <col min="23" max="24" width="26.42578125" bestFit="1" customWidth="1"/>
    <col min="25" max="26" width="36.28515625" bestFit="1" customWidth="1"/>
    <col min="27" max="28" width="34.42578125" bestFit="1" customWidth="1"/>
    <col min="29" max="30" width="34.42578125" customWidth="1"/>
    <col min="31" max="31" width="24.5703125" style="3" bestFit="1" customWidth="1"/>
    <col min="32" max="32" width="22.5703125" style="3" customWidth="1"/>
    <col min="33" max="35" width="24.85546875" style="3" bestFit="1" customWidth="1"/>
    <col min="36" max="36" width="26.42578125" bestFit="1" customWidth="1"/>
    <col min="37" max="40" width="34.42578125" customWidth="1"/>
    <col min="41" max="41" width="36.7109375" customWidth="1"/>
  </cols>
  <sheetData>
    <row r="4" spans="3:35" ht="23.25" x14ac:dyDescent="0.35">
      <c r="C4" s="9" t="s">
        <v>706</v>
      </c>
    </row>
    <row r="5" spans="3:35" x14ac:dyDescent="0.25">
      <c r="AE5"/>
      <c r="AF5"/>
      <c r="AG5"/>
      <c r="AH5"/>
      <c r="AI5"/>
    </row>
    <row r="6" spans="3:35" x14ac:dyDescent="0.25">
      <c r="C6" s="1" t="s">
        <v>718</v>
      </c>
    </row>
    <row r="7" spans="3:35" x14ac:dyDescent="0.25">
      <c r="C7" s="26" t="s">
        <v>33</v>
      </c>
      <c r="D7" s="26" t="s">
        <v>53</v>
      </c>
      <c r="E7" s="26" t="s">
        <v>213</v>
      </c>
      <c r="F7" s="26" t="s">
        <v>214</v>
      </c>
    </row>
    <row r="8" spans="3:35" x14ac:dyDescent="0.25">
      <c r="C8" s="26">
        <f>Assumptions!$C$33</f>
        <v>2022</v>
      </c>
      <c r="D8" s="28">
        <f>Assumptions!$D$33</f>
        <v>205</v>
      </c>
      <c r="E8" s="28">
        <f>$D$8*D14</f>
        <v>188.81578947368422</v>
      </c>
      <c r="F8" s="28">
        <f>$D$8*Assumptions!$D$15</f>
        <v>16.184210526315788</v>
      </c>
    </row>
    <row r="9" spans="3:35" x14ac:dyDescent="0.25">
      <c r="C9" s="26">
        <f>Assumptions!$C$34</f>
        <v>2039</v>
      </c>
      <c r="D9" s="28">
        <f>Assumptions!$D$34</f>
        <v>229.20138888888889</v>
      </c>
      <c r="E9" s="28">
        <f>$D$9*D14</f>
        <v>211.1065423976608</v>
      </c>
      <c r="F9" s="28">
        <f>$D$9*Assumptions!$D$15</f>
        <v>18.094846491228068</v>
      </c>
    </row>
    <row r="10" spans="3:35" x14ac:dyDescent="0.25">
      <c r="C10" t="s">
        <v>720</v>
      </c>
      <c r="D10" s="61"/>
    </row>
    <row r="11" spans="3:35" x14ac:dyDescent="0.25">
      <c r="C11" s="3"/>
      <c r="D11" s="61"/>
    </row>
    <row r="12" spans="3:35" x14ac:dyDescent="0.25">
      <c r="C12" s="1" t="s">
        <v>99</v>
      </c>
    </row>
    <row r="13" spans="3:35" x14ac:dyDescent="0.25">
      <c r="C13" s="26" t="s">
        <v>98</v>
      </c>
      <c r="D13" s="62">
        <f>Assumptions!$D$15</f>
        <v>7.8947368421052627E-2</v>
      </c>
    </row>
    <row r="14" spans="3:35" x14ac:dyDescent="0.25">
      <c r="C14" s="26" t="s">
        <v>97</v>
      </c>
      <c r="D14" s="62">
        <f>Assumptions!$D$14</f>
        <v>0.92105263157894735</v>
      </c>
    </row>
    <row r="15" spans="3:35" x14ac:dyDescent="0.25">
      <c r="C15" t="s">
        <v>719</v>
      </c>
      <c r="D15" s="90"/>
    </row>
    <row r="16" spans="3:35" x14ac:dyDescent="0.25">
      <c r="C16" s="3"/>
      <c r="D16" s="156"/>
      <c r="E16" s="156"/>
    </row>
    <row r="17" spans="3:36" x14ac:dyDescent="0.25">
      <c r="C17" s="1" t="s">
        <v>267</v>
      </c>
      <c r="D17" s="155"/>
      <c r="E17" s="155"/>
    </row>
    <row r="18" spans="3:36" x14ac:dyDescent="0.25">
      <c r="C18" s="25" t="s">
        <v>143</v>
      </c>
      <c r="D18" s="26" t="s">
        <v>272</v>
      </c>
      <c r="E18" s="26" t="s">
        <v>273</v>
      </c>
    </row>
    <row r="19" spans="3:36" x14ac:dyDescent="0.25">
      <c r="C19" s="25" t="s">
        <v>261</v>
      </c>
      <c r="D19" s="89">
        <f>'Traffic Patterns'!$D$12</f>
        <v>0.35</v>
      </c>
      <c r="E19" s="89">
        <f>'Traffic Patterns'!$E$12</f>
        <v>0.65</v>
      </c>
    </row>
    <row r="20" spans="3:36" x14ac:dyDescent="0.25">
      <c r="C20" t="s">
        <v>275</v>
      </c>
      <c r="E20" s="95"/>
    </row>
    <row r="21" spans="3:36" x14ac:dyDescent="0.25">
      <c r="D21" s="3"/>
      <c r="AE21"/>
      <c r="AJ21" s="3"/>
    </row>
    <row r="22" spans="3:36" x14ac:dyDescent="0.25">
      <c r="C22" s="1" t="s">
        <v>219</v>
      </c>
      <c r="E22" s="61"/>
      <c r="AE22"/>
      <c r="AJ22" s="3"/>
    </row>
    <row r="23" spans="3:36" x14ac:dyDescent="0.25">
      <c r="C23" s="25" t="s">
        <v>271</v>
      </c>
      <c r="D23" s="26">
        <f>Assumptions!$D$25</f>
        <v>13.15</v>
      </c>
      <c r="AE23"/>
      <c r="AJ23" s="3"/>
    </row>
    <row r="24" spans="3:36" x14ac:dyDescent="0.25">
      <c r="C24" s="25" t="s">
        <v>764</v>
      </c>
      <c r="D24" s="157">
        <f>($D$23/Assumptions!$D$26)*60</f>
        <v>12.138461538461538</v>
      </c>
      <c r="E24" s="61"/>
      <c r="AE24"/>
      <c r="AJ24" s="3"/>
    </row>
    <row r="25" spans="3:36" x14ac:dyDescent="0.25">
      <c r="C25" s="25" t="s">
        <v>767</v>
      </c>
      <c r="D25" s="117">
        <f>($D$23/Assumptions!$D$27)*60</f>
        <v>15.780000000000001</v>
      </c>
      <c r="E25" s="61"/>
      <c r="AE25"/>
      <c r="AJ25" s="3"/>
    </row>
    <row r="26" spans="3:36" x14ac:dyDescent="0.25">
      <c r="C26" s="25" t="s">
        <v>270</v>
      </c>
      <c r="D26" s="157">
        <f>D25-D24</f>
        <v>3.6415384615384632</v>
      </c>
      <c r="AE26"/>
      <c r="AJ26" s="3"/>
    </row>
    <row r="27" spans="3:36" x14ac:dyDescent="0.25">
      <c r="C27" t="s">
        <v>766</v>
      </c>
      <c r="AE27"/>
      <c r="AJ27" s="3"/>
    </row>
    <row r="28" spans="3:36" x14ac:dyDescent="0.25">
      <c r="AE28"/>
      <c r="AJ28" s="3"/>
    </row>
    <row r="29" spans="3:36" x14ac:dyDescent="0.25">
      <c r="C29" s="1" t="s">
        <v>717</v>
      </c>
      <c r="AE29"/>
      <c r="AJ29" s="3"/>
    </row>
    <row r="30" spans="3:36" x14ac:dyDescent="0.25">
      <c r="C30" s="199" t="s">
        <v>714</v>
      </c>
      <c r="AE30"/>
      <c r="AJ30" s="3"/>
    </row>
    <row r="31" spans="3:36" x14ac:dyDescent="0.25">
      <c r="C31" s="175" t="s">
        <v>712</v>
      </c>
      <c r="AE31"/>
      <c r="AJ31" s="3"/>
    </row>
    <row r="32" spans="3:36" x14ac:dyDescent="0.25">
      <c r="C32" s="219" t="s">
        <v>715</v>
      </c>
      <c r="AE32"/>
      <c r="AJ32" s="3"/>
    </row>
    <row r="33" spans="3:36" x14ac:dyDescent="0.25">
      <c r="C33" s="198" t="s">
        <v>713</v>
      </c>
      <c r="AE33"/>
      <c r="AJ33" s="3"/>
    </row>
    <row r="34" spans="3:36" x14ac:dyDescent="0.25">
      <c r="C34" s="194" t="s">
        <v>728</v>
      </c>
      <c r="AE34"/>
      <c r="AJ34" s="3"/>
    </row>
    <row r="35" spans="3:36" x14ac:dyDescent="0.25">
      <c r="AE35"/>
      <c r="AJ35" s="3"/>
    </row>
    <row r="36" spans="3:36" x14ac:dyDescent="0.25">
      <c r="C36" s="1" t="s">
        <v>262</v>
      </c>
      <c r="AE36"/>
      <c r="AF36"/>
      <c r="AG36"/>
      <c r="AH36"/>
      <c r="AI36"/>
    </row>
    <row r="37" spans="3:36" x14ac:dyDescent="0.25">
      <c r="C37" s="39" t="s">
        <v>94</v>
      </c>
      <c r="D37" s="39" t="s">
        <v>93</v>
      </c>
      <c r="E37" s="39" t="s">
        <v>837</v>
      </c>
      <c r="F37" s="39" t="s">
        <v>835</v>
      </c>
      <c r="G37" s="39" t="s">
        <v>836</v>
      </c>
      <c r="H37" s="39" t="s">
        <v>841</v>
      </c>
      <c r="AC37" s="3"/>
      <c r="AD37" s="3"/>
      <c r="AE37"/>
      <c r="AJ37" s="3"/>
    </row>
    <row r="38" spans="3:36" x14ac:dyDescent="0.25">
      <c r="C38" s="210" t="s">
        <v>692</v>
      </c>
      <c r="D38" s="209" t="s">
        <v>87</v>
      </c>
      <c r="E38" s="288">
        <v>0</v>
      </c>
      <c r="F38" s="384">
        <v>33</v>
      </c>
      <c r="G38" s="384">
        <f>33+$D$26</f>
        <v>36.64153846153846</v>
      </c>
      <c r="H38" s="386" t="s">
        <v>156</v>
      </c>
      <c r="AC38" s="3"/>
      <c r="AD38" s="3"/>
      <c r="AE38"/>
      <c r="AJ38" s="3"/>
    </row>
    <row r="39" spans="3:36" x14ac:dyDescent="0.25">
      <c r="C39" s="210" t="s">
        <v>691</v>
      </c>
      <c r="D39" s="209" t="s">
        <v>87</v>
      </c>
      <c r="E39" s="288">
        <v>0.65</v>
      </c>
      <c r="F39" s="384">
        <v>37.9</v>
      </c>
      <c r="G39" s="384">
        <v>37</v>
      </c>
      <c r="H39" s="386" t="s">
        <v>156</v>
      </c>
    </row>
    <row r="40" spans="3:36" x14ac:dyDescent="0.25">
      <c r="C40" s="210" t="s">
        <v>690</v>
      </c>
      <c r="D40" s="209" t="s">
        <v>87</v>
      </c>
      <c r="E40" s="288">
        <v>0</v>
      </c>
      <c r="F40" s="384">
        <v>18.5</v>
      </c>
      <c r="G40" s="384">
        <f>20+$D$26</f>
        <v>23.641538461538463</v>
      </c>
      <c r="H40" s="386" t="s">
        <v>158</v>
      </c>
    </row>
    <row r="41" spans="3:36" x14ac:dyDescent="0.25">
      <c r="C41" s="210" t="s">
        <v>693</v>
      </c>
      <c r="D41" s="209" t="s">
        <v>87</v>
      </c>
      <c r="E41" s="288">
        <v>0.35</v>
      </c>
      <c r="F41" s="384">
        <v>26</v>
      </c>
      <c r="G41" s="384">
        <v>26</v>
      </c>
      <c r="H41" s="386" t="s">
        <v>157</v>
      </c>
    </row>
    <row r="42" spans="3:36" x14ac:dyDescent="0.25">
      <c r="C42" s="212" t="s">
        <v>697</v>
      </c>
      <c r="D42" s="211" t="s">
        <v>86</v>
      </c>
      <c r="E42" s="289">
        <v>0</v>
      </c>
      <c r="F42" s="385">
        <v>33</v>
      </c>
      <c r="G42" s="385">
        <f>33+$D$26</f>
        <v>36.64153846153846</v>
      </c>
      <c r="H42" s="386" t="s">
        <v>156</v>
      </c>
    </row>
    <row r="43" spans="3:36" x14ac:dyDescent="0.25">
      <c r="C43" s="212" t="s">
        <v>694</v>
      </c>
      <c r="D43" s="211" t="s">
        <v>86</v>
      </c>
      <c r="E43" s="289">
        <v>0.65</v>
      </c>
      <c r="F43" s="385">
        <v>37.9</v>
      </c>
      <c r="G43" s="385">
        <v>37</v>
      </c>
      <c r="H43" s="386" t="s">
        <v>156</v>
      </c>
    </row>
    <row r="44" spans="3:36" x14ac:dyDescent="0.25">
      <c r="C44" s="212" t="s">
        <v>695</v>
      </c>
      <c r="D44" s="211" t="s">
        <v>86</v>
      </c>
      <c r="E44" s="289">
        <v>0.35</v>
      </c>
      <c r="F44" s="385">
        <v>18.5</v>
      </c>
      <c r="G44" s="385">
        <f>20+$D$26</f>
        <v>23.641538461538463</v>
      </c>
      <c r="H44" s="386" t="s">
        <v>158</v>
      </c>
    </row>
    <row r="45" spans="3:36" x14ac:dyDescent="0.25">
      <c r="C45" s="212" t="s">
        <v>696</v>
      </c>
      <c r="D45" s="211" t="s">
        <v>86</v>
      </c>
      <c r="E45" s="289">
        <v>0</v>
      </c>
      <c r="F45" s="385">
        <v>26</v>
      </c>
      <c r="G45" s="385">
        <v>26</v>
      </c>
      <c r="H45" s="386" t="s">
        <v>157</v>
      </c>
    </row>
    <row r="46" spans="3:36" x14ac:dyDescent="0.25">
      <c r="C46" t="s">
        <v>840</v>
      </c>
      <c r="D46" s="3"/>
      <c r="E46" s="61"/>
      <c r="I46" s="3"/>
      <c r="J46" s="3"/>
    </row>
    <row r="47" spans="3:36" x14ac:dyDescent="0.25">
      <c r="C47" t="s">
        <v>839</v>
      </c>
      <c r="D47" s="3"/>
      <c r="E47" s="61"/>
      <c r="I47" s="3"/>
      <c r="J47" s="3"/>
    </row>
    <row r="48" spans="3:36" x14ac:dyDescent="0.25">
      <c r="E48" s="3"/>
      <c r="I48" s="3"/>
    </row>
    <row r="49" spans="3:21" x14ac:dyDescent="0.25">
      <c r="C49" s="1" t="s">
        <v>263</v>
      </c>
      <c r="E49" s="3"/>
      <c r="I49" s="3"/>
    </row>
    <row r="50" spans="3:21" x14ac:dyDescent="0.25">
      <c r="C50" s="39" t="s">
        <v>94</v>
      </c>
      <c r="D50" s="39" t="s">
        <v>93</v>
      </c>
      <c r="E50" s="39" t="s">
        <v>837</v>
      </c>
      <c r="F50" s="39" t="s">
        <v>835</v>
      </c>
      <c r="G50" s="39" t="s">
        <v>836</v>
      </c>
      <c r="H50" s="39" t="s">
        <v>841</v>
      </c>
    </row>
    <row r="51" spans="3:21" x14ac:dyDescent="0.25">
      <c r="C51" s="210" t="s">
        <v>698</v>
      </c>
      <c r="D51" s="209" t="s">
        <v>87</v>
      </c>
      <c r="E51" s="174">
        <v>0.65</v>
      </c>
      <c r="F51" s="384">
        <v>33</v>
      </c>
      <c r="G51" s="384">
        <f>33</f>
        <v>33</v>
      </c>
      <c r="H51" s="386" t="s">
        <v>156</v>
      </c>
    </row>
    <row r="52" spans="3:21" x14ac:dyDescent="0.25">
      <c r="C52" s="210" t="s">
        <v>699</v>
      </c>
      <c r="D52" s="209" t="s">
        <v>87</v>
      </c>
      <c r="E52" s="174">
        <v>0.35</v>
      </c>
      <c r="F52" s="384">
        <v>18.5</v>
      </c>
      <c r="G52" s="384">
        <f>20</f>
        <v>20</v>
      </c>
      <c r="H52" s="386" t="s">
        <v>158</v>
      </c>
    </row>
    <row r="53" spans="3:21" x14ac:dyDescent="0.25">
      <c r="C53" s="212" t="s">
        <v>700</v>
      </c>
      <c r="D53" s="211" t="s">
        <v>86</v>
      </c>
      <c r="E53" s="202">
        <v>0.65</v>
      </c>
      <c r="F53" s="385">
        <v>33</v>
      </c>
      <c r="G53" s="385">
        <f>33</f>
        <v>33</v>
      </c>
      <c r="H53" s="386" t="s">
        <v>156</v>
      </c>
    </row>
    <row r="54" spans="3:21" x14ac:dyDescent="0.25">
      <c r="C54" s="212" t="s">
        <v>701</v>
      </c>
      <c r="D54" s="211" t="s">
        <v>86</v>
      </c>
      <c r="E54" s="202">
        <v>0.35</v>
      </c>
      <c r="F54" s="385">
        <v>18.5</v>
      </c>
      <c r="G54" s="385">
        <f>20</f>
        <v>20</v>
      </c>
      <c r="H54" s="386" t="s">
        <v>158</v>
      </c>
    </row>
    <row r="55" spans="3:21" x14ac:dyDescent="0.25">
      <c r="C55" t="s">
        <v>838</v>
      </c>
      <c r="D55" s="3"/>
      <c r="E55" s="61"/>
    </row>
    <row r="56" spans="3:21" x14ac:dyDescent="0.25">
      <c r="C56" t="s">
        <v>839</v>
      </c>
      <c r="D56" s="3"/>
      <c r="E56" s="61"/>
    </row>
    <row r="57" spans="3:21" x14ac:dyDescent="0.25">
      <c r="D57" s="3"/>
      <c r="E57" s="61"/>
    </row>
    <row r="58" spans="3:21" x14ac:dyDescent="0.25">
      <c r="C58" s="1" t="s">
        <v>264</v>
      </c>
      <c r="E58" s="60" t="s">
        <v>96</v>
      </c>
      <c r="F58" s="60" t="s">
        <v>96</v>
      </c>
      <c r="G58" s="3" t="s">
        <v>95</v>
      </c>
      <c r="H58" s="3" t="s">
        <v>95</v>
      </c>
      <c r="I58" s="60" t="s">
        <v>808</v>
      </c>
      <c r="J58" s="60" t="s">
        <v>808</v>
      </c>
      <c r="K58" s="3" t="s">
        <v>809</v>
      </c>
      <c r="L58" s="3" t="s">
        <v>809</v>
      </c>
      <c r="M58" s="3" t="s">
        <v>192</v>
      </c>
      <c r="N58" s="3" t="s">
        <v>211</v>
      </c>
      <c r="O58" s="3" t="s">
        <v>211</v>
      </c>
      <c r="P58" s="3" t="s">
        <v>218</v>
      </c>
      <c r="Q58" s="3" t="s">
        <v>218</v>
      </c>
      <c r="R58" s="3" t="s">
        <v>810</v>
      </c>
      <c r="S58" s="3" t="s">
        <v>810</v>
      </c>
      <c r="T58" s="3" t="s">
        <v>226</v>
      </c>
      <c r="U58" s="3" t="s">
        <v>226</v>
      </c>
    </row>
    <row r="59" spans="3:21" x14ac:dyDescent="0.25">
      <c r="C59" s="39" t="s">
        <v>94</v>
      </c>
      <c r="D59" s="39" t="s">
        <v>93</v>
      </c>
      <c r="E59" s="39">
        <f>$C$8</f>
        <v>2022</v>
      </c>
      <c r="F59" s="39">
        <f>$C$9</f>
        <v>2039</v>
      </c>
      <c r="G59" s="39">
        <f>$C$8</f>
        <v>2022</v>
      </c>
      <c r="H59" s="39">
        <f>$C$9</f>
        <v>2039</v>
      </c>
      <c r="I59" s="39">
        <f>$C$8</f>
        <v>2022</v>
      </c>
      <c r="J59" s="39">
        <f>$C$9</f>
        <v>2039</v>
      </c>
      <c r="K59" s="39">
        <f>$C$8</f>
        <v>2022</v>
      </c>
      <c r="L59" s="39">
        <f>$C$9</f>
        <v>2039</v>
      </c>
      <c r="M59" s="39">
        <f>$C$8</f>
        <v>2022</v>
      </c>
      <c r="N59" s="39">
        <f>$C$8</f>
        <v>2022</v>
      </c>
      <c r="O59" s="39">
        <f>$C$9</f>
        <v>2039</v>
      </c>
      <c r="P59" s="39">
        <f>$C$8</f>
        <v>2022</v>
      </c>
      <c r="Q59" s="39">
        <f>$C$9</f>
        <v>2039</v>
      </c>
      <c r="R59" s="39">
        <f>$C$8</f>
        <v>2022</v>
      </c>
      <c r="S59" s="39">
        <f>$C$9</f>
        <v>2039</v>
      </c>
      <c r="T59" s="39">
        <f>$C$8</f>
        <v>2022</v>
      </c>
      <c r="U59" s="39">
        <f>$C$9</f>
        <v>2039</v>
      </c>
    </row>
    <row r="60" spans="3:21" x14ac:dyDescent="0.25">
      <c r="C60" s="199" t="s">
        <v>692</v>
      </c>
      <c r="D60" s="209" t="s">
        <v>87</v>
      </c>
      <c r="E60" s="217">
        <v>0</v>
      </c>
      <c r="F60" s="217">
        <v>0</v>
      </c>
      <c r="G60" s="217">
        <v>0</v>
      </c>
      <c r="H60" s="217">
        <v>0</v>
      </c>
      <c r="I60" s="217">
        <f>$D$8*$D$13*$E38*$G38/60*365</f>
        <v>0</v>
      </c>
      <c r="J60" s="217">
        <f>$D$9*$D$13*$E38*$G38/60*365</f>
        <v>0</v>
      </c>
      <c r="K60" s="217">
        <f>$D$8*$D$13*$E38*$F38*365</f>
        <v>0</v>
      </c>
      <c r="L60" s="217">
        <f>$D$9*$D$13*$E38*$F38*365</f>
        <v>0</v>
      </c>
      <c r="M60" s="217">
        <f t="shared" ref="M60:M68" si="0">SUM(G60,K60)</f>
        <v>0</v>
      </c>
      <c r="N60" s="215">
        <f>$D$8*$D$13*$E38</f>
        <v>0</v>
      </c>
      <c r="O60" s="215">
        <f>$D$9*$D$13*$E38</f>
        <v>0</v>
      </c>
      <c r="P60" s="215">
        <v>0</v>
      </c>
      <c r="Q60" s="215">
        <v>0</v>
      </c>
      <c r="R60" s="215">
        <f>F38*N60*365</f>
        <v>0</v>
      </c>
      <c r="S60" s="215">
        <f>G38*O60*365</f>
        <v>0</v>
      </c>
      <c r="T60" s="215">
        <f>N60</f>
        <v>0</v>
      </c>
      <c r="U60" s="215">
        <f>O60</f>
        <v>0</v>
      </c>
    </row>
    <row r="61" spans="3:21" x14ac:dyDescent="0.25">
      <c r="C61" s="199" t="s">
        <v>691</v>
      </c>
      <c r="D61" s="209" t="s">
        <v>87</v>
      </c>
      <c r="E61" s="217">
        <v>0</v>
      </c>
      <c r="F61" s="217">
        <v>0</v>
      </c>
      <c r="G61" s="217">
        <v>0</v>
      </c>
      <c r="H61" s="217">
        <v>0</v>
      </c>
      <c r="I61" s="217">
        <f>$D$8*$D$13*$E39*$G39/60*365</f>
        <v>2367.8174342105262</v>
      </c>
      <c r="J61" s="217">
        <f>$D$9*$D$13*$E39*$G39/60*365</f>
        <v>2647.3514368603801</v>
      </c>
      <c r="K61" s="217">
        <f>$D$8*$D$13*$E39*$F39*365</f>
        <v>145524.77960526315</v>
      </c>
      <c r="L61" s="217">
        <f>$D$9*$D$13*$E39*$F39*365</f>
        <v>162704.78830866225</v>
      </c>
      <c r="M61" s="217">
        <f t="shared" si="0"/>
        <v>145524.77960526315</v>
      </c>
      <c r="N61" s="217">
        <f>$D$8*$D$13*$E39</f>
        <v>10.519736842105262</v>
      </c>
      <c r="O61" s="217">
        <f>$D$9*$D$13*$E39</f>
        <v>11.761650219298245</v>
      </c>
      <c r="P61" s="217">
        <v>0</v>
      </c>
      <c r="Q61" s="217">
        <v>0</v>
      </c>
      <c r="R61" s="217">
        <v>0</v>
      </c>
      <c r="S61" s="217">
        <v>0</v>
      </c>
      <c r="T61" s="217">
        <v>0</v>
      </c>
      <c r="U61" s="217">
        <v>0</v>
      </c>
    </row>
    <row r="62" spans="3:21" x14ac:dyDescent="0.25">
      <c r="C62" s="199" t="s">
        <v>690</v>
      </c>
      <c r="D62" s="209" t="s">
        <v>87</v>
      </c>
      <c r="E62" s="217">
        <v>0</v>
      </c>
      <c r="F62" s="217">
        <v>0</v>
      </c>
      <c r="G62" s="217">
        <v>0</v>
      </c>
      <c r="H62" s="217">
        <v>0</v>
      </c>
      <c r="I62" s="217">
        <f>$D$8*$D$13*$E40*$G40/60*365</f>
        <v>0</v>
      </c>
      <c r="J62" s="217">
        <f>$D$9*$D$13*$E40*$G40/60*365</f>
        <v>0</v>
      </c>
      <c r="K62" s="217">
        <f>$D$8*$D$13*$E40*$F40*365</f>
        <v>0</v>
      </c>
      <c r="L62" s="217">
        <f>$D$9*$D$13*$E40*$F40*365</f>
        <v>0</v>
      </c>
      <c r="M62" s="217">
        <f t="shared" si="0"/>
        <v>0</v>
      </c>
      <c r="N62" s="217">
        <f>$D$8*$D$13*$E40</f>
        <v>0</v>
      </c>
      <c r="O62" s="217">
        <f>$D$9*$D$13*$E40</f>
        <v>0</v>
      </c>
      <c r="P62" s="215">
        <v>0</v>
      </c>
      <c r="Q62" s="215">
        <v>0</v>
      </c>
      <c r="R62" s="215">
        <f>F40*N62*365</f>
        <v>0</v>
      </c>
      <c r="S62" s="215">
        <f>G40*O62*365</f>
        <v>0</v>
      </c>
      <c r="T62" s="215">
        <f>N62</f>
        <v>0</v>
      </c>
      <c r="U62" s="215">
        <f>O62</f>
        <v>0</v>
      </c>
    </row>
    <row r="63" spans="3:21" x14ac:dyDescent="0.25">
      <c r="C63" s="199" t="s">
        <v>693</v>
      </c>
      <c r="D63" s="209" t="s">
        <v>87</v>
      </c>
      <c r="E63" s="217">
        <v>0</v>
      </c>
      <c r="F63" s="217">
        <v>0</v>
      </c>
      <c r="G63" s="217">
        <v>0</v>
      </c>
      <c r="H63" s="217">
        <v>0</v>
      </c>
      <c r="I63" s="217">
        <f>$D$8*$D$13*$E41*$G41/60*365</f>
        <v>895.93092105263145</v>
      </c>
      <c r="J63" s="217">
        <f>$D$9*$D$13*$E41*$G41/60*365</f>
        <v>1001.7005436769005</v>
      </c>
      <c r="K63" s="217">
        <f>$D$8*$D$13*$E41*$F41*365</f>
        <v>53755.855263157893</v>
      </c>
      <c r="L63" s="217">
        <f>$D$9*$D$13*$E41*$F41*365</f>
        <v>60102.032620614031</v>
      </c>
      <c r="M63" s="217">
        <f t="shared" si="0"/>
        <v>53755.855263157893</v>
      </c>
      <c r="N63" s="217">
        <f>$D$8*$D$13*$E41</f>
        <v>5.6644736842105257</v>
      </c>
      <c r="O63" s="217">
        <f>$D$9*$D$13*$E41</f>
        <v>6.3331962719298236</v>
      </c>
      <c r="P63" s="217">
        <v>0</v>
      </c>
      <c r="Q63" s="217">
        <v>0</v>
      </c>
      <c r="R63" s="217">
        <v>0</v>
      </c>
      <c r="S63" s="217">
        <v>0</v>
      </c>
      <c r="T63" s="217">
        <v>0</v>
      </c>
      <c r="U63" s="217">
        <v>0</v>
      </c>
    </row>
    <row r="64" spans="3:21" x14ac:dyDescent="0.25">
      <c r="C64" s="219" t="s">
        <v>697</v>
      </c>
      <c r="D64" s="211" t="s">
        <v>86</v>
      </c>
      <c r="E64" s="213">
        <f>$D$8*$D$14*$E42*$G42/60*365</f>
        <v>0</v>
      </c>
      <c r="F64" s="213">
        <f>$D$9*$D$14*$E42*$G42/60*365</f>
        <v>0</v>
      </c>
      <c r="G64" s="213">
        <f>$D$8*$D$14*$E42*$F42*365</f>
        <v>0</v>
      </c>
      <c r="H64" s="213">
        <f>$D$9*$D$14*$E42*$F42*365</f>
        <v>0</v>
      </c>
      <c r="I64" s="213">
        <v>0</v>
      </c>
      <c r="J64" s="213">
        <v>0</v>
      </c>
      <c r="K64" s="213">
        <v>0</v>
      </c>
      <c r="L64" s="213">
        <v>0</v>
      </c>
      <c r="M64" s="213">
        <f t="shared" si="0"/>
        <v>0</v>
      </c>
      <c r="N64" s="213">
        <f>$D$8*$D$14*$E42</f>
        <v>0</v>
      </c>
      <c r="O64" s="213">
        <f>$D$9*$D$14*$E42</f>
        <v>0</v>
      </c>
      <c r="P64" s="213">
        <f>F42*N64*365</f>
        <v>0</v>
      </c>
      <c r="Q64" s="213">
        <f>F42*O64*365</f>
        <v>0</v>
      </c>
      <c r="R64" s="213">
        <v>0</v>
      </c>
      <c r="S64" s="213">
        <v>0</v>
      </c>
      <c r="T64" s="213">
        <f>N64</f>
        <v>0</v>
      </c>
      <c r="U64" s="213">
        <f>O64</f>
        <v>0</v>
      </c>
    </row>
    <row r="65" spans="3:25" x14ac:dyDescent="0.25">
      <c r="C65" s="219" t="s">
        <v>694</v>
      </c>
      <c r="D65" s="211" t="s">
        <v>86</v>
      </c>
      <c r="E65" s="213">
        <f>$D$8*$D$14*$E43*$G43/60*365</f>
        <v>27624.536732456141</v>
      </c>
      <c r="F65" s="213">
        <f>$D$9*$D$14*$E43*$G43/60*365</f>
        <v>30885.766763371099</v>
      </c>
      <c r="G65" s="213">
        <f>$D$8*$D$14*$E43*$F43*365</f>
        <v>1697789.0953947369</v>
      </c>
      <c r="H65" s="213">
        <f>$D$9*$D$14*$E43*$F43*365</f>
        <v>1898222.5302677264</v>
      </c>
      <c r="I65" s="213">
        <v>0</v>
      </c>
      <c r="J65" s="213">
        <v>0</v>
      </c>
      <c r="K65" s="213">
        <v>0</v>
      </c>
      <c r="L65" s="213">
        <v>0</v>
      </c>
      <c r="M65" s="213">
        <f t="shared" si="0"/>
        <v>1697789.0953947369</v>
      </c>
      <c r="N65" s="213">
        <f>$D$8*$D$14*$E43</f>
        <v>122.73026315789474</v>
      </c>
      <c r="O65" s="213">
        <f>$D$9*$D$14*$E43</f>
        <v>137.21925255847952</v>
      </c>
      <c r="P65" s="213">
        <v>0</v>
      </c>
      <c r="Q65" s="213">
        <v>0</v>
      </c>
      <c r="R65" s="213">
        <v>0</v>
      </c>
      <c r="S65" s="213">
        <v>0</v>
      </c>
      <c r="T65" s="213">
        <v>0</v>
      </c>
      <c r="U65" s="213">
        <v>0</v>
      </c>
    </row>
    <row r="66" spans="3:25" x14ac:dyDescent="0.25">
      <c r="C66" s="219" t="s">
        <v>695</v>
      </c>
      <c r="D66" s="211" t="s">
        <v>86</v>
      </c>
      <c r="E66" s="213">
        <f>$D$8*$D$14*$E44*$G44/60*365</f>
        <v>9504.3780322199746</v>
      </c>
      <c r="F66" s="213">
        <f>$D$9*$D$14*$E44*$G44/60*365</f>
        <v>10626.422661023718</v>
      </c>
      <c r="G66" s="213">
        <f>$D$8*$D$14*$E44*$F44*365</f>
        <v>446242.51644736849</v>
      </c>
      <c r="H66" s="213">
        <f>$D$9*$D$14*$E44*$F44*365</f>
        <v>498923.92463907157</v>
      </c>
      <c r="I66" s="213">
        <v>0</v>
      </c>
      <c r="J66" s="213">
        <v>0</v>
      </c>
      <c r="K66" s="213">
        <v>0</v>
      </c>
      <c r="L66" s="213">
        <v>0</v>
      </c>
      <c r="M66" s="213">
        <f t="shared" si="0"/>
        <v>446242.51644736849</v>
      </c>
      <c r="N66" s="213">
        <f>$D$8*$D$14*$E44</f>
        <v>66.08552631578948</v>
      </c>
      <c r="O66" s="213">
        <f>$D$9*$D$14*$E44</f>
        <v>73.887289839181278</v>
      </c>
      <c r="P66" s="213">
        <f>F44*N66*365</f>
        <v>446242.51644736849</v>
      </c>
      <c r="Q66" s="213">
        <f>F44*O66*365</f>
        <v>498923.92463907157</v>
      </c>
      <c r="R66" s="213">
        <v>0</v>
      </c>
      <c r="S66" s="213">
        <v>0</v>
      </c>
      <c r="T66" s="213">
        <f>N66</f>
        <v>66.08552631578948</v>
      </c>
      <c r="U66" s="213">
        <f>O66</f>
        <v>73.887289839181278</v>
      </c>
    </row>
    <row r="67" spans="3:25" x14ac:dyDescent="0.25">
      <c r="C67" s="219" t="s">
        <v>696</v>
      </c>
      <c r="D67" s="211" t="s">
        <v>86</v>
      </c>
      <c r="E67" s="213">
        <f>$D$8*$D$14*$E45*$G45/60*365</f>
        <v>0</v>
      </c>
      <c r="F67" s="213">
        <f>$D$9*$D$14*$E45*$G45/60*365</f>
        <v>0</v>
      </c>
      <c r="G67" s="213">
        <f>$D$8*$D$14*$E45*$F45*365</f>
        <v>0</v>
      </c>
      <c r="H67" s="213">
        <f>$D$9*$D$14*$E45*$F45*365</f>
        <v>0</v>
      </c>
      <c r="I67" s="213">
        <v>0</v>
      </c>
      <c r="J67" s="213">
        <v>0</v>
      </c>
      <c r="K67" s="213">
        <v>0</v>
      </c>
      <c r="L67" s="213">
        <v>0</v>
      </c>
      <c r="M67" s="213">
        <f t="shared" si="0"/>
        <v>0</v>
      </c>
      <c r="N67" s="213">
        <f>$D$8*$D$14*$E45</f>
        <v>0</v>
      </c>
      <c r="O67" s="213">
        <f>$D$9*$D$14*$E45</f>
        <v>0</v>
      </c>
      <c r="P67" s="213">
        <v>0</v>
      </c>
      <c r="Q67" s="213">
        <v>0</v>
      </c>
      <c r="R67" s="213">
        <v>0</v>
      </c>
      <c r="S67" s="213">
        <v>0</v>
      </c>
      <c r="T67" s="213">
        <v>0</v>
      </c>
      <c r="U67" s="213">
        <v>0</v>
      </c>
    </row>
    <row r="68" spans="3:25" x14ac:dyDescent="0.25">
      <c r="C68" s="197" t="s">
        <v>144</v>
      </c>
      <c r="D68" s="196" t="s">
        <v>73</v>
      </c>
      <c r="E68" s="195">
        <f t="shared" ref="E68:L68" si="1">SUM(E60:E67)</f>
        <v>37128.914764676112</v>
      </c>
      <c r="F68" s="195">
        <f t="shared" si="1"/>
        <v>41512.189424394819</v>
      </c>
      <c r="G68" s="195">
        <f t="shared" si="1"/>
        <v>2144031.6118421052</v>
      </c>
      <c r="H68" s="195">
        <f t="shared" si="1"/>
        <v>2397146.454906798</v>
      </c>
      <c r="I68" s="195">
        <f t="shared" si="1"/>
        <v>3263.7483552631575</v>
      </c>
      <c r="J68" s="195">
        <f t="shared" si="1"/>
        <v>3649.0519805372805</v>
      </c>
      <c r="K68" s="195">
        <f t="shared" si="1"/>
        <v>199280.63486842104</v>
      </c>
      <c r="L68" s="195">
        <f t="shared" si="1"/>
        <v>222806.82092927629</v>
      </c>
      <c r="M68" s="195">
        <f t="shared" si="0"/>
        <v>2343312.2467105263</v>
      </c>
      <c r="N68" s="195">
        <f t="shared" ref="N68:U68" si="2">SUM(N60:N67)</f>
        <v>205</v>
      </c>
      <c r="O68" s="195">
        <f t="shared" si="2"/>
        <v>229.20138888888886</v>
      </c>
      <c r="P68" s="195">
        <f t="shared" si="2"/>
        <v>446242.51644736849</v>
      </c>
      <c r="Q68" s="195">
        <f t="shared" si="2"/>
        <v>498923.92463907157</v>
      </c>
      <c r="R68" s="195">
        <f t="shared" si="2"/>
        <v>0</v>
      </c>
      <c r="S68" s="195">
        <f t="shared" si="2"/>
        <v>0</v>
      </c>
      <c r="T68" s="195">
        <f t="shared" si="2"/>
        <v>66.08552631578948</v>
      </c>
      <c r="U68" s="195">
        <f t="shared" si="2"/>
        <v>73.887289839181278</v>
      </c>
    </row>
    <row r="69" spans="3:25" x14ac:dyDescent="0.25">
      <c r="C69" t="s">
        <v>811</v>
      </c>
      <c r="D69" s="3"/>
    </row>
    <row r="71" spans="3:25" x14ac:dyDescent="0.25">
      <c r="C71" s="1" t="s">
        <v>265</v>
      </c>
      <c r="E71" s="60" t="s">
        <v>96</v>
      </c>
      <c r="F71" s="60" t="s">
        <v>96</v>
      </c>
      <c r="G71" s="3" t="s">
        <v>95</v>
      </c>
      <c r="H71" s="3" t="s">
        <v>95</v>
      </c>
      <c r="I71" s="60" t="s">
        <v>808</v>
      </c>
      <c r="J71" s="60" t="s">
        <v>808</v>
      </c>
      <c r="K71" s="3" t="s">
        <v>809</v>
      </c>
      <c r="L71" s="3" t="s">
        <v>809</v>
      </c>
      <c r="M71" s="3" t="s">
        <v>192</v>
      </c>
      <c r="N71" s="3" t="s">
        <v>211</v>
      </c>
      <c r="O71" s="3" t="s">
        <v>211</v>
      </c>
    </row>
    <row r="72" spans="3:25" x14ac:dyDescent="0.25">
      <c r="C72" s="39" t="s">
        <v>94</v>
      </c>
      <c r="D72" s="39" t="s">
        <v>93</v>
      </c>
      <c r="E72" s="39">
        <f>$C$8</f>
        <v>2022</v>
      </c>
      <c r="F72" s="39">
        <f>$C$9</f>
        <v>2039</v>
      </c>
      <c r="G72" s="39">
        <f>$C$8</f>
        <v>2022</v>
      </c>
      <c r="H72" s="39">
        <f>$C$9</f>
        <v>2039</v>
      </c>
      <c r="I72" s="39">
        <f>$C$8</f>
        <v>2022</v>
      </c>
      <c r="J72" s="39">
        <f>$C$9</f>
        <v>2039</v>
      </c>
      <c r="K72" s="39">
        <f>$C$8</f>
        <v>2022</v>
      </c>
      <c r="L72" s="39">
        <f>$C$9</f>
        <v>2039</v>
      </c>
      <c r="M72" s="39">
        <f>$C$8</f>
        <v>2022</v>
      </c>
      <c r="N72" s="39">
        <f>$C$8</f>
        <v>2022</v>
      </c>
      <c r="O72" s="39">
        <f>$C$9</f>
        <v>2039</v>
      </c>
    </row>
    <row r="73" spans="3:25" x14ac:dyDescent="0.25">
      <c r="C73" s="199" t="s">
        <v>698</v>
      </c>
      <c r="D73" s="209" t="s">
        <v>87</v>
      </c>
      <c r="E73" s="217">
        <v>0</v>
      </c>
      <c r="F73" s="217">
        <v>0</v>
      </c>
      <c r="G73" s="217">
        <v>0</v>
      </c>
      <c r="H73" s="217">
        <v>0</v>
      </c>
      <c r="I73" s="217">
        <f>$D$8*$D$13*$E51*$G51/60*365</f>
        <v>2111.8371710526312</v>
      </c>
      <c r="J73" s="217">
        <f>$D$9*$D$13*$E51*$G51/60*365</f>
        <v>2361.1512815241226</v>
      </c>
      <c r="K73" s="217">
        <f>$D$8*$D$13*$E51*$F51*365</f>
        <v>126710.23026315788</v>
      </c>
      <c r="L73" s="217">
        <f>$D$9*$D$13*$E51*$F51*365</f>
        <v>141669.07689144736</v>
      </c>
      <c r="M73" s="217">
        <f>SUM(G73,K73)</f>
        <v>126710.23026315788</v>
      </c>
      <c r="N73" s="217">
        <f>$D$8*$D$13*$E51</f>
        <v>10.519736842105262</v>
      </c>
      <c r="O73" s="217">
        <f>$D$9*$D$13*$E51</f>
        <v>11.761650219298245</v>
      </c>
    </row>
    <row r="74" spans="3:25" x14ac:dyDescent="0.25">
      <c r="C74" s="199" t="s">
        <v>699</v>
      </c>
      <c r="D74" s="209" t="s">
        <v>87</v>
      </c>
      <c r="E74" s="217">
        <v>0</v>
      </c>
      <c r="F74" s="217">
        <v>0</v>
      </c>
      <c r="G74" s="217">
        <v>0</v>
      </c>
      <c r="H74" s="217">
        <v>0</v>
      </c>
      <c r="I74" s="217">
        <f>$D$8*$D$13*$E52*$G52/60*365</f>
        <v>689.1776315789474</v>
      </c>
      <c r="J74" s="217">
        <f>$D$9*$D$13*$E52*$G52/60*365</f>
        <v>770.53887975146176</v>
      </c>
      <c r="K74" s="217">
        <f>$D$8*$D$13*$E52*$F52*365</f>
        <v>38249.358552631573</v>
      </c>
      <c r="L74" s="217">
        <f>$D$9*$D$13*$E52*$F52*365</f>
        <v>42764.907826206138</v>
      </c>
      <c r="M74" s="217">
        <f>SUM(G74,K74)</f>
        <v>38249.358552631573</v>
      </c>
      <c r="N74" s="217">
        <f>$D$8*$D$13*$E52</f>
        <v>5.6644736842105257</v>
      </c>
      <c r="O74" s="217">
        <f>$D$9*$D$13*$E52</f>
        <v>6.3331962719298236</v>
      </c>
    </row>
    <row r="75" spans="3:25" x14ac:dyDescent="0.25">
      <c r="C75" s="219" t="s">
        <v>700</v>
      </c>
      <c r="D75" s="211" t="s">
        <v>86</v>
      </c>
      <c r="E75" s="213">
        <f>$D$8*$D$14*$E53*$G53/60*365</f>
        <v>24638.10032894737</v>
      </c>
      <c r="F75" s="213">
        <f>$D$9*$D$14*$E53*$G53/60*365</f>
        <v>27546.764951114768</v>
      </c>
      <c r="G75" s="213">
        <f>$D$8*$D$14*$E53*$F53*365</f>
        <v>1478286.019736842</v>
      </c>
      <c r="H75" s="213">
        <f>$D$9*$D$14*$E53*$F53*365</f>
        <v>1652805.8970668858</v>
      </c>
      <c r="I75" s="213">
        <v>0</v>
      </c>
      <c r="J75" s="213">
        <v>0</v>
      </c>
      <c r="K75" s="213">
        <v>0</v>
      </c>
      <c r="L75" s="213">
        <v>0</v>
      </c>
      <c r="M75" s="213">
        <f>SUM(G75,K75)</f>
        <v>1478286.019736842</v>
      </c>
      <c r="N75" s="213">
        <f>$D$8*$D$14*$E53</f>
        <v>122.73026315789474</v>
      </c>
      <c r="O75" s="213">
        <f>$D$9*$D$14*$E53</f>
        <v>137.21925255847952</v>
      </c>
    </row>
    <row r="76" spans="3:25" x14ac:dyDescent="0.25">
      <c r="C76" s="219" t="s">
        <v>701</v>
      </c>
      <c r="D76" s="211" t="s">
        <v>86</v>
      </c>
      <c r="E76" s="213">
        <f>$D$8*$D$14*$E54*$G54/60*365</f>
        <v>8040.4057017543864</v>
      </c>
      <c r="F76" s="213">
        <f>$D$9*$D$14*$E54*$G54/60*365</f>
        <v>8989.6202637670558</v>
      </c>
      <c r="G76" s="213">
        <f>$D$8*$D$14*$E54*$F54*365</f>
        <v>446242.51644736849</v>
      </c>
      <c r="H76" s="213">
        <f>$D$9*$D$14*$E54*$F54*365</f>
        <v>498923.92463907157</v>
      </c>
      <c r="I76" s="213">
        <v>0</v>
      </c>
      <c r="J76" s="213">
        <v>0</v>
      </c>
      <c r="K76" s="213">
        <v>0</v>
      </c>
      <c r="L76" s="213">
        <v>0</v>
      </c>
      <c r="M76" s="213">
        <f>SUM(G76,K76)</f>
        <v>446242.51644736849</v>
      </c>
      <c r="N76" s="213">
        <f>$D$8*$D$14*$E54</f>
        <v>66.08552631578948</v>
      </c>
      <c r="O76" s="213">
        <f>$D$9*$D$14*$E54</f>
        <v>73.887289839181278</v>
      </c>
    </row>
    <row r="77" spans="3:25" x14ac:dyDescent="0.25">
      <c r="C77" s="197" t="s">
        <v>144</v>
      </c>
      <c r="D77" s="196" t="s">
        <v>73</v>
      </c>
      <c r="E77" s="195">
        <f t="shared" ref="E77:L77" si="3">SUM(E73:E76)</f>
        <v>32678.506030701756</v>
      </c>
      <c r="F77" s="195">
        <f t="shared" si="3"/>
        <v>36536.385214881826</v>
      </c>
      <c r="G77" s="195">
        <f t="shared" si="3"/>
        <v>1924528.5361842106</v>
      </c>
      <c r="H77" s="195">
        <f t="shared" si="3"/>
        <v>2151729.8217059574</v>
      </c>
      <c r="I77" s="195">
        <f t="shared" si="3"/>
        <v>2801.0148026315787</v>
      </c>
      <c r="J77" s="195">
        <f t="shared" si="3"/>
        <v>3131.6901612755846</v>
      </c>
      <c r="K77" s="195">
        <f t="shared" si="3"/>
        <v>164959.58881578944</v>
      </c>
      <c r="L77" s="195">
        <f t="shared" si="3"/>
        <v>184433.98471765348</v>
      </c>
      <c r="M77" s="195">
        <f>SUM(G77,K77)</f>
        <v>2089488.125</v>
      </c>
      <c r="N77" s="195">
        <f>SUM(N73:N76)</f>
        <v>205</v>
      </c>
      <c r="O77" s="195">
        <f>SUM(O73:O76)</f>
        <v>229.20138888888886</v>
      </c>
    </row>
    <row r="78" spans="3:25" x14ac:dyDescent="0.25">
      <c r="C78" t="s">
        <v>812</v>
      </c>
    </row>
    <row r="79" spans="3:25" x14ac:dyDescent="0.25">
      <c r="Y79" s="3"/>
    </row>
    <row r="80" spans="3:25" x14ac:dyDescent="0.25">
      <c r="Y80" s="3"/>
    </row>
    <row r="81" spans="2:25" x14ac:dyDescent="0.25">
      <c r="B81" s="2"/>
      <c r="C81" s="1" t="s">
        <v>705</v>
      </c>
      <c r="Y81" s="3"/>
    </row>
    <row r="82" spans="2:25" ht="15" customHeight="1" x14ac:dyDescent="0.25">
      <c r="Y82" s="3"/>
    </row>
    <row r="83" spans="2:25" ht="15" customHeight="1" x14ac:dyDescent="0.25">
      <c r="B83" s="2" t="s">
        <v>19</v>
      </c>
      <c r="C83" s="415" t="s">
        <v>688</v>
      </c>
      <c r="D83" s="415"/>
      <c r="E83" s="415"/>
      <c r="F83" s="415"/>
      <c r="G83" s="415"/>
      <c r="Y83" s="3"/>
    </row>
    <row r="84" spans="2:25" x14ac:dyDescent="0.25">
      <c r="C84" s="415"/>
      <c r="D84" s="415"/>
      <c r="E84" s="415"/>
      <c r="F84" s="415"/>
      <c r="G84" s="415"/>
      <c r="Y84" s="3"/>
    </row>
    <row r="85" spans="2:25" x14ac:dyDescent="0.25">
      <c r="C85" s="415"/>
      <c r="D85" s="415"/>
      <c r="E85" s="415"/>
      <c r="F85" s="415"/>
      <c r="G85" s="415"/>
      <c r="Y85" s="3"/>
    </row>
    <row r="86" spans="2:25" x14ac:dyDescent="0.25">
      <c r="C86" s="8"/>
      <c r="D86" s="8"/>
      <c r="E86" s="8"/>
      <c r="F86" s="8"/>
      <c r="G86" s="8"/>
      <c r="Y86" s="3"/>
    </row>
    <row r="87" spans="2:25" ht="15" customHeight="1" x14ac:dyDescent="0.25">
      <c r="B87" s="2" t="s">
        <v>25</v>
      </c>
      <c r="C87" s="415" t="s">
        <v>689</v>
      </c>
      <c r="D87" s="415"/>
      <c r="E87" s="415"/>
      <c r="F87" s="415"/>
      <c r="G87" s="415"/>
      <c r="Y87" s="3"/>
    </row>
    <row r="88" spans="2:25" x14ac:dyDescent="0.25">
      <c r="C88" s="415"/>
      <c r="D88" s="415"/>
      <c r="E88" s="415"/>
      <c r="F88" s="415"/>
      <c r="G88" s="415"/>
    </row>
    <row r="89" spans="2:25" x14ac:dyDescent="0.25">
      <c r="C89" s="415"/>
      <c r="D89" s="415"/>
      <c r="E89" s="415"/>
      <c r="F89" s="415"/>
      <c r="G89" s="415"/>
    </row>
    <row r="91" spans="2:25" ht="15" customHeight="1" x14ac:dyDescent="0.25">
      <c r="B91" s="2" t="s">
        <v>26</v>
      </c>
      <c r="C91" s="415" t="s">
        <v>790</v>
      </c>
      <c r="D91" s="415"/>
      <c r="E91" s="415"/>
      <c r="F91" s="415"/>
      <c r="G91" s="415"/>
    </row>
    <row r="92" spans="2:25" x14ac:dyDescent="0.25">
      <c r="C92" s="415"/>
      <c r="D92" s="415"/>
      <c r="E92" s="415"/>
      <c r="F92" s="415"/>
      <c r="G92" s="415"/>
    </row>
    <row r="93" spans="2:25" x14ac:dyDescent="0.25">
      <c r="C93" s="415"/>
      <c r="D93" s="415"/>
      <c r="E93" s="415"/>
      <c r="F93" s="415"/>
      <c r="G93" s="415"/>
    </row>
    <row r="94" spans="2:25" x14ac:dyDescent="0.25">
      <c r="C94" s="415"/>
      <c r="D94" s="415"/>
      <c r="E94" s="415"/>
      <c r="F94" s="415"/>
      <c r="G94" s="415"/>
    </row>
    <row r="95" spans="2:25" x14ac:dyDescent="0.25">
      <c r="C95" s="415"/>
      <c r="D95" s="415"/>
      <c r="E95" s="415"/>
      <c r="F95" s="415"/>
      <c r="G95" s="415"/>
    </row>
    <row r="96" spans="2:25" x14ac:dyDescent="0.25">
      <c r="C96" s="415"/>
      <c r="D96" s="415"/>
      <c r="E96" s="415"/>
      <c r="F96" s="415"/>
      <c r="G96" s="415"/>
    </row>
    <row r="97" spans="3:7" x14ac:dyDescent="0.25">
      <c r="C97" s="415"/>
      <c r="D97" s="415"/>
      <c r="E97" s="415"/>
      <c r="F97" s="415"/>
      <c r="G97" s="415"/>
    </row>
    <row r="98" spans="3:7" x14ac:dyDescent="0.25">
      <c r="C98" s="415"/>
      <c r="D98" s="415"/>
      <c r="E98" s="415"/>
      <c r="F98" s="415"/>
      <c r="G98" s="415"/>
    </row>
    <row r="99" spans="3:7" x14ac:dyDescent="0.25">
      <c r="C99" s="415"/>
      <c r="D99" s="415"/>
      <c r="E99" s="415"/>
      <c r="F99" s="415"/>
      <c r="G99" s="415"/>
    </row>
    <row r="100" spans="3:7" x14ac:dyDescent="0.25">
      <c r="C100" s="415"/>
      <c r="D100" s="415"/>
      <c r="E100" s="415"/>
      <c r="F100" s="415"/>
      <c r="G100" s="415"/>
    </row>
    <row r="101" spans="3:7" x14ac:dyDescent="0.25">
      <c r="C101" s="415"/>
      <c r="D101" s="415"/>
      <c r="E101" s="415"/>
      <c r="F101" s="415"/>
      <c r="G101" s="415"/>
    </row>
    <row r="103" spans="3:7" x14ac:dyDescent="0.25">
      <c r="C103" s="1" t="s">
        <v>768</v>
      </c>
      <c r="F103" s="1" t="s">
        <v>702</v>
      </c>
    </row>
    <row r="143" spans="2:7" ht="15" customHeight="1" x14ac:dyDescent="0.25">
      <c r="B143" s="2" t="s">
        <v>260</v>
      </c>
      <c r="C143" s="415" t="s">
        <v>814</v>
      </c>
      <c r="D143" s="415"/>
      <c r="E143" s="415"/>
      <c r="F143" s="415"/>
      <c r="G143" s="415"/>
    </row>
    <row r="144" spans="2:7" x14ac:dyDescent="0.25">
      <c r="C144" s="415"/>
      <c r="D144" s="415"/>
      <c r="E144" s="415"/>
      <c r="F144" s="415"/>
      <c r="G144" s="415"/>
    </row>
    <row r="145" spans="3:7" x14ac:dyDescent="0.25">
      <c r="C145" s="415"/>
      <c r="D145" s="415"/>
      <c r="E145" s="415"/>
      <c r="F145" s="415"/>
      <c r="G145" s="415"/>
    </row>
    <row r="146" spans="3:7" x14ac:dyDescent="0.25">
      <c r="C146" s="415"/>
      <c r="D146" s="415"/>
      <c r="E146" s="415"/>
      <c r="F146" s="415"/>
      <c r="G146" s="415"/>
    </row>
    <row r="147" spans="3:7" x14ac:dyDescent="0.25">
      <c r="C147" s="415"/>
      <c r="D147" s="415"/>
      <c r="E147" s="415"/>
      <c r="F147" s="415"/>
      <c r="G147" s="415"/>
    </row>
    <row r="148" spans="3:7" x14ac:dyDescent="0.25">
      <c r="C148" s="415"/>
      <c r="D148" s="415"/>
      <c r="E148" s="415"/>
      <c r="F148" s="415"/>
      <c r="G148" s="415"/>
    </row>
    <row r="149" spans="3:7" x14ac:dyDescent="0.25">
      <c r="C149" s="415"/>
      <c r="D149" s="415"/>
      <c r="E149" s="415"/>
      <c r="F149" s="415"/>
      <c r="G149" s="415"/>
    </row>
    <row r="150" spans="3:7" x14ac:dyDescent="0.25">
      <c r="C150" s="415"/>
      <c r="D150" s="415"/>
      <c r="E150" s="415"/>
      <c r="F150" s="415"/>
      <c r="G150" s="415"/>
    </row>
    <row r="151" spans="3:7" x14ac:dyDescent="0.25">
      <c r="C151" s="415"/>
      <c r="D151" s="415"/>
      <c r="E151" s="415"/>
      <c r="F151" s="415"/>
      <c r="G151" s="415"/>
    </row>
    <row r="152" spans="3:7" x14ac:dyDescent="0.25">
      <c r="C152" s="415"/>
      <c r="D152" s="415"/>
      <c r="E152" s="415"/>
      <c r="F152" s="415"/>
      <c r="G152" s="415"/>
    </row>
    <row r="153" spans="3:7" x14ac:dyDescent="0.25">
      <c r="C153" s="415"/>
      <c r="D153" s="415"/>
      <c r="E153" s="415"/>
      <c r="F153" s="415"/>
      <c r="G153" s="415"/>
    </row>
    <row r="155" spans="3:7" x14ac:dyDescent="0.25">
      <c r="C155" s="1" t="s">
        <v>769</v>
      </c>
      <c r="F155" s="1" t="s">
        <v>791</v>
      </c>
    </row>
    <row r="186" ht="15" customHeight="1" x14ac:dyDescent="0.25"/>
    <row r="187" ht="15" customHeight="1" x14ac:dyDescent="0.25"/>
    <row r="196" spans="2:25" ht="15" customHeight="1" x14ac:dyDescent="0.25">
      <c r="B196" s="2" t="s">
        <v>27</v>
      </c>
      <c r="C196" s="415" t="s">
        <v>703</v>
      </c>
      <c r="D196" s="415"/>
      <c r="E196" s="415"/>
      <c r="F196" s="415"/>
      <c r="G196" s="415"/>
    </row>
    <row r="197" spans="2:25" x14ac:dyDescent="0.25">
      <c r="C197" s="415"/>
      <c r="D197" s="415"/>
      <c r="E197" s="415"/>
      <c r="F197" s="415"/>
      <c r="G197" s="415"/>
      <c r="Y197" s="3"/>
    </row>
    <row r="198" spans="2:25" x14ac:dyDescent="0.25">
      <c r="C198" s="415"/>
      <c r="D198" s="415"/>
      <c r="E198" s="415"/>
      <c r="F198" s="415"/>
      <c r="G198" s="415"/>
      <c r="Y198" s="3"/>
    </row>
    <row r="199" spans="2:25" x14ac:dyDescent="0.25">
      <c r="C199" s="415"/>
      <c r="D199" s="415"/>
      <c r="E199" s="415"/>
      <c r="F199" s="415"/>
      <c r="G199" s="415"/>
      <c r="Y199" s="3"/>
    </row>
    <row r="200" spans="2:25" x14ac:dyDescent="0.25">
      <c r="C200" s="415"/>
      <c r="D200" s="415"/>
      <c r="E200" s="415"/>
      <c r="F200" s="415"/>
      <c r="G200" s="415"/>
      <c r="Y200" s="3"/>
    </row>
    <row r="201" spans="2:25" x14ac:dyDescent="0.25">
      <c r="C201" s="415"/>
      <c r="D201" s="415"/>
      <c r="E201" s="415"/>
      <c r="F201" s="415"/>
      <c r="G201" s="415"/>
      <c r="Y201" s="3"/>
    </row>
    <row r="202" spans="2:25" x14ac:dyDescent="0.25">
      <c r="C202" s="8"/>
      <c r="D202" s="8"/>
      <c r="E202" s="8"/>
      <c r="F202" s="8"/>
      <c r="G202" s="8"/>
      <c r="Y202" s="3"/>
    </row>
    <row r="203" spans="2:25" ht="15" customHeight="1" x14ac:dyDescent="0.25">
      <c r="B203" s="2" t="s">
        <v>52</v>
      </c>
      <c r="C203" s="415" t="s">
        <v>704</v>
      </c>
      <c r="D203" s="415"/>
      <c r="E203" s="415"/>
      <c r="F203" s="415"/>
      <c r="G203" s="415"/>
      <c r="Y203" s="3"/>
    </row>
    <row r="204" spans="2:25" x14ac:dyDescent="0.25">
      <c r="C204" s="415"/>
      <c r="D204" s="415"/>
      <c r="E204" s="415"/>
      <c r="F204" s="415"/>
      <c r="G204" s="415"/>
      <c r="Y204" s="3"/>
    </row>
    <row r="205" spans="2:25" x14ac:dyDescent="0.25">
      <c r="C205" s="415"/>
      <c r="D205" s="415"/>
      <c r="E205" s="415"/>
      <c r="F205" s="415"/>
      <c r="G205" s="415"/>
      <c r="Y205" s="3"/>
    </row>
    <row r="206" spans="2:25" x14ac:dyDescent="0.25">
      <c r="C206" s="415"/>
      <c r="D206" s="415"/>
      <c r="E206" s="415"/>
      <c r="F206" s="415"/>
      <c r="G206" s="415"/>
      <c r="Y206" s="3"/>
    </row>
    <row r="207" spans="2:25" x14ac:dyDescent="0.25">
      <c r="C207" s="415"/>
      <c r="D207" s="415"/>
      <c r="E207" s="415"/>
      <c r="F207" s="415"/>
      <c r="G207" s="415"/>
      <c r="Y207" s="3"/>
    </row>
    <row r="208" spans="2:25" x14ac:dyDescent="0.25">
      <c r="C208" s="415"/>
      <c r="D208" s="415"/>
      <c r="E208" s="415"/>
      <c r="F208" s="415"/>
      <c r="G208" s="415"/>
      <c r="Y208" s="3"/>
    </row>
    <row r="209" spans="3:25" x14ac:dyDescent="0.25">
      <c r="C209" s="415"/>
      <c r="D209" s="415"/>
      <c r="E209" s="415"/>
      <c r="F209" s="415"/>
      <c r="G209" s="415"/>
      <c r="Y209" s="3"/>
    </row>
    <row r="210" spans="3:25" x14ac:dyDescent="0.25">
      <c r="C210" s="415"/>
      <c r="D210" s="415"/>
      <c r="E210" s="415"/>
      <c r="F210" s="415"/>
      <c r="G210" s="415"/>
      <c r="Y210" s="3"/>
    </row>
    <row r="211" spans="3:25" x14ac:dyDescent="0.25">
      <c r="C211" s="415"/>
      <c r="D211" s="415"/>
      <c r="E211" s="415"/>
      <c r="F211" s="415"/>
      <c r="G211" s="415"/>
      <c r="Y211" s="3"/>
    </row>
    <row r="212" spans="3:25" x14ac:dyDescent="0.25">
      <c r="C212" s="8"/>
      <c r="D212" s="8"/>
      <c r="E212" s="8"/>
      <c r="F212" s="8"/>
      <c r="G212" s="8"/>
      <c r="Y212" s="3"/>
    </row>
    <row r="213" spans="3:25" x14ac:dyDescent="0.25">
      <c r="C213" s="8"/>
      <c r="D213" s="8"/>
      <c r="E213" s="8"/>
      <c r="F213" s="8"/>
      <c r="G213" s="8"/>
      <c r="Y213" s="3"/>
    </row>
    <row r="214" spans="3:25" x14ac:dyDescent="0.25">
      <c r="Y214" s="3"/>
    </row>
    <row r="216" spans="3:25" x14ac:dyDescent="0.25">
      <c r="Y216" s="3"/>
    </row>
    <row r="218" spans="3:25" x14ac:dyDescent="0.25">
      <c r="Y218" s="3"/>
    </row>
    <row r="219" spans="3:25" x14ac:dyDescent="0.25">
      <c r="Y219" s="3"/>
    </row>
    <row r="220" spans="3:25" x14ac:dyDescent="0.25">
      <c r="Y220" s="3"/>
    </row>
    <row r="221" spans="3:25" x14ac:dyDescent="0.25">
      <c r="Y221" s="3"/>
    </row>
    <row r="222" spans="3:25" x14ac:dyDescent="0.25">
      <c r="Y222" s="3"/>
    </row>
    <row r="223" spans="3:25" x14ac:dyDescent="0.25">
      <c r="Y223" s="3"/>
    </row>
    <row r="224" spans="3:25" x14ac:dyDescent="0.25">
      <c r="Y224" s="3"/>
    </row>
    <row r="225" spans="25:25" x14ac:dyDescent="0.25">
      <c r="Y225" s="3"/>
    </row>
    <row r="226" spans="25:25" x14ac:dyDescent="0.25">
      <c r="Y226" s="3"/>
    </row>
    <row r="227" spans="25:25" x14ac:dyDescent="0.25">
      <c r="Y227" s="3"/>
    </row>
    <row r="228" spans="25:25" x14ac:dyDescent="0.25">
      <c r="Y228" s="3"/>
    </row>
  </sheetData>
  <mergeCells count="6">
    <mergeCell ref="C203:G211"/>
    <mergeCell ref="C143:G153"/>
    <mergeCell ref="C196:G201"/>
    <mergeCell ref="C83:G85"/>
    <mergeCell ref="C87:G89"/>
    <mergeCell ref="C91:G101"/>
  </mergeCells>
  <hyperlinks>
    <hyperlink ref="H38" r:id="rId1" xr:uid="{0581C425-4BF5-4D5D-B480-57A03673615E}"/>
    <hyperlink ref="H39" r:id="rId2" xr:uid="{917636B1-6AA1-4F18-BC27-2F8BD1E55881}"/>
    <hyperlink ref="H41" r:id="rId3" xr:uid="{616A11BC-0554-4D16-9431-1E8EDB69CC2C}"/>
    <hyperlink ref="H40" r:id="rId4" xr:uid="{E21A2F87-1317-4CDD-8612-DF4DC8D56362}"/>
    <hyperlink ref="H42" r:id="rId5" xr:uid="{DF0F48A3-CB1C-4937-8509-585F58A8D1E2}"/>
    <hyperlink ref="H43" r:id="rId6" xr:uid="{9CD9FC79-452C-4979-A6DC-EB0EF473C7FD}"/>
    <hyperlink ref="H44" r:id="rId7" xr:uid="{94CEB37B-AD1D-4C1A-86AA-88E5C3D2EF65}"/>
    <hyperlink ref="H52" r:id="rId8" xr:uid="{3AECB892-4598-4E94-B972-30EFD40A8172}"/>
    <hyperlink ref="H54" r:id="rId9" xr:uid="{AE272B39-17D7-4864-ACC4-F9AE1C18B53F}"/>
    <hyperlink ref="H45" r:id="rId10" xr:uid="{05E0FF43-F715-4F2A-8488-EF3DB4ECCEDC}"/>
    <hyperlink ref="H51" r:id="rId11" xr:uid="{5E846101-9F49-4E71-9711-26B846711222}"/>
    <hyperlink ref="H53" r:id="rId12" xr:uid="{FC5B1483-028A-4FC9-890D-4319784D155A}"/>
  </hyperlinks>
  <pageMargins left="0.7" right="0.7" top="0.75" bottom="0.75" header="0.3" footer="0.3"/>
  <pageSetup scale="16" orientation="portrait" r:id="rId13"/>
  <drawing r:id="rId1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AE7F5A-8CE9-4B9B-8A70-8E5AB447D2B6}">
  <sheetPr>
    <tabColor rgb="FF00B050"/>
    <pageSetUpPr fitToPage="1"/>
  </sheetPr>
  <dimension ref="A1:AE76"/>
  <sheetViews>
    <sheetView view="pageBreakPreview" zoomScale="70" zoomScaleNormal="40" zoomScaleSheetLayoutView="70" zoomScalePageLayoutView="55" workbookViewId="0">
      <selection activeCell="B47" sqref="B47:G52"/>
    </sheetView>
  </sheetViews>
  <sheetFormatPr defaultRowHeight="15" x14ac:dyDescent="0.25"/>
  <cols>
    <col min="1" max="1" width="3.7109375" customWidth="1"/>
    <col min="2" max="8" width="20.7109375" customWidth="1"/>
    <col min="9" max="9" width="5.7109375" customWidth="1"/>
    <col min="10" max="10" width="3" customWidth="1"/>
    <col min="11" max="11" width="39.140625" customWidth="1"/>
    <col min="12" max="12" width="29.28515625" bestFit="1" customWidth="1"/>
    <col min="13" max="13" width="39.140625" customWidth="1"/>
    <col min="14" max="14" width="29.28515625" bestFit="1" customWidth="1"/>
    <col min="15" max="16" width="10.7109375" customWidth="1"/>
    <col min="17" max="17" width="6.85546875" bestFit="1" customWidth="1"/>
    <col min="18" max="18" width="14.140625" customWidth="1"/>
    <col min="19" max="19" width="14.7109375" bestFit="1" customWidth="1"/>
    <col min="20" max="20" width="14.7109375" customWidth="1"/>
    <col min="21" max="21" width="13.42578125" bestFit="1" customWidth="1"/>
    <col min="22" max="22" width="14.7109375" bestFit="1" customWidth="1"/>
    <col min="23" max="23" width="16" bestFit="1" customWidth="1"/>
    <col min="24" max="24" width="16" customWidth="1"/>
    <col min="25" max="25" width="18" bestFit="1" customWidth="1"/>
    <col min="26" max="27" width="23.28515625" customWidth="1"/>
    <col min="28" max="28" width="23" customWidth="1"/>
    <col min="29" max="31" width="23.28515625" customWidth="1"/>
    <col min="32" max="32" width="29.28515625" bestFit="1" customWidth="1"/>
    <col min="33" max="33" width="23.28515625" customWidth="1"/>
    <col min="34" max="35" width="29.28515625" bestFit="1" customWidth="1"/>
    <col min="36" max="38" width="10.7109375" customWidth="1"/>
  </cols>
  <sheetData>
    <row r="1" spans="2:31" ht="14.25" customHeight="1" x14ac:dyDescent="0.25">
      <c r="B1" s="54"/>
      <c r="C1" s="54"/>
      <c r="D1" s="54"/>
      <c r="E1" s="54"/>
      <c r="F1" s="54"/>
      <c r="G1" s="54"/>
      <c r="H1" s="54"/>
    </row>
    <row r="2" spans="2:31" x14ac:dyDescent="0.25">
      <c r="B2" s="1" t="s">
        <v>268</v>
      </c>
      <c r="C2" s="1"/>
    </row>
    <row r="3" spans="2:31" ht="15.75" thickBot="1" x14ac:dyDescent="0.3">
      <c r="K3" s="15"/>
    </row>
    <row r="4" spans="2:31" ht="35.1" customHeight="1" x14ac:dyDescent="0.25">
      <c r="B4" s="422" t="s">
        <v>0</v>
      </c>
      <c r="C4" s="424" t="s">
        <v>100</v>
      </c>
      <c r="D4" s="426" t="s">
        <v>102</v>
      </c>
      <c r="E4" s="424" t="s">
        <v>101</v>
      </c>
      <c r="F4" s="426" t="s">
        <v>103</v>
      </c>
      <c r="G4" s="428" t="s">
        <v>104</v>
      </c>
      <c r="H4" s="419" t="s">
        <v>1</v>
      </c>
      <c r="K4" s="63"/>
    </row>
    <row r="5" spans="2:31" ht="43.5" customHeight="1" thickBot="1" x14ac:dyDescent="0.3">
      <c r="B5" s="423"/>
      <c r="C5" s="425"/>
      <c r="D5" s="427"/>
      <c r="E5" s="425"/>
      <c r="F5" s="427"/>
      <c r="G5" s="429"/>
      <c r="H5" s="420"/>
      <c r="K5" s="421" t="s">
        <v>69</v>
      </c>
      <c r="L5" s="421"/>
      <c r="M5" s="33"/>
      <c r="Q5" s="1" t="s">
        <v>222</v>
      </c>
      <c r="R5" s="1"/>
      <c r="AD5" s="1"/>
      <c r="AE5" s="1"/>
    </row>
    <row r="6" spans="2:31" ht="15" customHeight="1" thickBot="1" x14ac:dyDescent="0.3">
      <c r="B6" s="170">
        <f>Assumptions!$D$9</f>
        <v>2026</v>
      </c>
      <c r="C6" s="271">
        <f t="shared" ref="C6:C41" si="0">IFERROR(_xlfn.XLOOKUP($B6,$Q$8:$Q$43,$T$8:$T$43,0,0,1),0)</f>
        <v>2408404.2535635978</v>
      </c>
      <c r="D6" s="272">
        <f t="shared" ref="D6:D41" si="1">IFERROR(_xlfn.XLOOKUP($B6,$Q$8:$Q$43,$U$8:$U$43,0,0,1),0)</f>
        <v>1220514.8710718206</v>
      </c>
      <c r="E6" s="271">
        <f t="shared" ref="E6:E41" si="2">IFERROR(_xlfn.XLOOKUP($B6,$Q$8:$Q$43,$X$8:$X$43,0,0,1),0)</f>
        <v>2147529.4618055513</v>
      </c>
      <c r="F6" s="272">
        <f t="shared" ref="F6:F41" si="3">IFERROR(_xlfn.XLOOKUP($B6,$Q$8:$Q$43,$Y$8:$Y$43,0,0,1),0)</f>
        <v>1081111.5422194789</v>
      </c>
      <c r="G6" s="273">
        <f t="shared" ref="G6:G41" si="4">D6-F6</f>
        <v>139403.32885234174</v>
      </c>
      <c r="H6" s="274">
        <f>G6*(1+0.07)^-(B6-Assumptions!$D$7)</f>
        <v>99392.64684573657</v>
      </c>
      <c r="K6" s="27" t="s">
        <v>61</v>
      </c>
      <c r="L6" s="22">
        <f>Assumptions!$D$23</f>
        <v>0.46</v>
      </c>
      <c r="R6" s="416" t="s">
        <v>36</v>
      </c>
      <c r="S6" s="417"/>
      <c r="T6" s="417"/>
      <c r="U6" s="418"/>
      <c r="V6" s="416" t="s">
        <v>14</v>
      </c>
      <c r="W6" s="417"/>
      <c r="X6" s="417"/>
      <c r="Y6" s="418"/>
      <c r="Z6" s="416" t="s">
        <v>135</v>
      </c>
      <c r="AA6" s="417"/>
      <c r="AB6" s="417"/>
      <c r="AC6" s="418"/>
      <c r="AD6" s="1"/>
      <c r="AE6" s="1"/>
    </row>
    <row r="7" spans="2:31" ht="15.75" thickBot="1" x14ac:dyDescent="0.3">
      <c r="B7" s="187">
        <f>B6+1</f>
        <v>2027</v>
      </c>
      <c r="C7" s="275">
        <f t="shared" si="0"/>
        <v>2424677.2552768653</v>
      </c>
      <c r="D7" s="272">
        <f t="shared" si="1"/>
        <v>1228761.5931736573</v>
      </c>
      <c r="E7" s="275">
        <f t="shared" si="2"/>
        <v>2162039.7960069431</v>
      </c>
      <c r="F7" s="276">
        <f t="shared" si="3"/>
        <v>1088416.3499371796</v>
      </c>
      <c r="G7" s="277">
        <f t="shared" si="4"/>
        <v>140345.24323647772</v>
      </c>
      <c r="H7" s="278">
        <f>G7*(1+0.07)^-(B7-Assumptions!$D$7)</f>
        <v>93517.961480263926</v>
      </c>
      <c r="K7" s="27" t="s">
        <v>56</v>
      </c>
      <c r="L7" s="22">
        <f>Assumptions!$D$24</f>
        <v>1.01</v>
      </c>
      <c r="Q7" s="111" t="s">
        <v>33</v>
      </c>
      <c r="R7" s="112" t="s">
        <v>131</v>
      </c>
      <c r="S7" s="108" t="s">
        <v>132</v>
      </c>
      <c r="T7" s="98" t="s">
        <v>189</v>
      </c>
      <c r="U7" s="113" t="s">
        <v>220</v>
      </c>
      <c r="V7" s="112" t="s">
        <v>131</v>
      </c>
      <c r="W7" s="108" t="s">
        <v>132</v>
      </c>
      <c r="X7" s="98" t="s">
        <v>189</v>
      </c>
      <c r="Y7" s="113" t="s">
        <v>220</v>
      </c>
      <c r="Z7" s="112" t="s">
        <v>133</v>
      </c>
      <c r="AA7" s="108" t="s">
        <v>134</v>
      </c>
      <c r="AB7" s="98" t="s">
        <v>185</v>
      </c>
      <c r="AC7" s="113" t="s">
        <v>221</v>
      </c>
      <c r="AD7" s="1"/>
      <c r="AE7" s="1"/>
    </row>
    <row r="8" spans="2:31" x14ac:dyDescent="0.25">
      <c r="B8" s="187">
        <f t="shared" ref="B8:B41" si="5">B7+1</f>
        <v>2028</v>
      </c>
      <c r="C8" s="275">
        <f t="shared" si="0"/>
        <v>2440950.2569901329</v>
      </c>
      <c r="D8" s="272">
        <f t="shared" si="1"/>
        <v>1237008.315275494</v>
      </c>
      <c r="E8" s="275">
        <f t="shared" si="2"/>
        <v>2176550.1302083312</v>
      </c>
      <c r="F8" s="276">
        <f t="shared" si="3"/>
        <v>1095721.1576548785</v>
      </c>
      <c r="G8" s="277">
        <f t="shared" si="4"/>
        <v>141287.15762061556</v>
      </c>
      <c r="H8" s="278">
        <f>G8*(1+0.07)^-(B8-Assumptions!$D$7)</f>
        <v>87986.540939845872</v>
      </c>
      <c r="J8" s="16"/>
      <c r="Q8" s="76">
        <v>2025</v>
      </c>
      <c r="R8" s="77">
        <f>IF(Q8&gt;=(Assumptions!$D$32+1),IF(Q8&lt;=Assumptions!$D$10,IF(Q8&gt;=Assumptions!$D$32,TREND($L$16:$L$17,$K$16:$K$17,Q8),0),0),0)</f>
        <v>0</v>
      </c>
      <c r="S8" s="107">
        <f>IF(Q8&gt;=(Assumptions!$D$32+1),IF(Q8&lt;=Assumptions!$D$10,IF(Q8&gt;=Assumptions!$D$32,TREND($L$22:$L$23,$K$22:$K$23,Q8),0),0),0)</f>
        <v>0</v>
      </c>
      <c r="T8" s="97">
        <f>SUM(R8:S8)</f>
        <v>0</v>
      </c>
      <c r="U8" s="106">
        <f>($L$6*R8)+($L$7*S8)</f>
        <v>0</v>
      </c>
      <c r="V8" s="77">
        <f>IF(Q8&gt;=(Assumptions!$D$32+1),IF(Q8&lt;=Assumptions!$D$10,IF(Q8&gt;=Assumptions!$D$32,TREND($N$16:$N$17,$M$16:$M$17,Q8),0),0),0)</f>
        <v>0</v>
      </c>
      <c r="W8" s="107">
        <f>IF(Q8&gt;=(Assumptions!$D$32+1),IF(Q8&lt;=Assumptions!$D$10,IF(Q8&gt;=Assumptions!$D$32,TREND($N$22:$N$23,$M$22:$M$23,Q8),0),0),0)</f>
        <v>0</v>
      </c>
      <c r="X8" s="97">
        <f>SUM(V8:W8)</f>
        <v>0</v>
      </c>
      <c r="Y8" s="106">
        <f>($L$6*V8)+($L$7*W8)</f>
        <v>0</v>
      </c>
      <c r="Z8" s="77">
        <f t="shared" ref="Z8" si="6">R8-V8</f>
        <v>0</v>
      </c>
      <c r="AA8" s="107">
        <f t="shared" ref="AA8" si="7">S8-W8</f>
        <v>0</v>
      </c>
      <c r="AB8" s="97">
        <f>SUM(Z8:AA8)</f>
        <v>0</v>
      </c>
      <c r="AC8" s="106">
        <f>U8-Y8</f>
        <v>0</v>
      </c>
      <c r="AD8" s="1"/>
      <c r="AE8" s="1"/>
    </row>
    <row r="9" spans="2:31" ht="15" customHeight="1" x14ac:dyDescent="0.25">
      <c r="B9" s="187">
        <f t="shared" si="5"/>
        <v>2029</v>
      </c>
      <c r="C9" s="275">
        <f t="shared" si="0"/>
        <v>2457223.2587034004</v>
      </c>
      <c r="D9" s="272">
        <f t="shared" si="1"/>
        <v>1245255.0373773307</v>
      </c>
      <c r="E9" s="275">
        <f t="shared" si="2"/>
        <v>2191060.4644097188</v>
      </c>
      <c r="F9" s="276">
        <f t="shared" si="3"/>
        <v>1103025.9653725768</v>
      </c>
      <c r="G9" s="277">
        <f t="shared" si="4"/>
        <v>142229.07200475386</v>
      </c>
      <c r="H9" s="278">
        <f>G9*(1+0.07)^-(B9-Assumptions!$D$7)</f>
        <v>82778.614840603172</v>
      </c>
      <c r="K9" s="19" t="s">
        <v>65</v>
      </c>
      <c r="L9" s="19"/>
      <c r="Q9" s="74">
        <v>2026</v>
      </c>
      <c r="R9" s="71">
        <f>IF(Q9&gt;=(Assumptions!$D$32+1),IF(Q9&lt;=Assumptions!$D$10,IF(Q9&gt;=Assumptions!$D$32,TREND($L$16:$L$17,$K$16:$K$17,Q9),0),0),0)</f>
        <v>2203588.0455043875</v>
      </c>
      <c r="S9" s="104">
        <f>IF(Q9&gt;=(Assumptions!$D$32+1),IF(Q9&lt;=Assumptions!$D$10,IF(Q9&gt;=Assumptions!$D$32,TREND($L$22:$L$23,$K$22:$K$23,Q9),0),0),0)</f>
        <v>204816.20805921033</v>
      </c>
      <c r="T9" s="110">
        <f t="shared" ref="T9:T43" si="8">SUM(R9:S9)</f>
        <v>2408404.2535635978</v>
      </c>
      <c r="U9" s="103">
        <f t="shared" ref="U9:U43" si="9">($L$6*R9)+($L$7*S9)</f>
        <v>1220514.8710718206</v>
      </c>
      <c r="V9" s="71">
        <f>IF(Q9&gt;=(Assumptions!$D$32+1),IF(Q9&lt;=Assumptions!$D$10,IF(Q9&gt;=Assumptions!$D$32,TREND($N$16:$N$17,$M$16:$M$17,Q9),0),0),0)</f>
        <v>1977987.6621893235</v>
      </c>
      <c r="W9" s="104">
        <f>IF(Q9&gt;=(Assumptions!$D$32+1),IF(Q9&lt;=Assumptions!$D$10,IF(Q9&gt;=Assumptions!$D$32,TREND($N$22:$N$23,$M$22:$M$23,Q9),0),0),0)</f>
        <v>169541.79961622786</v>
      </c>
      <c r="X9" s="110">
        <f t="shared" ref="X9:X43" si="10">SUM(V9:W9)</f>
        <v>2147529.4618055513</v>
      </c>
      <c r="Y9" s="103">
        <f t="shared" ref="Y9:Y43" si="11">($L$6*V9)+($L$7*W9)</f>
        <v>1081111.5422194789</v>
      </c>
      <c r="Z9" s="71">
        <f t="shared" ref="Z9:Z43" si="12">R9-V9</f>
        <v>225600.38331506401</v>
      </c>
      <c r="AA9" s="104">
        <f t="shared" ref="AA9:AA43" si="13">S9-W9</f>
        <v>35274.408442982472</v>
      </c>
      <c r="AB9" s="110">
        <f t="shared" ref="AB9:AB43" si="14">SUM(Z9:AA9)</f>
        <v>260874.79175804649</v>
      </c>
      <c r="AC9" s="103">
        <f t="shared" ref="AC9:AC43" si="15">U9-Y9</f>
        <v>139403.32885234174</v>
      </c>
      <c r="AD9" s="1"/>
      <c r="AE9" s="1"/>
    </row>
    <row r="10" spans="2:31" x14ac:dyDescent="0.25">
      <c r="B10" s="187">
        <f t="shared" si="5"/>
        <v>2030</v>
      </c>
      <c r="C10" s="275">
        <f t="shared" si="0"/>
        <v>2473496.2604166679</v>
      </c>
      <c r="D10" s="272">
        <f t="shared" si="1"/>
        <v>1253501.7594791674</v>
      </c>
      <c r="E10" s="275">
        <f t="shared" si="2"/>
        <v>2205570.7986111068</v>
      </c>
      <c r="F10" s="276">
        <f t="shared" si="3"/>
        <v>1110330.7730902759</v>
      </c>
      <c r="G10" s="277">
        <f t="shared" si="4"/>
        <v>143170.98638889147</v>
      </c>
      <c r="H10" s="278">
        <f>G10*(1+0.07)^-(B10-Assumptions!$D$7)</f>
        <v>77875.530455973858</v>
      </c>
      <c r="K10" s="27" t="s">
        <v>62</v>
      </c>
      <c r="L10" s="34">
        <f>Assumptions!$D$14</f>
        <v>0.92105263157894735</v>
      </c>
      <c r="Q10" s="74">
        <v>2027</v>
      </c>
      <c r="R10" s="71">
        <f>IF(Q10&gt;=(Assumptions!$D$32+1),IF(Q10&lt;=Assumptions!$D$10,IF(Q10&gt;=Assumptions!$D$32,TREND($L$16:$L$17,$K$16:$K$17,Q10),0),0),0)</f>
        <v>2218477.1539199576</v>
      </c>
      <c r="S10" s="104">
        <f>IF(Q10&gt;=(Assumptions!$D$32+1),IF(Q10&lt;=Assumptions!$D$10,IF(Q10&gt;=Assumptions!$D$32,TREND($L$22:$L$23,$K$22:$K$23,Q10),0),0),0)</f>
        <v>206200.10135690775</v>
      </c>
      <c r="T10" s="110">
        <f t="shared" si="8"/>
        <v>2424677.2552768653</v>
      </c>
      <c r="U10" s="103">
        <f t="shared" si="9"/>
        <v>1228761.5931736573</v>
      </c>
      <c r="V10" s="71">
        <f>IF(Q10&gt;=(Assumptions!$D$32+1),IF(Q10&lt;=Assumptions!$D$10,IF(Q10&gt;=Assumptions!$D$32,TREND($N$16:$N$17,$M$16:$M$17,Q10),0),0),0)</f>
        <v>1991352.4436906055</v>
      </c>
      <c r="W10" s="104">
        <f>IF(Q10&gt;=(Assumptions!$D$32+1),IF(Q10&lt;=Assumptions!$D$10,IF(Q10&gt;=Assumptions!$D$32,TREND($N$22:$N$23,$M$22:$M$23,Q10),0),0),0)</f>
        <v>170687.35231633764</v>
      </c>
      <c r="X10" s="110">
        <f t="shared" si="10"/>
        <v>2162039.7960069431</v>
      </c>
      <c r="Y10" s="103">
        <f t="shared" si="11"/>
        <v>1088416.3499371796</v>
      </c>
      <c r="Z10" s="71">
        <f t="shared" si="12"/>
        <v>227124.71022935212</v>
      </c>
      <c r="AA10" s="104">
        <f t="shared" si="13"/>
        <v>35512.74904057011</v>
      </c>
      <c r="AB10" s="110">
        <f t="shared" si="14"/>
        <v>262637.45926992223</v>
      </c>
      <c r="AC10" s="103">
        <f t="shared" si="15"/>
        <v>140345.24323647772</v>
      </c>
      <c r="AD10" s="1"/>
      <c r="AE10" s="1"/>
    </row>
    <row r="11" spans="2:31" x14ac:dyDescent="0.25">
      <c r="B11" s="187">
        <f t="shared" si="5"/>
        <v>2031</v>
      </c>
      <c r="C11" s="275">
        <f t="shared" si="0"/>
        <v>2489769.2621299354</v>
      </c>
      <c r="D11" s="272">
        <f t="shared" si="1"/>
        <v>1261748.4815810039</v>
      </c>
      <c r="E11" s="275">
        <f t="shared" si="2"/>
        <v>2220081.1328124986</v>
      </c>
      <c r="F11" s="276">
        <f t="shared" si="3"/>
        <v>1117635.5808079764</v>
      </c>
      <c r="G11" s="277">
        <f t="shared" si="4"/>
        <v>144112.90077302745</v>
      </c>
      <c r="H11" s="278">
        <f>G11*(1+0.07)^-(B11-Assumptions!$D$7)</f>
        <v>73259.691095449321</v>
      </c>
      <c r="K11" s="27" t="s">
        <v>57</v>
      </c>
      <c r="L11" s="34">
        <f>Assumptions!$D$15</f>
        <v>7.8947368421052627E-2</v>
      </c>
      <c r="Q11" s="74">
        <v>2028</v>
      </c>
      <c r="R11" s="71">
        <f>IF(Q11&gt;=(Assumptions!$D$32+1),IF(Q11&lt;=Assumptions!$D$10,IF(Q11&gt;=Assumptions!$D$32,TREND($L$16:$L$17,$K$16:$K$17,Q11),0),0),0)</f>
        <v>2233366.2623355277</v>
      </c>
      <c r="S11" s="104">
        <f>IF(Q11&gt;=(Assumptions!$D$32+1),IF(Q11&lt;=Assumptions!$D$10,IF(Q11&gt;=Assumptions!$D$32,TREND($L$22:$L$23,$K$22:$K$23,Q11),0),0),0)</f>
        <v>207583.99465460517</v>
      </c>
      <c r="T11" s="110">
        <f t="shared" si="8"/>
        <v>2440950.2569901329</v>
      </c>
      <c r="U11" s="103">
        <f t="shared" si="9"/>
        <v>1237008.315275494</v>
      </c>
      <c r="V11" s="71">
        <f>IF(Q11&gt;=(Assumptions!$D$32+1),IF(Q11&lt;=Assumptions!$D$10,IF(Q11&gt;=Assumptions!$D$32,TREND($N$16:$N$17,$M$16:$M$17,Q11),0),0),0)</f>
        <v>2004717.2251918837</v>
      </c>
      <c r="W11" s="104">
        <f>IF(Q11&gt;=(Assumptions!$D$32+1),IF(Q11&lt;=Assumptions!$D$10,IF(Q11&gt;=Assumptions!$D$32,TREND($N$22:$N$23,$M$22:$M$23,Q11),0),0),0)</f>
        <v>171832.90501644742</v>
      </c>
      <c r="X11" s="110">
        <f t="shared" si="10"/>
        <v>2176550.1302083312</v>
      </c>
      <c r="Y11" s="103">
        <f t="shared" si="11"/>
        <v>1095721.1576548785</v>
      </c>
      <c r="Z11" s="71">
        <f t="shared" si="12"/>
        <v>228649.03714364395</v>
      </c>
      <c r="AA11" s="104">
        <f t="shared" si="13"/>
        <v>35751.089638157748</v>
      </c>
      <c r="AB11" s="110">
        <f t="shared" si="14"/>
        <v>264400.12678180169</v>
      </c>
      <c r="AC11" s="103">
        <f t="shared" si="15"/>
        <v>141287.15762061556</v>
      </c>
      <c r="AD11" s="1"/>
      <c r="AE11" s="1"/>
    </row>
    <row r="12" spans="2:31" x14ac:dyDescent="0.25">
      <c r="B12" s="187">
        <f t="shared" si="5"/>
        <v>2032</v>
      </c>
      <c r="C12" s="275">
        <f t="shared" si="0"/>
        <v>2506042.263843203</v>
      </c>
      <c r="D12" s="272">
        <f t="shared" si="1"/>
        <v>1269995.2036828406</v>
      </c>
      <c r="E12" s="275">
        <f t="shared" si="2"/>
        <v>2234591.4670138862</v>
      </c>
      <c r="F12" s="276">
        <f t="shared" si="3"/>
        <v>1124940.3885256748</v>
      </c>
      <c r="G12" s="277">
        <f t="shared" si="4"/>
        <v>145054.81515716575</v>
      </c>
      <c r="H12" s="278">
        <f>G12*(1+0.07)^-(B12-Assumptions!$D$7)</f>
        <v>68914.497762502375</v>
      </c>
      <c r="Q12" s="74">
        <v>2029</v>
      </c>
      <c r="R12" s="71">
        <f>IF(Q12&gt;=(Assumptions!$D$32+1),IF(Q12&lt;=Assumptions!$D$10,IF(Q12&gt;=Assumptions!$D$32,TREND($L$16:$L$17,$K$16:$K$17,Q12),0),0),0)</f>
        <v>2248255.3707510978</v>
      </c>
      <c r="S12" s="104">
        <f>IF(Q12&gt;=(Assumptions!$D$32+1),IF(Q12&lt;=Assumptions!$D$10,IF(Q12&gt;=Assumptions!$D$32,TREND($L$22:$L$23,$K$22:$K$23,Q12),0),0),0)</f>
        <v>208967.88795230258</v>
      </c>
      <c r="T12" s="110">
        <f t="shared" si="8"/>
        <v>2457223.2587034004</v>
      </c>
      <c r="U12" s="103">
        <f t="shared" si="9"/>
        <v>1245255.0373773307</v>
      </c>
      <c r="V12" s="71">
        <f>IF(Q12&gt;=(Assumptions!$D$32+1),IF(Q12&lt;=Assumptions!$D$10,IF(Q12&gt;=Assumptions!$D$32,TREND($N$16:$N$17,$M$16:$M$17,Q12),0),0),0)</f>
        <v>2018082.006693162</v>
      </c>
      <c r="W12" s="104">
        <f>IF(Q12&gt;=(Assumptions!$D$32+1),IF(Q12&lt;=Assumptions!$D$10,IF(Q12&gt;=Assumptions!$D$32,TREND($N$22:$N$23,$M$22:$M$23,Q12),0),0),0)</f>
        <v>172978.45771655673</v>
      </c>
      <c r="X12" s="110">
        <f t="shared" si="10"/>
        <v>2191060.4644097188</v>
      </c>
      <c r="Y12" s="103">
        <f t="shared" si="11"/>
        <v>1103025.9653725768</v>
      </c>
      <c r="Z12" s="71">
        <f t="shared" si="12"/>
        <v>230173.36405793577</v>
      </c>
      <c r="AA12" s="104">
        <f t="shared" si="13"/>
        <v>35989.430235745851</v>
      </c>
      <c r="AB12" s="110">
        <f t="shared" si="14"/>
        <v>266162.79429368163</v>
      </c>
      <c r="AC12" s="103">
        <f t="shared" si="15"/>
        <v>142229.07200475386</v>
      </c>
      <c r="AD12" s="1"/>
      <c r="AE12" s="1"/>
    </row>
    <row r="13" spans="2:31" ht="15" customHeight="1" x14ac:dyDescent="0.25">
      <c r="B13" s="187">
        <f t="shared" si="5"/>
        <v>2033</v>
      </c>
      <c r="C13" s="275">
        <f t="shared" si="0"/>
        <v>2522315.2655564705</v>
      </c>
      <c r="D13" s="272">
        <f t="shared" si="1"/>
        <v>1278241.9257846773</v>
      </c>
      <c r="E13" s="275">
        <f t="shared" si="2"/>
        <v>2249101.8012152743</v>
      </c>
      <c r="F13" s="276">
        <f t="shared" si="3"/>
        <v>1132245.1962433737</v>
      </c>
      <c r="G13" s="277">
        <f t="shared" si="4"/>
        <v>145996.72954130359</v>
      </c>
      <c r="H13" s="278">
        <f>G13*(1+0.07)^-(B13-Assumptions!$D$7)</f>
        <v>64824.293926373939</v>
      </c>
      <c r="K13" s="38" t="s">
        <v>186</v>
      </c>
      <c r="Q13" s="74">
        <v>2030</v>
      </c>
      <c r="R13" s="71">
        <f>IF(Q13&gt;=(Assumptions!$D$32+1),IF(Q13&lt;=Assumptions!$D$10,IF(Q13&gt;=Assumptions!$D$32,TREND($L$16:$L$17,$K$16:$K$17,Q13),0),0),0)</f>
        <v>2263144.4791666679</v>
      </c>
      <c r="S13" s="104">
        <f>IF(Q13&gt;=(Assumptions!$D$32+1),IF(Q13&lt;=Assumptions!$D$10,IF(Q13&gt;=Assumptions!$D$32,TREND($L$22:$L$23,$K$22:$K$23,Q13),0),0),0)</f>
        <v>210351.78125</v>
      </c>
      <c r="T13" s="110">
        <f t="shared" si="8"/>
        <v>2473496.2604166679</v>
      </c>
      <c r="U13" s="103">
        <f t="shared" si="9"/>
        <v>1253501.7594791674</v>
      </c>
      <c r="V13" s="71">
        <f>IF(Q13&gt;=(Assumptions!$D$32+1),IF(Q13&lt;=Assumptions!$D$10,IF(Q13&gt;=Assumptions!$D$32,TREND($N$16:$N$17,$M$16:$M$17,Q13),0),0),0)</f>
        <v>2031446.7881944403</v>
      </c>
      <c r="W13" s="104">
        <f>IF(Q13&gt;=(Assumptions!$D$32+1),IF(Q13&lt;=Assumptions!$D$10,IF(Q13&gt;=Assumptions!$D$32,TREND($N$22:$N$23,$M$22:$M$23,Q13),0),0),0)</f>
        <v>174124.01041666651</v>
      </c>
      <c r="X13" s="110">
        <f t="shared" si="10"/>
        <v>2205570.7986111068</v>
      </c>
      <c r="Y13" s="103">
        <f t="shared" si="11"/>
        <v>1110330.7730902759</v>
      </c>
      <c r="Z13" s="71">
        <f t="shared" si="12"/>
        <v>231697.6909722276</v>
      </c>
      <c r="AA13" s="104">
        <f t="shared" si="13"/>
        <v>36227.770833333489</v>
      </c>
      <c r="AB13" s="110">
        <f t="shared" si="14"/>
        <v>267925.46180556109</v>
      </c>
      <c r="AC13" s="103">
        <f t="shared" si="15"/>
        <v>143170.98638889147</v>
      </c>
      <c r="AD13" s="1"/>
      <c r="AE13" s="1"/>
    </row>
    <row r="14" spans="2:31" x14ac:dyDescent="0.25">
      <c r="B14" s="187">
        <f t="shared" si="5"/>
        <v>2034</v>
      </c>
      <c r="C14" s="275">
        <f t="shared" si="0"/>
        <v>2538588.2672697376</v>
      </c>
      <c r="D14" s="272">
        <f t="shared" si="1"/>
        <v>1286488.6478865133</v>
      </c>
      <c r="E14" s="275">
        <f t="shared" si="2"/>
        <v>2263612.1354166623</v>
      </c>
      <c r="F14" s="276">
        <f t="shared" si="3"/>
        <v>1139550.0039610725</v>
      </c>
      <c r="G14" s="277">
        <f t="shared" si="4"/>
        <v>146938.64392544073</v>
      </c>
      <c r="H14" s="278">
        <f>G14*(1+0.07)^-(B14-Assumptions!$D$7)</f>
        <v>60974.313250010928</v>
      </c>
      <c r="K14" s="42" t="s">
        <v>58</v>
      </c>
      <c r="L14" s="44"/>
      <c r="M14" s="42" t="s">
        <v>59</v>
      </c>
      <c r="N14" s="44"/>
      <c r="Q14" s="74">
        <v>2031</v>
      </c>
      <c r="R14" s="71">
        <f>IF(Q14&gt;=(Assumptions!$D$32+1),IF(Q14&lt;=Assumptions!$D$10,IF(Q14&gt;=Assumptions!$D$32,TREND($L$16:$L$17,$K$16:$K$17,Q14),0),0),0)</f>
        <v>2278033.587582238</v>
      </c>
      <c r="S14" s="104">
        <f>IF(Q14&gt;=(Assumptions!$D$32+1),IF(Q14&lt;=Assumptions!$D$10,IF(Q14&gt;=Assumptions!$D$32,TREND($L$22:$L$23,$K$22:$K$23,Q14),0),0),0)</f>
        <v>211735.67454769742</v>
      </c>
      <c r="T14" s="110">
        <f t="shared" si="8"/>
        <v>2489769.2621299354</v>
      </c>
      <c r="U14" s="103">
        <f t="shared" si="9"/>
        <v>1261748.4815810039</v>
      </c>
      <c r="V14" s="71">
        <f>IF(Q14&gt;=(Assumptions!$D$32+1),IF(Q14&lt;=Assumptions!$D$10,IF(Q14&gt;=Assumptions!$D$32,TREND($N$16:$N$17,$M$16:$M$17,Q14),0),0),0)</f>
        <v>2044811.5696957223</v>
      </c>
      <c r="W14" s="104">
        <f>IF(Q14&gt;=(Assumptions!$D$32+1),IF(Q14&lt;=Assumptions!$D$10,IF(Q14&gt;=Assumptions!$D$32,TREND($N$22:$N$23,$M$22:$M$23,Q14),0),0),0)</f>
        <v>175269.56311677629</v>
      </c>
      <c r="X14" s="110">
        <f t="shared" si="10"/>
        <v>2220081.1328124986</v>
      </c>
      <c r="Y14" s="103">
        <f t="shared" si="11"/>
        <v>1117635.5808079764</v>
      </c>
      <c r="Z14" s="71">
        <f t="shared" si="12"/>
        <v>233222.01788651571</v>
      </c>
      <c r="AA14" s="104">
        <f t="shared" si="13"/>
        <v>36466.111430921126</v>
      </c>
      <c r="AB14" s="110">
        <f t="shared" si="14"/>
        <v>269688.12931743683</v>
      </c>
      <c r="AC14" s="103">
        <f t="shared" si="15"/>
        <v>144112.90077302745</v>
      </c>
      <c r="AD14" s="1"/>
      <c r="AE14" s="1"/>
    </row>
    <row r="15" spans="2:31" x14ac:dyDescent="0.25">
      <c r="B15" s="187">
        <f t="shared" si="5"/>
        <v>2035</v>
      </c>
      <c r="C15" s="275">
        <f t="shared" si="0"/>
        <v>2554861.2689830051</v>
      </c>
      <c r="D15" s="272">
        <f t="shared" si="1"/>
        <v>1294735.36998835</v>
      </c>
      <c r="E15" s="275">
        <f t="shared" si="2"/>
        <v>2278122.4696180541</v>
      </c>
      <c r="F15" s="276">
        <f t="shared" si="3"/>
        <v>1146854.8116787733</v>
      </c>
      <c r="G15" s="277">
        <f t="shared" si="4"/>
        <v>147880.55830957671</v>
      </c>
      <c r="H15" s="278">
        <f>G15*(1+0.07)^-(B15-Assumptions!$D$7)</f>
        <v>57350.630123721676</v>
      </c>
      <c r="K15" s="26" t="s">
        <v>33</v>
      </c>
      <c r="L15" s="25" t="s">
        <v>76</v>
      </c>
      <c r="M15" s="26" t="s">
        <v>33</v>
      </c>
      <c r="N15" s="25" t="s">
        <v>76</v>
      </c>
      <c r="Q15" s="74">
        <v>2032</v>
      </c>
      <c r="R15" s="71">
        <f>IF(Q15&gt;=(Assumptions!$D$32+1),IF(Q15&lt;=Assumptions!$D$10,IF(Q15&gt;=Assumptions!$D$32,TREND($L$16:$L$17,$K$16:$K$17,Q15),0),0),0)</f>
        <v>2292922.6959978081</v>
      </c>
      <c r="S15" s="104">
        <f>IF(Q15&gt;=(Assumptions!$D$32+1),IF(Q15&lt;=Assumptions!$D$10,IF(Q15&gt;=Assumptions!$D$32,TREND($L$22:$L$23,$K$22:$K$23,Q15),0),0),0)</f>
        <v>213119.56784539483</v>
      </c>
      <c r="T15" s="110">
        <f t="shared" si="8"/>
        <v>2506042.263843203</v>
      </c>
      <c r="U15" s="103">
        <f t="shared" si="9"/>
        <v>1269995.2036828406</v>
      </c>
      <c r="V15" s="71">
        <f>IF(Q15&gt;=(Assumptions!$D$32+1),IF(Q15&lt;=Assumptions!$D$10,IF(Q15&gt;=Assumptions!$D$32,TREND($N$16:$N$17,$M$16:$M$17,Q15),0),0),0)</f>
        <v>2058176.3511970006</v>
      </c>
      <c r="W15" s="104">
        <f>IF(Q15&gt;=(Assumptions!$D$32+1),IF(Q15&lt;=Assumptions!$D$10,IF(Q15&gt;=Assumptions!$D$32,TREND($N$22:$N$23,$M$22:$M$23,Q15),0),0),0)</f>
        <v>176415.11581688561</v>
      </c>
      <c r="X15" s="110">
        <f t="shared" si="10"/>
        <v>2234591.4670138862</v>
      </c>
      <c r="Y15" s="103">
        <f t="shared" si="11"/>
        <v>1124940.3885256748</v>
      </c>
      <c r="Z15" s="71">
        <f t="shared" si="12"/>
        <v>234746.34480080754</v>
      </c>
      <c r="AA15" s="104">
        <f t="shared" si="13"/>
        <v>36704.452028509229</v>
      </c>
      <c r="AB15" s="110">
        <f t="shared" si="14"/>
        <v>271450.79682931677</v>
      </c>
      <c r="AC15" s="103">
        <f t="shared" si="15"/>
        <v>145054.81515716575</v>
      </c>
      <c r="AD15" s="1"/>
      <c r="AE15" s="1"/>
    </row>
    <row r="16" spans="2:31" x14ac:dyDescent="0.25">
      <c r="B16" s="187">
        <f t="shared" si="5"/>
        <v>2036</v>
      </c>
      <c r="C16" s="275">
        <f t="shared" si="0"/>
        <v>2571134.2706962726</v>
      </c>
      <c r="D16" s="272">
        <f t="shared" si="1"/>
        <v>1302982.0920901867</v>
      </c>
      <c r="E16" s="275">
        <f t="shared" si="2"/>
        <v>2292632.8038194417</v>
      </c>
      <c r="F16" s="276">
        <f t="shared" si="3"/>
        <v>1154159.6193964717</v>
      </c>
      <c r="G16" s="277">
        <f t="shared" si="4"/>
        <v>148822.47269371501</v>
      </c>
      <c r="H16" s="278">
        <f>G16*(1+0.07)^-(B16-Assumptions!$D$7)</f>
        <v>53940.112861170768</v>
      </c>
      <c r="K16" s="26">
        <f>Assumptions!$C$33</f>
        <v>2022</v>
      </c>
      <c r="L16" s="28">
        <f>'Operations Calculations'!$G$68</f>
        <v>2144031.6118421052</v>
      </c>
      <c r="M16" s="26">
        <f>Assumptions!$C$33</f>
        <v>2022</v>
      </c>
      <c r="N16" s="28">
        <f>'Operations Calculations'!G77</f>
        <v>1924528.5361842106</v>
      </c>
      <c r="Q16" s="74">
        <v>2033</v>
      </c>
      <c r="R16" s="71">
        <f>IF(Q16&gt;=(Assumptions!$D$32+1),IF(Q16&lt;=Assumptions!$D$10,IF(Q16&gt;=Assumptions!$D$32,TREND($L$16:$L$17,$K$16:$K$17,Q16),0),0),0)</f>
        <v>2307811.8044133782</v>
      </c>
      <c r="S16" s="104">
        <f>IF(Q16&gt;=(Assumptions!$D$32+1),IF(Q16&lt;=Assumptions!$D$10,IF(Q16&gt;=Assumptions!$D$32,TREND($L$22:$L$23,$K$22:$K$23,Q16),0),0),0)</f>
        <v>214503.46114309225</v>
      </c>
      <c r="T16" s="110">
        <f t="shared" si="8"/>
        <v>2522315.2655564705</v>
      </c>
      <c r="U16" s="103">
        <f t="shared" si="9"/>
        <v>1278241.9257846773</v>
      </c>
      <c r="V16" s="71">
        <f>IF(Q16&gt;=(Assumptions!$D$32+1),IF(Q16&lt;=Assumptions!$D$10,IF(Q16&gt;=Assumptions!$D$32,TREND($N$16:$N$17,$M$16:$M$17,Q16),0),0),0)</f>
        <v>2071541.1326982789</v>
      </c>
      <c r="W16" s="104">
        <f>IF(Q16&gt;=(Assumptions!$D$32+1),IF(Q16&lt;=Assumptions!$D$10,IF(Q16&gt;=Assumptions!$D$32,TREND($N$22:$N$23,$M$22:$M$23,Q16),0),0),0)</f>
        <v>177560.66851699539</v>
      </c>
      <c r="X16" s="110">
        <f t="shared" si="10"/>
        <v>2249101.8012152743</v>
      </c>
      <c r="Y16" s="103">
        <f t="shared" si="11"/>
        <v>1132245.1962433737</v>
      </c>
      <c r="Z16" s="71">
        <f t="shared" si="12"/>
        <v>236270.67171509936</v>
      </c>
      <c r="AA16" s="104">
        <f t="shared" si="13"/>
        <v>36942.792626096867</v>
      </c>
      <c r="AB16" s="110">
        <f t="shared" si="14"/>
        <v>273213.46434119623</v>
      </c>
      <c r="AC16" s="103">
        <f t="shared" si="15"/>
        <v>145996.72954130359</v>
      </c>
      <c r="AD16" s="1"/>
      <c r="AE16" s="1"/>
    </row>
    <row r="17" spans="1:31" x14ac:dyDescent="0.25">
      <c r="B17" s="187">
        <f t="shared" si="5"/>
        <v>2037</v>
      </c>
      <c r="C17" s="275">
        <f t="shared" si="0"/>
        <v>2587407.2724095401</v>
      </c>
      <c r="D17" s="272">
        <f t="shared" si="1"/>
        <v>1311228.8141920231</v>
      </c>
      <c r="E17" s="275">
        <f t="shared" si="2"/>
        <v>2307143.1380208298</v>
      </c>
      <c r="F17" s="276">
        <f t="shared" si="3"/>
        <v>1161464.4271141705</v>
      </c>
      <c r="G17" s="277">
        <f t="shared" si="4"/>
        <v>149764.38707785262</v>
      </c>
      <c r="H17" s="278">
        <f>G17*(1+0.07)^-(B17-Assumptions!$D$7)</f>
        <v>50730.379421070407</v>
      </c>
      <c r="K17" s="26">
        <f>Assumptions!$C$34</f>
        <v>2039</v>
      </c>
      <c r="L17" s="28">
        <f>'Operations Calculations'!$H$68</f>
        <v>2397146.454906798</v>
      </c>
      <c r="M17" s="26">
        <f>Assumptions!$C$34</f>
        <v>2039</v>
      </c>
      <c r="N17" s="28">
        <f>'Operations Calculations'!H77</f>
        <v>2151729.8217059574</v>
      </c>
      <c r="Q17" s="74">
        <v>2034</v>
      </c>
      <c r="R17" s="71">
        <f>IF(Q17&gt;=(Assumptions!$D$32+1),IF(Q17&lt;=Assumptions!$D$10,IF(Q17&gt;=Assumptions!$D$32,TREND($L$16:$L$17,$K$16:$K$17,Q17),0),0),0)</f>
        <v>2322700.9128289483</v>
      </c>
      <c r="S17" s="104">
        <f>IF(Q17&gt;=(Assumptions!$D$32+1),IF(Q17&lt;=Assumptions!$D$10,IF(Q17&gt;=Assumptions!$D$32,TREND($L$22:$L$23,$K$22:$K$23,Q17),0),0),0)</f>
        <v>215887.3544407892</v>
      </c>
      <c r="T17" s="110">
        <f t="shared" si="8"/>
        <v>2538588.2672697376</v>
      </c>
      <c r="U17" s="103">
        <f t="shared" si="9"/>
        <v>1286488.6478865133</v>
      </c>
      <c r="V17" s="71">
        <f>IF(Q17&gt;=(Assumptions!$D$32+1),IF(Q17&lt;=Assumptions!$D$10,IF(Q17&gt;=Assumptions!$D$32,TREND($N$16:$N$17,$M$16:$M$17,Q17),0),0),0)</f>
        <v>2084905.9141995572</v>
      </c>
      <c r="W17" s="104">
        <f>IF(Q17&gt;=(Assumptions!$D$32+1),IF(Q17&lt;=Assumptions!$D$10,IF(Q17&gt;=Assumptions!$D$32,TREND($N$22:$N$23,$M$22:$M$23,Q17),0),0),0)</f>
        <v>178706.22121710517</v>
      </c>
      <c r="X17" s="110">
        <f t="shared" si="10"/>
        <v>2263612.1354166623</v>
      </c>
      <c r="Y17" s="103">
        <f t="shared" si="11"/>
        <v>1139550.0039610725</v>
      </c>
      <c r="Z17" s="71">
        <f t="shared" si="12"/>
        <v>237794.99862939119</v>
      </c>
      <c r="AA17" s="104">
        <f t="shared" si="13"/>
        <v>37181.133223684039</v>
      </c>
      <c r="AB17" s="110">
        <f t="shared" si="14"/>
        <v>274976.13185307523</v>
      </c>
      <c r="AC17" s="103">
        <f t="shared" si="15"/>
        <v>146938.64392544073</v>
      </c>
      <c r="AD17" s="1"/>
      <c r="AE17" s="1"/>
    </row>
    <row r="18" spans="1:31" x14ac:dyDescent="0.25">
      <c r="B18" s="187">
        <f t="shared" si="5"/>
        <v>2038</v>
      </c>
      <c r="C18" s="275">
        <f t="shared" si="0"/>
        <v>2603680.2741228077</v>
      </c>
      <c r="D18" s="272">
        <f t="shared" si="1"/>
        <v>1319475.5362938598</v>
      </c>
      <c r="E18" s="275">
        <f t="shared" si="2"/>
        <v>2321653.4722222178</v>
      </c>
      <c r="F18" s="276">
        <f t="shared" si="3"/>
        <v>1168769.2348318694</v>
      </c>
      <c r="G18" s="277">
        <f t="shared" si="4"/>
        <v>150706.30146199046</v>
      </c>
      <c r="H18" s="278">
        <f>G18*(1+0.07)^-(B18-Assumptions!$D$7)</f>
        <v>47709.755524430067</v>
      </c>
      <c r="L18" s="3"/>
      <c r="M18" s="3"/>
      <c r="N18" s="3"/>
      <c r="Q18" s="74">
        <v>2035</v>
      </c>
      <c r="R18" s="71">
        <f>IF(Q18&gt;=(Assumptions!$D$32+1),IF(Q18&lt;=Assumptions!$D$10,IF(Q18&gt;=Assumptions!$D$32,TREND($L$16:$L$17,$K$16:$K$17,Q18),0),0),0)</f>
        <v>2337590.0212445185</v>
      </c>
      <c r="S18" s="104">
        <f>IF(Q18&gt;=(Assumptions!$D$32+1),IF(Q18&lt;=Assumptions!$D$10,IF(Q18&gt;=Assumptions!$D$32,TREND($L$22:$L$23,$K$22:$K$23,Q18),0),0),0)</f>
        <v>217271.24773848662</v>
      </c>
      <c r="T18" s="110">
        <f t="shared" si="8"/>
        <v>2554861.2689830051</v>
      </c>
      <c r="U18" s="103">
        <f t="shared" si="9"/>
        <v>1294735.36998835</v>
      </c>
      <c r="V18" s="71">
        <f>IF(Q18&gt;=(Assumptions!$D$32+1),IF(Q18&lt;=Assumptions!$D$10,IF(Q18&gt;=Assumptions!$D$32,TREND($N$16:$N$17,$M$16:$M$17,Q18),0),0),0)</f>
        <v>2098270.6957008392</v>
      </c>
      <c r="W18" s="104">
        <f>IF(Q18&gt;=(Assumptions!$D$32+1),IF(Q18&lt;=Assumptions!$D$10,IF(Q18&gt;=Assumptions!$D$32,TREND($N$22:$N$23,$M$22:$M$23,Q18),0),0),0)</f>
        <v>179851.77391721494</v>
      </c>
      <c r="X18" s="110">
        <f t="shared" si="10"/>
        <v>2278122.4696180541</v>
      </c>
      <c r="Y18" s="103">
        <f t="shared" si="11"/>
        <v>1146854.8116787733</v>
      </c>
      <c r="Z18" s="71">
        <f t="shared" si="12"/>
        <v>239319.3255436793</v>
      </c>
      <c r="AA18" s="104">
        <f t="shared" si="13"/>
        <v>37419.473821271677</v>
      </c>
      <c r="AB18" s="110">
        <f t="shared" si="14"/>
        <v>276738.79936495097</v>
      </c>
      <c r="AC18" s="103">
        <f t="shared" si="15"/>
        <v>147880.55830957671</v>
      </c>
      <c r="AD18" s="1"/>
      <c r="AE18" s="1"/>
    </row>
    <row r="19" spans="1:31" x14ac:dyDescent="0.25">
      <c r="B19" s="187">
        <f t="shared" si="5"/>
        <v>2039</v>
      </c>
      <c r="C19" s="275">
        <f t="shared" si="0"/>
        <v>2619953.2758360752</v>
      </c>
      <c r="D19" s="272">
        <f t="shared" si="1"/>
        <v>1327722.2583956968</v>
      </c>
      <c r="E19" s="275">
        <f t="shared" si="2"/>
        <v>2336163.8064236096</v>
      </c>
      <c r="F19" s="276">
        <f t="shared" si="3"/>
        <v>1176074.0425495699</v>
      </c>
      <c r="G19" s="277">
        <f t="shared" si="4"/>
        <v>151648.2158461269</v>
      </c>
      <c r="H19" s="278">
        <f>G19*(1+0.07)^-(B19-Assumptions!$D$7)</f>
        <v>44867.235043418157</v>
      </c>
      <c r="K19" s="38" t="s">
        <v>187</v>
      </c>
      <c r="Q19" s="74">
        <v>2036</v>
      </c>
      <c r="R19" s="71">
        <f>IF(Q19&gt;=(Assumptions!$D$32+1),IF(Q19&lt;=Assumptions!$D$10,IF(Q19&gt;=Assumptions!$D$32,TREND($L$16:$L$17,$K$16:$K$17,Q19),0),0),0)</f>
        <v>2352479.1296600886</v>
      </c>
      <c r="S19" s="104">
        <f>IF(Q19&gt;=(Assumptions!$D$32+1),IF(Q19&lt;=Assumptions!$D$10,IF(Q19&gt;=Assumptions!$D$32,TREND($L$22:$L$23,$K$22:$K$23,Q19),0),0),0)</f>
        <v>218655.14103618404</v>
      </c>
      <c r="T19" s="110">
        <f t="shared" si="8"/>
        <v>2571134.2706962726</v>
      </c>
      <c r="U19" s="103">
        <f t="shared" si="9"/>
        <v>1302982.0920901867</v>
      </c>
      <c r="V19" s="71">
        <f>IF(Q19&gt;=(Assumptions!$D$32+1),IF(Q19&lt;=Assumptions!$D$10,IF(Q19&gt;=Assumptions!$D$32,TREND($N$16:$N$17,$M$16:$M$17,Q19),0),0),0)</f>
        <v>2111635.4772021174</v>
      </c>
      <c r="W19" s="104">
        <f>IF(Q19&gt;=(Assumptions!$D$32+1),IF(Q19&lt;=Assumptions!$D$10,IF(Q19&gt;=Assumptions!$D$32,TREND($N$22:$N$23,$M$22:$M$23,Q19),0),0),0)</f>
        <v>180997.32661732426</v>
      </c>
      <c r="X19" s="110">
        <f t="shared" si="10"/>
        <v>2292632.8038194417</v>
      </c>
      <c r="Y19" s="103">
        <f t="shared" si="11"/>
        <v>1154159.6193964717</v>
      </c>
      <c r="Z19" s="71">
        <f t="shared" si="12"/>
        <v>240843.65245797113</v>
      </c>
      <c r="AA19" s="104">
        <f t="shared" si="13"/>
        <v>37657.81441885978</v>
      </c>
      <c r="AB19" s="110">
        <f t="shared" si="14"/>
        <v>278501.46687683091</v>
      </c>
      <c r="AC19" s="103">
        <f t="shared" si="15"/>
        <v>148822.47269371501</v>
      </c>
      <c r="AD19" s="1"/>
      <c r="AE19" s="1"/>
    </row>
    <row r="20" spans="1:31" ht="14.25" customHeight="1" x14ac:dyDescent="0.25">
      <c r="B20" s="187">
        <f t="shared" si="5"/>
        <v>2040</v>
      </c>
      <c r="C20" s="275">
        <f t="shared" si="0"/>
        <v>2636226.2775493427</v>
      </c>
      <c r="D20" s="272">
        <f t="shared" si="1"/>
        <v>1335968.9804975332</v>
      </c>
      <c r="E20" s="275">
        <f t="shared" si="2"/>
        <v>2350674.1406249972</v>
      </c>
      <c r="F20" s="276">
        <f t="shared" si="3"/>
        <v>1183378.8502672683</v>
      </c>
      <c r="G20" s="277">
        <f t="shared" si="4"/>
        <v>152590.13023026497</v>
      </c>
      <c r="H20" s="278">
        <f>G20*(1+0.07)^-(B20-Assumptions!$D$7)</f>
        <v>42192.442543877471</v>
      </c>
      <c r="K20" s="42" t="s">
        <v>58</v>
      </c>
      <c r="L20" s="44"/>
      <c r="M20" s="42" t="s">
        <v>59</v>
      </c>
      <c r="N20" s="44"/>
      <c r="Q20" s="74">
        <v>2037</v>
      </c>
      <c r="R20" s="71">
        <f>IF(Q20&gt;=(Assumptions!$D$32+1),IF(Q20&lt;=Assumptions!$D$10,IF(Q20&gt;=Assumptions!$D$32,TREND($L$16:$L$17,$K$16:$K$17,Q20),0),0),0)</f>
        <v>2367368.2380756587</v>
      </c>
      <c r="S20" s="104">
        <f>IF(Q20&gt;=(Assumptions!$D$32+1),IF(Q20&lt;=Assumptions!$D$10,IF(Q20&gt;=Assumptions!$D$32,TREND($L$22:$L$23,$K$22:$K$23,Q20),0),0),0)</f>
        <v>220039.03433388146</v>
      </c>
      <c r="T20" s="110">
        <f t="shared" si="8"/>
        <v>2587407.2724095401</v>
      </c>
      <c r="U20" s="103">
        <f t="shared" si="9"/>
        <v>1311228.8141920231</v>
      </c>
      <c r="V20" s="71">
        <f>IF(Q20&gt;=(Assumptions!$D$32+1),IF(Q20&lt;=Assumptions!$D$10,IF(Q20&gt;=Assumptions!$D$32,TREND($N$16:$N$17,$M$16:$M$17,Q20),0),0),0)</f>
        <v>2125000.2587033957</v>
      </c>
      <c r="W20" s="104">
        <f>IF(Q20&gt;=(Assumptions!$D$32+1),IF(Q20&lt;=Assumptions!$D$10,IF(Q20&gt;=Assumptions!$D$32,TREND($N$22:$N$23,$M$22:$M$23,Q20),0),0),0)</f>
        <v>182142.87931743404</v>
      </c>
      <c r="X20" s="110">
        <f t="shared" si="10"/>
        <v>2307143.1380208298</v>
      </c>
      <c r="Y20" s="103">
        <f t="shared" si="11"/>
        <v>1161464.4271141705</v>
      </c>
      <c r="Z20" s="71">
        <f t="shared" si="12"/>
        <v>242367.97937226295</v>
      </c>
      <c r="AA20" s="104">
        <f t="shared" si="13"/>
        <v>37896.155016447417</v>
      </c>
      <c r="AB20" s="110">
        <f t="shared" si="14"/>
        <v>280264.13438871037</v>
      </c>
      <c r="AC20" s="103">
        <f t="shared" si="15"/>
        <v>149764.38707785262</v>
      </c>
      <c r="AD20" s="1"/>
      <c r="AE20" s="1"/>
    </row>
    <row r="21" spans="1:31" ht="15" customHeight="1" x14ac:dyDescent="0.25">
      <c r="B21" s="187">
        <f t="shared" si="5"/>
        <v>2041</v>
      </c>
      <c r="C21" s="275">
        <f t="shared" si="0"/>
        <v>2652499.2792626102</v>
      </c>
      <c r="D21" s="272">
        <f t="shared" si="1"/>
        <v>1344215.7025993699</v>
      </c>
      <c r="E21" s="275">
        <f t="shared" si="2"/>
        <v>2365184.4748263853</v>
      </c>
      <c r="F21" s="276">
        <f t="shared" si="3"/>
        <v>1190683.6579849673</v>
      </c>
      <c r="G21" s="277">
        <f t="shared" si="4"/>
        <v>153532.04461440258</v>
      </c>
      <c r="H21" s="278">
        <f>G21*(1+0.07)^-(B21-Assumptions!$D$7)</f>
        <v>39675.597869228317</v>
      </c>
      <c r="K21" s="26" t="s">
        <v>33</v>
      </c>
      <c r="L21" s="25" t="s">
        <v>76</v>
      </c>
      <c r="M21" s="26" t="s">
        <v>33</v>
      </c>
      <c r="N21" s="25" t="s">
        <v>76</v>
      </c>
      <c r="P21" s="38"/>
      <c r="Q21" s="74">
        <v>2038</v>
      </c>
      <c r="R21" s="71">
        <f>IF(Q21&gt;=(Assumptions!$D$32+1),IF(Q21&lt;=Assumptions!$D$10,IF(Q21&gt;=Assumptions!$D$32,TREND($L$16:$L$17,$K$16:$K$17,Q21),0),0),0)</f>
        <v>2382257.3464912288</v>
      </c>
      <c r="S21" s="104">
        <f>IF(Q21&gt;=(Assumptions!$D$32+1),IF(Q21&lt;=Assumptions!$D$10,IF(Q21&gt;=Assumptions!$D$32,TREND($L$22:$L$23,$K$22:$K$23,Q21),0),0),0)</f>
        <v>221422.92763157887</v>
      </c>
      <c r="T21" s="110">
        <f t="shared" si="8"/>
        <v>2603680.2741228077</v>
      </c>
      <c r="U21" s="103">
        <f t="shared" si="9"/>
        <v>1319475.5362938598</v>
      </c>
      <c r="V21" s="71">
        <f>IF(Q21&gt;=(Assumptions!$D$32+1),IF(Q21&lt;=Assumptions!$D$10,IF(Q21&gt;=Assumptions!$D$32,TREND($N$16:$N$17,$M$16:$M$17,Q21),0),0),0)</f>
        <v>2138365.040204674</v>
      </c>
      <c r="W21" s="104">
        <f>IF(Q21&gt;=(Assumptions!$D$32+1),IF(Q21&lt;=Assumptions!$D$10,IF(Q21&gt;=Assumptions!$D$32,TREND($N$22:$N$23,$M$22:$M$23,Q21),0),0),0)</f>
        <v>183288.43201754382</v>
      </c>
      <c r="X21" s="110">
        <f t="shared" si="10"/>
        <v>2321653.4722222178</v>
      </c>
      <c r="Y21" s="103">
        <f t="shared" si="11"/>
        <v>1168769.2348318694</v>
      </c>
      <c r="Z21" s="71">
        <f t="shared" si="12"/>
        <v>243892.30628655478</v>
      </c>
      <c r="AA21" s="104">
        <f t="shared" si="13"/>
        <v>38134.495614035055</v>
      </c>
      <c r="AB21" s="110">
        <f t="shared" si="14"/>
        <v>282026.80190058984</v>
      </c>
      <c r="AC21" s="103">
        <f t="shared" si="15"/>
        <v>150706.30146199046</v>
      </c>
      <c r="AD21" s="1"/>
      <c r="AE21" s="1"/>
    </row>
    <row r="22" spans="1:31" x14ac:dyDescent="0.25">
      <c r="B22" s="187">
        <f t="shared" si="5"/>
        <v>2042</v>
      </c>
      <c r="C22" s="275">
        <f t="shared" si="0"/>
        <v>2668772.2809758778</v>
      </c>
      <c r="D22" s="272">
        <f t="shared" si="1"/>
        <v>1352462.4247012066</v>
      </c>
      <c r="E22" s="275">
        <f t="shared" si="2"/>
        <v>2379694.8090277733</v>
      </c>
      <c r="F22" s="276">
        <f t="shared" si="3"/>
        <v>1197988.4657026662</v>
      </c>
      <c r="G22" s="277">
        <f t="shared" si="4"/>
        <v>154473.95899854042</v>
      </c>
      <c r="H22" s="278">
        <f>G22*(1+0.07)^-(B22-Assumptions!$D$7)</f>
        <v>37307.482658984351</v>
      </c>
      <c r="K22" s="26">
        <f>Assumptions!$C$33</f>
        <v>2022</v>
      </c>
      <c r="L22" s="28">
        <f>'Operations Calculations'!$K$68</f>
        <v>199280.63486842104</v>
      </c>
      <c r="M22" s="26">
        <f>Assumptions!$C$33</f>
        <v>2022</v>
      </c>
      <c r="N22" s="28">
        <f>'Operations Calculations'!$K$77</f>
        <v>164959.58881578944</v>
      </c>
      <c r="P22" s="18"/>
      <c r="Q22" s="74">
        <v>2039</v>
      </c>
      <c r="R22" s="71">
        <f>IF(Q22&gt;=(Assumptions!$D$32+1),IF(Q22&lt;=Assumptions!$D$10,IF(Q22&gt;=Assumptions!$D$32,TREND($L$16:$L$17,$K$16:$K$17,Q22),0),0),0)</f>
        <v>2397146.4549067989</v>
      </c>
      <c r="S22" s="104">
        <f>IF(Q22&gt;=(Assumptions!$D$32+1),IF(Q22&lt;=Assumptions!$D$10,IF(Q22&gt;=Assumptions!$D$32,TREND($L$22:$L$23,$K$22:$K$23,Q22),0),0),0)</f>
        <v>222806.82092927629</v>
      </c>
      <c r="T22" s="110">
        <f t="shared" si="8"/>
        <v>2619953.2758360752</v>
      </c>
      <c r="U22" s="103">
        <f t="shared" si="9"/>
        <v>1327722.2583956968</v>
      </c>
      <c r="V22" s="71">
        <f>IF(Q22&gt;=(Assumptions!$D$32+1),IF(Q22&lt;=Assumptions!$D$10,IF(Q22&gt;=Assumptions!$D$32,TREND($N$16:$N$17,$M$16:$M$17,Q22),0),0),0)</f>
        <v>2151729.821705956</v>
      </c>
      <c r="W22" s="104">
        <f>IF(Q22&gt;=(Assumptions!$D$32+1),IF(Q22&lt;=Assumptions!$D$10,IF(Q22&gt;=Assumptions!$D$32,TREND($N$22:$N$23,$M$22:$M$23,Q22),0),0),0)</f>
        <v>184433.9847176536</v>
      </c>
      <c r="X22" s="110">
        <f t="shared" si="10"/>
        <v>2336163.8064236096</v>
      </c>
      <c r="Y22" s="103">
        <f t="shared" si="11"/>
        <v>1176074.0425495699</v>
      </c>
      <c r="Z22" s="71">
        <f t="shared" si="12"/>
        <v>245416.63320084289</v>
      </c>
      <c r="AA22" s="104">
        <f t="shared" si="13"/>
        <v>38372.836211622693</v>
      </c>
      <c r="AB22" s="110">
        <f t="shared" si="14"/>
        <v>283789.46941246558</v>
      </c>
      <c r="AC22" s="103">
        <f t="shared" si="15"/>
        <v>151648.2158461269</v>
      </c>
      <c r="AD22" s="1"/>
      <c r="AE22" s="1"/>
    </row>
    <row r="23" spans="1:31" x14ac:dyDescent="0.25">
      <c r="B23" s="187">
        <f t="shared" si="5"/>
        <v>2043</v>
      </c>
      <c r="C23" s="275">
        <f t="shared" si="0"/>
        <v>2685045.2826891453</v>
      </c>
      <c r="D23" s="272">
        <f t="shared" si="1"/>
        <v>1360709.1468030431</v>
      </c>
      <c r="E23" s="275">
        <f t="shared" si="2"/>
        <v>2394205.1432291646</v>
      </c>
      <c r="F23" s="276">
        <f t="shared" si="3"/>
        <v>1205293.2734203662</v>
      </c>
      <c r="G23" s="277">
        <f t="shared" si="4"/>
        <v>155415.87338267686</v>
      </c>
      <c r="H23" s="278">
        <f>G23*(1+0.07)^-(B23-Assumptions!$D$7)</f>
        <v>35079.408700321277</v>
      </c>
      <c r="K23" s="26">
        <f>Assumptions!$C$34</f>
        <v>2039</v>
      </c>
      <c r="L23" s="28">
        <f>'Operations Calculations'!$L$68</f>
        <v>222806.82092927629</v>
      </c>
      <c r="M23" s="26">
        <f>Assumptions!$C$34</f>
        <v>2039</v>
      </c>
      <c r="N23" s="28">
        <f>'Operations Calculations'!$L$77</f>
        <v>184433.98471765348</v>
      </c>
      <c r="Q23" s="74">
        <v>2040</v>
      </c>
      <c r="R23" s="71">
        <f>IF(Q23&gt;=(Assumptions!$D$32+1),IF(Q23&lt;=Assumptions!$D$10,IF(Q23&gt;=Assumptions!$D$32,TREND($L$16:$L$17,$K$16:$K$17,Q23),0),0),0)</f>
        <v>2412035.563322369</v>
      </c>
      <c r="S23" s="104">
        <f>IF(Q23&gt;=(Assumptions!$D$32+1),IF(Q23&lt;=Assumptions!$D$10,IF(Q23&gt;=Assumptions!$D$32,TREND($L$22:$L$23,$K$22:$K$23,Q23),0),0),0)</f>
        <v>224190.71422697371</v>
      </c>
      <c r="T23" s="110">
        <f t="shared" si="8"/>
        <v>2636226.2775493427</v>
      </c>
      <c r="U23" s="103">
        <f t="shared" si="9"/>
        <v>1335968.9804975332</v>
      </c>
      <c r="V23" s="71">
        <f>IF(Q23&gt;=(Assumptions!$D$32+1),IF(Q23&lt;=Assumptions!$D$10,IF(Q23&gt;=Assumptions!$D$32,TREND($N$16:$N$17,$M$16:$M$17,Q23),0),0),0)</f>
        <v>2165094.6032072343</v>
      </c>
      <c r="W23" s="104">
        <f>IF(Q23&gt;=(Assumptions!$D$32+1),IF(Q23&lt;=Assumptions!$D$10,IF(Q23&gt;=Assumptions!$D$32,TREND($N$22:$N$23,$M$22:$M$23,Q23),0),0),0)</f>
        <v>185579.53741776291</v>
      </c>
      <c r="X23" s="110">
        <f t="shared" si="10"/>
        <v>2350674.1406249972</v>
      </c>
      <c r="Y23" s="103">
        <f t="shared" si="11"/>
        <v>1183378.8502672683</v>
      </c>
      <c r="Z23" s="71">
        <f t="shared" si="12"/>
        <v>246940.96011513472</v>
      </c>
      <c r="AA23" s="104">
        <f t="shared" si="13"/>
        <v>38611.176809210796</v>
      </c>
      <c r="AB23" s="110">
        <f t="shared" si="14"/>
        <v>285552.13692434551</v>
      </c>
      <c r="AC23" s="103">
        <f t="shared" si="15"/>
        <v>152590.13023026497</v>
      </c>
      <c r="AD23" s="1"/>
      <c r="AE23" s="1"/>
    </row>
    <row r="24" spans="1:31" x14ac:dyDescent="0.25">
      <c r="B24" s="187">
        <f t="shared" si="5"/>
        <v>2044</v>
      </c>
      <c r="C24" s="275">
        <f t="shared" si="0"/>
        <v>2701318.2844024124</v>
      </c>
      <c r="D24" s="272">
        <f t="shared" si="1"/>
        <v>1368955.8689048793</v>
      </c>
      <c r="E24" s="275">
        <f t="shared" si="2"/>
        <v>2408715.4774305527</v>
      </c>
      <c r="F24" s="276">
        <f t="shared" si="3"/>
        <v>1212598.0811380651</v>
      </c>
      <c r="G24" s="277">
        <f t="shared" si="4"/>
        <v>156357.78776681423</v>
      </c>
      <c r="H24" s="278">
        <f>G24*(1+0.07)^-(B24-Assumptions!$D$7)</f>
        <v>32983.188016161592</v>
      </c>
      <c r="Q24" s="74">
        <v>2041</v>
      </c>
      <c r="R24" s="71">
        <f>IF(Q24&gt;=(Assumptions!$D$32+1),IF(Q24&lt;=Assumptions!$D$10,IF(Q24&gt;=Assumptions!$D$32,TREND($L$16:$L$17,$K$16:$K$17,Q24),0),0),0)</f>
        <v>2426924.6717379391</v>
      </c>
      <c r="S24" s="104">
        <f>IF(Q24&gt;=(Assumptions!$D$32+1),IF(Q24&lt;=Assumptions!$D$10,IF(Q24&gt;=Assumptions!$D$32,TREND($L$22:$L$23,$K$22:$K$23,Q24),0),0),0)</f>
        <v>225574.60752467113</v>
      </c>
      <c r="T24" s="110">
        <f t="shared" si="8"/>
        <v>2652499.2792626102</v>
      </c>
      <c r="U24" s="103">
        <f t="shared" si="9"/>
        <v>1344215.7025993699</v>
      </c>
      <c r="V24" s="71">
        <f>IF(Q24&gt;=(Assumptions!$D$32+1),IF(Q24&lt;=Assumptions!$D$10,IF(Q24&gt;=Assumptions!$D$32,TREND($N$16:$N$17,$M$16:$M$17,Q24),0),0),0)</f>
        <v>2178459.3847085126</v>
      </c>
      <c r="W24" s="104">
        <f>IF(Q24&gt;=(Assumptions!$D$32+1),IF(Q24&lt;=Assumptions!$D$10,IF(Q24&gt;=Assumptions!$D$32,TREND($N$22:$N$23,$M$22:$M$23,Q24),0),0),0)</f>
        <v>186725.09011787269</v>
      </c>
      <c r="X24" s="110">
        <f t="shared" si="10"/>
        <v>2365184.4748263853</v>
      </c>
      <c r="Y24" s="103">
        <f t="shared" si="11"/>
        <v>1190683.6579849673</v>
      </c>
      <c r="Z24" s="71">
        <f t="shared" si="12"/>
        <v>248465.28702942654</v>
      </c>
      <c r="AA24" s="104">
        <f t="shared" si="13"/>
        <v>38849.517406798434</v>
      </c>
      <c r="AB24" s="110">
        <f t="shared" si="14"/>
        <v>287314.80443622498</v>
      </c>
      <c r="AC24" s="103">
        <f t="shared" si="15"/>
        <v>153532.04461440258</v>
      </c>
      <c r="AD24" s="1"/>
      <c r="AE24" s="1"/>
    </row>
    <row r="25" spans="1:31" ht="15" customHeight="1" x14ac:dyDescent="0.25">
      <c r="B25" s="187">
        <f t="shared" si="5"/>
        <v>2045</v>
      </c>
      <c r="C25" s="275">
        <f t="shared" si="0"/>
        <v>2717591.2861156799</v>
      </c>
      <c r="D25" s="272">
        <f t="shared" si="1"/>
        <v>1377202.5910067158</v>
      </c>
      <c r="E25" s="275">
        <f t="shared" si="2"/>
        <v>2423225.8116319408</v>
      </c>
      <c r="F25" s="276">
        <f t="shared" si="3"/>
        <v>1219902.8888557639</v>
      </c>
      <c r="G25" s="277">
        <f t="shared" si="4"/>
        <v>157299.70215095184</v>
      </c>
      <c r="H25" s="278">
        <f>G25*(1+0.07)^-(B25-Assumptions!$D$7)</f>
        <v>31011.104598012567</v>
      </c>
      <c r="K25" s="38" t="s">
        <v>188</v>
      </c>
      <c r="Q25" s="74">
        <v>2042</v>
      </c>
      <c r="R25" s="71">
        <f>IF(Q25&gt;=(Assumptions!$D$32+1),IF(Q25&lt;=Assumptions!$D$10,IF(Q25&gt;=Assumptions!$D$32,TREND($L$16:$L$17,$K$16:$K$17,Q25),0),0),0)</f>
        <v>2441813.7801535092</v>
      </c>
      <c r="S25" s="104">
        <f>IF(Q25&gt;=(Assumptions!$D$32+1),IF(Q25&lt;=Assumptions!$D$10,IF(Q25&gt;=Assumptions!$D$32,TREND($L$22:$L$23,$K$22:$K$23,Q25),0),0),0)</f>
        <v>226958.50082236854</v>
      </c>
      <c r="T25" s="110">
        <f t="shared" si="8"/>
        <v>2668772.2809758778</v>
      </c>
      <c r="U25" s="103">
        <f t="shared" si="9"/>
        <v>1352462.4247012066</v>
      </c>
      <c r="V25" s="71">
        <f>IF(Q25&gt;=(Assumptions!$D$32+1),IF(Q25&lt;=Assumptions!$D$10,IF(Q25&gt;=Assumptions!$D$32,TREND($N$16:$N$17,$M$16:$M$17,Q25),0),0),0)</f>
        <v>2191824.1662097909</v>
      </c>
      <c r="W25" s="104">
        <f>IF(Q25&gt;=(Assumptions!$D$32+1),IF(Q25&lt;=Assumptions!$D$10,IF(Q25&gt;=Assumptions!$D$32,TREND($N$22:$N$23,$M$22:$M$23,Q25),0),0),0)</f>
        <v>187870.64281798247</v>
      </c>
      <c r="X25" s="110">
        <f t="shared" si="10"/>
        <v>2379694.8090277733</v>
      </c>
      <c r="Y25" s="103">
        <f t="shared" si="11"/>
        <v>1197988.4657026662</v>
      </c>
      <c r="Z25" s="71">
        <f t="shared" si="12"/>
        <v>249989.61394371837</v>
      </c>
      <c r="AA25" s="104">
        <f t="shared" si="13"/>
        <v>39087.858004386071</v>
      </c>
      <c r="AB25" s="110">
        <f t="shared" si="14"/>
        <v>289077.47194810444</v>
      </c>
      <c r="AC25" s="103">
        <f t="shared" si="15"/>
        <v>154473.95899854042</v>
      </c>
      <c r="AD25" s="1"/>
      <c r="AE25" s="1"/>
    </row>
    <row r="26" spans="1:31" ht="15" customHeight="1" x14ac:dyDescent="0.25">
      <c r="B26" s="187">
        <f t="shared" si="5"/>
        <v>2046</v>
      </c>
      <c r="C26" s="275">
        <f t="shared" si="0"/>
        <v>0</v>
      </c>
      <c r="D26" s="272">
        <f t="shared" si="1"/>
        <v>0</v>
      </c>
      <c r="E26" s="275">
        <f t="shared" si="2"/>
        <v>0</v>
      </c>
      <c r="F26" s="276">
        <f t="shared" si="3"/>
        <v>0</v>
      </c>
      <c r="G26" s="277">
        <f t="shared" si="4"/>
        <v>0</v>
      </c>
      <c r="H26" s="278">
        <f>G26*(1+0.07)^-(B26-Assumptions!$D$7)</f>
        <v>0</v>
      </c>
      <c r="K26" s="42" t="s">
        <v>58</v>
      </c>
      <c r="L26" s="44"/>
      <c r="M26" s="42" t="s">
        <v>59</v>
      </c>
      <c r="N26" s="44"/>
      <c r="Q26" s="74">
        <v>2043</v>
      </c>
      <c r="R26" s="71">
        <f>IF(Q26&gt;=(Assumptions!$D$32+1),IF(Q26&lt;=Assumptions!$D$10,IF(Q26&gt;=Assumptions!$D$32,TREND($L$16:$L$17,$K$16:$K$17,Q26),0),0),0)</f>
        <v>2456702.8885690793</v>
      </c>
      <c r="S26" s="104">
        <f>IF(Q26&gt;=(Assumptions!$D$32+1),IF(Q26&lt;=Assumptions!$D$10,IF(Q26&gt;=Assumptions!$D$32,TREND($L$22:$L$23,$K$22:$K$23,Q26),0),0),0)</f>
        <v>228342.39412006596</v>
      </c>
      <c r="T26" s="110">
        <f t="shared" si="8"/>
        <v>2685045.2826891453</v>
      </c>
      <c r="U26" s="103">
        <f t="shared" si="9"/>
        <v>1360709.1468030431</v>
      </c>
      <c r="V26" s="71">
        <f>IF(Q26&gt;=(Assumptions!$D$32+1),IF(Q26&lt;=Assumptions!$D$10,IF(Q26&gt;=Assumptions!$D$32,TREND($N$16:$N$17,$M$16:$M$17,Q26),0),0),0)</f>
        <v>2205188.9477110729</v>
      </c>
      <c r="W26" s="104">
        <f>IF(Q26&gt;=(Assumptions!$D$32+1),IF(Q26&lt;=Assumptions!$D$10,IF(Q26&gt;=Assumptions!$D$32,TREND($N$22:$N$23,$M$22:$M$23,Q26),0),0),0)</f>
        <v>189016.19551809179</v>
      </c>
      <c r="X26" s="110">
        <f t="shared" si="10"/>
        <v>2394205.1432291646</v>
      </c>
      <c r="Y26" s="103">
        <f t="shared" si="11"/>
        <v>1205293.2734203662</v>
      </c>
      <c r="Z26" s="71">
        <f t="shared" si="12"/>
        <v>251513.94085800648</v>
      </c>
      <c r="AA26" s="104">
        <f t="shared" si="13"/>
        <v>39326.198601974174</v>
      </c>
      <c r="AB26" s="110">
        <f t="shared" si="14"/>
        <v>290840.13945998065</v>
      </c>
      <c r="AC26" s="103">
        <f t="shared" si="15"/>
        <v>155415.87338267686</v>
      </c>
      <c r="AD26" s="1"/>
      <c r="AE26" s="1"/>
    </row>
    <row r="27" spans="1:31" ht="15" customHeight="1" x14ac:dyDescent="0.25">
      <c r="B27" s="187">
        <f t="shared" si="5"/>
        <v>2047</v>
      </c>
      <c r="C27" s="275">
        <f t="shared" si="0"/>
        <v>0</v>
      </c>
      <c r="D27" s="272">
        <f t="shared" si="1"/>
        <v>0</v>
      </c>
      <c r="E27" s="275">
        <f t="shared" si="2"/>
        <v>0</v>
      </c>
      <c r="F27" s="276">
        <f t="shared" si="3"/>
        <v>0</v>
      </c>
      <c r="G27" s="277">
        <f t="shared" si="4"/>
        <v>0</v>
      </c>
      <c r="H27" s="278">
        <f>G27*(1+0.07)^-(B27-Assumptions!$D$7)</f>
        <v>0</v>
      </c>
      <c r="I27" s="3"/>
      <c r="K27" s="26" t="s">
        <v>33</v>
      </c>
      <c r="L27" s="25" t="s">
        <v>76</v>
      </c>
      <c r="M27" s="26" t="s">
        <v>33</v>
      </c>
      <c r="N27" s="25" t="s">
        <v>76</v>
      </c>
      <c r="Q27" s="74">
        <v>2044</v>
      </c>
      <c r="R27" s="71">
        <f>IF(Q27&gt;=(Assumptions!$D$32+1),IF(Q27&lt;=Assumptions!$D$10,IF(Q27&gt;=Assumptions!$D$32,TREND($L$16:$L$17,$K$16:$K$17,Q27),0),0),0)</f>
        <v>2471591.9969846494</v>
      </c>
      <c r="S27" s="104">
        <f>IF(Q27&gt;=(Assumptions!$D$32+1),IF(Q27&lt;=Assumptions!$D$10,IF(Q27&gt;=Assumptions!$D$32,TREND($L$22:$L$23,$K$22:$K$23,Q27),0),0),0)</f>
        <v>229726.28741776291</v>
      </c>
      <c r="T27" s="110">
        <f t="shared" si="8"/>
        <v>2701318.2844024124</v>
      </c>
      <c r="U27" s="103">
        <f t="shared" si="9"/>
        <v>1368955.8689048793</v>
      </c>
      <c r="V27" s="71">
        <f>IF(Q27&gt;=(Assumptions!$D$32+1),IF(Q27&lt;=Assumptions!$D$10,IF(Q27&gt;=Assumptions!$D$32,TREND($N$16:$N$17,$M$16:$M$17,Q27),0),0),0)</f>
        <v>2218553.7292123511</v>
      </c>
      <c r="W27" s="104">
        <f>IF(Q27&gt;=(Assumptions!$D$32+1),IF(Q27&lt;=Assumptions!$D$10,IF(Q27&gt;=Assumptions!$D$32,TREND($N$22:$N$23,$M$22:$M$23,Q27),0),0),0)</f>
        <v>190161.74821820157</v>
      </c>
      <c r="X27" s="110">
        <f t="shared" si="10"/>
        <v>2408715.4774305527</v>
      </c>
      <c r="Y27" s="103">
        <f t="shared" si="11"/>
        <v>1212598.0811380651</v>
      </c>
      <c r="Z27" s="71">
        <f t="shared" si="12"/>
        <v>253038.26777229831</v>
      </c>
      <c r="AA27" s="104">
        <f t="shared" si="13"/>
        <v>39564.539199561346</v>
      </c>
      <c r="AB27" s="110">
        <f t="shared" si="14"/>
        <v>292602.80697185965</v>
      </c>
      <c r="AC27" s="103">
        <f t="shared" si="15"/>
        <v>156357.78776681423</v>
      </c>
      <c r="AD27" s="1"/>
      <c r="AE27" s="1"/>
    </row>
    <row r="28" spans="1:31" ht="15" customHeight="1" x14ac:dyDescent="0.25">
      <c r="A28" s="2"/>
      <c r="B28" s="187">
        <f t="shared" si="5"/>
        <v>2048</v>
      </c>
      <c r="C28" s="275">
        <f t="shared" si="0"/>
        <v>0</v>
      </c>
      <c r="D28" s="272">
        <f t="shared" si="1"/>
        <v>0</v>
      </c>
      <c r="E28" s="275">
        <f t="shared" si="2"/>
        <v>0</v>
      </c>
      <c r="F28" s="276">
        <f t="shared" si="3"/>
        <v>0</v>
      </c>
      <c r="G28" s="277">
        <f t="shared" si="4"/>
        <v>0</v>
      </c>
      <c r="H28" s="278">
        <f>G28*(1+0.07)^-(B28-Assumptions!$D$7)</f>
        <v>0</v>
      </c>
      <c r="K28" s="26">
        <f>Assumptions!$C$33</f>
        <v>2022</v>
      </c>
      <c r="L28" s="28">
        <f>SUM(L16,L22)</f>
        <v>2343312.2467105263</v>
      </c>
      <c r="M28" s="26">
        <f>Assumptions!$C$33</f>
        <v>2022</v>
      </c>
      <c r="N28" s="28">
        <f>SUM(N16,N22)</f>
        <v>2089488.125</v>
      </c>
      <c r="Q28" s="74">
        <v>2045</v>
      </c>
      <c r="R28" s="71">
        <f>IF(Q28&gt;=(Assumptions!$D$32+1),IF(Q28&lt;=Assumptions!$D$10,IF(Q28&gt;=Assumptions!$D$32,TREND($L$16:$L$17,$K$16:$K$17,Q28),0),0),0)</f>
        <v>2486481.1054002196</v>
      </c>
      <c r="S28" s="104">
        <f>IF(Q28&gt;=(Assumptions!$D$32+1),IF(Q28&lt;=Assumptions!$D$10,IF(Q28&gt;=Assumptions!$D$32,TREND($L$22:$L$23,$K$22:$K$23,Q28),0),0),0)</f>
        <v>231110.18071546033</v>
      </c>
      <c r="T28" s="110">
        <f t="shared" si="8"/>
        <v>2717591.2861156799</v>
      </c>
      <c r="U28" s="103">
        <f t="shared" si="9"/>
        <v>1377202.5910067158</v>
      </c>
      <c r="V28" s="71">
        <f>IF(Q28&gt;=(Assumptions!$D$32+1),IF(Q28&lt;=Assumptions!$D$10,IF(Q28&gt;=Assumptions!$D$32,TREND($N$16:$N$17,$M$16:$M$17,Q28),0),0),0)</f>
        <v>2231918.5107136294</v>
      </c>
      <c r="W28" s="104">
        <f>IF(Q28&gt;=(Assumptions!$D$32+1),IF(Q28&lt;=Assumptions!$D$10,IF(Q28&gt;=Assumptions!$D$32,TREND($N$22:$N$23,$M$22:$M$23,Q28),0),0),0)</f>
        <v>191307.30091831135</v>
      </c>
      <c r="X28" s="110">
        <f t="shared" si="10"/>
        <v>2423225.8116319408</v>
      </c>
      <c r="Y28" s="103">
        <f t="shared" si="11"/>
        <v>1219902.8888557639</v>
      </c>
      <c r="Z28" s="71">
        <f t="shared" si="12"/>
        <v>254562.59468659014</v>
      </c>
      <c r="AA28" s="104">
        <f t="shared" si="13"/>
        <v>39802.879797148984</v>
      </c>
      <c r="AB28" s="110">
        <f t="shared" si="14"/>
        <v>294365.47448373912</v>
      </c>
      <c r="AC28" s="103">
        <f t="shared" si="15"/>
        <v>157299.70215095184</v>
      </c>
      <c r="AD28" s="1"/>
      <c r="AE28" s="1"/>
    </row>
    <row r="29" spans="1:31" ht="15" customHeight="1" x14ac:dyDescent="0.25">
      <c r="B29" s="187">
        <f t="shared" si="5"/>
        <v>2049</v>
      </c>
      <c r="C29" s="275">
        <f t="shared" si="0"/>
        <v>0</v>
      </c>
      <c r="D29" s="272">
        <f t="shared" si="1"/>
        <v>0</v>
      </c>
      <c r="E29" s="275">
        <f t="shared" si="2"/>
        <v>0</v>
      </c>
      <c r="F29" s="276">
        <f t="shared" si="3"/>
        <v>0</v>
      </c>
      <c r="G29" s="277">
        <f t="shared" si="4"/>
        <v>0</v>
      </c>
      <c r="H29" s="278">
        <f>G29*(1+0.07)^-(B29-Assumptions!$D$7)</f>
        <v>0</v>
      </c>
      <c r="K29" s="26">
        <f>Assumptions!$C$34</f>
        <v>2039</v>
      </c>
      <c r="L29" s="28">
        <f>SUM(L17,L23)</f>
        <v>2619953.2758360743</v>
      </c>
      <c r="M29" s="26">
        <f>Assumptions!$C$34</f>
        <v>2039</v>
      </c>
      <c r="N29" s="28">
        <f>SUM(N17,N23)</f>
        <v>2336163.806423611</v>
      </c>
      <c r="Q29" s="74">
        <v>2046</v>
      </c>
      <c r="R29" s="71">
        <f>IF(Q29&gt;=(Assumptions!$D$32+1),IF(Q29&lt;=Assumptions!$D$10,IF(Q29&gt;=Assumptions!$D$32,TREND($L$16:$L$17,$K$16:$K$17,Q29),0),0),0)</f>
        <v>0</v>
      </c>
      <c r="S29" s="104">
        <f>IF(Q29&gt;=(Assumptions!$D$32+1),IF(Q29&lt;=Assumptions!$D$10,IF(Q29&gt;=Assumptions!$D$32,TREND($L$22:$L$23,$K$22:$K$23,Q29),0),0),0)</f>
        <v>0</v>
      </c>
      <c r="T29" s="110">
        <f t="shared" si="8"/>
        <v>0</v>
      </c>
      <c r="U29" s="103">
        <f t="shared" si="9"/>
        <v>0</v>
      </c>
      <c r="V29" s="71">
        <f>IF(Q29&gt;=(Assumptions!$D$32+1),IF(Q29&lt;=Assumptions!$D$10,IF(Q29&gt;=Assumptions!$D$32,TREND($N$16:$N$17,$M$16:$M$17,Q29),0),0),0)</f>
        <v>0</v>
      </c>
      <c r="W29" s="104">
        <f>IF(Q29&gt;=(Assumptions!$D$32+1),IF(Q29&lt;=Assumptions!$D$10,IF(Q29&gt;=Assumptions!$D$32,TREND($N$22:$N$23,$M$22:$M$23,Q29),0),0),0)</f>
        <v>0</v>
      </c>
      <c r="X29" s="110">
        <f t="shared" si="10"/>
        <v>0</v>
      </c>
      <c r="Y29" s="103">
        <f t="shared" si="11"/>
        <v>0</v>
      </c>
      <c r="Z29" s="71">
        <f t="shared" si="12"/>
        <v>0</v>
      </c>
      <c r="AA29" s="104">
        <f t="shared" si="13"/>
        <v>0</v>
      </c>
      <c r="AB29" s="110">
        <f t="shared" si="14"/>
        <v>0</v>
      </c>
      <c r="AC29" s="103">
        <f t="shared" si="15"/>
        <v>0</v>
      </c>
      <c r="AD29" s="1"/>
      <c r="AE29" s="1"/>
    </row>
    <row r="30" spans="1:31" ht="15" customHeight="1" x14ac:dyDescent="0.25">
      <c r="B30" s="187">
        <f t="shared" si="5"/>
        <v>2050</v>
      </c>
      <c r="C30" s="275">
        <f t="shared" si="0"/>
        <v>0</v>
      </c>
      <c r="D30" s="272">
        <f t="shared" si="1"/>
        <v>0</v>
      </c>
      <c r="E30" s="275">
        <f t="shared" si="2"/>
        <v>0</v>
      </c>
      <c r="F30" s="276">
        <f t="shared" si="3"/>
        <v>0</v>
      </c>
      <c r="G30" s="277">
        <f t="shared" si="4"/>
        <v>0</v>
      </c>
      <c r="H30" s="278">
        <f>G30*(1+0.07)^-(B30-Assumptions!$D$7)</f>
        <v>0</v>
      </c>
      <c r="K30" s="1"/>
      <c r="L30" s="1"/>
      <c r="M30" s="1"/>
      <c r="N30" s="1"/>
      <c r="Q30" s="74">
        <v>2047</v>
      </c>
      <c r="R30" s="71">
        <f>IF(Q30&gt;=(Assumptions!$D$32+1),IF(Q30&lt;=Assumptions!$D$10,IF(Q30&gt;=Assumptions!$D$32,TREND($L$16:$L$17,$K$16:$K$17,Q30),0),0),0)</f>
        <v>0</v>
      </c>
      <c r="S30" s="104">
        <f>IF(Q30&gt;=(Assumptions!$D$32+1),IF(Q30&lt;=Assumptions!$D$10,IF(Q30&gt;=Assumptions!$D$32,TREND($L$22:$L$23,$K$22:$K$23,Q30),0),0),0)</f>
        <v>0</v>
      </c>
      <c r="T30" s="110">
        <f t="shared" si="8"/>
        <v>0</v>
      </c>
      <c r="U30" s="103">
        <f t="shared" si="9"/>
        <v>0</v>
      </c>
      <c r="V30" s="71">
        <f>IF(Q30&gt;=(Assumptions!$D$32+1),IF(Q30&lt;=Assumptions!$D$10,IF(Q30&gt;=Assumptions!$D$32,TREND($N$16:$N$17,$M$16:$M$17,Q30),0),0),0)</f>
        <v>0</v>
      </c>
      <c r="W30" s="104">
        <f>IF(Q30&gt;=(Assumptions!$D$32+1),IF(Q30&lt;=Assumptions!$D$10,IF(Q30&gt;=Assumptions!$D$32,TREND($N$22:$N$23,$M$22:$M$23,Q30),0),0),0)</f>
        <v>0</v>
      </c>
      <c r="X30" s="110">
        <f t="shared" si="10"/>
        <v>0</v>
      </c>
      <c r="Y30" s="103">
        <f t="shared" si="11"/>
        <v>0</v>
      </c>
      <c r="Z30" s="71">
        <f t="shared" si="12"/>
        <v>0</v>
      </c>
      <c r="AA30" s="104">
        <f t="shared" si="13"/>
        <v>0</v>
      </c>
      <c r="AB30" s="110">
        <f t="shared" si="14"/>
        <v>0</v>
      </c>
      <c r="AC30" s="103">
        <f t="shared" si="15"/>
        <v>0</v>
      </c>
      <c r="AD30" s="1"/>
      <c r="AE30" s="1"/>
    </row>
    <row r="31" spans="1:31" ht="15" customHeight="1" x14ac:dyDescent="0.25">
      <c r="B31" s="187">
        <f t="shared" si="5"/>
        <v>2051</v>
      </c>
      <c r="C31" s="275">
        <f t="shared" si="0"/>
        <v>0</v>
      </c>
      <c r="D31" s="272">
        <f t="shared" si="1"/>
        <v>0</v>
      </c>
      <c r="E31" s="275">
        <f t="shared" si="2"/>
        <v>0</v>
      </c>
      <c r="F31" s="276">
        <f t="shared" si="3"/>
        <v>0</v>
      </c>
      <c r="G31" s="277">
        <f t="shared" si="4"/>
        <v>0</v>
      </c>
      <c r="H31" s="278">
        <f>G31*(1+0.07)^-(B31-Assumptions!$D$7)</f>
        <v>0</v>
      </c>
      <c r="K31" s="38"/>
      <c r="L31" s="1"/>
      <c r="M31" s="1"/>
      <c r="N31" s="1"/>
      <c r="Q31" s="74">
        <v>2048</v>
      </c>
      <c r="R31" s="71">
        <f>IF(Q31&gt;=(Assumptions!$D$32+1),IF(Q31&lt;=Assumptions!$D$10,IF(Q31&gt;=Assumptions!$D$32,TREND($L$16:$L$17,$K$16:$K$17,Q31),0),0),0)</f>
        <v>0</v>
      </c>
      <c r="S31" s="104">
        <f>IF(Q31&gt;=(Assumptions!$D$32+1),IF(Q31&lt;=Assumptions!$D$10,IF(Q31&gt;=Assumptions!$D$32,TREND($L$22:$L$23,$K$22:$K$23,Q31),0),0),0)</f>
        <v>0</v>
      </c>
      <c r="T31" s="110">
        <f t="shared" si="8"/>
        <v>0</v>
      </c>
      <c r="U31" s="103">
        <f t="shared" si="9"/>
        <v>0</v>
      </c>
      <c r="V31" s="71">
        <f>IF(Q31&gt;=(Assumptions!$D$32+1),IF(Q31&lt;=Assumptions!$D$10,IF(Q31&gt;=Assumptions!$D$32,TREND($N$16:$N$17,$M$16:$M$17,Q31),0),0),0)</f>
        <v>0</v>
      </c>
      <c r="W31" s="104">
        <f>IF(Q31&gt;=(Assumptions!$D$32+1),IF(Q31&lt;=Assumptions!$D$10,IF(Q31&gt;=Assumptions!$D$32,TREND($N$22:$N$23,$M$22:$M$23,Q31),0),0),0)</f>
        <v>0</v>
      </c>
      <c r="X31" s="110">
        <f t="shared" si="10"/>
        <v>0</v>
      </c>
      <c r="Y31" s="103">
        <f t="shared" si="11"/>
        <v>0</v>
      </c>
      <c r="Z31" s="71">
        <f t="shared" si="12"/>
        <v>0</v>
      </c>
      <c r="AA31" s="104">
        <f t="shared" si="13"/>
        <v>0</v>
      </c>
      <c r="AB31" s="110">
        <f t="shared" si="14"/>
        <v>0</v>
      </c>
      <c r="AC31" s="103">
        <f t="shared" si="15"/>
        <v>0</v>
      </c>
      <c r="AD31" s="1"/>
      <c r="AE31" s="1"/>
    </row>
    <row r="32" spans="1:31" ht="15" customHeight="1" x14ac:dyDescent="0.25">
      <c r="B32" s="187">
        <f t="shared" si="5"/>
        <v>2052</v>
      </c>
      <c r="C32" s="275">
        <f t="shared" si="0"/>
        <v>0</v>
      </c>
      <c r="D32" s="272">
        <f t="shared" si="1"/>
        <v>0</v>
      </c>
      <c r="E32" s="275">
        <f t="shared" si="2"/>
        <v>0</v>
      </c>
      <c r="F32" s="276">
        <f t="shared" si="3"/>
        <v>0</v>
      </c>
      <c r="G32" s="277">
        <f t="shared" si="4"/>
        <v>0</v>
      </c>
      <c r="H32" s="278">
        <f>G32*(1+0.07)^-(B32-Assumptions!$D$7)</f>
        <v>0</v>
      </c>
      <c r="K32" s="1"/>
      <c r="L32" s="1"/>
      <c r="M32" s="1"/>
      <c r="N32" s="1"/>
      <c r="Q32" s="74">
        <v>2049</v>
      </c>
      <c r="R32" s="71">
        <f>IF(Q32&gt;=(Assumptions!$D$32+1),IF(Q32&lt;=Assumptions!$D$10,IF(Q32&gt;=Assumptions!$D$32,TREND($L$16:$L$17,$K$16:$K$17,Q32),0),0),0)</f>
        <v>0</v>
      </c>
      <c r="S32" s="104">
        <f>IF(Q32&gt;=(Assumptions!$D$32+1),IF(Q32&lt;=Assumptions!$D$10,IF(Q32&gt;=Assumptions!$D$32,TREND($L$22:$L$23,$K$22:$K$23,Q32),0),0),0)</f>
        <v>0</v>
      </c>
      <c r="T32" s="110">
        <f t="shared" si="8"/>
        <v>0</v>
      </c>
      <c r="U32" s="103">
        <f t="shared" si="9"/>
        <v>0</v>
      </c>
      <c r="V32" s="71">
        <f>IF(Q32&gt;=(Assumptions!$D$32+1),IF(Q32&lt;=Assumptions!$D$10,IF(Q32&gt;=Assumptions!$D$32,TREND($N$16:$N$17,$M$16:$M$17,Q32),0),0),0)</f>
        <v>0</v>
      </c>
      <c r="W32" s="104">
        <f>IF(Q32&gt;=(Assumptions!$D$32+1),IF(Q32&lt;=Assumptions!$D$10,IF(Q32&gt;=Assumptions!$D$32,TREND($N$22:$N$23,$M$22:$M$23,Q32),0),0),0)</f>
        <v>0</v>
      </c>
      <c r="X32" s="110">
        <f t="shared" si="10"/>
        <v>0</v>
      </c>
      <c r="Y32" s="103">
        <f t="shared" si="11"/>
        <v>0</v>
      </c>
      <c r="Z32" s="71">
        <f t="shared" si="12"/>
        <v>0</v>
      </c>
      <c r="AA32" s="104">
        <f t="shared" si="13"/>
        <v>0</v>
      </c>
      <c r="AB32" s="110">
        <f t="shared" si="14"/>
        <v>0</v>
      </c>
      <c r="AC32" s="103">
        <f t="shared" si="15"/>
        <v>0</v>
      </c>
      <c r="AD32" s="1"/>
      <c r="AE32" s="1"/>
    </row>
    <row r="33" spans="1:31" ht="15" customHeight="1" x14ac:dyDescent="0.25">
      <c r="B33" s="187">
        <f t="shared" si="5"/>
        <v>2053</v>
      </c>
      <c r="C33" s="275">
        <f t="shared" si="0"/>
        <v>0</v>
      </c>
      <c r="D33" s="272">
        <f t="shared" si="1"/>
        <v>0</v>
      </c>
      <c r="E33" s="275">
        <f t="shared" si="2"/>
        <v>0</v>
      </c>
      <c r="F33" s="276">
        <f t="shared" si="3"/>
        <v>0</v>
      </c>
      <c r="G33" s="277">
        <f t="shared" si="4"/>
        <v>0</v>
      </c>
      <c r="H33" s="278">
        <f>G33*(1+0.07)^-(B33-Assumptions!$D$7)</f>
        <v>0</v>
      </c>
      <c r="K33" s="1"/>
      <c r="L33" s="1"/>
      <c r="M33" s="1"/>
      <c r="N33" s="1"/>
      <c r="Q33" s="74">
        <v>2050</v>
      </c>
      <c r="R33" s="71">
        <f>IF(Q33&gt;=(Assumptions!$D$32+1),IF(Q33&lt;=Assumptions!$D$10,IF(Q33&gt;=Assumptions!$D$32,TREND($L$16:$L$17,$K$16:$K$17,Q33),0),0),0)</f>
        <v>0</v>
      </c>
      <c r="S33" s="104">
        <f>IF(Q33&gt;=(Assumptions!$D$32+1),IF(Q33&lt;=Assumptions!$D$10,IF(Q33&gt;=Assumptions!$D$32,TREND($L$22:$L$23,$K$22:$K$23,Q33),0),0),0)</f>
        <v>0</v>
      </c>
      <c r="T33" s="110">
        <f t="shared" si="8"/>
        <v>0</v>
      </c>
      <c r="U33" s="103">
        <f t="shared" si="9"/>
        <v>0</v>
      </c>
      <c r="V33" s="71">
        <f>IF(Q33&gt;=(Assumptions!$D$32+1),IF(Q33&lt;=Assumptions!$D$10,IF(Q33&gt;=Assumptions!$D$32,TREND($N$16:$N$17,$M$16:$M$17,Q33),0),0),0)</f>
        <v>0</v>
      </c>
      <c r="W33" s="104">
        <f>IF(Q33&gt;=(Assumptions!$D$32+1),IF(Q33&lt;=Assumptions!$D$10,IF(Q33&gt;=Assumptions!$D$32,TREND($N$22:$N$23,$M$22:$M$23,Q33),0),0),0)</f>
        <v>0</v>
      </c>
      <c r="X33" s="110">
        <f t="shared" si="10"/>
        <v>0</v>
      </c>
      <c r="Y33" s="103">
        <f t="shared" si="11"/>
        <v>0</v>
      </c>
      <c r="Z33" s="71">
        <f t="shared" si="12"/>
        <v>0</v>
      </c>
      <c r="AA33" s="104">
        <f t="shared" si="13"/>
        <v>0</v>
      </c>
      <c r="AB33" s="110">
        <f t="shared" si="14"/>
        <v>0</v>
      </c>
      <c r="AC33" s="103">
        <f t="shared" si="15"/>
        <v>0</v>
      </c>
      <c r="AD33" s="1"/>
      <c r="AE33" s="1"/>
    </row>
    <row r="34" spans="1:31" ht="15" customHeight="1" x14ac:dyDescent="0.25">
      <c r="B34" s="187">
        <f t="shared" si="5"/>
        <v>2054</v>
      </c>
      <c r="C34" s="275">
        <f t="shared" si="0"/>
        <v>0</v>
      </c>
      <c r="D34" s="272">
        <f t="shared" si="1"/>
        <v>0</v>
      </c>
      <c r="E34" s="275">
        <f t="shared" si="2"/>
        <v>0</v>
      </c>
      <c r="F34" s="276">
        <f t="shared" si="3"/>
        <v>0</v>
      </c>
      <c r="G34" s="277">
        <f t="shared" si="4"/>
        <v>0</v>
      </c>
      <c r="H34" s="278">
        <f>G34*(1+0.07)^-(B34-Assumptions!$D$7)</f>
        <v>0</v>
      </c>
      <c r="Q34" s="74">
        <v>2051</v>
      </c>
      <c r="R34" s="71">
        <f>IF(Q34&gt;=(Assumptions!$D$32+1),IF(Q34&lt;=Assumptions!$D$10,IF(Q34&gt;=Assumptions!$D$32,TREND($L$16:$L$17,$K$16:$K$17,Q34),0),0),0)</f>
        <v>0</v>
      </c>
      <c r="S34" s="104">
        <f>IF(Q34&gt;=(Assumptions!$D$32+1),IF(Q34&lt;=Assumptions!$D$10,IF(Q34&gt;=Assumptions!$D$32,TREND($L$22:$L$23,$K$22:$K$23,Q34),0),0),0)</f>
        <v>0</v>
      </c>
      <c r="T34" s="110">
        <f t="shared" si="8"/>
        <v>0</v>
      </c>
      <c r="U34" s="103">
        <f t="shared" si="9"/>
        <v>0</v>
      </c>
      <c r="V34" s="71">
        <f>IF(Q34&gt;=(Assumptions!$D$32+1),IF(Q34&lt;=Assumptions!$D$10,IF(Q34&gt;=Assumptions!$D$32,TREND($N$16:$N$17,$M$16:$M$17,Q34),0),0),0)</f>
        <v>0</v>
      </c>
      <c r="W34" s="104">
        <f>IF(Q34&gt;=(Assumptions!$D$32+1),IF(Q34&lt;=Assumptions!$D$10,IF(Q34&gt;=Assumptions!$D$32,TREND($N$22:$N$23,$M$22:$M$23,Q34),0),0),0)</f>
        <v>0</v>
      </c>
      <c r="X34" s="110">
        <f t="shared" si="10"/>
        <v>0</v>
      </c>
      <c r="Y34" s="103">
        <f t="shared" si="11"/>
        <v>0</v>
      </c>
      <c r="Z34" s="71">
        <f t="shared" si="12"/>
        <v>0</v>
      </c>
      <c r="AA34" s="104">
        <f t="shared" si="13"/>
        <v>0</v>
      </c>
      <c r="AB34" s="110">
        <f t="shared" si="14"/>
        <v>0</v>
      </c>
      <c r="AC34" s="103">
        <f t="shared" si="15"/>
        <v>0</v>
      </c>
      <c r="AD34" s="1"/>
      <c r="AE34" s="1"/>
    </row>
    <row r="35" spans="1:31" ht="15" customHeight="1" x14ac:dyDescent="0.25">
      <c r="B35" s="187">
        <f t="shared" si="5"/>
        <v>2055</v>
      </c>
      <c r="C35" s="275">
        <f t="shared" si="0"/>
        <v>0</v>
      </c>
      <c r="D35" s="272">
        <f t="shared" si="1"/>
        <v>0</v>
      </c>
      <c r="E35" s="275">
        <f t="shared" si="2"/>
        <v>0</v>
      </c>
      <c r="F35" s="276">
        <f t="shared" si="3"/>
        <v>0</v>
      </c>
      <c r="G35" s="277">
        <f t="shared" si="4"/>
        <v>0</v>
      </c>
      <c r="H35" s="278">
        <f>G35*(1+0.07)^-(B35-Assumptions!$D$7)</f>
        <v>0</v>
      </c>
      <c r="K35" s="1"/>
      <c r="L35" s="1"/>
      <c r="M35" s="1"/>
      <c r="Q35" s="74">
        <v>2052</v>
      </c>
      <c r="R35" s="71">
        <f>IF(Q35&gt;=(Assumptions!$D$32+1),IF(Q35&lt;=Assumptions!$D$10,IF(Q35&gt;=Assumptions!$D$32,TREND($L$16:$L$17,$K$16:$K$17,Q35),0),0),0)</f>
        <v>0</v>
      </c>
      <c r="S35" s="104">
        <f>IF(Q35&gt;=(Assumptions!$D$32+1),IF(Q35&lt;=Assumptions!$D$10,IF(Q35&gt;=Assumptions!$D$32,TREND($L$22:$L$23,$K$22:$K$23,Q35),0),0),0)</f>
        <v>0</v>
      </c>
      <c r="T35" s="110">
        <f t="shared" si="8"/>
        <v>0</v>
      </c>
      <c r="U35" s="103">
        <f t="shared" si="9"/>
        <v>0</v>
      </c>
      <c r="V35" s="71">
        <f>IF(Q35&gt;=(Assumptions!$D$32+1),IF(Q35&lt;=Assumptions!$D$10,IF(Q35&gt;=Assumptions!$D$32,TREND($N$16:$N$17,$M$16:$M$17,Q35),0),0),0)</f>
        <v>0</v>
      </c>
      <c r="W35" s="104">
        <f>IF(Q35&gt;=(Assumptions!$D$32+1),IF(Q35&lt;=Assumptions!$D$10,IF(Q35&gt;=Assumptions!$D$32,TREND($N$22:$N$23,$M$22:$M$23,Q35),0),0),0)</f>
        <v>0</v>
      </c>
      <c r="X35" s="110">
        <f t="shared" si="10"/>
        <v>0</v>
      </c>
      <c r="Y35" s="103">
        <f t="shared" si="11"/>
        <v>0</v>
      </c>
      <c r="Z35" s="71">
        <f t="shared" si="12"/>
        <v>0</v>
      </c>
      <c r="AA35" s="104">
        <f t="shared" si="13"/>
        <v>0</v>
      </c>
      <c r="AB35" s="110">
        <f t="shared" si="14"/>
        <v>0</v>
      </c>
      <c r="AC35" s="103">
        <f t="shared" si="15"/>
        <v>0</v>
      </c>
      <c r="AD35" s="1"/>
      <c r="AE35" s="1"/>
    </row>
    <row r="36" spans="1:31" ht="15" customHeight="1" x14ac:dyDescent="0.25">
      <c r="B36" s="187">
        <f t="shared" si="5"/>
        <v>2056</v>
      </c>
      <c r="C36" s="275">
        <f t="shared" si="0"/>
        <v>0</v>
      </c>
      <c r="D36" s="272">
        <f t="shared" si="1"/>
        <v>0</v>
      </c>
      <c r="E36" s="275">
        <f t="shared" si="2"/>
        <v>0</v>
      </c>
      <c r="F36" s="276">
        <f t="shared" si="3"/>
        <v>0</v>
      </c>
      <c r="G36" s="277">
        <f t="shared" si="4"/>
        <v>0</v>
      </c>
      <c r="H36" s="278">
        <f>G36*(1+0.07)^-(B36-Assumptions!$D$7)</f>
        <v>0</v>
      </c>
      <c r="K36" s="1"/>
      <c r="L36" s="1"/>
      <c r="M36" s="1"/>
      <c r="Q36" s="74">
        <v>2053</v>
      </c>
      <c r="R36" s="71">
        <f>IF(Q36&gt;=(Assumptions!$D$32+1),IF(Q36&lt;=Assumptions!$D$10,IF(Q36&gt;=Assumptions!$D$32,TREND($L$16:$L$17,$K$16:$K$17,Q36),0),0),0)</f>
        <v>0</v>
      </c>
      <c r="S36" s="104">
        <f>IF(Q36&gt;=(Assumptions!$D$32+1),IF(Q36&lt;=Assumptions!$D$10,IF(Q36&gt;=Assumptions!$D$32,TREND($L$22:$L$23,$K$22:$K$23,Q36),0),0),0)</f>
        <v>0</v>
      </c>
      <c r="T36" s="110">
        <f t="shared" si="8"/>
        <v>0</v>
      </c>
      <c r="U36" s="103">
        <f t="shared" si="9"/>
        <v>0</v>
      </c>
      <c r="V36" s="71">
        <f>IF(Q36&gt;=(Assumptions!$D$32+1),IF(Q36&lt;=Assumptions!$D$10,IF(Q36&gt;=Assumptions!$D$32,TREND($N$16:$N$17,$M$16:$M$17,Q36),0),0),0)</f>
        <v>0</v>
      </c>
      <c r="W36" s="104">
        <f>IF(Q36&gt;=(Assumptions!$D$32+1),IF(Q36&lt;=Assumptions!$D$10,IF(Q36&gt;=Assumptions!$D$32,TREND($N$22:$N$23,$M$22:$M$23,Q36),0),0),0)</f>
        <v>0</v>
      </c>
      <c r="X36" s="110">
        <f t="shared" si="10"/>
        <v>0</v>
      </c>
      <c r="Y36" s="103">
        <f t="shared" si="11"/>
        <v>0</v>
      </c>
      <c r="Z36" s="71">
        <f t="shared" si="12"/>
        <v>0</v>
      </c>
      <c r="AA36" s="104">
        <f t="shared" si="13"/>
        <v>0</v>
      </c>
      <c r="AB36" s="110">
        <f t="shared" si="14"/>
        <v>0</v>
      </c>
      <c r="AC36" s="103">
        <f t="shared" si="15"/>
        <v>0</v>
      </c>
      <c r="AD36" s="1"/>
      <c r="AE36" s="1"/>
    </row>
    <row r="37" spans="1:31" ht="15" customHeight="1" x14ac:dyDescent="0.25">
      <c r="B37" s="187">
        <f t="shared" si="5"/>
        <v>2057</v>
      </c>
      <c r="C37" s="275">
        <f t="shared" si="0"/>
        <v>0</v>
      </c>
      <c r="D37" s="272">
        <f t="shared" si="1"/>
        <v>0</v>
      </c>
      <c r="E37" s="275">
        <f t="shared" si="2"/>
        <v>0</v>
      </c>
      <c r="F37" s="276">
        <f t="shared" si="3"/>
        <v>0</v>
      </c>
      <c r="G37" s="277">
        <f t="shared" si="4"/>
        <v>0</v>
      </c>
      <c r="H37" s="278">
        <f>G37*(1+0.07)^-(B37-Assumptions!$D$7)</f>
        <v>0</v>
      </c>
      <c r="K37" s="1"/>
      <c r="L37" s="1"/>
      <c r="M37" s="1"/>
      <c r="N37" s="35"/>
      <c r="Q37" s="74">
        <v>2054</v>
      </c>
      <c r="R37" s="71">
        <f>IF(Q37&gt;=(Assumptions!$D$32+1),IF(Q37&lt;=Assumptions!$D$10,IF(Q37&gt;=Assumptions!$D$32,TREND($L$16:$L$17,$K$16:$K$17,Q37),0),0),0)</f>
        <v>0</v>
      </c>
      <c r="S37" s="104">
        <f>IF(Q37&gt;=(Assumptions!$D$32+1),IF(Q37&lt;=Assumptions!$D$10,IF(Q37&gt;=Assumptions!$D$32,TREND($L$22:$L$23,$K$22:$K$23,Q37),0),0),0)</f>
        <v>0</v>
      </c>
      <c r="T37" s="110">
        <f t="shared" si="8"/>
        <v>0</v>
      </c>
      <c r="U37" s="103">
        <f t="shared" si="9"/>
        <v>0</v>
      </c>
      <c r="V37" s="71">
        <f>IF(Q37&gt;=(Assumptions!$D$32+1),IF(Q37&lt;=Assumptions!$D$10,IF(Q37&gt;=Assumptions!$D$32,TREND($N$16:$N$17,$M$16:$M$17,Q37),0),0),0)</f>
        <v>0</v>
      </c>
      <c r="W37" s="104">
        <f>IF(Q37&gt;=(Assumptions!$D$32+1),IF(Q37&lt;=Assumptions!$D$10,IF(Q37&gt;=Assumptions!$D$32,TREND($N$22:$N$23,$M$22:$M$23,Q37),0),0),0)</f>
        <v>0</v>
      </c>
      <c r="X37" s="110">
        <f t="shared" si="10"/>
        <v>0</v>
      </c>
      <c r="Y37" s="103">
        <f t="shared" si="11"/>
        <v>0</v>
      </c>
      <c r="Z37" s="71">
        <f t="shared" si="12"/>
        <v>0</v>
      </c>
      <c r="AA37" s="104">
        <f t="shared" si="13"/>
        <v>0</v>
      </c>
      <c r="AB37" s="110">
        <f t="shared" si="14"/>
        <v>0</v>
      </c>
      <c r="AC37" s="103">
        <f t="shared" si="15"/>
        <v>0</v>
      </c>
      <c r="AD37" s="1"/>
      <c r="AE37" s="1"/>
    </row>
    <row r="38" spans="1:31" ht="15" customHeight="1" x14ac:dyDescent="0.25">
      <c r="B38" s="187">
        <f t="shared" si="5"/>
        <v>2058</v>
      </c>
      <c r="C38" s="275">
        <f t="shared" si="0"/>
        <v>0</v>
      </c>
      <c r="D38" s="272">
        <f t="shared" si="1"/>
        <v>0</v>
      </c>
      <c r="E38" s="275">
        <f t="shared" si="2"/>
        <v>0</v>
      </c>
      <c r="F38" s="276">
        <f t="shared" si="3"/>
        <v>0</v>
      </c>
      <c r="G38" s="277">
        <f t="shared" si="4"/>
        <v>0</v>
      </c>
      <c r="H38" s="278">
        <f>G38*(1+0.07)^-(B38-Assumptions!$D$7)</f>
        <v>0</v>
      </c>
      <c r="Q38" s="74">
        <v>2055</v>
      </c>
      <c r="R38" s="71">
        <f>IF(Q38&gt;=(Assumptions!$D$32+1),IF(Q38&lt;=Assumptions!$D$10,IF(Q38&gt;=Assumptions!$D$32,TREND($L$16:$L$17,$K$16:$K$17,Q38),0),0),0)</f>
        <v>0</v>
      </c>
      <c r="S38" s="104">
        <f>IF(Q38&gt;=(Assumptions!$D$32+1),IF(Q38&lt;=Assumptions!$D$10,IF(Q38&gt;=Assumptions!$D$32,TREND($L$22:$L$23,$K$22:$K$23,Q38),0),0),0)</f>
        <v>0</v>
      </c>
      <c r="T38" s="110">
        <f t="shared" si="8"/>
        <v>0</v>
      </c>
      <c r="U38" s="103">
        <f t="shared" si="9"/>
        <v>0</v>
      </c>
      <c r="V38" s="71">
        <f>IF(Q38&gt;=(Assumptions!$D$32+1),IF(Q38&lt;=Assumptions!$D$10,IF(Q38&gt;=Assumptions!$D$32,TREND($N$16:$N$17,$M$16:$M$17,Q38),0),0),0)</f>
        <v>0</v>
      </c>
      <c r="W38" s="104">
        <f>IF(Q38&gt;=(Assumptions!$D$32+1),IF(Q38&lt;=Assumptions!$D$10,IF(Q38&gt;=Assumptions!$D$32,TREND($N$22:$N$23,$M$22:$M$23,Q38),0),0),0)</f>
        <v>0</v>
      </c>
      <c r="X38" s="110">
        <f t="shared" si="10"/>
        <v>0</v>
      </c>
      <c r="Y38" s="103">
        <f t="shared" si="11"/>
        <v>0</v>
      </c>
      <c r="Z38" s="71">
        <f t="shared" si="12"/>
        <v>0</v>
      </c>
      <c r="AA38" s="104">
        <f t="shared" si="13"/>
        <v>0</v>
      </c>
      <c r="AB38" s="110">
        <f t="shared" si="14"/>
        <v>0</v>
      </c>
      <c r="AC38" s="103">
        <f t="shared" si="15"/>
        <v>0</v>
      </c>
      <c r="AD38" s="1"/>
      <c r="AE38" s="1"/>
    </row>
    <row r="39" spans="1:31" ht="15" customHeight="1" x14ac:dyDescent="0.25">
      <c r="B39" s="187">
        <f t="shared" si="5"/>
        <v>2059</v>
      </c>
      <c r="C39" s="275">
        <f t="shared" si="0"/>
        <v>0</v>
      </c>
      <c r="D39" s="272">
        <f t="shared" si="1"/>
        <v>0</v>
      </c>
      <c r="E39" s="275">
        <f t="shared" si="2"/>
        <v>0</v>
      </c>
      <c r="F39" s="276">
        <f t="shared" si="3"/>
        <v>0</v>
      </c>
      <c r="G39" s="277">
        <f t="shared" si="4"/>
        <v>0</v>
      </c>
      <c r="H39" s="278">
        <f>G39*(1+0.07)^-(B39-Assumptions!$D$7)</f>
        <v>0</v>
      </c>
      <c r="K39" s="1"/>
      <c r="L39" s="1"/>
      <c r="M39" s="1"/>
      <c r="Q39" s="74">
        <v>2056</v>
      </c>
      <c r="R39" s="71">
        <f>IF(Q39&gt;=(Assumptions!$D$32+1),IF(Q39&lt;=Assumptions!$D$10,IF(Q39&gt;=Assumptions!$D$32,TREND($L$16:$L$17,$K$16:$K$17,Q39),0),0),0)</f>
        <v>0</v>
      </c>
      <c r="S39" s="104">
        <f>IF(Q39&gt;=(Assumptions!$D$32+1),IF(Q39&lt;=Assumptions!$D$10,IF(Q39&gt;=Assumptions!$D$32,TREND($L$22:$L$23,$K$22:$K$23,Q39),0),0),0)</f>
        <v>0</v>
      </c>
      <c r="T39" s="110">
        <f t="shared" si="8"/>
        <v>0</v>
      </c>
      <c r="U39" s="103">
        <f t="shared" si="9"/>
        <v>0</v>
      </c>
      <c r="V39" s="71">
        <f>IF(Q39&gt;=(Assumptions!$D$32+1),IF(Q39&lt;=Assumptions!$D$10,IF(Q39&gt;=Assumptions!$D$32,TREND($N$16:$N$17,$M$16:$M$17,Q39),0),0),0)</f>
        <v>0</v>
      </c>
      <c r="W39" s="104">
        <f>IF(Q39&gt;=(Assumptions!$D$32+1),IF(Q39&lt;=Assumptions!$D$10,IF(Q39&gt;=Assumptions!$D$32,TREND($N$22:$N$23,$M$22:$M$23,Q39),0),0),0)</f>
        <v>0</v>
      </c>
      <c r="X39" s="110">
        <f t="shared" si="10"/>
        <v>0</v>
      </c>
      <c r="Y39" s="103">
        <f t="shared" si="11"/>
        <v>0</v>
      </c>
      <c r="Z39" s="71">
        <f t="shared" si="12"/>
        <v>0</v>
      </c>
      <c r="AA39" s="104">
        <f t="shared" si="13"/>
        <v>0</v>
      </c>
      <c r="AB39" s="110">
        <f t="shared" si="14"/>
        <v>0</v>
      </c>
      <c r="AC39" s="103">
        <f t="shared" si="15"/>
        <v>0</v>
      </c>
      <c r="AD39" s="1"/>
      <c r="AE39" s="1"/>
    </row>
    <row r="40" spans="1:31" ht="15" customHeight="1" x14ac:dyDescent="0.25">
      <c r="B40" s="187">
        <f t="shared" si="5"/>
        <v>2060</v>
      </c>
      <c r="C40" s="275">
        <f t="shared" si="0"/>
        <v>0</v>
      </c>
      <c r="D40" s="272">
        <f t="shared" si="1"/>
        <v>0</v>
      </c>
      <c r="E40" s="275">
        <f t="shared" si="2"/>
        <v>0</v>
      </c>
      <c r="F40" s="276">
        <f t="shared" si="3"/>
        <v>0</v>
      </c>
      <c r="G40" s="277">
        <f t="shared" si="4"/>
        <v>0</v>
      </c>
      <c r="H40" s="278">
        <f>G40*(1+0.07)^-(B40-Assumptions!$D$7)</f>
        <v>0</v>
      </c>
      <c r="K40" s="1"/>
      <c r="L40" s="1"/>
      <c r="M40" s="1"/>
      <c r="Q40" s="74">
        <v>2057</v>
      </c>
      <c r="R40" s="71">
        <f>IF(Q40&gt;=(Assumptions!$D$32+1),IF(Q40&lt;=Assumptions!$D$10,IF(Q40&gt;=Assumptions!$D$32,TREND($L$16:$L$17,$K$16:$K$17,Q40),0),0),0)</f>
        <v>0</v>
      </c>
      <c r="S40" s="104">
        <f>IF(Q40&gt;=(Assumptions!$D$32+1),IF(Q40&lt;=Assumptions!$D$10,IF(Q40&gt;=Assumptions!$D$32,TREND($L$22:$L$23,$K$22:$K$23,Q40),0),0),0)</f>
        <v>0</v>
      </c>
      <c r="T40" s="110">
        <f t="shared" si="8"/>
        <v>0</v>
      </c>
      <c r="U40" s="103">
        <f t="shared" si="9"/>
        <v>0</v>
      </c>
      <c r="V40" s="71">
        <f>IF(Q40&gt;=(Assumptions!$D$32+1),IF(Q40&lt;=Assumptions!$D$10,IF(Q40&gt;=Assumptions!$D$32,TREND($N$16:$N$17,$M$16:$M$17,Q40),0),0),0)</f>
        <v>0</v>
      </c>
      <c r="W40" s="104">
        <f>IF(Q40&gt;=(Assumptions!$D$32+1),IF(Q40&lt;=Assumptions!$D$10,IF(Q40&gt;=Assumptions!$D$32,TREND($N$22:$N$23,$M$22:$M$23,Q40),0),0),0)</f>
        <v>0</v>
      </c>
      <c r="X40" s="110">
        <f t="shared" si="10"/>
        <v>0</v>
      </c>
      <c r="Y40" s="103">
        <f t="shared" si="11"/>
        <v>0</v>
      </c>
      <c r="Z40" s="71">
        <f t="shared" si="12"/>
        <v>0</v>
      </c>
      <c r="AA40" s="104">
        <f t="shared" si="13"/>
        <v>0</v>
      </c>
      <c r="AB40" s="110">
        <f t="shared" si="14"/>
        <v>0</v>
      </c>
      <c r="AC40" s="103">
        <f t="shared" si="15"/>
        <v>0</v>
      </c>
      <c r="AD40" s="1"/>
      <c r="AE40" s="1"/>
    </row>
    <row r="41" spans="1:31" ht="15" customHeight="1" thickBot="1" x14ac:dyDescent="0.3">
      <c r="B41" s="169">
        <f t="shared" si="5"/>
        <v>2061</v>
      </c>
      <c r="C41" s="279">
        <f t="shared" si="0"/>
        <v>0</v>
      </c>
      <c r="D41" s="280">
        <f t="shared" si="1"/>
        <v>0</v>
      </c>
      <c r="E41" s="279">
        <f t="shared" si="2"/>
        <v>0</v>
      </c>
      <c r="F41" s="281">
        <f t="shared" si="3"/>
        <v>0</v>
      </c>
      <c r="G41" s="282">
        <f t="shared" si="4"/>
        <v>0</v>
      </c>
      <c r="H41" s="283">
        <f>G41*(1+0.07)^-(B41-Assumptions!$D$7)</f>
        <v>0</v>
      </c>
      <c r="I41" s="33"/>
      <c r="Q41" s="74">
        <v>2058</v>
      </c>
      <c r="R41" s="71">
        <f>IF(Q41&gt;=(Assumptions!$D$32+1),IF(Q41&lt;=Assumptions!$D$10,IF(Q41&gt;=Assumptions!$D$32,TREND($L$16:$L$17,$K$16:$K$17,Q41),0),0),0)</f>
        <v>0</v>
      </c>
      <c r="S41" s="104">
        <f>IF(Q41&gt;=(Assumptions!$D$32+1),IF(Q41&lt;=Assumptions!$D$10,IF(Q41&gt;=Assumptions!$D$32,TREND($L$22:$L$23,$K$22:$K$23,Q41),0),0),0)</f>
        <v>0</v>
      </c>
      <c r="T41" s="110">
        <f t="shared" si="8"/>
        <v>0</v>
      </c>
      <c r="U41" s="103">
        <f t="shared" si="9"/>
        <v>0</v>
      </c>
      <c r="V41" s="71">
        <f>IF(Q41&gt;=(Assumptions!$D$32+1),IF(Q41&lt;=Assumptions!$D$10,IF(Q41&gt;=Assumptions!$D$32,TREND($N$16:$N$17,$M$16:$M$17,Q41),0),0),0)</f>
        <v>0</v>
      </c>
      <c r="W41" s="104">
        <f>IF(Q41&gt;=(Assumptions!$D$32+1),IF(Q41&lt;=Assumptions!$D$10,IF(Q41&gt;=Assumptions!$D$32,TREND($N$22:$N$23,$M$22:$M$23,Q41),0),0),0)</f>
        <v>0</v>
      </c>
      <c r="X41" s="110">
        <f t="shared" si="10"/>
        <v>0</v>
      </c>
      <c r="Y41" s="103">
        <f t="shared" si="11"/>
        <v>0</v>
      </c>
      <c r="Z41" s="71">
        <f t="shared" si="12"/>
        <v>0</v>
      </c>
      <c r="AA41" s="104">
        <f t="shared" si="13"/>
        <v>0</v>
      </c>
      <c r="AB41" s="110">
        <f t="shared" si="14"/>
        <v>0</v>
      </c>
      <c r="AC41" s="103">
        <f t="shared" si="15"/>
        <v>0</v>
      </c>
      <c r="AD41" s="1"/>
      <c r="AE41" s="1"/>
    </row>
    <row r="42" spans="1:31" ht="15" customHeight="1" thickBot="1" x14ac:dyDescent="0.3">
      <c r="G42" s="177" t="s">
        <v>2</v>
      </c>
      <c r="H42" s="284">
        <f>SUM(H6:H41)</f>
        <v>1182371.4279571567</v>
      </c>
      <c r="I42" s="36"/>
      <c r="L42" s="3"/>
      <c r="M42" s="3"/>
      <c r="N42" s="3"/>
      <c r="Q42" s="74">
        <v>2059</v>
      </c>
      <c r="R42" s="71">
        <f>IF(Q42&gt;=(Assumptions!$D$32+1),IF(Q42&lt;=Assumptions!$D$10,IF(Q42&gt;=Assumptions!$D$32,TREND($L$16:$L$17,$K$16:$K$17,Q42),0),0),0)</f>
        <v>0</v>
      </c>
      <c r="S42" s="104">
        <f>IF(Q42&gt;=(Assumptions!$D$32+1),IF(Q42&lt;=Assumptions!$D$10,IF(Q42&gt;=Assumptions!$D$32,TREND($L$22:$L$23,$K$22:$K$23,Q42),0),0),0)</f>
        <v>0</v>
      </c>
      <c r="T42" s="110">
        <f t="shared" si="8"/>
        <v>0</v>
      </c>
      <c r="U42" s="103">
        <f t="shared" si="9"/>
        <v>0</v>
      </c>
      <c r="V42" s="71">
        <f>IF(Q42&gt;=(Assumptions!$D$32+1),IF(Q42&lt;=Assumptions!$D$10,IF(Q42&gt;=Assumptions!$D$32,TREND($N$16:$N$17,$M$16:$M$17,Q42),0),0),0)</f>
        <v>0</v>
      </c>
      <c r="W42" s="104">
        <f>IF(Q42&gt;=(Assumptions!$D$32+1),IF(Q42&lt;=Assumptions!$D$10,IF(Q42&gt;=Assumptions!$D$32,TREND($N$22:$N$23,$M$22:$M$23,Q42),0),0),0)</f>
        <v>0</v>
      </c>
      <c r="X42" s="110">
        <f t="shared" si="10"/>
        <v>0</v>
      </c>
      <c r="Y42" s="103">
        <f t="shared" si="11"/>
        <v>0</v>
      </c>
      <c r="Z42" s="71">
        <f t="shared" si="12"/>
        <v>0</v>
      </c>
      <c r="AA42" s="104">
        <f t="shared" si="13"/>
        <v>0</v>
      </c>
      <c r="AB42" s="110">
        <f t="shared" si="14"/>
        <v>0</v>
      </c>
      <c r="AC42" s="103">
        <f t="shared" si="15"/>
        <v>0</v>
      </c>
      <c r="AD42" s="1"/>
      <c r="AE42" s="1"/>
    </row>
    <row r="43" spans="1:31" ht="15.75" thickBot="1" x14ac:dyDescent="0.3">
      <c r="B43" s="51"/>
      <c r="C43" s="52"/>
      <c r="D43" s="49"/>
      <c r="E43" s="49"/>
      <c r="F43" s="49"/>
      <c r="G43" s="49"/>
      <c r="H43" s="49"/>
      <c r="K43" s="1"/>
      <c r="L43" s="1"/>
      <c r="M43" s="1"/>
      <c r="N43" s="1"/>
      <c r="Q43" s="75">
        <v>2060</v>
      </c>
      <c r="R43" s="73">
        <f>IF(Q43&gt;=(Assumptions!$D$32+1),IF(Q43&lt;=Assumptions!$D$10,IF(Q43&gt;=Assumptions!$D$32,TREND($L$16:$L$17,$K$16:$K$17,Q43),0),0),0)</f>
        <v>0</v>
      </c>
      <c r="S43" s="101">
        <f>IF(Q43&gt;=(Assumptions!$D$32+1),IF(Q43&lt;=Assumptions!$D$10,IF(Q43&gt;=Assumptions!$D$32,TREND($L$22:$L$23,$K$22:$K$23,Q43),0),0),0)</f>
        <v>0</v>
      </c>
      <c r="T43" s="96">
        <f t="shared" si="8"/>
        <v>0</v>
      </c>
      <c r="U43" s="100">
        <f t="shared" si="9"/>
        <v>0</v>
      </c>
      <c r="V43" s="73">
        <f>IF(Q43&gt;=(Assumptions!$D$32+1),IF(Q43&lt;=Assumptions!$D$10,IF(Q43&gt;=Assumptions!$D$32,TREND($N$16:$N$17,$M$16:$M$17,Q43),0),0),0)</f>
        <v>0</v>
      </c>
      <c r="W43" s="101">
        <f>IF(Q43&gt;=(Assumptions!$D$32+1),IF(Q43&lt;=Assumptions!$D$10,IF(Q43&gt;=Assumptions!$D$32,TREND($N$22:$N$23,$M$22:$M$23,Q43),0),0),0)</f>
        <v>0</v>
      </c>
      <c r="X43" s="96">
        <f t="shared" si="10"/>
        <v>0</v>
      </c>
      <c r="Y43" s="100">
        <f t="shared" si="11"/>
        <v>0</v>
      </c>
      <c r="Z43" s="73">
        <f t="shared" si="12"/>
        <v>0</v>
      </c>
      <c r="AA43" s="101">
        <f t="shared" si="13"/>
        <v>0</v>
      </c>
      <c r="AB43" s="96">
        <f t="shared" si="14"/>
        <v>0</v>
      </c>
      <c r="AC43" s="100">
        <f t="shared" si="15"/>
        <v>0</v>
      </c>
      <c r="AD43" s="1"/>
      <c r="AE43" s="1"/>
    </row>
    <row r="44" spans="1:31" x14ac:dyDescent="0.25">
      <c r="K44" s="1"/>
      <c r="L44" s="1"/>
      <c r="M44" s="1"/>
      <c r="N44" s="1"/>
    </row>
    <row r="45" spans="1:31" ht="15" customHeight="1" x14ac:dyDescent="0.25">
      <c r="K45" s="1"/>
      <c r="L45" s="1"/>
      <c r="M45" s="1"/>
      <c r="N45" s="1"/>
    </row>
    <row r="46" spans="1:31" ht="15" customHeight="1" x14ac:dyDescent="0.25">
      <c r="A46" s="2"/>
      <c r="B46" s="1" t="s">
        <v>3</v>
      </c>
      <c r="C46" s="1"/>
      <c r="K46" s="1"/>
      <c r="L46" s="1"/>
      <c r="M46" s="1"/>
      <c r="N46" s="1"/>
      <c r="O46" s="1"/>
    </row>
    <row r="47" spans="1:31" ht="15" customHeight="1" x14ac:dyDescent="0.25">
      <c r="A47" s="2" t="s">
        <v>19</v>
      </c>
      <c r="B47" s="415" t="s">
        <v>772</v>
      </c>
      <c r="C47" s="415"/>
      <c r="D47" s="415"/>
      <c r="E47" s="415"/>
      <c r="F47" s="415"/>
      <c r="G47" s="415"/>
      <c r="K47" s="1"/>
      <c r="L47" s="1"/>
      <c r="M47" s="1"/>
      <c r="N47" s="1"/>
      <c r="O47" s="1"/>
    </row>
    <row r="48" spans="1:31" ht="15" customHeight="1" x14ac:dyDescent="0.25">
      <c r="A48" s="2"/>
      <c r="B48" s="415"/>
      <c r="C48" s="415"/>
      <c r="D48" s="415"/>
      <c r="E48" s="415"/>
      <c r="F48" s="415"/>
      <c r="G48" s="415"/>
      <c r="H48" s="20"/>
      <c r="K48" s="1"/>
      <c r="L48" s="1"/>
      <c r="M48" s="1"/>
      <c r="N48" s="1"/>
      <c r="O48" s="1"/>
    </row>
    <row r="49" spans="1:15" ht="15" customHeight="1" x14ac:dyDescent="0.25">
      <c r="A49" s="2"/>
      <c r="B49" s="415"/>
      <c r="C49" s="415"/>
      <c r="D49" s="415"/>
      <c r="E49" s="415"/>
      <c r="F49" s="415"/>
      <c r="G49" s="415"/>
      <c r="K49" s="1"/>
      <c r="L49" s="1"/>
      <c r="M49" s="1"/>
      <c r="N49" s="1"/>
      <c r="O49" s="1"/>
    </row>
    <row r="50" spans="1:15" ht="15" customHeight="1" x14ac:dyDescent="0.25">
      <c r="A50" s="2"/>
      <c r="B50" s="415"/>
      <c r="C50" s="415"/>
      <c r="D50" s="415"/>
      <c r="E50" s="415"/>
      <c r="F50" s="415"/>
      <c r="G50" s="415"/>
    </row>
    <row r="51" spans="1:15" ht="15" customHeight="1" x14ac:dyDescent="0.25">
      <c r="A51" s="2"/>
      <c r="B51" s="415"/>
      <c r="C51" s="415"/>
      <c r="D51" s="415"/>
      <c r="E51" s="415"/>
      <c r="F51" s="415"/>
      <c r="G51" s="415"/>
    </row>
    <row r="52" spans="1:15" ht="15" customHeight="1" x14ac:dyDescent="0.25">
      <c r="A52" s="2"/>
      <c r="B52" s="415"/>
      <c r="C52" s="415"/>
      <c r="D52" s="415"/>
      <c r="E52" s="415"/>
      <c r="F52" s="415"/>
      <c r="G52" s="415"/>
    </row>
    <row r="53" spans="1:15" x14ac:dyDescent="0.25">
      <c r="A53" s="2"/>
      <c r="B53" s="8"/>
      <c r="C53" s="8"/>
      <c r="D53" s="8"/>
      <c r="E53" s="8"/>
      <c r="F53" s="8"/>
      <c r="G53" s="8"/>
    </row>
    <row r="54" spans="1:15" ht="15" customHeight="1" x14ac:dyDescent="0.25">
      <c r="A54" s="2" t="s">
        <v>25</v>
      </c>
      <c r="B54" s="415" t="s">
        <v>243</v>
      </c>
      <c r="C54" s="415"/>
      <c r="D54" s="415"/>
      <c r="E54" s="415"/>
      <c r="F54" s="415"/>
      <c r="G54" s="415"/>
    </row>
    <row r="55" spans="1:15" ht="15" customHeight="1" x14ac:dyDescent="0.25">
      <c r="A55" s="2"/>
      <c r="B55" s="415"/>
      <c r="C55" s="415"/>
      <c r="D55" s="415"/>
      <c r="E55" s="415"/>
      <c r="F55" s="415"/>
      <c r="G55" s="415"/>
    </row>
    <row r="56" spans="1:15" ht="15" customHeight="1" x14ac:dyDescent="0.25">
      <c r="A56" s="2"/>
      <c r="B56" s="29"/>
      <c r="C56" s="29"/>
      <c r="D56" s="29"/>
      <c r="E56" s="29"/>
      <c r="F56" s="29"/>
      <c r="G56" s="29"/>
    </row>
    <row r="57" spans="1:15" ht="15" customHeight="1" x14ac:dyDescent="0.25">
      <c r="A57" s="2" t="s">
        <v>26</v>
      </c>
      <c r="B57" s="415" t="s">
        <v>244</v>
      </c>
      <c r="C57" s="415"/>
      <c r="D57" s="415"/>
      <c r="E57" s="415"/>
      <c r="F57" s="415"/>
      <c r="G57" s="415"/>
    </row>
    <row r="58" spans="1:15" ht="15" customHeight="1" x14ac:dyDescent="0.25">
      <c r="A58" s="2"/>
      <c r="B58" s="415"/>
      <c r="C58" s="415"/>
      <c r="D58" s="415"/>
      <c r="E58" s="415"/>
      <c r="F58" s="415"/>
      <c r="G58" s="415"/>
    </row>
    <row r="59" spans="1:15" ht="15" customHeight="1" x14ac:dyDescent="0.25">
      <c r="A59" s="2"/>
      <c r="B59" s="415"/>
      <c r="C59" s="415"/>
      <c r="D59" s="415"/>
      <c r="E59" s="415"/>
      <c r="F59" s="415"/>
      <c r="G59" s="415"/>
    </row>
    <row r="60" spans="1:15" x14ac:dyDescent="0.25">
      <c r="A60" s="2"/>
      <c r="B60" s="415"/>
      <c r="C60" s="415"/>
      <c r="D60" s="415"/>
      <c r="E60" s="415"/>
      <c r="F60" s="415"/>
      <c r="G60" s="415"/>
    </row>
    <row r="61" spans="1:15" ht="15" customHeight="1" x14ac:dyDescent="0.25"/>
    <row r="62" spans="1:15" ht="15" customHeight="1" x14ac:dyDescent="0.25"/>
    <row r="63" spans="1:15" x14ac:dyDescent="0.25">
      <c r="A63" s="2"/>
      <c r="B63" s="8"/>
      <c r="C63" s="8"/>
      <c r="D63" s="8"/>
      <c r="E63" s="8"/>
      <c r="F63" s="8"/>
      <c r="G63" s="8"/>
    </row>
    <row r="64" spans="1:15" x14ac:dyDescent="0.25">
      <c r="A64" s="2"/>
      <c r="B64" s="8"/>
      <c r="C64" s="8"/>
      <c r="D64" s="8"/>
      <c r="E64" s="8"/>
      <c r="F64" s="8"/>
    </row>
    <row r="65" spans="1:7" ht="15" customHeight="1" x14ac:dyDescent="0.25">
      <c r="A65" s="2"/>
      <c r="B65" s="8"/>
      <c r="C65" s="8"/>
      <c r="D65" s="8"/>
      <c r="E65" s="8"/>
      <c r="F65" s="8"/>
    </row>
    <row r="66" spans="1:7" ht="15" customHeight="1" x14ac:dyDescent="0.25"/>
    <row r="68" spans="1:7" ht="15" customHeight="1" x14ac:dyDescent="0.25"/>
    <row r="71" spans="1:7" ht="15" customHeight="1" x14ac:dyDescent="0.25"/>
    <row r="73" spans="1:7" ht="15" customHeight="1" x14ac:dyDescent="0.25"/>
    <row r="74" spans="1:7" ht="21" customHeight="1" x14ac:dyDescent="0.25">
      <c r="A74" s="2"/>
      <c r="B74" s="8"/>
      <c r="C74" s="8"/>
      <c r="D74" s="8"/>
      <c r="E74" s="8"/>
      <c r="F74" s="8"/>
      <c r="G74" s="8"/>
    </row>
    <row r="75" spans="1:7" x14ac:dyDescent="0.25">
      <c r="A75" s="2"/>
      <c r="B75" s="8"/>
      <c r="C75" s="8"/>
      <c r="D75" s="8"/>
      <c r="E75" s="8"/>
      <c r="F75" s="8"/>
    </row>
    <row r="76" spans="1:7" x14ac:dyDescent="0.25">
      <c r="A76" s="2"/>
    </row>
  </sheetData>
  <mergeCells count="14">
    <mergeCell ref="B57:G60"/>
    <mergeCell ref="B4:B5"/>
    <mergeCell ref="C4:C5"/>
    <mergeCell ref="D4:D5"/>
    <mergeCell ref="E4:E5"/>
    <mergeCell ref="F4:F5"/>
    <mergeCell ref="G4:G5"/>
    <mergeCell ref="B47:G52"/>
    <mergeCell ref="V6:Y6"/>
    <mergeCell ref="Z6:AC6"/>
    <mergeCell ref="H4:H5"/>
    <mergeCell ref="K5:L5"/>
    <mergeCell ref="B54:G55"/>
    <mergeCell ref="R6:U6"/>
  </mergeCells>
  <pageMargins left="0.25" right="0.25" top="0.75" bottom="0.75" header="0.3" footer="0.3"/>
  <pageSetup scale="24"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C76051-DA4C-4499-AC93-BBA9B8C74320}">
  <sheetPr>
    <tabColor rgb="FF00B050"/>
    <pageSetUpPr fitToPage="1"/>
  </sheetPr>
  <dimension ref="A1:AE76"/>
  <sheetViews>
    <sheetView view="pageBreakPreview" zoomScale="55" zoomScaleNormal="40" zoomScaleSheetLayoutView="55" zoomScalePageLayoutView="55" workbookViewId="0">
      <selection activeCell="K60" sqref="K60:K61"/>
    </sheetView>
  </sheetViews>
  <sheetFormatPr defaultRowHeight="15" outlineLevelRow="1" x14ac:dyDescent="0.25"/>
  <cols>
    <col min="1" max="1" width="3.7109375" customWidth="1"/>
    <col min="2" max="8" width="20.7109375" customWidth="1"/>
    <col min="9" max="9" width="5.7109375" customWidth="1"/>
    <col min="10" max="10" width="3" customWidth="1"/>
    <col min="11" max="11" width="39.140625" customWidth="1"/>
    <col min="12" max="12" width="29.28515625" bestFit="1" customWidth="1"/>
    <col min="13" max="13" width="39.140625" customWidth="1"/>
    <col min="14" max="15" width="29.28515625" bestFit="1" customWidth="1"/>
    <col min="16" max="16" width="29.28515625" customWidth="1"/>
    <col min="17" max="17" width="15.7109375" customWidth="1"/>
    <col min="18" max="18" width="10.85546875" bestFit="1" customWidth="1"/>
    <col min="19" max="19" width="12.5703125" bestFit="1" customWidth="1"/>
    <col min="20" max="20" width="11.28515625" bestFit="1" customWidth="1"/>
    <col min="21" max="21" width="16.5703125" bestFit="1" customWidth="1"/>
    <col min="22" max="22" width="10.85546875" bestFit="1" customWidth="1"/>
    <col min="23" max="23" width="12.5703125" bestFit="1" customWidth="1"/>
    <col min="24" max="24" width="11.28515625" bestFit="1" customWidth="1"/>
    <col min="25" max="25" width="16.5703125" bestFit="1" customWidth="1"/>
    <col min="26" max="26" width="15.140625" bestFit="1" customWidth="1"/>
    <col min="27" max="27" width="17" bestFit="1" customWidth="1"/>
    <col min="28" max="28" width="16.7109375" bestFit="1" customWidth="1"/>
    <col min="29" max="29" width="16.5703125" bestFit="1" customWidth="1"/>
    <col min="30" max="32" width="23.28515625" customWidth="1"/>
    <col min="33" max="33" width="29.28515625" bestFit="1" customWidth="1"/>
    <col min="34" max="34" width="23.28515625" customWidth="1"/>
    <col min="35" max="36" width="29.28515625" bestFit="1" customWidth="1"/>
    <col min="37" max="39" width="10.7109375" customWidth="1"/>
  </cols>
  <sheetData>
    <row r="1" spans="2:31" ht="14.25" customHeight="1" x14ac:dyDescent="0.25">
      <c r="B1" s="54"/>
      <c r="C1" s="54"/>
      <c r="D1" s="54"/>
      <c r="E1" s="54"/>
      <c r="F1" s="54"/>
      <c r="G1" s="54"/>
      <c r="H1" s="54"/>
    </row>
    <row r="2" spans="2:31" x14ac:dyDescent="0.25">
      <c r="B2" s="1" t="s">
        <v>269</v>
      </c>
      <c r="C2" s="1"/>
    </row>
    <row r="3" spans="2:31" ht="15.75" thickBot="1" x14ac:dyDescent="0.3">
      <c r="K3" s="15"/>
    </row>
    <row r="4" spans="2:31" ht="35.1" customHeight="1" x14ac:dyDescent="0.25">
      <c r="B4" s="422" t="s">
        <v>0</v>
      </c>
      <c r="C4" s="424" t="s">
        <v>67</v>
      </c>
      <c r="D4" s="426" t="s">
        <v>54</v>
      </c>
      <c r="E4" s="424" t="s">
        <v>68</v>
      </c>
      <c r="F4" s="426" t="s">
        <v>55</v>
      </c>
      <c r="G4" s="428" t="s">
        <v>30</v>
      </c>
      <c r="H4" s="419" t="s">
        <v>1</v>
      </c>
      <c r="K4" s="63"/>
    </row>
    <row r="5" spans="2:31" ht="43.5" customHeight="1" thickBot="1" x14ac:dyDescent="0.3">
      <c r="B5" s="423"/>
      <c r="C5" s="425"/>
      <c r="D5" s="427"/>
      <c r="E5" s="425"/>
      <c r="F5" s="427"/>
      <c r="G5" s="429"/>
      <c r="H5" s="420"/>
      <c r="K5" s="421" t="s">
        <v>64</v>
      </c>
      <c r="L5" s="421"/>
      <c r="M5" s="33"/>
      <c r="Q5" s="1" t="s">
        <v>190</v>
      </c>
      <c r="R5" s="1"/>
    </row>
    <row r="6" spans="2:31" ht="15" customHeight="1" thickBot="1" x14ac:dyDescent="0.3">
      <c r="B6" s="170">
        <f>Assumptions!$D$9</f>
        <v>2026</v>
      </c>
      <c r="C6" s="271">
        <f t="shared" ref="C6:C41" si="0">IFERROR(_xlfn.XLOOKUP($B6,$Q$8:$Q$43,$T$8:$T$43,0,0,1),0)</f>
        <v>41514.681539937606</v>
      </c>
      <c r="D6" s="272">
        <f t="shared" ref="D6:D41" si="1">IFERROR(_xlfn.XLOOKUP($B6,$Q$8:$Q$43,$U$8:$U$43,0,0,1),0)</f>
        <v>1312129.8201426836</v>
      </c>
      <c r="E6" s="271">
        <f t="shared" ref="E6:E41" si="2">IFERROR(_xlfn.XLOOKUP($B6,$Q$8:$Q$43,$X$8:$X$43,0,0,1),0)</f>
        <v>36465.063078703701</v>
      </c>
      <c r="F6" s="272">
        <f t="shared" ref="F6:F41" si="3">IFERROR(_xlfn.XLOOKUP($B6,$Q$8:$Q$43,$Y$8:$Y$43,0,0,1),0)</f>
        <v>1152353.5697024243</v>
      </c>
      <c r="G6" s="273">
        <f t="shared" ref="G6:G41" si="4">D6-F6</f>
        <v>159776.25044025923</v>
      </c>
      <c r="H6" s="274">
        <f>G6*(1+0.07)^-(B6-Assumptions!$D$7)</f>
        <v>113918.25837362622</v>
      </c>
      <c r="K6" s="27" t="s">
        <v>61</v>
      </c>
      <c r="L6" s="22">
        <f>Assumptions!$D$21</f>
        <v>18.8</v>
      </c>
      <c r="R6" s="416" t="s">
        <v>36</v>
      </c>
      <c r="S6" s="417"/>
      <c r="T6" s="417"/>
      <c r="U6" s="418"/>
      <c r="V6" s="416" t="s">
        <v>14</v>
      </c>
      <c r="W6" s="417"/>
      <c r="X6" s="417"/>
      <c r="Y6" s="418"/>
      <c r="Z6" s="416" t="s">
        <v>135</v>
      </c>
      <c r="AA6" s="417"/>
      <c r="AB6" s="417"/>
      <c r="AC6" s="418"/>
      <c r="AE6" s="1"/>
    </row>
    <row r="7" spans="2:31" ht="15.75" thickBot="1" x14ac:dyDescent="0.3">
      <c r="B7" s="187">
        <f>B6+1</f>
        <v>2027</v>
      </c>
      <c r="C7" s="275">
        <f t="shared" si="0"/>
        <v>41795.18614493723</v>
      </c>
      <c r="D7" s="272">
        <f t="shared" si="1"/>
        <v>1320995.5621706762</v>
      </c>
      <c r="E7" s="275">
        <f t="shared" si="2"/>
        <v>36711.448640046285</v>
      </c>
      <c r="F7" s="276">
        <f t="shared" si="3"/>
        <v>1160139.7424706835</v>
      </c>
      <c r="G7" s="277">
        <f t="shared" si="4"/>
        <v>160855.81969999266</v>
      </c>
      <c r="H7" s="278">
        <f>G7*(1+0.07)^-(B7-Assumptions!$D$7)</f>
        <v>107185.0246127211</v>
      </c>
      <c r="K7" s="27" t="s">
        <v>56</v>
      </c>
      <c r="L7" s="22">
        <f>Assumptions!D$22</f>
        <v>34</v>
      </c>
      <c r="Q7" s="111" t="s">
        <v>33</v>
      </c>
      <c r="R7" s="112" t="s">
        <v>177</v>
      </c>
      <c r="S7" s="108" t="s">
        <v>178</v>
      </c>
      <c r="T7" s="98" t="s">
        <v>183</v>
      </c>
      <c r="U7" s="113" t="s">
        <v>179</v>
      </c>
      <c r="V7" s="112" t="s">
        <v>177</v>
      </c>
      <c r="W7" s="108" t="s">
        <v>178</v>
      </c>
      <c r="X7" s="98" t="s">
        <v>183</v>
      </c>
      <c r="Y7" s="113" t="s">
        <v>179</v>
      </c>
      <c r="Z7" s="112" t="s">
        <v>180</v>
      </c>
      <c r="AA7" s="108" t="s">
        <v>181</v>
      </c>
      <c r="AB7" s="98" t="s">
        <v>184</v>
      </c>
      <c r="AC7" s="113" t="s">
        <v>182</v>
      </c>
    </row>
    <row r="8" spans="2:31" x14ac:dyDescent="0.25">
      <c r="B8" s="187">
        <f t="shared" ref="B8:B41" si="5">B7+1</f>
        <v>2028</v>
      </c>
      <c r="C8" s="275">
        <f t="shared" si="0"/>
        <v>42075.690749936803</v>
      </c>
      <c r="D8" s="272">
        <f t="shared" si="1"/>
        <v>1329861.3041986674</v>
      </c>
      <c r="E8" s="275">
        <f t="shared" si="2"/>
        <v>36957.834201388869</v>
      </c>
      <c r="F8" s="276">
        <f t="shared" si="3"/>
        <v>1167925.9152389432</v>
      </c>
      <c r="G8" s="277">
        <f t="shared" si="4"/>
        <v>161935.38895972422</v>
      </c>
      <c r="H8" s="278">
        <f>G8*(1+0.07)^-(B8-Assumptions!$D$7)</f>
        <v>100845.22167664912</v>
      </c>
      <c r="J8" s="16"/>
      <c r="Q8" s="170">
        <v>2025</v>
      </c>
      <c r="R8" s="77">
        <f>IF(Q8&gt;=(Assumptions!$D$32+1),IF(Q8&lt;=Assumptions!$D$10,IF(Q8&gt;=Assumptions!$D$32,TREND($L$20:$L$21,$K$20:$K$21,Q8),0),0),0)</f>
        <v>0</v>
      </c>
      <c r="S8" s="107">
        <f>IF(Q8&gt;=(Assumptions!$D$32+1),IF(Q8&lt;=Assumptions!$D$10,IF(Q8&gt;=Assumptions!$D$32,TREND($L$26:$L$27,$K$26:$K$27,Q8),0),0),0)</f>
        <v>0</v>
      </c>
      <c r="T8" s="97">
        <f>SUM(R8:S8)</f>
        <v>0</v>
      </c>
      <c r="U8" s="106">
        <f>($L$6*$L$14*R8)+($L$7*$L$15*S8)</f>
        <v>0</v>
      </c>
      <c r="V8" s="77">
        <f>IF(Q8&gt;=(Assumptions!$D$32+1),IF(Q8&lt;=Assumptions!$D$10,IF(Q8&gt;=Assumptions!$D$32,TREND($N$20:$N$21,$M$20:$M$21,Q8),0),0),0)</f>
        <v>0</v>
      </c>
      <c r="W8" s="107">
        <f>IF(Q8&gt;=(Assumptions!$D$32+1),IF(Q8&lt;=Assumptions!$D$10,IF(Q8&gt;=Assumptions!$D$32,TREND($N$26:$N$27,$M$26:$M$27,Q8),0),0),0)</f>
        <v>0</v>
      </c>
      <c r="X8" s="97">
        <f>SUM(V8:W8)</f>
        <v>0</v>
      </c>
      <c r="Y8" s="106">
        <f>($L$6*$L$14*V8)+($L$7*$L$15*W8)</f>
        <v>0</v>
      </c>
      <c r="Z8" s="105">
        <f>R8-V8</f>
        <v>0</v>
      </c>
      <c r="AA8" s="107">
        <f>S8-W8</f>
        <v>0</v>
      </c>
      <c r="AB8" s="97">
        <f>T8-X8</f>
        <v>0</v>
      </c>
      <c r="AC8" s="106">
        <f>U8-Y8</f>
        <v>0</v>
      </c>
    </row>
    <row r="9" spans="2:31" ht="15" customHeight="1" x14ac:dyDescent="0.25">
      <c r="B9" s="187">
        <f t="shared" si="5"/>
        <v>2029</v>
      </c>
      <c r="C9" s="275">
        <f t="shared" si="0"/>
        <v>42356.195354936368</v>
      </c>
      <c r="D9" s="272">
        <f t="shared" si="1"/>
        <v>1338727.0462266579</v>
      </c>
      <c r="E9" s="275">
        <f t="shared" si="2"/>
        <v>37204.219762731445</v>
      </c>
      <c r="F9" s="276">
        <f t="shared" si="3"/>
        <v>1175712.0880072021</v>
      </c>
      <c r="G9" s="277">
        <f t="shared" si="4"/>
        <v>163014.95821945579</v>
      </c>
      <c r="H9" s="278">
        <f>G9*(1+0.07)^-(B9-Assumptions!$D$7)</f>
        <v>94876.189864012616</v>
      </c>
      <c r="K9" s="19" t="s">
        <v>65</v>
      </c>
      <c r="L9" s="19"/>
      <c r="Q9" s="187">
        <v>2026</v>
      </c>
      <c r="R9" s="71">
        <f>IF(Q9&gt;=(Assumptions!$D$32+1),IF(Q9&lt;=Assumptions!$D$10,IF(Q9&gt;=Assumptions!$D$32,TREND($L$20:$L$21,$K$20:$K$21,Q9),0),0),0)</f>
        <v>38160.273508139362</v>
      </c>
      <c r="S9" s="104">
        <f>IF(Q9&gt;=(Assumptions!$D$32+1),IF(Q9&lt;=Assumptions!$D$10,IF(Q9&gt;=Assumptions!$D$32,TREND($L$26:$L$27,$K$26:$K$27,Q9),0),0),0)</f>
        <v>3354.4080317982443</v>
      </c>
      <c r="T9" s="110">
        <f t="shared" ref="T9:T43" si="6">SUM(R9:S9)</f>
        <v>41514.681539937606</v>
      </c>
      <c r="U9" s="103">
        <f t="shared" ref="U9:U43" si="7">($L$6*$L$14*R9)+($L$7*$L$15*S9)</f>
        <v>1312129.8201426836</v>
      </c>
      <c r="V9" s="71">
        <f>IF(Q9&gt;=(Assumptions!$D$32+1),IF(Q9&lt;=Assumptions!$D$10,IF(Q9&gt;=Assumptions!$D$32,TREND($N$20:$N$21,$M$20:$M$21,Q9),0),0),0)</f>
        <v>33586.24230933236</v>
      </c>
      <c r="W9" s="104">
        <f>IF(Q9&gt;=(Assumptions!$D$32+1),IF(Q9&lt;=Assumptions!$D$10,IF(Q9&gt;=Assumptions!$D$32,TREND($N$26:$N$27,$M$26:$M$27,Q9),0),0),0)</f>
        <v>2878.8207693713412</v>
      </c>
      <c r="X9" s="110">
        <f t="shared" ref="X9:X43" si="8">SUM(V9:W9)</f>
        <v>36465.063078703701</v>
      </c>
      <c r="Y9" s="103">
        <f t="shared" ref="Y9:Y43" si="9">($L$6*$L$14*V9)+($L$7*$L$15*W9)</f>
        <v>1152353.5697024243</v>
      </c>
      <c r="Z9" s="102">
        <f t="shared" ref="Z9:Z43" si="10">R9-V9</f>
        <v>4574.0311988070025</v>
      </c>
      <c r="AA9" s="104">
        <f t="shared" ref="AA9:AA43" si="11">S9-W9</f>
        <v>475.58726242690318</v>
      </c>
      <c r="AB9" s="110">
        <f t="shared" ref="AB9:AB43" si="12">T9-X9</f>
        <v>5049.6184612339057</v>
      </c>
      <c r="AC9" s="103">
        <f t="shared" ref="AC9:AC43" si="13">U9-Y9</f>
        <v>159776.25044025923</v>
      </c>
    </row>
    <row r="10" spans="2:31" x14ac:dyDescent="0.25">
      <c r="B10" s="187">
        <f t="shared" si="5"/>
        <v>2030</v>
      </c>
      <c r="C10" s="275">
        <f t="shared" si="0"/>
        <v>42636.699959935933</v>
      </c>
      <c r="D10" s="272">
        <f t="shared" si="1"/>
        <v>1347592.7882546487</v>
      </c>
      <c r="E10" s="275">
        <f t="shared" si="2"/>
        <v>37450.605324074088</v>
      </c>
      <c r="F10" s="276">
        <f t="shared" si="3"/>
        <v>1183498.2607754634</v>
      </c>
      <c r="G10" s="277">
        <f t="shared" si="4"/>
        <v>164094.52747918526</v>
      </c>
      <c r="H10" s="278">
        <f>G10*(1+0.07)^-(B10-Assumptions!$D$7)</f>
        <v>89256.55046933057</v>
      </c>
      <c r="K10" s="27" t="s">
        <v>62</v>
      </c>
      <c r="L10" s="34">
        <f>Assumptions!$D$14</f>
        <v>0.92105263157894735</v>
      </c>
      <c r="Q10" s="187">
        <v>2027</v>
      </c>
      <c r="R10" s="71">
        <f>IF(Q10&gt;=(Assumptions!$D$32+1),IF(Q10&lt;=Assumptions!$D$10,IF(Q10&gt;=Assumptions!$D$32,TREND($L$20:$L$21,$K$20:$K$21,Q10),0),0),0)</f>
        <v>38418.113194005215</v>
      </c>
      <c r="S10" s="104">
        <f>IF(Q10&gt;=(Assumptions!$D$32+1),IF(Q10&lt;=Assumptions!$D$10,IF(Q10&gt;=Assumptions!$D$32,TREND($L$26:$L$27,$K$26:$K$27,Q10),0),0),0)</f>
        <v>3377.0729509320154</v>
      </c>
      <c r="T10" s="110">
        <f t="shared" si="6"/>
        <v>41795.18614493723</v>
      </c>
      <c r="U10" s="103">
        <f t="shared" si="7"/>
        <v>1320995.5621706762</v>
      </c>
      <c r="V10" s="71">
        <f>IF(Q10&gt;=(Assumptions!$D$32+1),IF(Q10&lt;=Assumptions!$D$10,IF(Q10&gt;=Assumptions!$D$32,TREND($N$20:$N$21,$M$20:$M$21,Q10),0),0),0)</f>
        <v>33813.17637899</v>
      </c>
      <c r="W10" s="104">
        <f>IF(Q10&gt;=(Assumptions!$D$32+1),IF(Q10&lt;=Assumptions!$D$10,IF(Q10&gt;=Assumptions!$D$32,TREND($N$26:$N$27,$M$26:$M$27,Q10),0),0),0)</f>
        <v>2898.2722610562851</v>
      </c>
      <c r="X10" s="110">
        <f t="shared" si="8"/>
        <v>36711.448640046285</v>
      </c>
      <c r="Y10" s="103">
        <f t="shared" si="9"/>
        <v>1160139.7424706835</v>
      </c>
      <c r="Z10" s="102">
        <f t="shared" si="10"/>
        <v>4604.936815015215</v>
      </c>
      <c r="AA10" s="104">
        <f t="shared" si="11"/>
        <v>478.80068987573031</v>
      </c>
      <c r="AB10" s="110">
        <f t="shared" si="12"/>
        <v>5083.7375048909453</v>
      </c>
      <c r="AC10" s="103">
        <f t="shared" si="13"/>
        <v>160855.81969999266</v>
      </c>
    </row>
    <row r="11" spans="2:31" x14ac:dyDescent="0.25">
      <c r="B11" s="187">
        <f t="shared" si="5"/>
        <v>2031</v>
      </c>
      <c r="C11" s="275">
        <f t="shared" si="0"/>
        <v>42917.204564935499</v>
      </c>
      <c r="D11" s="272">
        <f t="shared" si="1"/>
        <v>1356458.5302826394</v>
      </c>
      <c r="E11" s="275">
        <f t="shared" si="2"/>
        <v>37696.990885416672</v>
      </c>
      <c r="F11" s="276">
        <f t="shared" si="3"/>
        <v>1191284.4335437226</v>
      </c>
      <c r="G11" s="277">
        <f t="shared" si="4"/>
        <v>165174.09673891682</v>
      </c>
      <c r="H11" s="278">
        <f>G11*(1+0.07)^-(B11-Assumptions!$D$7)</f>
        <v>83966.135156219767</v>
      </c>
      <c r="K11" s="27" t="s">
        <v>57</v>
      </c>
      <c r="L11" s="34">
        <f>Assumptions!$D$15</f>
        <v>7.8947368421052627E-2</v>
      </c>
      <c r="Q11" s="187">
        <v>2028</v>
      </c>
      <c r="R11" s="71">
        <f>IF(Q11&gt;=(Assumptions!$D$32+1),IF(Q11&lt;=Assumptions!$D$10,IF(Q11&gt;=Assumptions!$D$32,TREND($L$20:$L$21,$K$20:$K$21,Q11),0),0),0)</f>
        <v>38675.952879871009</v>
      </c>
      <c r="S11" s="104">
        <f>IF(Q11&gt;=(Assumptions!$D$32+1),IF(Q11&lt;=Assumptions!$D$10,IF(Q11&gt;=Assumptions!$D$32,TREND($L$26:$L$27,$K$26:$K$27,Q11),0),0),0)</f>
        <v>3399.7378700657937</v>
      </c>
      <c r="T11" s="110">
        <f t="shared" si="6"/>
        <v>42075.690749936803</v>
      </c>
      <c r="U11" s="103">
        <f t="shared" si="7"/>
        <v>1329861.3041986674</v>
      </c>
      <c r="V11" s="71">
        <f>IF(Q11&gt;=(Assumptions!$D$32+1),IF(Q11&lt;=Assumptions!$D$10,IF(Q11&gt;=Assumptions!$D$32,TREND($N$20:$N$21,$M$20:$M$21,Q11),0),0),0)</f>
        <v>34040.11044864764</v>
      </c>
      <c r="W11" s="104">
        <f>IF(Q11&gt;=(Assumptions!$D$32+1),IF(Q11&lt;=Assumptions!$D$10,IF(Q11&gt;=Assumptions!$D$32,TREND($N$26:$N$27,$M$26:$M$27,Q11),0),0),0)</f>
        <v>2917.723752741229</v>
      </c>
      <c r="X11" s="110">
        <f t="shared" si="8"/>
        <v>36957.834201388869</v>
      </c>
      <c r="Y11" s="103">
        <f t="shared" si="9"/>
        <v>1167925.9152389432</v>
      </c>
      <c r="Z11" s="102">
        <f t="shared" si="10"/>
        <v>4635.8424312233692</v>
      </c>
      <c r="AA11" s="104">
        <f t="shared" si="11"/>
        <v>482.01411732456472</v>
      </c>
      <c r="AB11" s="110">
        <f t="shared" si="12"/>
        <v>5117.8565485479339</v>
      </c>
      <c r="AC11" s="103">
        <f t="shared" si="13"/>
        <v>161935.38895972422</v>
      </c>
    </row>
    <row r="12" spans="2:31" x14ac:dyDescent="0.25">
      <c r="B12" s="187">
        <f t="shared" si="5"/>
        <v>2032</v>
      </c>
      <c r="C12" s="275">
        <f t="shared" si="0"/>
        <v>43197.709169935122</v>
      </c>
      <c r="D12" s="272">
        <f t="shared" si="1"/>
        <v>1365324.2723106318</v>
      </c>
      <c r="E12" s="275">
        <f t="shared" si="2"/>
        <v>37943.376446759248</v>
      </c>
      <c r="F12" s="276">
        <f t="shared" si="3"/>
        <v>1199070.606311982</v>
      </c>
      <c r="G12" s="277">
        <f t="shared" si="4"/>
        <v>166253.66599864978</v>
      </c>
      <c r="H12" s="278">
        <f>G12*(1+0.07)^-(B12-Assumptions!$D$7)</f>
        <v>78985.919088986368</v>
      </c>
      <c r="Q12" s="187">
        <v>2029</v>
      </c>
      <c r="R12" s="71">
        <f>IF(Q12&gt;=(Assumptions!$D$32+1),IF(Q12&lt;=Assumptions!$D$10,IF(Q12&gt;=Assumptions!$D$32,TREND($L$20:$L$21,$K$20:$K$21,Q12),0),0),0)</f>
        <v>38933.792565736803</v>
      </c>
      <c r="S12" s="104">
        <f>IF(Q12&gt;=(Assumptions!$D$32+1),IF(Q12&lt;=Assumptions!$D$10,IF(Q12&gt;=Assumptions!$D$32,TREND($L$26:$L$27,$K$26:$K$27,Q12),0),0),0)</f>
        <v>3422.4027891995647</v>
      </c>
      <c r="T12" s="110">
        <f t="shared" si="6"/>
        <v>42356.195354936368</v>
      </c>
      <c r="U12" s="103">
        <f t="shared" si="7"/>
        <v>1338727.0462266579</v>
      </c>
      <c r="V12" s="71">
        <f>IF(Q12&gt;=(Assumptions!$D$32+1),IF(Q12&lt;=Assumptions!$D$10,IF(Q12&gt;=Assumptions!$D$32,TREND($N$20:$N$21,$M$20:$M$21,Q12),0),0),0)</f>
        <v>34267.04451830528</v>
      </c>
      <c r="W12" s="104">
        <f>IF(Q12&gt;=(Assumptions!$D$32+1),IF(Q12&lt;=Assumptions!$D$10,IF(Q12&gt;=Assumptions!$D$32,TREND($N$26:$N$27,$M$26:$M$27,Q12),0),0),0)</f>
        <v>2937.1752444261656</v>
      </c>
      <c r="X12" s="110">
        <f t="shared" si="8"/>
        <v>37204.219762731445</v>
      </c>
      <c r="Y12" s="103">
        <f t="shared" si="9"/>
        <v>1175712.0880072021</v>
      </c>
      <c r="Z12" s="102">
        <f t="shared" si="10"/>
        <v>4666.7480474315234</v>
      </c>
      <c r="AA12" s="104">
        <f t="shared" si="11"/>
        <v>485.22754477339913</v>
      </c>
      <c r="AB12" s="110">
        <f t="shared" si="12"/>
        <v>5151.9755922049226</v>
      </c>
      <c r="AC12" s="103">
        <f t="shared" si="13"/>
        <v>163014.95821945579</v>
      </c>
    </row>
    <row r="13" spans="2:31" ht="15" customHeight="1" x14ac:dyDescent="0.25">
      <c r="B13" s="187">
        <f t="shared" si="5"/>
        <v>2033</v>
      </c>
      <c r="C13" s="275">
        <f t="shared" si="0"/>
        <v>43478.213774934688</v>
      </c>
      <c r="D13" s="272">
        <f t="shared" si="1"/>
        <v>1374190.0143386226</v>
      </c>
      <c r="E13" s="275">
        <f t="shared" si="2"/>
        <v>38189.762008101832</v>
      </c>
      <c r="F13" s="276">
        <f t="shared" si="3"/>
        <v>1206856.7790802412</v>
      </c>
      <c r="G13" s="277">
        <f t="shared" si="4"/>
        <v>167333.23525838135</v>
      </c>
      <c r="H13" s="278">
        <f>G13*(1+0.07)^-(B13-Assumptions!$D$7)</f>
        <v>74297.957633164784</v>
      </c>
      <c r="K13" s="19" t="s">
        <v>66</v>
      </c>
      <c r="L13" s="19"/>
      <c r="Q13" s="187">
        <v>2030</v>
      </c>
      <c r="R13" s="71">
        <f>IF(Q13&gt;=(Assumptions!$D$32+1),IF(Q13&lt;=Assumptions!$D$10,IF(Q13&gt;=Assumptions!$D$32,TREND($L$20:$L$21,$K$20:$K$21,Q13),0),0),0)</f>
        <v>39191.632251602598</v>
      </c>
      <c r="S13" s="104">
        <f>IF(Q13&gt;=(Assumptions!$D$32+1),IF(Q13&lt;=Assumptions!$D$10,IF(Q13&gt;=Assumptions!$D$32,TREND($L$26:$L$27,$K$26:$K$27,Q13),0),0),0)</f>
        <v>3445.0677083333358</v>
      </c>
      <c r="T13" s="110">
        <f t="shared" si="6"/>
        <v>42636.699959935933</v>
      </c>
      <c r="U13" s="103">
        <f t="shared" si="7"/>
        <v>1347592.7882546487</v>
      </c>
      <c r="V13" s="71">
        <f>IF(Q13&gt;=(Assumptions!$D$32+1),IF(Q13&lt;=Assumptions!$D$10,IF(Q13&gt;=Assumptions!$D$32,TREND($N$20:$N$21,$M$20:$M$21,Q13),0),0),0)</f>
        <v>34493.978587962978</v>
      </c>
      <c r="W13" s="104">
        <f>IF(Q13&gt;=(Assumptions!$D$32+1),IF(Q13&lt;=Assumptions!$D$10,IF(Q13&gt;=Assumptions!$D$32,TREND($N$26:$N$27,$M$26:$M$27,Q13),0),0),0)</f>
        <v>2956.6267361111095</v>
      </c>
      <c r="X13" s="110">
        <f t="shared" si="8"/>
        <v>37450.605324074088</v>
      </c>
      <c r="Y13" s="103">
        <f t="shared" si="9"/>
        <v>1183498.2607754634</v>
      </c>
      <c r="Z13" s="102">
        <f t="shared" si="10"/>
        <v>4697.6536636396195</v>
      </c>
      <c r="AA13" s="104">
        <f t="shared" si="11"/>
        <v>488.44097222222626</v>
      </c>
      <c r="AB13" s="110">
        <f t="shared" si="12"/>
        <v>5186.0946358618457</v>
      </c>
      <c r="AC13" s="103">
        <f t="shared" si="13"/>
        <v>164094.52747918526</v>
      </c>
    </row>
    <row r="14" spans="2:31" x14ac:dyDescent="0.25">
      <c r="B14" s="187">
        <f t="shared" si="5"/>
        <v>2034</v>
      </c>
      <c r="C14" s="275">
        <f t="shared" si="0"/>
        <v>43758.718379934311</v>
      </c>
      <c r="D14" s="272">
        <f t="shared" si="1"/>
        <v>1383055.756366615</v>
      </c>
      <c r="E14" s="275">
        <f t="shared" si="2"/>
        <v>38436.147569444416</v>
      </c>
      <c r="F14" s="276">
        <f t="shared" si="3"/>
        <v>1214642.9518485006</v>
      </c>
      <c r="G14" s="277">
        <f t="shared" si="4"/>
        <v>168412.80451811431</v>
      </c>
      <c r="H14" s="278">
        <f>G14*(1+0.07)^-(B14-Assumptions!$D$7)</f>
        <v>69885.326444219507</v>
      </c>
      <c r="K14" s="27" t="s">
        <v>63</v>
      </c>
      <c r="L14" s="21">
        <v>1.67</v>
      </c>
      <c r="Q14" s="187">
        <v>2031</v>
      </c>
      <c r="R14" s="71">
        <f>IF(Q14&gt;=(Assumptions!$D$32+1),IF(Q14&lt;=Assumptions!$D$10,IF(Q14&gt;=Assumptions!$D$32,TREND($L$20:$L$21,$K$20:$K$21,Q14),0),0),0)</f>
        <v>39449.471937468392</v>
      </c>
      <c r="S14" s="104">
        <f>IF(Q14&gt;=(Assumptions!$D$32+1),IF(Q14&lt;=Assumptions!$D$10,IF(Q14&gt;=Assumptions!$D$32,TREND($L$26:$L$27,$K$26:$K$27,Q14),0),0),0)</f>
        <v>3467.7326274671068</v>
      </c>
      <c r="T14" s="110">
        <f t="shared" si="6"/>
        <v>42917.204564935499</v>
      </c>
      <c r="U14" s="103">
        <f t="shared" si="7"/>
        <v>1356458.5302826394</v>
      </c>
      <c r="V14" s="71">
        <f>IF(Q14&gt;=(Assumptions!$D$32+1),IF(Q14&lt;=Assumptions!$D$10,IF(Q14&gt;=Assumptions!$D$32,TREND($N$20:$N$21,$M$20:$M$21,Q14),0),0),0)</f>
        <v>34720.912657620618</v>
      </c>
      <c r="W14" s="104">
        <f>IF(Q14&gt;=(Assumptions!$D$32+1),IF(Q14&lt;=Assumptions!$D$10,IF(Q14&gt;=Assumptions!$D$32,TREND($N$26:$N$27,$M$26:$M$27,Q14),0),0),0)</f>
        <v>2976.0782277960534</v>
      </c>
      <c r="X14" s="110">
        <f t="shared" si="8"/>
        <v>37696.990885416672</v>
      </c>
      <c r="Y14" s="103">
        <f t="shared" si="9"/>
        <v>1191284.4335437226</v>
      </c>
      <c r="Z14" s="102">
        <f t="shared" si="10"/>
        <v>4728.5592798477737</v>
      </c>
      <c r="AA14" s="104">
        <f t="shared" si="11"/>
        <v>491.6543996710534</v>
      </c>
      <c r="AB14" s="110">
        <f t="shared" si="12"/>
        <v>5220.2136795188271</v>
      </c>
      <c r="AC14" s="103">
        <f t="shared" si="13"/>
        <v>165174.09673891682</v>
      </c>
    </row>
    <row r="15" spans="2:31" x14ac:dyDescent="0.25">
      <c r="B15" s="187">
        <f t="shared" si="5"/>
        <v>2035</v>
      </c>
      <c r="C15" s="275">
        <f t="shared" si="0"/>
        <v>44039.222984933876</v>
      </c>
      <c r="D15" s="272">
        <f t="shared" si="1"/>
        <v>1391921.4983946057</v>
      </c>
      <c r="E15" s="275">
        <f t="shared" si="2"/>
        <v>38682.533130786993</v>
      </c>
      <c r="F15" s="276">
        <f t="shared" si="3"/>
        <v>1222429.1246167596</v>
      </c>
      <c r="G15" s="277">
        <f t="shared" si="4"/>
        <v>169492.37377784611</v>
      </c>
      <c r="H15" s="278">
        <f>G15*(1+0.07)^-(B15-Assumptions!$D$7)</f>
        <v>65732.064772001468</v>
      </c>
      <c r="K15" s="27" t="s">
        <v>29</v>
      </c>
      <c r="L15" s="21">
        <f>Assumptions!D17</f>
        <v>1</v>
      </c>
      <c r="N15" s="35"/>
      <c r="O15" s="35"/>
      <c r="P15" s="35"/>
      <c r="Q15" s="187">
        <v>2032</v>
      </c>
      <c r="R15" s="71">
        <f>IF(Q15&gt;=(Assumptions!$D$32+1),IF(Q15&lt;=Assumptions!$D$10,IF(Q15&gt;=Assumptions!$D$32,TREND($L$20:$L$21,$K$20:$K$21,Q15),0),0),0)</f>
        <v>39707.311623334244</v>
      </c>
      <c r="S15" s="104">
        <f>IF(Q15&gt;=(Assumptions!$D$32+1),IF(Q15&lt;=Assumptions!$D$10,IF(Q15&gt;=Assumptions!$D$32,TREND($L$26:$L$27,$K$26:$K$27,Q15),0),0),0)</f>
        <v>3490.3975466008778</v>
      </c>
      <c r="T15" s="110">
        <f t="shared" si="6"/>
        <v>43197.709169935122</v>
      </c>
      <c r="U15" s="103">
        <f t="shared" si="7"/>
        <v>1365324.2723106318</v>
      </c>
      <c r="V15" s="71">
        <f>IF(Q15&gt;=(Assumptions!$D$32+1),IF(Q15&lt;=Assumptions!$D$10,IF(Q15&gt;=Assumptions!$D$32,TREND($N$20:$N$21,$M$20:$M$21,Q15),0),0),0)</f>
        <v>34947.846727278258</v>
      </c>
      <c r="W15" s="104">
        <f>IF(Q15&gt;=(Assumptions!$D$32+1),IF(Q15&lt;=Assumptions!$D$10,IF(Q15&gt;=Assumptions!$D$32,TREND($N$26:$N$27,$M$26:$M$27,Q15),0),0),0)</f>
        <v>2995.52971948099</v>
      </c>
      <c r="X15" s="110">
        <f t="shared" si="8"/>
        <v>37943.376446759248</v>
      </c>
      <c r="Y15" s="103">
        <f t="shared" si="9"/>
        <v>1199070.606311982</v>
      </c>
      <c r="Z15" s="102">
        <f t="shared" si="10"/>
        <v>4759.4648960559862</v>
      </c>
      <c r="AA15" s="104">
        <f t="shared" si="11"/>
        <v>494.86782711988781</v>
      </c>
      <c r="AB15" s="110">
        <f t="shared" si="12"/>
        <v>5254.332723175874</v>
      </c>
      <c r="AC15" s="103">
        <f t="shared" si="13"/>
        <v>166253.66599864978</v>
      </c>
    </row>
    <row r="16" spans="2:31" x14ac:dyDescent="0.25">
      <c r="B16" s="187">
        <f t="shared" si="5"/>
        <v>2036</v>
      </c>
      <c r="C16" s="275">
        <f t="shared" si="0"/>
        <v>44319.727589933442</v>
      </c>
      <c r="D16" s="272">
        <f t="shared" si="1"/>
        <v>1400787.2404225965</v>
      </c>
      <c r="E16" s="275">
        <f t="shared" si="2"/>
        <v>38928.918692129635</v>
      </c>
      <c r="F16" s="276">
        <f t="shared" si="3"/>
        <v>1230215.2973850209</v>
      </c>
      <c r="G16" s="277">
        <f t="shared" si="4"/>
        <v>170571.94303757558</v>
      </c>
      <c r="H16" s="278">
        <f>G16*(1+0.07)^-(B16-Assumptions!$D$7)</f>
        <v>61823.121816632571</v>
      </c>
      <c r="Q16" s="187">
        <v>2033</v>
      </c>
      <c r="R16" s="71">
        <f>IF(Q16&gt;=(Assumptions!$D$32+1),IF(Q16&lt;=Assumptions!$D$10,IF(Q16&gt;=Assumptions!$D$32,TREND($L$20:$L$21,$K$20:$K$21,Q16),0),0),0)</f>
        <v>39965.151309200039</v>
      </c>
      <c r="S16" s="104">
        <f>IF(Q16&gt;=(Assumptions!$D$32+1),IF(Q16&lt;=Assumptions!$D$10,IF(Q16&gt;=Assumptions!$D$32,TREND($L$26:$L$27,$K$26:$K$27,Q16),0),0),0)</f>
        <v>3513.0624657346489</v>
      </c>
      <c r="T16" s="110">
        <f t="shared" si="6"/>
        <v>43478.213774934688</v>
      </c>
      <c r="U16" s="103">
        <f t="shared" si="7"/>
        <v>1374190.0143386226</v>
      </c>
      <c r="V16" s="71">
        <f>IF(Q16&gt;=(Assumptions!$D$32+1),IF(Q16&lt;=Assumptions!$D$10,IF(Q16&gt;=Assumptions!$D$32,TREND($N$20:$N$21,$M$20:$M$21,Q16),0),0),0)</f>
        <v>35174.780796935898</v>
      </c>
      <c r="W16" s="104">
        <f>IF(Q16&gt;=(Assumptions!$D$32+1),IF(Q16&lt;=Assumptions!$D$10,IF(Q16&gt;=Assumptions!$D$32,TREND($N$26:$N$27,$M$26:$M$27,Q16),0),0),0)</f>
        <v>3014.9812111659339</v>
      </c>
      <c r="X16" s="110">
        <f t="shared" si="8"/>
        <v>38189.762008101832</v>
      </c>
      <c r="Y16" s="103">
        <f t="shared" si="9"/>
        <v>1206856.7790802412</v>
      </c>
      <c r="Z16" s="102">
        <f t="shared" si="10"/>
        <v>4790.3705122641404</v>
      </c>
      <c r="AA16" s="104">
        <f t="shared" si="11"/>
        <v>498.08125456871494</v>
      </c>
      <c r="AB16" s="110">
        <f t="shared" si="12"/>
        <v>5288.4517668328554</v>
      </c>
      <c r="AC16" s="103">
        <f t="shared" si="13"/>
        <v>167333.23525838135</v>
      </c>
    </row>
    <row r="17" spans="1:29" x14ac:dyDescent="0.25">
      <c r="B17" s="187">
        <f t="shared" si="5"/>
        <v>2037</v>
      </c>
      <c r="C17" s="275">
        <f t="shared" si="0"/>
        <v>44600.232194933014</v>
      </c>
      <c r="D17" s="272">
        <f t="shared" si="1"/>
        <v>1409652.9824505872</v>
      </c>
      <c r="E17" s="275">
        <f t="shared" si="2"/>
        <v>39175.304253472219</v>
      </c>
      <c r="F17" s="276">
        <f t="shared" si="3"/>
        <v>1238001.4701532803</v>
      </c>
      <c r="G17" s="277">
        <f t="shared" si="4"/>
        <v>171651.51229730691</v>
      </c>
      <c r="H17" s="278">
        <f>G17*(1+0.07)^-(B17-Assumptions!$D$7)</f>
        <v>58144.30597920603</v>
      </c>
      <c r="K17" s="38" t="s">
        <v>159</v>
      </c>
      <c r="Q17" s="187">
        <v>2034</v>
      </c>
      <c r="R17" s="71">
        <f>IF(Q17&gt;=(Assumptions!$D$32+1),IF(Q17&lt;=Assumptions!$D$10,IF(Q17&gt;=Assumptions!$D$32,TREND($L$20:$L$21,$K$20:$K$21,Q17),0),0),0)</f>
        <v>40222.990995065891</v>
      </c>
      <c r="S17" s="104">
        <f>IF(Q17&gt;=(Assumptions!$D$32+1),IF(Q17&lt;=Assumptions!$D$10,IF(Q17&gt;=Assumptions!$D$32,TREND($L$26:$L$27,$K$26:$K$27,Q17),0),0),0)</f>
        <v>3535.7273848684199</v>
      </c>
      <c r="T17" s="110">
        <f t="shared" si="6"/>
        <v>43758.718379934311</v>
      </c>
      <c r="U17" s="103">
        <f t="shared" si="7"/>
        <v>1383055.756366615</v>
      </c>
      <c r="V17" s="71">
        <f>IF(Q17&gt;=(Assumptions!$D$32+1),IF(Q17&lt;=Assumptions!$D$10,IF(Q17&gt;=Assumptions!$D$32,TREND($N$20:$N$21,$M$20:$M$21,Q17),0),0),0)</f>
        <v>35401.714866593538</v>
      </c>
      <c r="W17" s="104">
        <f>IF(Q17&gt;=(Assumptions!$D$32+1),IF(Q17&lt;=Assumptions!$D$10,IF(Q17&gt;=Assumptions!$D$32,TREND($N$26:$N$27,$M$26:$M$27,Q17),0),0),0)</f>
        <v>3034.4327028508778</v>
      </c>
      <c r="X17" s="110">
        <f t="shared" si="8"/>
        <v>38436.147569444416</v>
      </c>
      <c r="Y17" s="103">
        <f t="shared" si="9"/>
        <v>1214642.9518485006</v>
      </c>
      <c r="Z17" s="102">
        <f t="shared" si="10"/>
        <v>4821.2761284723529</v>
      </c>
      <c r="AA17" s="104">
        <f t="shared" si="11"/>
        <v>501.29468201754207</v>
      </c>
      <c r="AB17" s="110">
        <f t="shared" si="12"/>
        <v>5322.5708104898949</v>
      </c>
      <c r="AC17" s="103">
        <f t="shared" si="13"/>
        <v>168412.80451811431</v>
      </c>
    </row>
    <row r="18" spans="1:29" x14ac:dyDescent="0.25">
      <c r="B18" s="187">
        <f t="shared" si="5"/>
        <v>2038</v>
      </c>
      <c r="C18" s="275">
        <f t="shared" si="0"/>
        <v>44880.73679993258</v>
      </c>
      <c r="D18" s="272">
        <f t="shared" si="1"/>
        <v>1418518.724478578</v>
      </c>
      <c r="E18" s="275">
        <f t="shared" si="2"/>
        <v>39421.689814814796</v>
      </c>
      <c r="F18" s="276">
        <f t="shared" si="3"/>
        <v>1245787.6429215395</v>
      </c>
      <c r="G18" s="277">
        <f t="shared" si="4"/>
        <v>172731.08155703847</v>
      </c>
      <c r="H18" s="278">
        <f>G18*(1+0.07)^-(B18-Assumptions!$D$7)</f>
        <v>54682.236858125958</v>
      </c>
      <c r="K18" s="42" t="s">
        <v>58</v>
      </c>
      <c r="L18" s="44"/>
      <c r="M18" s="42" t="s">
        <v>59</v>
      </c>
      <c r="N18" s="44"/>
      <c r="Q18" s="187">
        <v>2035</v>
      </c>
      <c r="R18" s="71">
        <f>IF(Q18&gt;=(Assumptions!$D$32+1),IF(Q18&lt;=Assumptions!$D$10,IF(Q18&gt;=Assumptions!$D$32,TREND($L$20:$L$21,$K$20:$K$21,Q18),0),0),0)</f>
        <v>40480.830680931685</v>
      </c>
      <c r="S18" s="104">
        <f>IF(Q18&gt;=(Assumptions!$D$32+1),IF(Q18&lt;=Assumptions!$D$10,IF(Q18&gt;=Assumptions!$D$32,TREND($L$26:$L$27,$K$26:$K$27,Q18),0),0),0)</f>
        <v>3558.3923040021909</v>
      </c>
      <c r="T18" s="110">
        <f t="shared" si="6"/>
        <v>44039.222984933876</v>
      </c>
      <c r="U18" s="103">
        <f t="shared" si="7"/>
        <v>1391921.4983946057</v>
      </c>
      <c r="V18" s="71">
        <f>IF(Q18&gt;=(Assumptions!$D$32+1),IF(Q18&lt;=Assumptions!$D$10,IF(Q18&gt;=Assumptions!$D$32,TREND($N$20:$N$21,$M$20:$M$21,Q18),0),0),0)</f>
        <v>35628.648936251178</v>
      </c>
      <c r="W18" s="104">
        <f>IF(Q18&gt;=(Assumptions!$D$32+1),IF(Q18&lt;=Assumptions!$D$10,IF(Q18&gt;=Assumptions!$D$32,TREND($N$26:$N$27,$M$26:$M$27,Q18),0),0),0)</f>
        <v>3053.8841945358145</v>
      </c>
      <c r="X18" s="110">
        <f t="shared" si="8"/>
        <v>38682.533130786993</v>
      </c>
      <c r="Y18" s="103">
        <f t="shared" si="9"/>
        <v>1222429.1246167596</v>
      </c>
      <c r="Z18" s="102">
        <f t="shared" si="10"/>
        <v>4852.1817446805071</v>
      </c>
      <c r="AA18" s="104">
        <f t="shared" si="11"/>
        <v>504.50810946637648</v>
      </c>
      <c r="AB18" s="110">
        <f t="shared" si="12"/>
        <v>5356.6898541468836</v>
      </c>
      <c r="AC18" s="103">
        <f t="shared" si="13"/>
        <v>169492.37377784611</v>
      </c>
    </row>
    <row r="19" spans="1:29" x14ac:dyDescent="0.25">
      <c r="B19" s="187">
        <f t="shared" si="5"/>
        <v>2039</v>
      </c>
      <c r="C19" s="275">
        <f t="shared" si="0"/>
        <v>45161.241404932145</v>
      </c>
      <c r="D19" s="272">
        <f t="shared" si="1"/>
        <v>1427384.4665065687</v>
      </c>
      <c r="E19" s="275">
        <f t="shared" si="2"/>
        <v>39668.07537615738</v>
      </c>
      <c r="F19" s="276">
        <f t="shared" si="3"/>
        <v>1253573.8156897987</v>
      </c>
      <c r="G19" s="277">
        <f t="shared" si="4"/>
        <v>173810.65081677004</v>
      </c>
      <c r="H19" s="278">
        <f>G19*(1+0.07)^-(B19-Assumptions!$D$7)</f>
        <v>51424.29984905538</v>
      </c>
      <c r="K19" s="26" t="s">
        <v>33</v>
      </c>
      <c r="L19" s="25" t="s">
        <v>60</v>
      </c>
      <c r="M19" s="26" t="s">
        <v>33</v>
      </c>
      <c r="N19" s="25" t="s">
        <v>60</v>
      </c>
      <c r="Q19" s="187">
        <v>2036</v>
      </c>
      <c r="R19" s="71">
        <f>IF(Q19&gt;=(Assumptions!$D$32+1),IF(Q19&lt;=Assumptions!$D$10,IF(Q19&gt;=Assumptions!$D$32,TREND($L$20:$L$21,$K$20:$K$21,Q19),0),0),0)</f>
        <v>40738.67036679748</v>
      </c>
      <c r="S19" s="104">
        <f>IF(Q19&gt;=(Assumptions!$D$32+1),IF(Q19&lt;=Assumptions!$D$10,IF(Q19&gt;=Assumptions!$D$32,TREND($L$26:$L$27,$K$26:$K$27,Q19),0),0),0)</f>
        <v>3581.057223135962</v>
      </c>
      <c r="T19" s="110">
        <f t="shared" si="6"/>
        <v>44319.727589933442</v>
      </c>
      <c r="U19" s="103">
        <f t="shared" si="7"/>
        <v>1400787.2404225965</v>
      </c>
      <c r="V19" s="71">
        <f>IF(Q19&gt;=(Assumptions!$D$32+1),IF(Q19&lt;=Assumptions!$D$10,IF(Q19&gt;=Assumptions!$D$32,TREND($N$20:$N$21,$M$20:$M$21,Q19),0),0),0)</f>
        <v>35855.583005908877</v>
      </c>
      <c r="W19" s="104">
        <f>IF(Q19&gt;=(Assumptions!$D$32+1),IF(Q19&lt;=Assumptions!$D$10,IF(Q19&gt;=Assumptions!$D$32,TREND($N$26:$N$27,$M$26:$M$27,Q19),0),0),0)</f>
        <v>3073.3356862207584</v>
      </c>
      <c r="X19" s="110">
        <f t="shared" si="8"/>
        <v>38928.918692129635</v>
      </c>
      <c r="Y19" s="103">
        <f t="shared" si="9"/>
        <v>1230215.2973850209</v>
      </c>
      <c r="Z19" s="102">
        <f t="shared" si="10"/>
        <v>4883.0873608886031</v>
      </c>
      <c r="AA19" s="104">
        <f t="shared" si="11"/>
        <v>507.72153691520361</v>
      </c>
      <c r="AB19" s="110">
        <f t="shared" si="12"/>
        <v>5390.8088978038068</v>
      </c>
      <c r="AC19" s="103">
        <f t="shared" si="13"/>
        <v>170571.94303757558</v>
      </c>
    </row>
    <row r="20" spans="1:29" ht="14.25" customHeight="1" x14ac:dyDescent="0.25">
      <c r="B20" s="187">
        <f t="shared" si="5"/>
        <v>2040</v>
      </c>
      <c r="C20" s="275">
        <f t="shared" si="0"/>
        <v>45441.74600993171</v>
      </c>
      <c r="D20" s="272">
        <f t="shared" si="1"/>
        <v>1436250.2085345592</v>
      </c>
      <c r="E20" s="275">
        <f t="shared" si="2"/>
        <v>39914.460937499964</v>
      </c>
      <c r="F20" s="276">
        <f t="shared" si="3"/>
        <v>1261359.9884580581</v>
      </c>
      <c r="G20" s="277">
        <f t="shared" si="4"/>
        <v>174890.22007650114</v>
      </c>
      <c r="H20" s="278">
        <f>G20*(1+0.07)^-(B20-Assumptions!$D$7)</f>
        <v>48358.60321325218</v>
      </c>
      <c r="K20" s="26">
        <f>Assumptions!$C$33</f>
        <v>2022</v>
      </c>
      <c r="L20" s="28">
        <f>'Operations Calculations'!E68</f>
        <v>37128.914764676112</v>
      </c>
      <c r="M20" s="26">
        <f>Assumptions!$C$33</f>
        <v>2022</v>
      </c>
      <c r="N20" s="28">
        <f>'Operations Calculations'!E77</f>
        <v>32678.506030701756</v>
      </c>
      <c r="Q20" s="187">
        <v>2037</v>
      </c>
      <c r="R20" s="71">
        <f>IF(Q20&gt;=(Assumptions!$D$32+1),IF(Q20&lt;=Assumptions!$D$10,IF(Q20&gt;=Assumptions!$D$32,TREND($L$20:$L$21,$K$20:$K$21,Q20),0),0),0)</f>
        <v>40996.510052663274</v>
      </c>
      <c r="S20" s="104">
        <f>IF(Q20&gt;=(Assumptions!$D$32+1),IF(Q20&lt;=Assumptions!$D$10,IF(Q20&gt;=Assumptions!$D$32,TREND($L$26:$L$27,$K$26:$K$27,Q20),0),0),0)</f>
        <v>3603.7221422697403</v>
      </c>
      <c r="T20" s="110">
        <f t="shared" si="6"/>
        <v>44600.232194933014</v>
      </c>
      <c r="U20" s="103">
        <f t="shared" si="7"/>
        <v>1409652.9824505872</v>
      </c>
      <c r="V20" s="71">
        <f>IF(Q20&gt;=(Assumptions!$D$32+1),IF(Q20&lt;=Assumptions!$D$10,IF(Q20&gt;=Assumptions!$D$32,TREND($N$20:$N$21,$M$20:$M$21,Q20),0),0),0)</f>
        <v>36082.517075566517</v>
      </c>
      <c r="W20" s="104">
        <f>IF(Q20&gt;=(Assumptions!$D$32+1),IF(Q20&lt;=Assumptions!$D$10,IF(Q20&gt;=Assumptions!$D$32,TREND($N$26:$N$27,$M$26:$M$27,Q20),0),0),0)</f>
        <v>3092.7871779057023</v>
      </c>
      <c r="X20" s="110">
        <f t="shared" si="8"/>
        <v>39175.304253472219</v>
      </c>
      <c r="Y20" s="103">
        <f t="shared" si="9"/>
        <v>1238001.4701532803</v>
      </c>
      <c r="Z20" s="102">
        <f t="shared" si="10"/>
        <v>4913.9929770967574</v>
      </c>
      <c r="AA20" s="104">
        <f t="shared" si="11"/>
        <v>510.93496436403802</v>
      </c>
      <c r="AB20" s="110">
        <f t="shared" si="12"/>
        <v>5424.9279414607954</v>
      </c>
      <c r="AC20" s="103">
        <f t="shared" si="13"/>
        <v>171651.51229730691</v>
      </c>
    </row>
    <row r="21" spans="1:29" ht="15" customHeight="1" x14ac:dyDescent="0.25">
      <c r="B21" s="187">
        <f t="shared" si="5"/>
        <v>2041</v>
      </c>
      <c r="C21" s="275">
        <f t="shared" si="0"/>
        <v>45722.250614931276</v>
      </c>
      <c r="D21" s="272">
        <f t="shared" si="1"/>
        <v>1445115.95056255</v>
      </c>
      <c r="E21" s="275">
        <f t="shared" si="2"/>
        <v>40160.846498842599</v>
      </c>
      <c r="F21" s="276">
        <f t="shared" si="3"/>
        <v>1269146.1612263189</v>
      </c>
      <c r="G21" s="277">
        <f t="shared" si="4"/>
        <v>175969.78933623107</v>
      </c>
      <c r="H21" s="278">
        <f>G21*(1+0.07)^-(B21-Assumptions!$D$7)</f>
        <v>45473.937485635382</v>
      </c>
      <c r="K21" s="26">
        <f>Assumptions!$C$34</f>
        <v>2039</v>
      </c>
      <c r="L21" s="28">
        <f>'Operations Calculations'!F68</f>
        <v>41512.189424394819</v>
      </c>
      <c r="M21" s="26">
        <f>Assumptions!$C$34</f>
        <v>2039</v>
      </c>
      <c r="N21" s="28">
        <f>'Operations Calculations'!$F$77</f>
        <v>36536.385214881826</v>
      </c>
      <c r="Q21" s="187">
        <v>2038</v>
      </c>
      <c r="R21" s="71">
        <f>IF(Q21&gt;=(Assumptions!$D$32+1),IF(Q21&lt;=Assumptions!$D$10,IF(Q21&gt;=Assumptions!$D$32,TREND($L$20:$L$21,$K$20:$K$21,Q21),0),0),0)</f>
        <v>41254.349738529068</v>
      </c>
      <c r="S21" s="104">
        <f>IF(Q21&gt;=(Assumptions!$D$32+1),IF(Q21&lt;=Assumptions!$D$10,IF(Q21&gt;=Assumptions!$D$32,TREND($L$26:$L$27,$K$26:$K$27,Q21),0),0),0)</f>
        <v>3626.3870614035113</v>
      </c>
      <c r="T21" s="110">
        <f t="shared" si="6"/>
        <v>44880.73679993258</v>
      </c>
      <c r="U21" s="103">
        <f t="shared" si="7"/>
        <v>1418518.724478578</v>
      </c>
      <c r="V21" s="71">
        <f>IF(Q21&gt;=(Assumptions!$D$32+1),IF(Q21&lt;=Assumptions!$D$10,IF(Q21&gt;=Assumptions!$D$32,TREND($N$20:$N$21,$M$20:$M$21,Q21),0),0),0)</f>
        <v>36309.451145224157</v>
      </c>
      <c r="W21" s="104">
        <f>IF(Q21&gt;=(Assumptions!$D$32+1),IF(Q21&lt;=Assumptions!$D$10,IF(Q21&gt;=Assumptions!$D$32,TREND($N$26:$N$27,$M$26:$M$27,Q21),0),0),0)</f>
        <v>3112.2386695906389</v>
      </c>
      <c r="X21" s="110">
        <f t="shared" si="8"/>
        <v>39421.689814814796</v>
      </c>
      <c r="Y21" s="103">
        <f t="shared" si="9"/>
        <v>1245787.6429215395</v>
      </c>
      <c r="Z21" s="102">
        <f t="shared" si="10"/>
        <v>4944.8985933049116</v>
      </c>
      <c r="AA21" s="104">
        <f t="shared" si="11"/>
        <v>514.14839181287243</v>
      </c>
      <c r="AB21" s="110">
        <f t="shared" si="12"/>
        <v>5459.0469851177841</v>
      </c>
      <c r="AC21" s="103">
        <f t="shared" si="13"/>
        <v>172731.08155703847</v>
      </c>
    </row>
    <row r="22" spans="1:29" x14ac:dyDescent="0.25">
      <c r="B22" s="187">
        <f t="shared" si="5"/>
        <v>2042</v>
      </c>
      <c r="C22" s="275">
        <f t="shared" si="0"/>
        <v>46002.755219930841</v>
      </c>
      <c r="D22" s="272">
        <f t="shared" si="1"/>
        <v>1453981.6925905407</v>
      </c>
      <c r="E22" s="275">
        <f t="shared" si="2"/>
        <v>40407.232060185182</v>
      </c>
      <c r="F22" s="276">
        <f t="shared" si="3"/>
        <v>1276932.3339945786</v>
      </c>
      <c r="G22" s="277">
        <f t="shared" si="4"/>
        <v>177049.35859596217</v>
      </c>
      <c r="H22" s="278">
        <f>G22*(1+0.07)^-(B22-Assumptions!$D$7)</f>
        <v>42759.737100190279</v>
      </c>
      <c r="L22" s="3"/>
      <c r="M22" s="3"/>
      <c r="N22" s="3"/>
      <c r="Q22" s="187">
        <v>2039</v>
      </c>
      <c r="R22" s="71">
        <f>IF(Q22&gt;=(Assumptions!$D$32+1),IF(Q22&lt;=Assumptions!$D$10,IF(Q22&gt;=Assumptions!$D$32,TREND($L$20:$L$21,$K$20:$K$21,Q22),0),0),0)</f>
        <v>41512.189424394863</v>
      </c>
      <c r="S22" s="104">
        <f>IF(Q22&gt;=(Assumptions!$D$32+1),IF(Q22&lt;=Assumptions!$D$10,IF(Q22&gt;=Assumptions!$D$32,TREND($L$26:$L$27,$K$26:$K$27,Q22),0),0),0)</f>
        <v>3649.0519805372824</v>
      </c>
      <c r="T22" s="110">
        <f t="shared" si="6"/>
        <v>45161.241404932145</v>
      </c>
      <c r="U22" s="103">
        <f t="shared" si="7"/>
        <v>1427384.4665065687</v>
      </c>
      <c r="V22" s="71">
        <f>IF(Q22&gt;=(Assumptions!$D$32+1),IF(Q22&lt;=Assumptions!$D$10,IF(Q22&gt;=Assumptions!$D$32,TREND($N$20:$N$21,$M$20:$M$21,Q22),0),0),0)</f>
        <v>36536.385214881797</v>
      </c>
      <c r="W22" s="104">
        <f>IF(Q22&gt;=(Assumptions!$D$32+1),IF(Q22&lt;=Assumptions!$D$10,IF(Q22&gt;=Assumptions!$D$32,TREND($N$26:$N$27,$M$26:$M$27,Q22),0),0),0)</f>
        <v>3131.6901612755828</v>
      </c>
      <c r="X22" s="110">
        <f t="shared" si="8"/>
        <v>39668.07537615738</v>
      </c>
      <c r="Y22" s="103">
        <f t="shared" si="9"/>
        <v>1253573.8156897987</v>
      </c>
      <c r="Z22" s="102">
        <f t="shared" si="10"/>
        <v>4975.8042095130659</v>
      </c>
      <c r="AA22" s="104">
        <f t="shared" si="11"/>
        <v>517.36181926169957</v>
      </c>
      <c r="AB22" s="110">
        <f t="shared" si="12"/>
        <v>5493.1660287747654</v>
      </c>
      <c r="AC22" s="103">
        <f t="shared" si="13"/>
        <v>173810.65081677004</v>
      </c>
    </row>
    <row r="23" spans="1:29" x14ac:dyDescent="0.25">
      <c r="B23" s="187">
        <f t="shared" si="5"/>
        <v>2043</v>
      </c>
      <c r="C23" s="275">
        <f t="shared" si="0"/>
        <v>46283.259824930406</v>
      </c>
      <c r="D23" s="272">
        <f t="shared" si="1"/>
        <v>1462847.4346185317</v>
      </c>
      <c r="E23" s="275">
        <f t="shared" si="2"/>
        <v>40653.617621527766</v>
      </c>
      <c r="F23" s="276">
        <f t="shared" si="3"/>
        <v>1284718.5067628378</v>
      </c>
      <c r="G23" s="277">
        <f t="shared" si="4"/>
        <v>178128.92785569397</v>
      </c>
      <c r="H23" s="278">
        <f>G23*(1+0.07)^-(B23-Assumptions!$D$7)</f>
        <v>40206.044116317578</v>
      </c>
      <c r="K23" s="38" t="s">
        <v>160</v>
      </c>
      <c r="Q23" s="187">
        <v>2040</v>
      </c>
      <c r="R23" s="71">
        <f>IF(Q23&gt;=(Assumptions!$D$32+1),IF(Q23&lt;=Assumptions!$D$10,IF(Q23&gt;=Assumptions!$D$32,TREND($L$20:$L$21,$K$20:$K$21,Q23),0),0),0)</f>
        <v>41770.029110260657</v>
      </c>
      <c r="S23" s="104">
        <f>IF(Q23&gt;=(Assumptions!$D$32+1),IF(Q23&lt;=Assumptions!$D$10,IF(Q23&gt;=Assumptions!$D$32,TREND($L$26:$L$27,$K$26:$K$27,Q23),0),0),0)</f>
        <v>3671.7168996710534</v>
      </c>
      <c r="T23" s="110">
        <f t="shared" si="6"/>
        <v>45441.74600993171</v>
      </c>
      <c r="U23" s="103">
        <f t="shared" si="7"/>
        <v>1436250.2085345592</v>
      </c>
      <c r="V23" s="71">
        <f>IF(Q23&gt;=(Assumptions!$D$32+1),IF(Q23&lt;=Assumptions!$D$10,IF(Q23&gt;=Assumptions!$D$32,TREND($N$20:$N$21,$M$20:$M$21,Q23),0),0),0)</f>
        <v>36763.319284539437</v>
      </c>
      <c r="W23" s="104">
        <f>IF(Q23&gt;=(Assumptions!$D$32+1),IF(Q23&lt;=Assumptions!$D$10,IF(Q23&gt;=Assumptions!$D$32,TREND($N$26:$N$27,$M$26:$M$27,Q23),0),0),0)</f>
        <v>3151.1416529605267</v>
      </c>
      <c r="X23" s="110">
        <f t="shared" si="8"/>
        <v>39914.460937499964</v>
      </c>
      <c r="Y23" s="103">
        <f t="shared" si="9"/>
        <v>1261359.9884580581</v>
      </c>
      <c r="Z23" s="102">
        <f t="shared" si="10"/>
        <v>5006.7098257212201</v>
      </c>
      <c r="AA23" s="104">
        <f t="shared" si="11"/>
        <v>520.5752467105267</v>
      </c>
      <c r="AB23" s="110">
        <f t="shared" si="12"/>
        <v>5527.2850724317468</v>
      </c>
      <c r="AC23" s="103">
        <f t="shared" si="13"/>
        <v>174890.22007650114</v>
      </c>
    </row>
    <row r="24" spans="1:29" x14ac:dyDescent="0.25">
      <c r="B24" s="187">
        <f t="shared" si="5"/>
        <v>2044</v>
      </c>
      <c r="C24" s="275">
        <f t="shared" si="0"/>
        <v>46563.764429930096</v>
      </c>
      <c r="D24" s="272">
        <f t="shared" si="1"/>
        <v>1471713.1766465262</v>
      </c>
      <c r="E24" s="275">
        <f t="shared" si="2"/>
        <v>40900.003182870343</v>
      </c>
      <c r="F24" s="276">
        <f t="shared" si="3"/>
        <v>1292504.6795310969</v>
      </c>
      <c r="G24" s="277">
        <f t="shared" si="4"/>
        <v>179208.49711542926</v>
      </c>
      <c r="H24" s="278">
        <f>G24*(1+0.07)^-(B24-Assumptions!$D$7)</f>
        <v>37803.47393547924</v>
      </c>
      <c r="K24" s="42" t="s">
        <v>58</v>
      </c>
      <c r="L24" s="44"/>
      <c r="M24" s="42" t="s">
        <v>59</v>
      </c>
      <c r="N24" s="44"/>
      <c r="Q24" s="187">
        <v>2041</v>
      </c>
      <c r="R24" s="71">
        <f>IF(Q24&gt;=(Assumptions!$D$32+1),IF(Q24&lt;=Assumptions!$D$10,IF(Q24&gt;=Assumptions!$D$32,TREND($L$20:$L$21,$K$20:$K$21,Q24),0),0),0)</f>
        <v>42027.868796126451</v>
      </c>
      <c r="S24" s="104">
        <f>IF(Q24&gt;=(Assumptions!$D$32+1),IF(Q24&lt;=Assumptions!$D$10,IF(Q24&gt;=Assumptions!$D$32,TREND($L$26:$L$27,$K$26:$K$27,Q24),0),0),0)</f>
        <v>3694.3818188048244</v>
      </c>
      <c r="T24" s="110">
        <f t="shared" si="6"/>
        <v>45722.250614931276</v>
      </c>
      <c r="U24" s="103">
        <f t="shared" si="7"/>
        <v>1445115.95056255</v>
      </c>
      <c r="V24" s="71">
        <f>IF(Q24&gt;=(Assumptions!$D$32+1),IF(Q24&lt;=Assumptions!$D$10,IF(Q24&gt;=Assumptions!$D$32,TREND($N$20:$N$21,$M$20:$M$21,Q24),0),0),0)</f>
        <v>36990.253354197135</v>
      </c>
      <c r="W24" s="104">
        <f>IF(Q24&gt;=(Assumptions!$D$32+1),IF(Q24&lt;=Assumptions!$D$10,IF(Q24&gt;=Assumptions!$D$32,TREND($N$26:$N$27,$M$26:$M$27,Q24),0),0),0)</f>
        <v>3170.5931446454633</v>
      </c>
      <c r="X24" s="110">
        <f t="shared" si="8"/>
        <v>40160.846498842599</v>
      </c>
      <c r="Y24" s="103">
        <f t="shared" si="9"/>
        <v>1269146.1612263189</v>
      </c>
      <c r="Z24" s="102">
        <f t="shared" si="10"/>
        <v>5037.6154419293161</v>
      </c>
      <c r="AA24" s="104">
        <f t="shared" si="11"/>
        <v>523.78867415936111</v>
      </c>
      <c r="AB24" s="110">
        <f t="shared" si="12"/>
        <v>5561.4041160886773</v>
      </c>
      <c r="AC24" s="103">
        <f t="shared" si="13"/>
        <v>175969.78933623107</v>
      </c>
    </row>
    <row r="25" spans="1:29" ht="15" customHeight="1" x14ac:dyDescent="0.25">
      <c r="B25" s="187">
        <f t="shared" si="5"/>
        <v>2045</v>
      </c>
      <c r="C25" s="275">
        <f t="shared" si="0"/>
        <v>46844.269034929661</v>
      </c>
      <c r="D25" s="272">
        <f t="shared" si="1"/>
        <v>1480578.918674517</v>
      </c>
      <c r="E25" s="275">
        <f t="shared" si="2"/>
        <v>41146.388744212927</v>
      </c>
      <c r="F25" s="276">
        <f t="shared" si="3"/>
        <v>1300290.8522993561</v>
      </c>
      <c r="G25" s="277">
        <f t="shared" si="4"/>
        <v>180288.06637516082</v>
      </c>
      <c r="H25" s="278">
        <f>G25*(1+0.07)^-(B25-Assumptions!$D$7)</f>
        <v>35543.182902967208</v>
      </c>
      <c r="K25" s="26" t="s">
        <v>33</v>
      </c>
      <c r="L25" s="25" t="s">
        <v>60</v>
      </c>
      <c r="M25" s="26" t="s">
        <v>33</v>
      </c>
      <c r="N25" s="25" t="s">
        <v>60</v>
      </c>
      <c r="Q25" s="187">
        <v>2042</v>
      </c>
      <c r="R25" s="71">
        <f>IF(Q25&gt;=(Assumptions!$D$32+1),IF(Q25&lt;=Assumptions!$D$10,IF(Q25&gt;=Assumptions!$D$32,TREND($L$20:$L$21,$K$20:$K$21,Q25),0),0),0)</f>
        <v>42285.708481992246</v>
      </c>
      <c r="S25" s="104">
        <f>IF(Q25&gt;=(Assumptions!$D$32+1),IF(Q25&lt;=Assumptions!$D$10,IF(Q25&gt;=Assumptions!$D$32,TREND($L$26:$L$27,$K$26:$K$27,Q25),0),0),0)</f>
        <v>3717.0467379385955</v>
      </c>
      <c r="T25" s="110">
        <f t="shared" si="6"/>
        <v>46002.755219930841</v>
      </c>
      <c r="U25" s="103">
        <f t="shared" si="7"/>
        <v>1453981.6925905407</v>
      </c>
      <c r="V25" s="71">
        <f>IF(Q25&gt;=(Assumptions!$D$32+1),IF(Q25&lt;=Assumptions!$D$10,IF(Q25&gt;=Assumptions!$D$32,TREND($N$20:$N$21,$M$20:$M$21,Q25),0),0),0)</f>
        <v>37217.187423854775</v>
      </c>
      <c r="W25" s="104">
        <f>IF(Q25&gt;=(Assumptions!$D$32+1),IF(Q25&lt;=Assumptions!$D$10,IF(Q25&gt;=Assumptions!$D$32,TREND($N$26:$N$27,$M$26:$M$27,Q25),0),0),0)</f>
        <v>3190.0446363304072</v>
      </c>
      <c r="X25" s="110">
        <f t="shared" si="8"/>
        <v>40407.232060185182</v>
      </c>
      <c r="Y25" s="103">
        <f t="shared" si="9"/>
        <v>1276932.3339945786</v>
      </c>
      <c r="Z25" s="102">
        <f t="shared" si="10"/>
        <v>5068.5210581374704</v>
      </c>
      <c r="AA25" s="104">
        <f t="shared" si="11"/>
        <v>527.00210160818824</v>
      </c>
      <c r="AB25" s="110">
        <f t="shared" si="12"/>
        <v>5595.5231597456586</v>
      </c>
      <c r="AC25" s="103">
        <f t="shared" si="13"/>
        <v>177049.35859596217</v>
      </c>
    </row>
    <row r="26" spans="1:29" ht="15" customHeight="1" x14ac:dyDescent="0.25">
      <c r="B26" s="187">
        <f t="shared" si="5"/>
        <v>2046</v>
      </c>
      <c r="C26" s="275">
        <f t="shared" si="0"/>
        <v>0</v>
      </c>
      <c r="D26" s="272">
        <f t="shared" si="1"/>
        <v>0</v>
      </c>
      <c r="E26" s="275">
        <f t="shared" si="2"/>
        <v>0</v>
      </c>
      <c r="F26" s="276">
        <f t="shared" si="3"/>
        <v>0</v>
      </c>
      <c r="G26" s="277">
        <f t="shared" si="4"/>
        <v>0</v>
      </c>
      <c r="H26" s="278">
        <f>G26*(1+0.07)^-(B26-Assumptions!$D$7)</f>
        <v>0</v>
      </c>
      <c r="K26" s="26">
        <f>Assumptions!$C$33</f>
        <v>2022</v>
      </c>
      <c r="L26" s="28">
        <f>'Operations Calculations'!I68</f>
        <v>3263.7483552631575</v>
      </c>
      <c r="M26" s="26">
        <f>Assumptions!$C$33</f>
        <v>2022</v>
      </c>
      <c r="N26" s="28">
        <f>'Operations Calculations'!I77</f>
        <v>2801.0148026315787</v>
      </c>
      <c r="Q26" s="187">
        <v>2043</v>
      </c>
      <c r="R26" s="71">
        <f>IF(Q26&gt;=(Assumptions!$D$32+1),IF(Q26&lt;=Assumptions!$D$10,IF(Q26&gt;=Assumptions!$D$32,TREND($L$20:$L$21,$K$20:$K$21,Q26),0),0),0)</f>
        <v>42543.54816785804</v>
      </c>
      <c r="S26" s="104">
        <f>IF(Q26&gt;=(Assumptions!$D$32+1),IF(Q26&lt;=Assumptions!$D$10,IF(Q26&gt;=Assumptions!$D$32,TREND($L$26:$L$27,$K$26:$K$27,Q26),0),0),0)</f>
        <v>3739.7116570723665</v>
      </c>
      <c r="T26" s="110">
        <f t="shared" si="6"/>
        <v>46283.259824930406</v>
      </c>
      <c r="U26" s="103">
        <f t="shared" si="7"/>
        <v>1462847.4346185317</v>
      </c>
      <c r="V26" s="71">
        <f>IF(Q26&gt;=(Assumptions!$D$32+1),IF(Q26&lt;=Assumptions!$D$10,IF(Q26&gt;=Assumptions!$D$32,TREND($N$20:$N$21,$M$20:$M$21,Q26),0),0),0)</f>
        <v>37444.121493512415</v>
      </c>
      <c r="W26" s="104">
        <f>IF(Q26&gt;=(Assumptions!$D$32+1),IF(Q26&lt;=Assumptions!$D$10,IF(Q26&gt;=Assumptions!$D$32,TREND($N$26:$N$27,$M$26:$M$27,Q26),0),0),0)</f>
        <v>3209.4961280153511</v>
      </c>
      <c r="X26" s="110">
        <f t="shared" si="8"/>
        <v>40653.617621527766</v>
      </c>
      <c r="Y26" s="103">
        <f t="shared" si="9"/>
        <v>1284718.5067628378</v>
      </c>
      <c r="Z26" s="102">
        <f t="shared" si="10"/>
        <v>5099.4266743456246</v>
      </c>
      <c r="AA26" s="104">
        <f t="shared" si="11"/>
        <v>530.21552905701537</v>
      </c>
      <c r="AB26" s="110">
        <f t="shared" si="12"/>
        <v>5629.64220340264</v>
      </c>
      <c r="AC26" s="103">
        <f t="shared" si="13"/>
        <v>178128.92785569397</v>
      </c>
    </row>
    <row r="27" spans="1:29" ht="15" customHeight="1" x14ac:dyDescent="0.25">
      <c r="B27" s="187">
        <f t="shared" si="5"/>
        <v>2047</v>
      </c>
      <c r="C27" s="275">
        <f t="shared" si="0"/>
        <v>0</v>
      </c>
      <c r="D27" s="272">
        <f t="shared" si="1"/>
        <v>0</v>
      </c>
      <c r="E27" s="275">
        <f t="shared" si="2"/>
        <v>0</v>
      </c>
      <c r="F27" s="276">
        <f t="shared" si="3"/>
        <v>0</v>
      </c>
      <c r="G27" s="277">
        <f t="shared" si="4"/>
        <v>0</v>
      </c>
      <c r="H27" s="278">
        <f>G27*(1+0.07)^-(B27-Assumptions!$D$7)</f>
        <v>0</v>
      </c>
      <c r="I27" s="3"/>
      <c r="K27" s="26">
        <f>Assumptions!$C$34</f>
        <v>2039</v>
      </c>
      <c r="L27" s="28">
        <f>'Operations Calculations'!J68</f>
        <v>3649.0519805372805</v>
      </c>
      <c r="M27" s="26">
        <f>Assumptions!$C$34</f>
        <v>2039</v>
      </c>
      <c r="N27" s="28">
        <f>'Operations Calculations'!J77</f>
        <v>3131.6901612755846</v>
      </c>
      <c r="Q27" s="187">
        <v>2044</v>
      </c>
      <c r="R27" s="71">
        <f>IF(Q27&gt;=(Assumptions!$D$32+1),IF(Q27&lt;=Assumptions!$D$10,IF(Q27&gt;=Assumptions!$D$32,TREND($L$20:$L$21,$K$20:$K$21,Q27),0),0),0)</f>
        <v>42801.387853723951</v>
      </c>
      <c r="S27" s="104">
        <f>IF(Q27&gt;=(Assumptions!$D$32+1),IF(Q27&lt;=Assumptions!$D$10,IF(Q27&gt;=Assumptions!$D$32,TREND($L$26:$L$27,$K$26:$K$27,Q27),0),0),0)</f>
        <v>3762.3765762061448</v>
      </c>
      <c r="T27" s="110">
        <f t="shared" si="6"/>
        <v>46563.764429930096</v>
      </c>
      <c r="U27" s="103">
        <f t="shared" si="7"/>
        <v>1471713.1766465262</v>
      </c>
      <c r="V27" s="71">
        <f>IF(Q27&gt;=(Assumptions!$D$32+1),IF(Q27&lt;=Assumptions!$D$10,IF(Q27&gt;=Assumptions!$D$32,TREND($N$20:$N$21,$M$20:$M$21,Q27),0),0),0)</f>
        <v>37671.055563170055</v>
      </c>
      <c r="W27" s="104">
        <f>IF(Q27&gt;=(Assumptions!$D$32+1),IF(Q27&lt;=Assumptions!$D$10,IF(Q27&gt;=Assumptions!$D$32,TREND($N$26:$N$27,$M$26:$M$27,Q27),0),0),0)</f>
        <v>3228.9476197002878</v>
      </c>
      <c r="X27" s="110">
        <f t="shared" si="8"/>
        <v>40900.003182870343</v>
      </c>
      <c r="Y27" s="103">
        <f t="shared" si="9"/>
        <v>1292504.6795310969</v>
      </c>
      <c r="Z27" s="102">
        <f t="shared" si="10"/>
        <v>5130.3322905538953</v>
      </c>
      <c r="AA27" s="104">
        <f t="shared" si="11"/>
        <v>533.42895650585706</v>
      </c>
      <c r="AB27" s="110">
        <f t="shared" si="12"/>
        <v>5663.7612470597523</v>
      </c>
      <c r="AC27" s="103">
        <f t="shared" si="13"/>
        <v>179208.49711542926</v>
      </c>
    </row>
    <row r="28" spans="1:29" ht="15" customHeight="1" x14ac:dyDescent="0.25">
      <c r="A28" s="2"/>
      <c r="B28" s="187">
        <f t="shared" si="5"/>
        <v>2048</v>
      </c>
      <c r="C28" s="275">
        <f t="shared" si="0"/>
        <v>0</v>
      </c>
      <c r="D28" s="272">
        <f t="shared" si="1"/>
        <v>0</v>
      </c>
      <c r="E28" s="275">
        <f t="shared" si="2"/>
        <v>0</v>
      </c>
      <c r="F28" s="276">
        <f t="shared" si="3"/>
        <v>0</v>
      </c>
      <c r="G28" s="277">
        <f t="shared" si="4"/>
        <v>0</v>
      </c>
      <c r="H28" s="278">
        <f>G28*(1+0.07)^-(B28-Assumptions!$D$7)</f>
        <v>0</v>
      </c>
      <c r="Q28" s="187">
        <v>2045</v>
      </c>
      <c r="R28" s="71">
        <f>IF(Q28&gt;=(Assumptions!$D$32+1),IF(Q28&lt;=Assumptions!$D$10,IF(Q28&gt;=Assumptions!$D$32,TREND($L$20:$L$21,$K$20:$K$21,Q28),0),0),0)</f>
        <v>43059.227539589745</v>
      </c>
      <c r="S28" s="104">
        <f>IF(Q28&gt;=(Assumptions!$D$32+1),IF(Q28&lt;=Assumptions!$D$10,IF(Q28&gt;=Assumptions!$D$32,TREND($L$26:$L$27,$K$26:$K$27,Q28),0),0),0)</f>
        <v>3785.0414953399159</v>
      </c>
      <c r="T28" s="110">
        <f t="shared" si="6"/>
        <v>46844.269034929661</v>
      </c>
      <c r="U28" s="103">
        <f t="shared" si="7"/>
        <v>1480578.918674517</v>
      </c>
      <c r="V28" s="71">
        <f>IF(Q28&gt;=(Assumptions!$D$32+1),IF(Q28&lt;=Assumptions!$D$10,IF(Q28&gt;=Assumptions!$D$32,TREND($N$20:$N$21,$M$20:$M$21,Q28),0),0),0)</f>
        <v>37897.989632827695</v>
      </c>
      <c r="W28" s="104">
        <f>IF(Q28&gt;=(Assumptions!$D$32+1),IF(Q28&lt;=Assumptions!$D$10,IF(Q28&gt;=Assumptions!$D$32,TREND($N$26:$N$27,$M$26:$M$27,Q28),0),0),0)</f>
        <v>3248.3991113852317</v>
      </c>
      <c r="X28" s="110">
        <f t="shared" si="8"/>
        <v>41146.388744212927</v>
      </c>
      <c r="Y28" s="103">
        <f t="shared" si="9"/>
        <v>1300290.8522993561</v>
      </c>
      <c r="Z28" s="102">
        <f t="shared" si="10"/>
        <v>5161.2379067620495</v>
      </c>
      <c r="AA28" s="104">
        <f t="shared" si="11"/>
        <v>536.64238395468419</v>
      </c>
      <c r="AB28" s="110">
        <f t="shared" si="12"/>
        <v>5697.8802907167337</v>
      </c>
      <c r="AC28" s="103">
        <f t="shared" si="13"/>
        <v>180288.06637516082</v>
      </c>
    </row>
    <row r="29" spans="1:29" ht="15" customHeight="1" x14ac:dyDescent="0.25">
      <c r="B29" s="187">
        <f t="shared" si="5"/>
        <v>2049</v>
      </c>
      <c r="C29" s="275">
        <f t="shared" si="0"/>
        <v>0</v>
      </c>
      <c r="D29" s="272">
        <f t="shared" si="1"/>
        <v>0</v>
      </c>
      <c r="E29" s="275">
        <f t="shared" si="2"/>
        <v>0</v>
      </c>
      <c r="F29" s="276">
        <f t="shared" si="3"/>
        <v>0</v>
      </c>
      <c r="G29" s="277">
        <f t="shared" si="4"/>
        <v>0</v>
      </c>
      <c r="H29" s="278">
        <f>G29*(1+0.07)^-(B29-Assumptions!$D$7)</f>
        <v>0</v>
      </c>
      <c r="K29" s="38" t="s">
        <v>161</v>
      </c>
      <c r="Q29" s="187">
        <v>2046</v>
      </c>
      <c r="R29" s="71">
        <f>IF(Q29&gt;=(Assumptions!$D$32+1),IF(Q29&lt;=Assumptions!$D$10,IF(Q29&gt;=Assumptions!$D$32,TREND($L$20:$L$21,$K$20:$K$21,Q29),0),0),0)</f>
        <v>0</v>
      </c>
      <c r="S29" s="104">
        <f>IF(Q29&gt;=(Assumptions!$D$32+1),IF(Q29&lt;=Assumptions!$D$10,IF(Q29&gt;=Assumptions!$D$32,TREND($L$26:$L$27,$K$26:$K$27,Q29),0),0),0)</f>
        <v>0</v>
      </c>
      <c r="T29" s="110">
        <f t="shared" si="6"/>
        <v>0</v>
      </c>
      <c r="U29" s="103">
        <f t="shared" si="7"/>
        <v>0</v>
      </c>
      <c r="V29" s="71">
        <f>IF(Q29&gt;=(Assumptions!$D$32+1),IF(Q29&lt;=Assumptions!$D$10,IF(Q29&gt;=Assumptions!$D$32,TREND($N$20:$N$21,$M$20:$M$21,Q29),0),0),0)</f>
        <v>0</v>
      </c>
      <c r="W29" s="104">
        <f>IF(Q29&gt;=(Assumptions!$D$32+1),IF(Q29&lt;=Assumptions!$D$10,IF(Q29&gt;=Assumptions!$D$32,TREND($N$26:$N$27,$M$26:$M$27,Q29),0),0),0)</f>
        <v>0</v>
      </c>
      <c r="X29" s="110">
        <f t="shared" si="8"/>
        <v>0</v>
      </c>
      <c r="Y29" s="103">
        <f t="shared" si="9"/>
        <v>0</v>
      </c>
      <c r="Z29" s="102">
        <f t="shared" si="10"/>
        <v>0</v>
      </c>
      <c r="AA29" s="104">
        <f t="shared" si="11"/>
        <v>0</v>
      </c>
      <c r="AB29" s="110">
        <f t="shared" si="12"/>
        <v>0</v>
      </c>
      <c r="AC29" s="103">
        <f t="shared" si="13"/>
        <v>0</v>
      </c>
    </row>
    <row r="30" spans="1:29" ht="15" customHeight="1" x14ac:dyDescent="0.25">
      <c r="B30" s="187">
        <f t="shared" si="5"/>
        <v>2050</v>
      </c>
      <c r="C30" s="275">
        <f t="shared" si="0"/>
        <v>0</v>
      </c>
      <c r="D30" s="272">
        <f t="shared" si="1"/>
        <v>0</v>
      </c>
      <c r="E30" s="275">
        <f t="shared" si="2"/>
        <v>0</v>
      </c>
      <c r="F30" s="276">
        <f t="shared" si="3"/>
        <v>0</v>
      </c>
      <c r="G30" s="277">
        <f t="shared" si="4"/>
        <v>0</v>
      </c>
      <c r="H30" s="278">
        <f>G30*(1+0.07)^-(B30-Assumptions!$D$7)</f>
        <v>0</v>
      </c>
      <c r="K30" s="42" t="s">
        <v>58</v>
      </c>
      <c r="L30" s="44"/>
      <c r="M30" s="42" t="s">
        <v>59</v>
      </c>
      <c r="N30" s="44"/>
      <c r="Q30" s="187">
        <v>2047</v>
      </c>
      <c r="R30" s="71">
        <f>IF(Q30&gt;=(Assumptions!$D$32+1),IF(Q30&lt;=Assumptions!$D$10,IF(Q30&gt;=Assumptions!$D$32,TREND($L$20:$L$21,$K$20:$K$21,Q30),0),0),0)</f>
        <v>0</v>
      </c>
      <c r="S30" s="104">
        <f>IF(Q30&gt;=(Assumptions!$D$32+1),IF(Q30&lt;=Assumptions!$D$10,IF(Q30&gt;=Assumptions!$D$32,TREND($L$26:$L$27,$K$26:$K$27,Q30),0),0),0)</f>
        <v>0</v>
      </c>
      <c r="T30" s="110">
        <f t="shared" si="6"/>
        <v>0</v>
      </c>
      <c r="U30" s="103">
        <f t="shared" si="7"/>
        <v>0</v>
      </c>
      <c r="V30" s="71">
        <f>IF(Q30&gt;=(Assumptions!$D$32+1),IF(Q30&lt;=Assumptions!$D$10,IF(Q30&gt;=Assumptions!$D$32,TREND($N$20:$N$21,$M$20:$M$21,Q30),0),0),0)</f>
        <v>0</v>
      </c>
      <c r="W30" s="104">
        <f>IF(Q30&gt;=(Assumptions!$D$32+1),IF(Q30&lt;=Assumptions!$D$10,IF(Q30&gt;=Assumptions!$D$32,TREND($N$26:$N$27,$M$26:$M$27,Q30),0),0),0)</f>
        <v>0</v>
      </c>
      <c r="X30" s="110">
        <f t="shared" si="8"/>
        <v>0</v>
      </c>
      <c r="Y30" s="103">
        <f t="shared" si="9"/>
        <v>0</v>
      </c>
      <c r="Z30" s="102">
        <f t="shared" si="10"/>
        <v>0</v>
      </c>
      <c r="AA30" s="104">
        <f t="shared" si="11"/>
        <v>0</v>
      </c>
      <c r="AB30" s="110">
        <f t="shared" si="12"/>
        <v>0</v>
      </c>
      <c r="AC30" s="103">
        <f t="shared" si="13"/>
        <v>0</v>
      </c>
    </row>
    <row r="31" spans="1:29" ht="15" customHeight="1" x14ac:dyDescent="0.25">
      <c r="B31" s="187">
        <f t="shared" si="5"/>
        <v>2051</v>
      </c>
      <c r="C31" s="275">
        <f t="shared" si="0"/>
        <v>0</v>
      </c>
      <c r="D31" s="272">
        <f t="shared" si="1"/>
        <v>0</v>
      </c>
      <c r="E31" s="275">
        <f t="shared" si="2"/>
        <v>0</v>
      </c>
      <c r="F31" s="276">
        <f t="shared" si="3"/>
        <v>0</v>
      </c>
      <c r="G31" s="277">
        <f t="shared" si="4"/>
        <v>0</v>
      </c>
      <c r="H31" s="278">
        <f>G31*(1+0.07)^-(B31-Assumptions!$D$7)</f>
        <v>0</v>
      </c>
      <c r="K31" s="26" t="s">
        <v>33</v>
      </c>
      <c r="L31" s="25" t="s">
        <v>60</v>
      </c>
      <c r="M31" s="26" t="s">
        <v>33</v>
      </c>
      <c r="N31" s="25" t="s">
        <v>60</v>
      </c>
      <c r="Q31" s="187">
        <v>2048</v>
      </c>
      <c r="R31" s="71">
        <f>IF(Q31&gt;=(Assumptions!$D$32+1),IF(Q31&lt;=Assumptions!$D$10,IF(Q31&gt;=Assumptions!$D$32,TREND($L$20:$L$21,$K$20:$K$21,Q31),0),0),0)</f>
        <v>0</v>
      </c>
      <c r="S31" s="104">
        <f>IF(Q31&gt;=(Assumptions!$D$32+1),IF(Q31&lt;=Assumptions!$D$10,IF(Q31&gt;=Assumptions!$D$32,TREND($L$26:$L$27,$K$26:$K$27,Q31),0),0),0)</f>
        <v>0</v>
      </c>
      <c r="T31" s="110">
        <f t="shared" si="6"/>
        <v>0</v>
      </c>
      <c r="U31" s="103">
        <f t="shared" si="7"/>
        <v>0</v>
      </c>
      <c r="V31" s="71">
        <f>IF(Q31&gt;=(Assumptions!$D$32+1),IF(Q31&lt;=Assumptions!$D$10,IF(Q31&gt;=Assumptions!$D$32,TREND($N$20:$N$21,$M$20:$M$21,Q31),0),0),0)</f>
        <v>0</v>
      </c>
      <c r="W31" s="104">
        <f>IF(Q31&gt;=(Assumptions!$D$32+1),IF(Q31&lt;=Assumptions!$D$10,IF(Q31&gt;=Assumptions!$D$32,TREND($N$26:$N$27,$M$26:$M$27,Q31),0),0),0)</f>
        <v>0</v>
      </c>
      <c r="X31" s="110">
        <f t="shared" si="8"/>
        <v>0</v>
      </c>
      <c r="Y31" s="103">
        <f t="shared" si="9"/>
        <v>0</v>
      </c>
      <c r="Z31" s="102">
        <f t="shared" si="10"/>
        <v>0</v>
      </c>
      <c r="AA31" s="104">
        <f t="shared" si="11"/>
        <v>0</v>
      </c>
      <c r="AB31" s="110">
        <f t="shared" si="12"/>
        <v>0</v>
      </c>
      <c r="AC31" s="103">
        <f t="shared" si="13"/>
        <v>0</v>
      </c>
    </row>
    <row r="32" spans="1:29" ht="15" customHeight="1" x14ac:dyDescent="0.25">
      <c r="B32" s="187">
        <f t="shared" si="5"/>
        <v>2052</v>
      </c>
      <c r="C32" s="275">
        <f t="shared" si="0"/>
        <v>0</v>
      </c>
      <c r="D32" s="272">
        <f t="shared" si="1"/>
        <v>0</v>
      </c>
      <c r="E32" s="275">
        <f t="shared" si="2"/>
        <v>0</v>
      </c>
      <c r="F32" s="276">
        <f t="shared" si="3"/>
        <v>0</v>
      </c>
      <c r="G32" s="277">
        <f t="shared" si="4"/>
        <v>0</v>
      </c>
      <c r="H32" s="278">
        <f>G32*(1+0.07)^-(B32-Assumptions!$D$7)</f>
        <v>0</v>
      </c>
      <c r="K32" s="26">
        <f>Assumptions!$C$33</f>
        <v>2022</v>
      </c>
      <c r="L32" s="28">
        <f>SUM(L20,L26)</f>
        <v>40392.663119939272</v>
      </c>
      <c r="M32" s="26">
        <f>Assumptions!$C$33</f>
        <v>2022</v>
      </c>
      <c r="N32" s="28">
        <f>SUM(N20,N26)</f>
        <v>35479.520833333336</v>
      </c>
      <c r="Q32" s="187">
        <v>2049</v>
      </c>
      <c r="R32" s="71">
        <f>IF(Q32&gt;=(Assumptions!$D$32+1),IF(Q32&lt;=Assumptions!$D$10,IF(Q32&gt;=Assumptions!$D$32,TREND($L$20:$L$21,$K$20:$K$21,Q32),0),0),0)</f>
        <v>0</v>
      </c>
      <c r="S32" s="104">
        <f>IF(Q32&gt;=(Assumptions!$D$32+1),IF(Q32&lt;=Assumptions!$D$10,IF(Q32&gt;=Assumptions!$D$32,TREND($L$26:$L$27,$K$26:$K$27,Q32),0),0),0)</f>
        <v>0</v>
      </c>
      <c r="T32" s="110">
        <f t="shared" si="6"/>
        <v>0</v>
      </c>
      <c r="U32" s="103">
        <f t="shared" si="7"/>
        <v>0</v>
      </c>
      <c r="V32" s="71">
        <f>IF(Q32&gt;=(Assumptions!$D$32+1),IF(Q32&lt;=Assumptions!$D$10,IF(Q32&gt;=Assumptions!$D$32,TREND($N$20:$N$21,$M$20:$M$21,Q32),0),0),0)</f>
        <v>0</v>
      </c>
      <c r="W32" s="104">
        <f>IF(Q32&gt;=(Assumptions!$D$32+1),IF(Q32&lt;=Assumptions!$D$10,IF(Q32&gt;=Assumptions!$D$32,TREND($N$26:$N$27,$M$26:$M$27,Q32),0),0),0)</f>
        <v>0</v>
      </c>
      <c r="X32" s="110">
        <f t="shared" si="8"/>
        <v>0</v>
      </c>
      <c r="Y32" s="103">
        <f t="shared" si="9"/>
        <v>0</v>
      </c>
      <c r="Z32" s="102">
        <f t="shared" si="10"/>
        <v>0</v>
      </c>
      <c r="AA32" s="104">
        <f t="shared" si="11"/>
        <v>0</v>
      </c>
      <c r="AB32" s="110">
        <f t="shared" si="12"/>
        <v>0</v>
      </c>
      <c r="AC32" s="103">
        <f t="shared" si="13"/>
        <v>0</v>
      </c>
    </row>
    <row r="33" spans="1:29" ht="15" customHeight="1" x14ac:dyDescent="0.25">
      <c r="B33" s="187">
        <f t="shared" si="5"/>
        <v>2053</v>
      </c>
      <c r="C33" s="275">
        <f t="shared" si="0"/>
        <v>0</v>
      </c>
      <c r="D33" s="272">
        <f t="shared" si="1"/>
        <v>0</v>
      </c>
      <c r="E33" s="275">
        <f t="shared" si="2"/>
        <v>0</v>
      </c>
      <c r="F33" s="276">
        <f t="shared" si="3"/>
        <v>0</v>
      </c>
      <c r="G33" s="277">
        <f t="shared" si="4"/>
        <v>0</v>
      </c>
      <c r="H33" s="278">
        <f>G33*(1+0.07)^-(B33-Assumptions!$D$7)</f>
        <v>0</v>
      </c>
      <c r="K33" s="26">
        <f>Assumptions!$C$34</f>
        <v>2039</v>
      </c>
      <c r="L33" s="28">
        <f>SUM(L21,L27)</f>
        <v>45161.241404932101</v>
      </c>
      <c r="M33" s="26">
        <f>Assumptions!$C$34</f>
        <v>2039</v>
      </c>
      <c r="N33" s="28">
        <f>SUM(N21,N27)</f>
        <v>39668.075376157409</v>
      </c>
      <c r="Q33" s="187">
        <v>2050</v>
      </c>
      <c r="R33" s="71">
        <f>IF(Q33&gt;=(Assumptions!$D$32+1),IF(Q33&lt;=Assumptions!$D$10,IF(Q33&gt;=Assumptions!$D$32,TREND($L$20:$L$21,$K$20:$K$21,Q33),0),0),0)</f>
        <v>0</v>
      </c>
      <c r="S33" s="104">
        <f>IF(Q33&gt;=(Assumptions!$D$32+1),IF(Q33&lt;=Assumptions!$D$10,IF(Q33&gt;=Assumptions!$D$32,TREND($L$26:$L$27,$K$26:$K$27,Q33),0),0),0)</f>
        <v>0</v>
      </c>
      <c r="T33" s="110">
        <f t="shared" si="6"/>
        <v>0</v>
      </c>
      <c r="U33" s="103">
        <f t="shared" si="7"/>
        <v>0</v>
      </c>
      <c r="V33" s="71">
        <f>IF(Q33&gt;=(Assumptions!$D$32+1),IF(Q33&lt;=Assumptions!$D$10,IF(Q33&gt;=Assumptions!$D$32,TREND($N$20:$N$21,$M$20:$M$21,Q33),0),0),0)</f>
        <v>0</v>
      </c>
      <c r="W33" s="104">
        <f>IF(Q33&gt;=(Assumptions!$D$32+1),IF(Q33&lt;=Assumptions!$D$10,IF(Q33&gt;=Assumptions!$D$32,TREND($N$26:$N$27,$M$26:$M$27,Q33),0),0),0)</f>
        <v>0</v>
      </c>
      <c r="X33" s="110">
        <f t="shared" si="8"/>
        <v>0</v>
      </c>
      <c r="Y33" s="103">
        <f t="shared" si="9"/>
        <v>0</v>
      </c>
      <c r="Z33" s="102">
        <f t="shared" si="10"/>
        <v>0</v>
      </c>
      <c r="AA33" s="104">
        <f t="shared" si="11"/>
        <v>0</v>
      </c>
      <c r="AB33" s="110">
        <f t="shared" si="12"/>
        <v>0</v>
      </c>
      <c r="AC33" s="103">
        <f t="shared" si="13"/>
        <v>0</v>
      </c>
    </row>
    <row r="34" spans="1:29" ht="15" customHeight="1" x14ac:dyDescent="0.25">
      <c r="B34" s="187">
        <f t="shared" si="5"/>
        <v>2054</v>
      </c>
      <c r="C34" s="275">
        <f t="shared" si="0"/>
        <v>0</v>
      </c>
      <c r="D34" s="272">
        <f t="shared" si="1"/>
        <v>0</v>
      </c>
      <c r="E34" s="275">
        <f t="shared" si="2"/>
        <v>0</v>
      </c>
      <c r="F34" s="276">
        <f t="shared" si="3"/>
        <v>0</v>
      </c>
      <c r="G34" s="277">
        <f t="shared" si="4"/>
        <v>0</v>
      </c>
      <c r="H34" s="278">
        <f>G34*(1+0.07)^-(B34-Assumptions!$D$7)</f>
        <v>0</v>
      </c>
      <c r="Q34" s="187">
        <v>2051</v>
      </c>
      <c r="R34" s="71">
        <f>IF(Q34&gt;=(Assumptions!$D$32+1),IF(Q34&lt;=Assumptions!$D$10,IF(Q34&gt;=Assumptions!$D$32,TREND($L$20:$L$21,$K$20:$K$21,Q34),0),0),0)</f>
        <v>0</v>
      </c>
      <c r="S34" s="104">
        <f>IF(Q34&gt;=(Assumptions!$D$32+1),IF(Q34&lt;=Assumptions!$D$10,IF(Q34&gt;=Assumptions!$D$32,TREND($L$26:$L$27,$K$26:$K$27,Q34),0),0),0)</f>
        <v>0</v>
      </c>
      <c r="T34" s="110">
        <f t="shared" si="6"/>
        <v>0</v>
      </c>
      <c r="U34" s="103">
        <f t="shared" si="7"/>
        <v>0</v>
      </c>
      <c r="V34" s="71">
        <f>IF(Q34&gt;=(Assumptions!$D$32+1),IF(Q34&lt;=Assumptions!$D$10,IF(Q34&gt;=Assumptions!$D$32,TREND($N$20:$N$21,$M$20:$M$21,Q34),0),0),0)</f>
        <v>0</v>
      </c>
      <c r="W34" s="104">
        <f>IF(Q34&gt;=(Assumptions!$D$32+1),IF(Q34&lt;=Assumptions!$D$10,IF(Q34&gt;=Assumptions!$D$32,TREND($N$26:$N$27,$M$26:$M$27,Q34),0),0),0)</f>
        <v>0</v>
      </c>
      <c r="X34" s="110">
        <f t="shared" si="8"/>
        <v>0</v>
      </c>
      <c r="Y34" s="103">
        <f t="shared" si="9"/>
        <v>0</v>
      </c>
      <c r="Z34" s="102">
        <f t="shared" si="10"/>
        <v>0</v>
      </c>
      <c r="AA34" s="104">
        <f t="shared" si="11"/>
        <v>0</v>
      </c>
      <c r="AB34" s="110">
        <f t="shared" si="12"/>
        <v>0</v>
      </c>
      <c r="AC34" s="103">
        <f t="shared" si="13"/>
        <v>0</v>
      </c>
    </row>
    <row r="35" spans="1:29" ht="15" customHeight="1" x14ac:dyDescent="0.25">
      <c r="B35" s="187">
        <f t="shared" si="5"/>
        <v>2055</v>
      </c>
      <c r="C35" s="275">
        <f t="shared" si="0"/>
        <v>0</v>
      </c>
      <c r="D35" s="272">
        <f t="shared" si="1"/>
        <v>0</v>
      </c>
      <c r="E35" s="275">
        <f t="shared" si="2"/>
        <v>0</v>
      </c>
      <c r="F35" s="276">
        <f t="shared" si="3"/>
        <v>0</v>
      </c>
      <c r="G35" s="277">
        <f t="shared" si="4"/>
        <v>0</v>
      </c>
      <c r="H35" s="278">
        <f>G35*(1+0.07)^-(B35-Assumptions!$D$7)</f>
        <v>0</v>
      </c>
      <c r="Q35" s="187">
        <v>2052</v>
      </c>
      <c r="R35" s="71">
        <f>IF(Q35&gt;=(Assumptions!$D$32+1),IF(Q35&lt;=Assumptions!$D$10,IF(Q35&gt;=Assumptions!$D$32,TREND($L$20:$L$21,$K$20:$K$21,Q35),0),0),0)</f>
        <v>0</v>
      </c>
      <c r="S35" s="104">
        <f>IF(Q35&gt;=(Assumptions!$D$32+1),IF(Q35&lt;=Assumptions!$D$10,IF(Q35&gt;=Assumptions!$D$32,TREND($L$26:$L$27,$K$26:$K$27,Q35),0),0),0)</f>
        <v>0</v>
      </c>
      <c r="T35" s="110">
        <f t="shared" si="6"/>
        <v>0</v>
      </c>
      <c r="U35" s="103">
        <f t="shared" si="7"/>
        <v>0</v>
      </c>
      <c r="V35" s="71">
        <f>IF(Q35&gt;=(Assumptions!$D$32+1),IF(Q35&lt;=Assumptions!$D$10,IF(Q35&gt;=Assumptions!$D$32,TREND($N$20:$N$21,$M$20:$M$21,Q35),0),0),0)</f>
        <v>0</v>
      </c>
      <c r="W35" s="104">
        <f>IF(Q35&gt;=(Assumptions!$D$32+1),IF(Q35&lt;=Assumptions!$D$10,IF(Q35&gt;=Assumptions!$D$32,TREND($N$26:$N$27,$M$26:$M$27,Q35),0),0),0)</f>
        <v>0</v>
      </c>
      <c r="X35" s="110">
        <f t="shared" si="8"/>
        <v>0</v>
      </c>
      <c r="Y35" s="103">
        <f t="shared" si="9"/>
        <v>0</v>
      </c>
      <c r="Z35" s="102">
        <f t="shared" si="10"/>
        <v>0</v>
      </c>
      <c r="AA35" s="104">
        <f t="shared" si="11"/>
        <v>0</v>
      </c>
      <c r="AB35" s="110">
        <f t="shared" si="12"/>
        <v>0</v>
      </c>
      <c r="AC35" s="103">
        <f t="shared" si="13"/>
        <v>0</v>
      </c>
    </row>
    <row r="36" spans="1:29" ht="15" customHeight="1" x14ac:dyDescent="0.25">
      <c r="B36" s="187">
        <f t="shared" si="5"/>
        <v>2056</v>
      </c>
      <c r="C36" s="275">
        <f t="shared" si="0"/>
        <v>0</v>
      </c>
      <c r="D36" s="272">
        <f t="shared" si="1"/>
        <v>0</v>
      </c>
      <c r="E36" s="275">
        <f t="shared" si="2"/>
        <v>0</v>
      </c>
      <c r="F36" s="276">
        <f t="shared" si="3"/>
        <v>0</v>
      </c>
      <c r="G36" s="277">
        <f t="shared" si="4"/>
        <v>0</v>
      </c>
      <c r="H36" s="278">
        <f>G36*(1+0.07)^-(B36-Assumptions!$D$7)</f>
        <v>0</v>
      </c>
      <c r="Q36" s="187">
        <v>2053</v>
      </c>
      <c r="R36" s="71">
        <f>IF(Q36&gt;=(Assumptions!$D$32+1),IF(Q36&lt;=Assumptions!$D$10,IF(Q36&gt;=Assumptions!$D$32,TREND($L$20:$L$21,$K$20:$K$21,Q36),0),0),0)</f>
        <v>0</v>
      </c>
      <c r="S36" s="104">
        <f>IF(Q36&gt;=(Assumptions!$D$32+1),IF(Q36&lt;=Assumptions!$D$10,IF(Q36&gt;=Assumptions!$D$32,TREND($L$26:$L$27,$K$26:$K$27,Q36),0),0),0)</f>
        <v>0</v>
      </c>
      <c r="T36" s="110">
        <f t="shared" si="6"/>
        <v>0</v>
      </c>
      <c r="U36" s="103">
        <f t="shared" si="7"/>
        <v>0</v>
      </c>
      <c r="V36" s="71">
        <f>IF(Q36&gt;=(Assumptions!$D$32+1),IF(Q36&lt;=Assumptions!$D$10,IF(Q36&gt;=Assumptions!$D$32,TREND($N$20:$N$21,$M$20:$M$21,Q36),0),0),0)</f>
        <v>0</v>
      </c>
      <c r="W36" s="104">
        <f>IF(Q36&gt;=(Assumptions!$D$32+1),IF(Q36&lt;=Assumptions!$D$10,IF(Q36&gt;=Assumptions!$D$32,TREND($N$26:$N$27,$M$26:$M$27,Q36),0),0),0)</f>
        <v>0</v>
      </c>
      <c r="X36" s="110">
        <f t="shared" si="8"/>
        <v>0</v>
      </c>
      <c r="Y36" s="103">
        <f t="shared" si="9"/>
        <v>0</v>
      </c>
      <c r="Z36" s="102">
        <f t="shared" si="10"/>
        <v>0</v>
      </c>
      <c r="AA36" s="104">
        <f t="shared" si="11"/>
        <v>0</v>
      </c>
      <c r="AB36" s="110">
        <f t="shared" si="12"/>
        <v>0</v>
      </c>
      <c r="AC36" s="103">
        <f t="shared" si="13"/>
        <v>0</v>
      </c>
    </row>
    <row r="37" spans="1:29" ht="15" customHeight="1" outlineLevel="1" x14ac:dyDescent="0.25">
      <c r="B37" s="187">
        <f t="shared" si="5"/>
        <v>2057</v>
      </c>
      <c r="C37" s="275">
        <f t="shared" si="0"/>
        <v>0</v>
      </c>
      <c r="D37" s="272">
        <f t="shared" si="1"/>
        <v>0</v>
      </c>
      <c r="E37" s="275">
        <f t="shared" si="2"/>
        <v>0</v>
      </c>
      <c r="F37" s="276">
        <f t="shared" si="3"/>
        <v>0</v>
      </c>
      <c r="G37" s="277">
        <f t="shared" si="4"/>
        <v>0</v>
      </c>
      <c r="H37" s="278">
        <f>G37*(1+0.07)^-(B37-Assumptions!$D$7)</f>
        <v>0</v>
      </c>
      <c r="Q37" s="187">
        <v>2054</v>
      </c>
      <c r="R37" s="71">
        <f>IF(Q37&gt;=(Assumptions!$D$32+1),IF(Q37&lt;=Assumptions!$D$10,IF(Q37&gt;=Assumptions!$D$32,TREND($L$20:$L$21,$K$20:$K$21,Q37),0),0),0)</f>
        <v>0</v>
      </c>
      <c r="S37" s="104">
        <f>IF(Q37&gt;=(Assumptions!$D$32+1),IF(Q37&lt;=Assumptions!$D$10,IF(Q37&gt;=Assumptions!$D$32,TREND($L$26:$L$27,$K$26:$K$27,Q37),0),0),0)</f>
        <v>0</v>
      </c>
      <c r="T37" s="110">
        <f t="shared" si="6"/>
        <v>0</v>
      </c>
      <c r="U37" s="103">
        <f t="shared" si="7"/>
        <v>0</v>
      </c>
      <c r="V37" s="71">
        <f>IF(Q37&gt;=(Assumptions!$D$32+1),IF(Q37&lt;=Assumptions!$D$10,IF(Q37&gt;=Assumptions!$D$32,TREND($N$20:$N$21,$M$20:$M$21,Q37),0),0),0)</f>
        <v>0</v>
      </c>
      <c r="W37" s="104">
        <f>IF(Q37&gt;=(Assumptions!$D$32+1),IF(Q37&lt;=Assumptions!$D$10,IF(Q37&gt;=Assumptions!$D$32,TREND($N$26:$N$27,$M$26:$M$27,Q37),0),0),0)</f>
        <v>0</v>
      </c>
      <c r="X37" s="110">
        <f t="shared" si="8"/>
        <v>0</v>
      </c>
      <c r="Y37" s="103">
        <f t="shared" si="9"/>
        <v>0</v>
      </c>
      <c r="Z37" s="102">
        <f t="shared" si="10"/>
        <v>0</v>
      </c>
      <c r="AA37" s="104">
        <f t="shared" si="11"/>
        <v>0</v>
      </c>
      <c r="AB37" s="110">
        <f t="shared" si="12"/>
        <v>0</v>
      </c>
      <c r="AC37" s="103">
        <f t="shared" si="13"/>
        <v>0</v>
      </c>
    </row>
    <row r="38" spans="1:29" ht="15" customHeight="1" outlineLevel="1" x14ac:dyDescent="0.25">
      <c r="B38" s="187">
        <f t="shared" si="5"/>
        <v>2058</v>
      </c>
      <c r="C38" s="275">
        <f t="shared" si="0"/>
        <v>0</v>
      </c>
      <c r="D38" s="272">
        <f t="shared" si="1"/>
        <v>0</v>
      </c>
      <c r="E38" s="275">
        <f t="shared" si="2"/>
        <v>0</v>
      </c>
      <c r="F38" s="276">
        <f t="shared" si="3"/>
        <v>0</v>
      </c>
      <c r="G38" s="277">
        <f t="shared" si="4"/>
        <v>0</v>
      </c>
      <c r="H38" s="278">
        <f>G38*(1+0.07)^-(B38-Assumptions!$D$7)</f>
        <v>0</v>
      </c>
      <c r="Q38" s="187">
        <v>2055</v>
      </c>
      <c r="R38" s="71">
        <f>IF(Q38&gt;=(Assumptions!$D$32+1),IF(Q38&lt;=Assumptions!$D$10,IF(Q38&gt;=Assumptions!$D$32,TREND($L$20:$L$21,$K$20:$K$21,Q38),0),0),0)</f>
        <v>0</v>
      </c>
      <c r="S38" s="104">
        <f>IF(Q38&gt;=(Assumptions!$D$32+1),IF(Q38&lt;=Assumptions!$D$10,IF(Q38&gt;=Assumptions!$D$32,TREND($L$26:$L$27,$K$26:$K$27,Q38),0),0),0)</f>
        <v>0</v>
      </c>
      <c r="T38" s="110">
        <f t="shared" si="6"/>
        <v>0</v>
      </c>
      <c r="U38" s="103">
        <f t="shared" si="7"/>
        <v>0</v>
      </c>
      <c r="V38" s="71">
        <f>IF(Q38&gt;=(Assumptions!$D$32+1),IF(Q38&lt;=Assumptions!$D$10,IF(Q38&gt;=Assumptions!$D$32,TREND($N$20:$N$21,$M$20:$M$21,Q38),0),0),0)</f>
        <v>0</v>
      </c>
      <c r="W38" s="104">
        <f>IF(Q38&gt;=(Assumptions!$D$32+1),IF(Q38&lt;=Assumptions!$D$10,IF(Q38&gt;=Assumptions!$D$32,TREND($N$26:$N$27,$M$26:$M$27,Q38),0),0),0)</f>
        <v>0</v>
      </c>
      <c r="X38" s="110">
        <f t="shared" si="8"/>
        <v>0</v>
      </c>
      <c r="Y38" s="103">
        <f t="shared" si="9"/>
        <v>0</v>
      </c>
      <c r="Z38" s="102">
        <f t="shared" si="10"/>
        <v>0</v>
      </c>
      <c r="AA38" s="104">
        <f t="shared" si="11"/>
        <v>0</v>
      </c>
      <c r="AB38" s="110">
        <f t="shared" si="12"/>
        <v>0</v>
      </c>
      <c r="AC38" s="103">
        <f t="shared" si="13"/>
        <v>0</v>
      </c>
    </row>
    <row r="39" spans="1:29" ht="15" customHeight="1" outlineLevel="1" x14ac:dyDescent="0.25">
      <c r="B39" s="187">
        <f t="shared" si="5"/>
        <v>2059</v>
      </c>
      <c r="C39" s="275">
        <f t="shared" si="0"/>
        <v>0</v>
      </c>
      <c r="D39" s="272">
        <f t="shared" si="1"/>
        <v>0</v>
      </c>
      <c r="E39" s="275">
        <f t="shared" si="2"/>
        <v>0</v>
      </c>
      <c r="F39" s="276">
        <f t="shared" si="3"/>
        <v>0</v>
      </c>
      <c r="G39" s="277">
        <f t="shared" si="4"/>
        <v>0</v>
      </c>
      <c r="H39" s="278">
        <f>G39*(1+0.07)^-(B39-Assumptions!$D$7)</f>
        <v>0</v>
      </c>
      <c r="Q39" s="187">
        <v>2056</v>
      </c>
      <c r="R39" s="71">
        <f>IF(Q39&gt;=(Assumptions!$D$32+1),IF(Q39&lt;=Assumptions!$D$10,IF(Q39&gt;=Assumptions!$D$32,TREND($L$20:$L$21,$K$20:$K$21,Q39),0),0),0)</f>
        <v>0</v>
      </c>
      <c r="S39" s="104">
        <f>IF(Q39&gt;=(Assumptions!$D$32+1),IF(Q39&lt;=Assumptions!$D$10,IF(Q39&gt;=Assumptions!$D$32,TREND($L$26:$L$27,$K$26:$K$27,Q39),0),0),0)</f>
        <v>0</v>
      </c>
      <c r="T39" s="110">
        <f t="shared" si="6"/>
        <v>0</v>
      </c>
      <c r="U39" s="103">
        <f t="shared" si="7"/>
        <v>0</v>
      </c>
      <c r="V39" s="71">
        <f>IF(Q39&gt;=(Assumptions!$D$32+1),IF(Q39&lt;=Assumptions!$D$10,IF(Q39&gt;=Assumptions!$D$32,TREND($N$20:$N$21,$M$20:$M$21,Q39),0),0),0)</f>
        <v>0</v>
      </c>
      <c r="W39" s="104">
        <f>IF(Q39&gt;=(Assumptions!$D$32+1),IF(Q39&lt;=Assumptions!$D$10,IF(Q39&gt;=Assumptions!$D$32,TREND($N$26:$N$27,$M$26:$M$27,Q39),0),0),0)</f>
        <v>0</v>
      </c>
      <c r="X39" s="110">
        <f t="shared" si="8"/>
        <v>0</v>
      </c>
      <c r="Y39" s="103">
        <f t="shared" si="9"/>
        <v>0</v>
      </c>
      <c r="Z39" s="102">
        <f t="shared" si="10"/>
        <v>0</v>
      </c>
      <c r="AA39" s="104">
        <f t="shared" si="11"/>
        <v>0</v>
      </c>
      <c r="AB39" s="110">
        <f t="shared" si="12"/>
        <v>0</v>
      </c>
      <c r="AC39" s="103">
        <f t="shared" si="13"/>
        <v>0</v>
      </c>
    </row>
    <row r="40" spans="1:29" ht="15" customHeight="1" outlineLevel="1" x14ac:dyDescent="0.25">
      <c r="B40" s="187">
        <f t="shared" si="5"/>
        <v>2060</v>
      </c>
      <c r="C40" s="275">
        <f t="shared" si="0"/>
        <v>0</v>
      </c>
      <c r="D40" s="272">
        <f t="shared" si="1"/>
        <v>0</v>
      </c>
      <c r="E40" s="275">
        <f t="shared" si="2"/>
        <v>0</v>
      </c>
      <c r="F40" s="276">
        <f t="shared" si="3"/>
        <v>0</v>
      </c>
      <c r="G40" s="277">
        <f t="shared" si="4"/>
        <v>0</v>
      </c>
      <c r="H40" s="278">
        <f>G40*(1+0.07)^-(B40-Assumptions!$D$7)</f>
        <v>0</v>
      </c>
      <c r="Q40" s="187">
        <v>2057</v>
      </c>
      <c r="R40" s="71">
        <f>IF(Q40&gt;=(Assumptions!$D$32+1),IF(Q40&lt;=Assumptions!$D$10,IF(Q40&gt;=Assumptions!$D$32,TREND($L$20:$L$21,$K$20:$K$21,Q40),0),0),0)</f>
        <v>0</v>
      </c>
      <c r="S40" s="104">
        <f>IF(Q40&gt;=(Assumptions!$D$32+1),IF(Q40&lt;=Assumptions!$D$10,IF(Q40&gt;=Assumptions!$D$32,TREND($L$26:$L$27,$K$26:$K$27,Q40),0),0),0)</f>
        <v>0</v>
      </c>
      <c r="T40" s="110">
        <f t="shared" si="6"/>
        <v>0</v>
      </c>
      <c r="U40" s="103">
        <f t="shared" si="7"/>
        <v>0</v>
      </c>
      <c r="V40" s="71">
        <f>IF(Q40&gt;=(Assumptions!$D$32+1),IF(Q40&lt;=Assumptions!$D$10,IF(Q40&gt;=Assumptions!$D$32,TREND($N$20:$N$21,$M$20:$M$21,Q40),0),0),0)</f>
        <v>0</v>
      </c>
      <c r="W40" s="104">
        <f>IF(Q40&gt;=(Assumptions!$D$32+1),IF(Q40&lt;=Assumptions!$D$10,IF(Q40&gt;=Assumptions!$D$32,TREND($N$26:$N$27,$M$26:$M$27,Q40),0),0),0)</f>
        <v>0</v>
      </c>
      <c r="X40" s="110">
        <f t="shared" si="8"/>
        <v>0</v>
      </c>
      <c r="Y40" s="103">
        <f t="shared" si="9"/>
        <v>0</v>
      </c>
      <c r="Z40" s="102">
        <f t="shared" si="10"/>
        <v>0</v>
      </c>
      <c r="AA40" s="104">
        <f t="shared" si="11"/>
        <v>0</v>
      </c>
      <c r="AB40" s="110">
        <f t="shared" si="12"/>
        <v>0</v>
      </c>
      <c r="AC40" s="103">
        <f t="shared" si="13"/>
        <v>0</v>
      </c>
    </row>
    <row r="41" spans="1:29" ht="15" customHeight="1" outlineLevel="1" thickBot="1" x14ac:dyDescent="0.3">
      <c r="B41" s="169">
        <f t="shared" si="5"/>
        <v>2061</v>
      </c>
      <c r="C41" s="279">
        <f t="shared" si="0"/>
        <v>0</v>
      </c>
      <c r="D41" s="280">
        <f t="shared" si="1"/>
        <v>0</v>
      </c>
      <c r="E41" s="279">
        <f t="shared" si="2"/>
        <v>0</v>
      </c>
      <c r="F41" s="281">
        <f t="shared" si="3"/>
        <v>0</v>
      </c>
      <c r="G41" s="282">
        <f t="shared" si="4"/>
        <v>0</v>
      </c>
      <c r="H41" s="283">
        <f>G41*(1+0.07)^-(B41-Assumptions!$D$7)</f>
        <v>0</v>
      </c>
      <c r="I41" s="33"/>
      <c r="Q41" s="187">
        <v>2058</v>
      </c>
      <c r="R41" s="71">
        <f>IF(Q41&gt;=(Assumptions!$D$32+1),IF(Q41&lt;=Assumptions!$D$10,IF(Q41&gt;=Assumptions!$D$32,TREND($L$20:$L$21,$K$20:$K$21,Q41),0),0),0)</f>
        <v>0</v>
      </c>
      <c r="S41" s="104">
        <f>IF(Q41&gt;=(Assumptions!$D$32+1),IF(Q41&lt;=Assumptions!$D$10,IF(Q41&gt;=Assumptions!$D$32,TREND($L$26:$L$27,$K$26:$K$27,Q41),0),0),0)</f>
        <v>0</v>
      </c>
      <c r="T41" s="110">
        <f t="shared" si="6"/>
        <v>0</v>
      </c>
      <c r="U41" s="103">
        <f t="shared" si="7"/>
        <v>0</v>
      </c>
      <c r="V41" s="71">
        <f>IF(Q41&gt;=(Assumptions!$D$32+1),IF(Q41&lt;=Assumptions!$D$10,IF(Q41&gt;=Assumptions!$D$32,TREND($N$20:$N$21,$M$20:$M$21,Q41),0),0),0)</f>
        <v>0</v>
      </c>
      <c r="W41" s="104">
        <f>IF(Q41&gt;=(Assumptions!$D$32+1),IF(Q41&lt;=Assumptions!$D$10,IF(Q41&gt;=Assumptions!$D$32,TREND($N$26:$N$27,$M$26:$M$27,Q41),0),0),0)</f>
        <v>0</v>
      </c>
      <c r="X41" s="110">
        <f t="shared" si="8"/>
        <v>0</v>
      </c>
      <c r="Y41" s="103">
        <f t="shared" si="9"/>
        <v>0</v>
      </c>
      <c r="Z41" s="102">
        <f t="shared" si="10"/>
        <v>0</v>
      </c>
      <c r="AA41" s="104">
        <f t="shared" si="11"/>
        <v>0</v>
      </c>
      <c r="AB41" s="110">
        <f t="shared" si="12"/>
        <v>0</v>
      </c>
      <c r="AC41" s="103">
        <f t="shared" si="13"/>
        <v>0</v>
      </c>
    </row>
    <row r="42" spans="1:29" ht="15" customHeight="1" thickBot="1" x14ac:dyDescent="0.3">
      <c r="G42" s="177" t="s">
        <v>2</v>
      </c>
      <c r="H42" s="284">
        <f>SUM(H6:H41)</f>
        <v>1355167.5913477936</v>
      </c>
      <c r="I42" s="36"/>
      <c r="Q42" s="187">
        <v>2059</v>
      </c>
      <c r="R42" s="71">
        <f>IF(Q42&gt;=(Assumptions!$D$32+1),IF(Q42&lt;=Assumptions!$D$10,IF(Q42&gt;=Assumptions!$D$32,TREND($L$20:$L$21,$K$20:$K$21,Q42),0),0),0)</f>
        <v>0</v>
      </c>
      <c r="S42" s="104">
        <f>IF(Q42&gt;=(Assumptions!$D$32+1),IF(Q42&lt;=Assumptions!$D$10,IF(Q42&gt;=Assumptions!$D$32,TREND($L$26:$L$27,$K$26:$K$27,Q42),0),0),0)</f>
        <v>0</v>
      </c>
      <c r="T42" s="110">
        <f t="shared" si="6"/>
        <v>0</v>
      </c>
      <c r="U42" s="103">
        <f t="shared" si="7"/>
        <v>0</v>
      </c>
      <c r="V42" s="71">
        <f>IF(Q42&gt;=(Assumptions!$D$32+1),IF(Q42&lt;=Assumptions!$D$10,IF(Q42&gt;=Assumptions!$D$32,TREND($N$20:$N$21,$M$20:$M$21,Q42),0),0),0)</f>
        <v>0</v>
      </c>
      <c r="W42" s="104">
        <f>IF(Q42&gt;=(Assumptions!$D$32+1),IF(Q42&lt;=Assumptions!$D$10,IF(Q42&gt;=Assumptions!$D$32,TREND($N$26:$N$27,$M$26:$M$27,Q42),0),0),0)</f>
        <v>0</v>
      </c>
      <c r="X42" s="110">
        <f t="shared" si="8"/>
        <v>0</v>
      </c>
      <c r="Y42" s="103">
        <f t="shared" si="9"/>
        <v>0</v>
      </c>
      <c r="Z42" s="102">
        <f t="shared" si="10"/>
        <v>0</v>
      </c>
      <c r="AA42" s="104">
        <f t="shared" si="11"/>
        <v>0</v>
      </c>
      <c r="AB42" s="110">
        <f t="shared" si="12"/>
        <v>0</v>
      </c>
      <c r="AC42" s="103">
        <f t="shared" si="13"/>
        <v>0</v>
      </c>
    </row>
    <row r="43" spans="1:29" ht="15.75" thickBot="1" x14ac:dyDescent="0.3">
      <c r="B43" s="51"/>
      <c r="C43" s="52"/>
      <c r="D43" s="49"/>
      <c r="E43" s="49"/>
      <c r="F43" s="49"/>
      <c r="G43" s="49"/>
      <c r="H43" s="49"/>
      <c r="Q43" s="169">
        <v>2060</v>
      </c>
      <c r="R43" s="73">
        <f>IF(Q43&gt;=(Assumptions!$D$32+1),IF(Q43&lt;=Assumptions!$D$10,IF(Q43&gt;=Assumptions!$D$32,TREND($L$20:$L$21,$K$20:$K$21,Q43),0),0),0)</f>
        <v>0</v>
      </c>
      <c r="S43" s="101">
        <f>IF(Q43&gt;=(Assumptions!$D$32+1),IF(Q43&lt;=Assumptions!$D$10,IF(Q43&gt;=Assumptions!$D$32,TREND($L$26:$L$27,$K$26:$K$27,Q43),0),0),0)</f>
        <v>0</v>
      </c>
      <c r="T43" s="96">
        <f t="shared" si="6"/>
        <v>0</v>
      </c>
      <c r="U43" s="100">
        <f t="shared" si="7"/>
        <v>0</v>
      </c>
      <c r="V43" s="73">
        <f>IF(Q43&gt;=(Assumptions!$D$32+1),IF(Q43&lt;=Assumptions!$D$10,IF(Q43&gt;=Assumptions!$D$32,TREND($N$20:$N$21,$M$20:$M$21,Q43),0),0),0)</f>
        <v>0</v>
      </c>
      <c r="W43" s="101">
        <f>IF(Q43&gt;=(Assumptions!$D$32+1),IF(Q43&lt;=Assumptions!$D$10,IF(Q43&gt;=Assumptions!$D$32,TREND($N$26:$N$27,$M$26:$M$27,Q43),0),0),0)</f>
        <v>0</v>
      </c>
      <c r="X43" s="96">
        <f t="shared" si="8"/>
        <v>0</v>
      </c>
      <c r="Y43" s="100">
        <f t="shared" si="9"/>
        <v>0</v>
      </c>
      <c r="Z43" s="99">
        <f t="shared" si="10"/>
        <v>0</v>
      </c>
      <c r="AA43" s="101">
        <f t="shared" si="11"/>
        <v>0</v>
      </c>
      <c r="AB43" s="96">
        <f t="shared" si="12"/>
        <v>0</v>
      </c>
      <c r="AC43" s="100">
        <f t="shared" si="13"/>
        <v>0</v>
      </c>
    </row>
    <row r="45" spans="1:29" ht="15" customHeight="1" x14ac:dyDescent="0.25"/>
    <row r="46" spans="1:29" ht="15" customHeight="1" x14ac:dyDescent="0.25">
      <c r="A46" s="2"/>
      <c r="B46" s="1" t="s">
        <v>3</v>
      </c>
      <c r="C46" s="1"/>
      <c r="K46" s="1"/>
      <c r="L46" s="1"/>
      <c r="M46" s="1"/>
      <c r="N46" s="1"/>
      <c r="O46" s="1"/>
      <c r="P46" s="1"/>
    </row>
    <row r="47" spans="1:29" ht="15" customHeight="1" x14ac:dyDescent="0.25">
      <c r="A47" s="2" t="s">
        <v>19</v>
      </c>
      <c r="B47" s="415" t="s">
        <v>707</v>
      </c>
      <c r="C47" s="415"/>
      <c r="D47" s="415"/>
      <c r="E47" s="415"/>
      <c r="F47" s="415"/>
      <c r="G47" s="415"/>
      <c r="K47" s="1"/>
      <c r="L47" s="1"/>
      <c r="M47" s="1"/>
      <c r="N47" s="1"/>
      <c r="O47" s="1"/>
    </row>
    <row r="48" spans="1:29" ht="15" customHeight="1" x14ac:dyDescent="0.25">
      <c r="A48" s="2"/>
      <c r="B48" s="415"/>
      <c r="C48" s="415"/>
      <c r="D48" s="415"/>
      <c r="E48" s="415"/>
      <c r="F48" s="415"/>
      <c r="G48" s="415"/>
      <c r="H48" s="20"/>
      <c r="K48" s="1"/>
      <c r="L48" s="1"/>
      <c r="M48" s="1"/>
      <c r="N48" s="1"/>
      <c r="O48" s="1"/>
    </row>
    <row r="49" spans="1:15" ht="15" customHeight="1" x14ac:dyDescent="0.25">
      <c r="A49" s="2"/>
      <c r="B49" s="415"/>
      <c r="C49" s="415"/>
      <c r="D49" s="415"/>
      <c r="E49" s="415"/>
      <c r="F49" s="415"/>
      <c r="G49" s="415"/>
      <c r="K49" s="1"/>
      <c r="L49" s="1"/>
      <c r="M49" s="1"/>
      <c r="N49" s="1"/>
      <c r="O49" s="1"/>
    </row>
    <row r="50" spans="1:15" ht="15" customHeight="1" x14ac:dyDescent="0.25">
      <c r="A50" s="2"/>
      <c r="B50" s="415"/>
      <c r="C50" s="415"/>
      <c r="D50" s="415"/>
      <c r="E50" s="415"/>
      <c r="F50" s="415"/>
      <c r="G50" s="415"/>
    </row>
    <row r="51" spans="1:15" ht="15" customHeight="1" x14ac:dyDescent="0.25">
      <c r="A51" s="2"/>
      <c r="B51" s="415"/>
      <c r="C51" s="415"/>
      <c r="D51" s="415"/>
      <c r="E51" s="415"/>
      <c r="F51" s="415"/>
      <c r="G51" s="415"/>
    </row>
    <row r="52" spans="1:15" ht="15" customHeight="1" x14ac:dyDescent="0.25">
      <c r="A52" s="2"/>
      <c r="B52" s="415"/>
      <c r="C52" s="415"/>
      <c r="D52" s="415"/>
      <c r="E52" s="415"/>
      <c r="F52" s="415"/>
      <c r="G52" s="415"/>
    </row>
    <row r="53" spans="1:15" x14ac:dyDescent="0.25">
      <c r="A53" s="2"/>
      <c r="B53" s="8"/>
      <c r="C53" s="8"/>
      <c r="D53" s="8"/>
      <c r="E53" s="8"/>
      <c r="F53" s="8"/>
      <c r="G53" s="8"/>
    </row>
    <row r="54" spans="1:15" ht="15" customHeight="1" x14ac:dyDescent="0.25">
      <c r="A54" s="2" t="s">
        <v>25</v>
      </c>
      <c r="B54" s="415" t="s">
        <v>243</v>
      </c>
      <c r="C54" s="415"/>
      <c r="D54" s="415"/>
      <c r="E54" s="415"/>
      <c r="F54" s="415"/>
      <c r="G54" s="415"/>
    </row>
    <row r="55" spans="1:15" ht="15" customHeight="1" x14ac:dyDescent="0.25">
      <c r="A55" s="2"/>
      <c r="B55" s="415"/>
      <c r="C55" s="415"/>
      <c r="D55" s="415"/>
      <c r="E55" s="415"/>
      <c r="F55" s="415"/>
      <c r="G55" s="415"/>
    </row>
    <row r="56" spans="1:15" ht="15" customHeight="1" x14ac:dyDescent="0.25">
      <c r="A56" s="2"/>
      <c r="B56" s="29"/>
      <c r="C56" s="29"/>
      <c r="D56" s="29"/>
      <c r="E56" s="29"/>
      <c r="F56" s="29"/>
      <c r="G56" s="29"/>
    </row>
    <row r="57" spans="1:15" ht="15" customHeight="1" x14ac:dyDescent="0.25">
      <c r="A57" s="2" t="s">
        <v>26</v>
      </c>
      <c r="B57" s="415" t="s">
        <v>81</v>
      </c>
      <c r="C57" s="415"/>
      <c r="D57" s="415"/>
      <c r="E57" s="415"/>
      <c r="F57" s="415"/>
      <c r="G57" s="415"/>
    </row>
    <row r="58" spans="1:15" ht="15" customHeight="1" x14ac:dyDescent="0.25">
      <c r="A58" s="2"/>
      <c r="B58" s="415"/>
      <c r="C58" s="415"/>
      <c r="D58" s="415"/>
      <c r="E58" s="415"/>
      <c r="F58" s="415"/>
      <c r="G58" s="415"/>
    </row>
    <row r="59" spans="1:15" ht="15" customHeight="1" x14ac:dyDescent="0.25">
      <c r="A59" s="2"/>
      <c r="B59" s="415"/>
      <c r="C59" s="415"/>
      <c r="D59" s="415"/>
      <c r="E59" s="415"/>
      <c r="F59" s="415"/>
      <c r="G59" s="415"/>
    </row>
    <row r="60" spans="1:15" x14ac:dyDescent="0.25">
      <c r="A60" s="2"/>
      <c r="B60" s="415"/>
      <c r="C60" s="415"/>
      <c r="D60" s="415"/>
      <c r="E60" s="415"/>
      <c r="F60" s="415"/>
      <c r="G60" s="415"/>
    </row>
    <row r="61" spans="1:15" ht="15" customHeight="1" x14ac:dyDescent="0.25"/>
    <row r="62" spans="1:15" ht="15" customHeight="1" x14ac:dyDescent="0.25"/>
    <row r="63" spans="1:15" x14ac:dyDescent="0.25">
      <c r="A63" s="2"/>
      <c r="B63" s="8"/>
      <c r="C63" s="8"/>
      <c r="D63" s="8"/>
      <c r="E63" s="8"/>
      <c r="F63" s="8"/>
      <c r="G63" s="8"/>
    </row>
    <row r="64" spans="1:15" x14ac:dyDescent="0.25">
      <c r="A64" s="2"/>
      <c r="B64" s="8"/>
      <c r="C64" s="8"/>
      <c r="D64" s="8"/>
      <c r="E64" s="8"/>
      <c r="F64" s="8"/>
    </row>
    <row r="65" spans="1:7" ht="15" customHeight="1" x14ac:dyDescent="0.25">
      <c r="A65" s="2"/>
      <c r="B65" s="8"/>
      <c r="C65" s="8"/>
      <c r="D65" s="8"/>
      <c r="E65" s="8"/>
      <c r="F65" s="8"/>
    </row>
    <row r="66" spans="1:7" ht="15" customHeight="1" x14ac:dyDescent="0.25"/>
    <row r="68" spans="1:7" ht="15" customHeight="1" x14ac:dyDescent="0.25"/>
    <row r="71" spans="1:7" ht="15" customHeight="1" x14ac:dyDescent="0.25"/>
    <row r="73" spans="1:7" ht="15" customHeight="1" x14ac:dyDescent="0.25"/>
    <row r="74" spans="1:7" ht="21" customHeight="1" x14ac:dyDescent="0.25">
      <c r="A74" s="2"/>
      <c r="B74" s="8"/>
      <c r="C74" s="8"/>
      <c r="D74" s="8"/>
      <c r="E74" s="8"/>
      <c r="F74" s="8"/>
      <c r="G74" s="8"/>
    </row>
    <row r="75" spans="1:7" x14ac:dyDescent="0.25">
      <c r="A75" s="2"/>
      <c r="B75" s="8"/>
      <c r="C75" s="8"/>
      <c r="D75" s="8"/>
      <c r="E75" s="8"/>
      <c r="F75" s="8"/>
    </row>
    <row r="76" spans="1:7" x14ac:dyDescent="0.25">
      <c r="A76" s="2"/>
    </row>
  </sheetData>
  <mergeCells count="14">
    <mergeCell ref="H4:H5"/>
    <mergeCell ref="K5:L5"/>
    <mergeCell ref="B4:B5"/>
    <mergeCell ref="C4:C5"/>
    <mergeCell ref="D4:D5"/>
    <mergeCell ref="E4:E5"/>
    <mergeCell ref="F4:F5"/>
    <mergeCell ref="G4:G5"/>
    <mergeCell ref="B57:G60"/>
    <mergeCell ref="R6:U6"/>
    <mergeCell ref="V6:Y6"/>
    <mergeCell ref="Z6:AC6"/>
    <mergeCell ref="B54:G55"/>
    <mergeCell ref="B47:G52"/>
  </mergeCells>
  <pageMargins left="0.25" right="0.25" top="0.75" bottom="0.75" header="0.3" footer="0.3"/>
  <pageSetup scale="24" orientation="landscape"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5">
    <tabColor rgb="FF00B050"/>
    <pageSetUpPr fitToPage="1"/>
  </sheetPr>
  <dimension ref="A1:AH116"/>
  <sheetViews>
    <sheetView view="pageBreakPreview" zoomScale="70" zoomScaleNormal="70" zoomScaleSheetLayoutView="70" workbookViewId="0">
      <selection activeCell="B2" sqref="B2"/>
    </sheetView>
  </sheetViews>
  <sheetFormatPr defaultRowHeight="15" x14ac:dyDescent="0.25"/>
  <cols>
    <col min="1" max="1" width="7.7109375" customWidth="1"/>
    <col min="2" max="2" width="25.28515625" customWidth="1"/>
    <col min="3" max="4" width="14.5703125" bestFit="1" customWidth="1"/>
    <col min="5" max="5" width="19.42578125" bestFit="1" customWidth="1"/>
    <col min="6" max="6" width="20.140625" customWidth="1"/>
    <col min="7" max="7" width="9.140625" collapsed="1"/>
    <col min="8" max="8" width="49.85546875" customWidth="1"/>
    <col min="9" max="9" width="14.42578125" customWidth="1"/>
    <col min="10" max="10" width="10.85546875" bestFit="1" customWidth="1"/>
    <col min="11" max="11" width="10" bestFit="1" customWidth="1"/>
    <col min="12" max="12" width="9.28515625" bestFit="1" customWidth="1" collapsed="1"/>
    <col min="13" max="13" width="8.42578125" bestFit="1" customWidth="1"/>
    <col min="16" max="16" width="13.140625" bestFit="1" customWidth="1"/>
    <col min="17" max="17" width="5.85546875" bestFit="1" customWidth="1"/>
    <col min="18" max="20" width="4.85546875" bestFit="1" customWidth="1"/>
    <col min="21" max="21" width="4.85546875" customWidth="1"/>
    <col min="22" max="22" width="5.85546875" customWidth="1"/>
    <col min="23" max="23" width="16.85546875" customWidth="1"/>
    <col min="27" max="27" width="5.85546875" bestFit="1" customWidth="1"/>
    <col min="28" max="30" width="4.85546875" bestFit="1" customWidth="1"/>
    <col min="31" max="31" width="4.85546875" customWidth="1"/>
    <col min="32" max="32" width="5.85546875" customWidth="1"/>
    <col min="33" max="33" width="61.5703125" bestFit="1" customWidth="1"/>
    <col min="34" max="34" width="16.85546875" bestFit="1" customWidth="1"/>
  </cols>
  <sheetData>
    <row r="1" spans="1:34" ht="15" customHeight="1" x14ac:dyDescent="0.25">
      <c r="A1" s="221"/>
      <c r="B1" s="54"/>
      <c r="C1" s="54"/>
      <c r="D1" s="54"/>
      <c r="E1" s="54"/>
      <c r="F1" s="54"/>
    </row>
    <row r="2" spans="1:34" ht="15.75" thickBot="1" x14ac:dyDescent="0.3">
      <c r="B2" s="1" t="s">
        <v>176</v>
      </c>
      <c r="C2" s="1"/>
      <c r="D2" s="1"/>
    </row>
    <row r="3" spans="1:34" ht="15.75" thickBot="1" x14ac:dyDescent="0.3">
      <c r="B3" s="1"/>
      <c r="C3" s="430" t="s">
        <v>85</v>
      </c>
      <c r="D3" s="431"/>
      <c r="E3" s="431"/>
      <c r="F3" s="432"/>
    </row>
    <row r="4" spans="1:34" ht="30" customHeight="1" x14ac:dyDescent="0.25">
      <c r="B4" s="422" t="s">
        <v>0</v>
      </c>
      <c r="C4" s="422" t="s">
        <v>39</v>
      </c>
      <c r="D4" s="422" t="s">
        <v>40</v>
      </c>
      <c r="E4" s="433" t="s">
        <v>37</v>
      </c>
      <c r="F4" s="419" t="s">
        <v>1</v>
      </c>
      <c r="H4" s="40" t="s">
        <v>137</v>
      </c>
      <c r="I4" s="53"/>
      <c r="J4" s="53"/>
      <c r="K4" s="53"/>
      <c r="L4" s="53"/>
      <c r="M4" s="53"/>
    </row>
    <row r="5" spans="1:34" ht="30" customHeight="1" thickBot="1" x14ac:dyDescent="0.3">
      <c r="B5" s="423"/>
      <c r="C5" s="423"/>
      <c r="D5" s="423"/>
      <c r="E5" s="434"/>
      <c r="F5" s="420"/>
      <c r="H5" s="26" t="s">
        <v>70</v>
      </c>
      <c r="I5" s="26" t="s">
        <v>20</v>
      </c>
      <c r="J5" s="26" t="s">
        <v>21</v>
      </c>
      <c r="K5" s="26" t="s">
        <v>22</v>
      </c>
      <c r="L5" s="26" t="s">
        <v>23</v>
      </c>
      <c r="M5" s="26" t="s">
        <v>24</v>
      </c>
      <c r="P5" s="1" t="s">
        <v>831</v>
      </c>
      <c r="Z5" s="1" t="s">
        <v>832</v>
      </c>
    </row>
    <row r="6" spans="1:34" x14ac:dyDescent="0.25">
      <c r="B6" s="222">
        <f>Assumptions!$D$9</f>
        <v>2026</v>
      </c>
      <c r="C6" s="261">
        <f>IFERROR(_xlfn.XLOOKUP($B6,$Q$7:$Q$51,$W$7:$W$51,0,0,1),0)</f>
        <v>265.05847953216374</v>
      </c>
      <c r="D6" s="261">
        <f>IFERROR(_xlfn.XLOOKUP($B6,$AA$7:$AA$51,$AH$7:$AH$51,0,0,1),0)</f>
        <v>536.91111111111081</v>
      </c>
      <c r="E6" s="262">
        <f t="shared" ref="E6" si="0">C6-D6</f>
        <v>-271.85263157894707</v>
      </c>
      <c r="F6" s="263">
        <f>E6*(1+0.07)^-(B6-Assumptions!$D$7)</f>
        <v>-193.82716917205474</v>
      </c>
      <c r="H6" s="26" t="s">
        <v>44</v>
      </c>
      <c r="I6" s="31">
        <v>11800000</v>
      </c>
      <c r="J6" s="31">
        <v>564300</v>
      </c>
      <c r="K6" s="31">
        <v>153700</v>
      </c>
      <c r="L6" s="31">
        <v>78500</v>
      </c>
      <c r="M6" s="31">
        <v>4000</v>
      </c>
      <c r="P6" s="435" t="s">
        <v>36</v>
      </c>
      <c r="Q6" s="26" t="s">
        <v>33</v>
      </c>
      <c r="R6" s="26" t="s">
        <v>20</v>
      </c>
      <c r="S6" s="37" t="s">
        <v>21</v>
      </c>
      <c r="T6" s="37" t="s">
        <v>22</v>
      </c>
      <c r="U6" s="37" t="s">
        <v>23</v>
      </c>
      <c r="V6" s="37" t="s">
        <v>24</v>
      </c>
      <c r="W6" s="37" t="s">
        <v>136</v>
      </c>
      <c r="Z6" s="438" t="s">
        <v>14</v>
      </c>
      <c r="AA6" s="26" t="s">
        <v>33</v>
      </c>
      <c r="AB6" s="26" t="s">
        <v>20</v>
      </c>
      <c r="AC6" s="37" t="s">
        <v>21</v>
      </c>
      <c r="AD6" s="37" t="s">
        <v>22</v>
      </c>
      <c r="AE6" s="37" t="s">
        <v>23</v>
      </c>
      <c r="AF6" s="37" t="s">
        <v>24</v>
      </c>
      <c r="AG6" s="26" t="s">
        <v>680</v>
      </c>
      <c r="AH6" s="37" t="s">
        <v>136</v>
      </c>
    </row>
    <row r="7" spans="1:34" x14ac:dyDescent="0.25">
      <c r="B7" s="153">
        <f>B6+1</f>
        <v>2027</v>
      </c>
      <c r="C7" s="264">
        <f t="shared" ref="C7:C35" si="1">IFERROR(_xlfn.XLOOKUP($B7,$Q$7:$Q$51,$W$7:$W$51,0,0,1),0)</f>
        <v>266.84941520467851</v>
      </c>
      <c r="D7" s="264">
        <f t="shared" ref="D7:D35" si="2">IFERROR(_xlfn.XLOOKUP($B7,$AA$7:$AA$51,$AH$7:$AH$51,0,0,1),0)</f>
        <v>540.53888888888798</v>
      </c>
      <c r="E7" s="265">
        <f t="shared" ref="E7:E35" si="3">C7-D7</f>
        <v>-273.68947368420947</v>
      </c>
      <c r="F7" s="266">
        <f>E7*(1+0.07)^-(B7-Assumptions!$D$7)</f>
        <v>-182.37085252990704</v>
      </c>
      <c r="P7" s="436"/>
      <c r="Q7" s="57">
        <f>H14</f>
        <v>2022</v>
      </c>
      <c r="R7" s="58" cm="1">
        <f t="array" ref="R7">_xlfn.SINGLE(IF(Q7&gt;=(Assumptions!$D$32+1),IF(Q7&lt;=Assumptions!$D$10,IF(Q7&gt;=Assumptions!$D$32,(((TREND($J$14:$J$15,$H$14:$H$15,$Q7)/$J$14)/5)*I$10)*((TREND($I$14:$I$15,$H$14:$H$15,Q7)/TREND($J$14:$J$15,$H$14:$H$15,Q7))),0),0),0))</f>
        <v>0</v>
      </c>
      <c r="S7" s="58" cm="1">
        <f t="array" ref="S7">_xlfn.SINGLE(IF(Q7&gt;=(Assumptions!$D$32+1),IF(Q7&lt;=Assumptions!$D$10,IF(Q7&gt;=Assumptions!$D$32,(((TREND($J$14:$J$15,$H$14:$H$15,$Q7)/$J$14)/5)*J$10)*((TREND($I$14:$I$15,$H$14:$H$15,Q7)/TREND($J$14:$J$15,$H$14:$H$15,Q7))),0),0),0))</f>
        <v>0</v>
      </c>
      <c r="T7" s="58" cm="1">
        <f t="array" ref="T7">_xlfn.SINGLE(IF(Q7&gt;=(Assumptions!$D$32+1),IF(Q7&lt;=Assumptions!$D$10,IF(Q7&gt;=Assumptions!$D$32,(((TREND($J$14:$J$15,$H$14:$H$15,$Q7)/$J$14)/5)*K$10)*((TREND($I$14:$I$15,$H$14:$H$15,Q7)/TREND($J$14:$J$15,$H$14:$H$15,Q7))),0),0),0))</f>
        <v>0</v>
      </c>
      <c r="U7" s="58" cm="1">
        <f t="array" ref="U7">_xlfn.SINGLE(IF(Q7&gt;=(Assumptions!$D$32+1),IF(Q7&lt;=Assumptions!$D$10,IF(Q7&gt;=Assumptions!$D$32,(((TREND($J$14:$J$15,$H$14:$H$15,$Q7)/$J$14)/5)*L$10)*((TREND($I$14:$I$15,$H$14:$H$15,Q7)/TREND($J$14:$J$15,$H$14:$H$15,Q7))),0),0),0))</f>
        <v>0</v>
      </c>
      <c r="V7" s="58" cm="1">
        <f t="array" ref="V7">_xlfn.SINGLE(IF(Q7&gt;=(Assumptions!$D$32+1),IF(Q7&lt;=Assumptions!$D$10,IF(Q7&gt;=Assumptions!$D$32,(((TREND($J$14:$J$15,$H$14:$H$15,$Q7)/$J$14)/5)*M$10)*((TREND($I$14:$I$15,$H$14:$H$15,Q7)/TREND($J$14:$J$15,$H$14:$H$15,Q7))),0),0),0))</f>
        <v>0</v>
      </c>
      <c r="W7" s="109">
        <f t="shared" ref="W7:W51" si="4">SUMPRODUCT($I$6:$M$6,R7:V7)</f>
        <v>0</v>
      </c>
      <c r="Z7" s="438"/>
      <c r="AA7" s="57">
        <f>$H$14</f>
        <v>2022</v>
      </c>
      <c r="AB7" s="58" cm="1">
        <f t="array" ref="AB7">_xlfn.SINGLE(IF(AA7&gt;=(Assumptions!$D$32+1),IF(AA7&lt;=Assumptions!$D$10,IF(AA7&gt;=Assumptions!$D$32,((TREND($J$14:$J$15,$H$14:$H$15,$AA7)/$J$14)/5)*I$10*$AG7,0),0),0))</f>
        <v>0</v>
      </c>
      <c r="AC7" s="58" cm="1">
        <f t="array" ref="AC7">_xlfn.SINGLE(IF(AA7&gt;=(Assumptions!$D$32+1),IF(AA7&lt;=Assumptions!$D$10,IF(AA7&gt;=Assumptions!$D$32,((TREND($J$14:$J$15,$H$14:$H$15,$AA7)/$J$14)/5)*J$10*$AG7,0),0),0))</f>
        <v>0</v>
      </c>
      <c r="AD7" s="58" cm="1">
        <f t="array" ref="AD7">_xlfn.SINGLE(IF(AA7&gt;=(Assumptions!$D$32+1),IF(AA7&lt;=Assumptions!$D$10,IF(AA7&gt;=Assumptions!$D$32,((TREND($J$14:$J$15,$H$14:$H$15,$AA7)/$J$14)/5)*K$10*$AG7,0),0),0))</f>
        <v>0</v>
      </c>
      <c r="AE7" s="58" cm="1">
        <f t="array" ref="AE7">_xlfn.SINGLE(IF(AA7&gt;=(Assumptions!$D$32+1),IF(AA7&lt;=Assumptions!$D$10,IF(AA7&gt;=Assumptions!$D$32,((TREND($J$14:$J$15,$H$14:$H$15,$AA7)/$J$14)/5)*L$10*$AG7,0),0),0))</f>
        <v>0</v>
      </c>
      <c r="AF7" s="58" cm="1">
        <f t="array" ref="AF7">_xlfn.SINGLE(IF(AA7&gt;=(Assumptions!$D$32+1),IF(AA7&lt;=Assumptions!$D$10,IF(AA7&gt;=Assumptions!$D$32,((TREND($J$14:$J$15,$H$14:$H$15,$AA7)/$J$14)/5)*M$10*$AG7,0),0),0))</f>
        <v>0</v>
      </c>
      <c r="AG7" s="58">
        <f>IF(Q7&gt;=(Assumptions!$D$32+1),IF(Q7&lt;=Assumptions!$D$10,IF(Q6&gt;=Assumptions!$D$32,$I$19,0),0),0)</f>
        <v>0</v>
      </c>
      <c r="AH7" s="109">
        <f t="shared" ref="AH7:AH51" si="5">SUMPRODUCT($I$6:$M$6,AB7:AF7)</f>
        <v>0</v>
      </c>
    </row>
    <row r="8" spans="1:34" ht="15" customHeight="1" x14ac:dyDescent="0.25">
      <c r="B8" s="153">
        <f t="shared" ref="B8:B35" si="6">B7+1</f>
        <v>2028</v>
      </c>
      <c r="C8" s="264">
        <f t="shared" si="1"/>
        <v>268.64035087719282</v>
      </c>
      <c r="D8" s="264">
        <f t="shared" si="2"/>
        <v>544.16666666666629</v>
      </c>
      <c r="E8" s="265">
        <f t="shared" si="3"/>
        <v>-275.52631578947347</v>
      </c>
      <c r="F8" s="266">
        <f>E8*(1+0.07)^-(B8-Assumptions!$D$7)</f>
        <v>-171.58394204030694</v>
      </c>
      <c r="H8" s="1" t="s">
        <v>225</v>
      </c>
      <c r="P8" s="436"/>
      <c r="Q8" s="57">
        <f>Q7+1</f>
        <v>2023</v>
      </c>
      <c r="R8" s="58" cm="1">
        <f t="array" ref="R8">_xlfn.SINGLE(IF(Q8&gt;=(Assumptions!$D$32+1),IF(Q8&lt;=Assumptions!$D$10,IF(Q8&gt;=Assumptions!$D$32,(((TREND($J$14:$J$15,$H$14:$H$15,$Q8)/$J$14)/5)*I$10)*((TREND($I$14:$I$15,$H$14:$H$15,Q8)/TREND($J$14:$J$15,$H$14:$H$15,Q8))),0),0),0))</f>
        <v>0</v>
      </c>
      <c r="S8" s="58" cm="1">
        <f t="array" ref="S8">_xlfn.SINGLE(IF(Q8&gt;=(Assumptions!$D$32+1),IF(Q8&lt;=Assumptions!$D$10,IF(Q8&gt;=Assumptions!$D$32,(((TREND($J$14:$J$15,$H$14:$H$15,$Q8)/$J$14)/5)*J$10)*((TREND($I$14:$I$15,$H$14:$H$15,Q8)/TREND($J$14:$J$15,$H$14:$H$15,Q8))),0),0),0))</f>
        <v>0</v>
      </c>
      <c r="T8" s="58" cm="1">
        <f t="array" ref="T8">_xlfn.SINGLE(IF(Q8&gt;=(Assumptions!$D$32+1),IF(Q8&lt;=Assumptions!$D$10,IF(Q8&gt;=Assumptions!$D$32,(((TREND($J$14:$J$15,$H$14:$H$15,$Q8)/$J$14)/5)*K$10)*((TREND($I$14:$I$15,$H$14:$H$15,Q8)/TREND($J$14:$J$15,$H$14:$H$15,Q8))),0),0),0))</f>
        <v>0</v>
      </c>
      <c r="U8" s="58" cm="1">
        <f t="array" ref="U8">_xlfn.SINGLE(IF(Q8&gt;=(Assumptions!$D$32+1),IF(Q8&lt;=Assumptions!$D$10,IF(Q8&gt;=Assumptions!$D$32,(((TREND($J$14:$J$15,$H$14:$H$15,$Q8)/$J$14)/5)*L$10)*((TREND($I$14:$I$15,$H$14:$H$15,Q8)/TREND($J$14:$J$15,$H$14:$H$15,Q8))),0),0),0))</f>
        <v>0</v>
      </c>
      <c r="V8" s="58" cm="1">
        <f t="array" ref="V8">_xlfn.SINGLE(IF(Q8&gt;=(Assumptions!$D$32+1),IF(Q8&lt;=Assumptions!$D$10,IF(Q8&gt;=Assumptions!$D$32,(((TREND($J$14:$J$15,$H$14:$H$15,$Q8)/$J$14)/5)*M$10)*((TREND($I$14:$I$15,$H$14:$H$15,Q8)/TREND($J$14:$J$15,$H$14:$H$15,Q8))),0),0),0))</f>
        <v>0</v>
      </c>
      <c r="W8" s="109">
        <f t="shared" si="4"/>
        <v>0</v>
      </c>
      <c r="Z8" s="438"/>
      <c r="AA8" s="57">
        <f>AA7+1</f>
        <v>2023</v>
      </c>
      <c r="AB8" s="58" cm="1">
        <f t="array" ref="AB8">_xlfn.SINGLE(IF(AA8&gt;=(Assumptions!$D$32+1),IF(AA8&lt;=Assumptions!$D$10,IF(AA8&gt;=Assumptions!$D$32,((TREND($J$14:$J$15,$H$14:$H$15,$AA8)/$J$14)/5)*I$10*$AG8,0),0),0))</f>
        <v>0</v>
      </c>
      <c r="AC8" s="58" cm="1">
        <f t="array" ref="AC8">_xlfn.SINGLE(IF(AA8&gt;=(Assumptions!$D$32+1),IF(AA8&lt;=Assumptions!$D$10,IF(AA8&gt;=Assumptions!$D$32,((TREND($J$14:$J$15,$H$14:$H$15,$AA8)/$J$14)/5)*J$10*$AG8,0),0),0))</f>
        <v>0</v>
      </c>
      <c r="AD8" s="58" cm="1">
        <f t="array" ref="AD8">_xlfn.SINGLE(IF(AA8&gt;=(Assumptions!$D$32+1),IF(AA8&lt;=Assumptions!$D$10,IF(AA8&gt;=Assumptions!$D$32,((TREND($J$14:$J$15,$H$14:$H$15,$AA8)/$J$14)/5)*K$10*$AG8,0),0),0))</f>
        <v>0</v>
      </c>
      <c r="AE8" s="58" cm="1">
        <f t="array" ref="AE8">_xlfn.SINGLE(IF(AA8&gt;=(Assumptions!$D$32+1),IF(AA8&lt;=Assumptions!$D$10,IF(AA8&gt;=Assumptions!$D$32,((TREND($J$14:$J$15,$H$14:$H$15,$AA8)/$J$14)/5)*L$10*$AG8,0),0),0))</f>
        <v>0</v>
      </c>
      <c r="AF8" s="58" cm="1">
        <f t="array" ref="AF8">_xlfn.SINGLE(IF(AA8&gt;=(Assumptions!$D$32+1),IF(AA8&lt;=Assumptions!$D$10,IF(AA8&gt;=Assumptions!$D$32,((TREND($J$14:$J$15,$H$14:$H$15,$AA8)/$J$14)/5)*M$10*$AG8,0),0),0))</f>
        <v>0</v>
      </c>
      <c r="AG8" s="58">
        <f>IF(Q8&gt;=(Assumptions!$D$32+1),IF(Q8&lt;=Assumptions!$D$10,IF(Q7&gt;=Assumptions!$D$32,$I$19,0),0),0)</f>
        <v>0</v>
      </c>
      <c r="AH8" s="109">
        <f t="shared" si="5"/>
        <v>0</v>
      </c>
    </row>
    <row r="9" spans="1:34" x14ac:dyDescent="0.25">
      <c r="B9" s="153">
        <f t="shared" si="6"/>
        <v>2029</v>
      </c>
      <c r="C9" s="264">
        <f t="shared" si="1"/>
        <v>270.43128654970752</v>
      </c>
      <c r="D9" s="264">
        <f t="shared" si="2"/>
        <v>547.79444444444346</v>
      </c>
      <c r="E9" s="265">
        <f t="shared" si="3"/>
        <v>-277.36315789473593</v>
      </c>
      <c r="F9" s="266">
        <f>E9*(1+0.07)^-(B9-Assumptions!$D$7)</f>
        <v>-161.42788316564662</v>
      </c>
      <c r="H9" s="26" t="s">
        <v>41</v>
      </c>
      <c r="I9" s="26" t="s">
        <v>20</v>
      </c>
      <c r="J9" s="37" t="s">
        <v>21</v>
      </c>
      <c r="K9" s="37" t="s">
        <v>22</v>
      </c>
      <c r="L9" s="37" t="s">
        <v>23</v>
      </c>
      <c r="M9" s="37" t="s">
        <v>24</v>
      </c>
      <c r="P9" s="436"/>
      <c r="Q9" s="57">
        <f t="shared" ref="Q9:Q51" si="7">Q8+1</f>
        <v>2024</v>
      </c>
      <c r="R9" s="58" cm="1">
        <f t="array" ref="R9">_xlfn.SINGLE(IF(Q9&gt;=(Assumptions!$D$32+1),IF(Q9&lt;=Assumptions!$D$10,IF(Q9&gt;=Assumptions!$D$32,(((TREND($J$14:$J$15,$H$14:$H$15,$Q9)/$J$14)/5)*I$10)*((TREND($I$14:$I$15,$H$14:$H$15,Q9)/TREND($J$14:$J$15,$H$14:$H$15,Q9))),0),0),0))</f>
        <v>0</v>
      </c>
      <c r="S9" s="58" cm="1">
        <f t="array" ref="S9">_xlfn.SINGLE(IF(Q9&gt;=(Assumptions!$D$32+1),IF(Q9&lt;=Assumptions!$D$10,IF(Q9&gt;=Assumptions!$D$32,(((TREND($J$14:$J$15,$H$14:$H$15,$Q9)/$J$14)/5)*J$10)*((TREND($I$14:$I$15,$H$14:$H$15,Q9)/TREND($J$14:$J$15,$H$14:$H$15,Q9))),0),0),0))</f>
        <v>0</v>
      </c>
      <c r="T9" s="58" cm="1">
        <f t="array" ref="T9">_xlfn.SINGLE(IF(Q9&gt;=(Assumptions!$D$32+1),IF(Q9&lt;=Assumptions!$D$10,IF(Q9&gt;=Assumptions!$D$32,(((TREND($J$14:$J$15,$H$14:$H$15,$Q9)/$J$14)/5)*K$10)*((TREND($I$14:$I$15,$H$14:$H$15,Q9)/TREND($J$14:$J$15,$H$14:$H$15,Q9))),0),0),0))</f>
        <v>0</v>
      </c>
      <c r="U9" s="58" cm="1">
        <f t="array" ref="U9">_xlfn.SINGLE(IF(Q9&gt;=(Assumptions!$D$32+1),IF(Q9&lt;=Assumptions!$D$10,IF(Q9&gt;=Assumptions!$D$32,(((TREND($J$14:$J$15,$H$14:$H$15,$Q9)/$J$14)/5)*L$10)*((TREND($I$14:$I$15,$H$14:$H$15,Q9)/TREND($J$14:$J$15,$H$14:$H$15,Q9))),0),0),0))</f>
        <v>0</v>
      </c>
      <c r="V9" s="58" cm="1">
        <f t="array" ref="V9">_xlfn.SINGLE(IF(Q9&gt;=(Assumptions!$D$32+1),IF(Q9&lt;=Assumptions!$D$10,IF(Q9&gt;=Assumptions!$D$32,(((TREND($J$14:$J$15,$H$14:$H$15,$Q9)/$J$14)/5)*M$10)*((TREND($I$14:$I$15,$H$14:$H$15,Q9)/TREND($J$14:$J$15,$H$14:$H$15,Q9))),0),0),0))</f>
        <v>0</v>
      </c>
      <c r="W9" s="109">
        <f t="shared" si="4"/>
        <v>0</v>
      </c>
      <c r="Z9" s="438"/>
      <c r="AA9" s="57">
        <f t="shared" ref="AA9:AA51" si="8">AA8+1</f>
        <v>2024</v>
      </c>
      <c r="AB9" s="58" cm="1">
        <f t="array" ref="AB9">_xlfn.SINGLE(IF(AA9&gt;=(Assumptions!$D$32+1),IF(AA9&lt;=Assumptions!$D$10,IF(AA9&gt;=Assumptions!$D$32,((TREND($J$14:$J$15,$H$14:$H$15,$AA9)/$J$14)/5)*I$10*$AG9,0),0),0))</f>
        <v>0</v>
      </c>
      <c r="AC9" s="58" cm="1">
        <f t="array" ref="AC9">_xlfn.SINGLE(IF(AA9&gt;=(Assumptions!$D$32+1),IF(AA9&lt;=Assumptions!$D$10,IF(AA9&gt;=Assumptions!$D$32,((TREND($J$14:$J$15,$H$14:$H$15,$AA9)/$J$14)/5)*J$10*$AG9,0),0),0))</f>
        <v>0</v>
      </c>
      <c r="AD9" s="58" cm="1">
        <f t="array" ref="AD9">_xlfn.SINGLE(IF(AA9&gt;=(Assumptions!$D$32+1),IF(AA9&lt;=Assumptions!$D$10,IF(AA9&gt;=Assumptions!$D$32,((TREND($J$14:$J$15,$H$14:$H$15,$AA9)/$J$14)/5)*K$10*$AG9,0),0),0))</f>
        <v>0</v>
      </c>
      <c r="AE9" s="58" cm="1">
        <f t="array" ref="AE9">_xlfn.SINGLE(IF(AA9&gt;=(Assumptions!$D$32+1),IF(AA9&lt;=Assumptions!$D$10,IF(AA9&gt;=Assumptions!$D$32,((TREND($J$14:$J$15,$H$14:$H$15,$AA9)/$J$14)/5)*L$10*$AG9,0),0),0))</f>
        <v>0</v>
      </c>
      <c r="AF9" s="58" cm="1">
        <f t="array" ref="AF9">_xlfn.SINGLE(IF(AA9&gt;=(Assumptions!$D$32+1),IF(AA9&lt;=Assumptions!$D$10,IF(AA9&gt;=Assumptions!$D$32,((TREND($J$14:$J$15,$H$14:$H$15,$AA9)/$J$14)/5)*M$10*$AG9,0),0),0))</f>
        <v>0</v>
      </c>
      <c r="AG9" s="58">
        <f>IF(Q9&gt;=(Assumptions!$D$32+1),IF(Q9&lt;=Assumptions!$D$10,IF(Q8&gt;=Assumptions!$D$32,$I$19,0),0),0)</f>
        <v>0</v>
      </c>
      <c r="AH9" s="109">
        <f t="shared" si="5"/>
        <v>0</v>
      </c>
    </row>
    <row r="10" spans="1:34" x14ac:dyDescent="0.25">
      <c r="B10" s="153">
        <f t="shared" si="6"/>
        <v>2030</v>
      </c>
      <c r="C10" s="264">
        <f t="shared" si="1"/>
        <v>272.22222222222217</v>
      </c>
      <c r="D10" s="264">
        <f t="shared" si="2"/>
        <v>551.42222222222165</v>
      </c>
      <c r="E10" s="265">
        <f t="shared" si="3"/>
        <v>-279.19999999999948</v>
      </c>
      <c r="F10" s="266">
        <f>E10*(1+0.07)^-(B10-Assumptions!$D$7)</f>
        <v>-151.86630092949386</v>
      </c>
      <c r="H10" s="26" t="s">
        <v>174</v>
      </c>
      <c r="I10" s="50">
        <v>0</v>
      </c>
      <c r="J10" s="50">
        <v>0</v>
      </c>
      <c r="K10" s="50">
        <v>0</v>
      </c>
      <c r="L10" s="50">
        <v>0</v>
      </c>
      <c r="M10" s="50">
        <v>1</v>
      </c>
      <c r="P10" s="436"/>
      <c r="Q10" s="57">
        <f t="shared" si="7"/>
        <v>2025</v>
      </c>
      <c r="R10" s="58" cm="1">
        <f t="array" ref="R10">_xlfn.SINGLE(IF(Q10&gt;=(Assumptions!$D$32+1),IF(Q10&lt;=Assumptions!$D$10,IF(Q10&gt;=Assumptions!$D$32,(((TREND($J$14:$J$15,$H$14:$H$15,$Q10)/$J$14)/5)*I$10)*((TREND($I$14:$I$15,$H$14:$H$15,Q10)/TREND($J$14:$J$15,$H$14:$H$15,Q10))),0),0),0))</f>
        <v>0</v>
      </c>
      <c r="S10" s="58" cm="1">
        <f t="array" ref="S10">_xlfn.SINGLE(IF(Q10&gt;=(Assumptions!$D$32+1),IF(Q10&lt;=Assumptions!$D$10,IF(Q10&gt;=Assumptions!$D$32,(((TREND($J$14:$J$15,$H$14:$H$15,$Q10)/$J$14)/5)*J$10)*((TREND($I$14:$I$15,$H$14:$H$15,Q10)/TREND($J$14:$J$15,$H$14:$H$15,Q10))),0),0),0))</f>
        <v>0</v>
      </c>
      <c r="T10" s="58" cm="1">
        <f t="array" ref="T10">_xlfn.SINGLE(IF(Q10&gt;=(Assumptions!$D$32+1),IF(Q10&lt;=Assumptions!$D$10,IF(Q10&gt;=Assumptions!$D$32,(((TREND($J$14:$J$15,$H$14:$H$15,$Q10)/$J$14)/5)*K$10)*((TREND($I$14:$I$15,$H$14:$H$15,Q10)/TREND($J$14:$J$15,$H$14:$H$15,Q10))),0),0),0))</f>
        <v>0</v>
      </c>
      <c r="U10" s="58" cm="1">
        <f t="array" ref="U10">_xlfn.SINGLE(IF(Q10&gt;=(Assumptions!$D$32+1),IF(Q10&lt;=Assumptions!$D$10,IF(Q10&gt;=Assumptions!$D$32,(((TREND($J$14:$J$15,$H$14:$H$15,$Q10)/$J$14)/5)*L$10)*((TREND($I$14:$I$15,$H$14:$H$15,Q10)/TREND($J$14:$J$15,$H$14:$H$15,Q10))),0),0),0))</f>
        <v>0</v>
      </c>
      <c r="V10" s="58" cm="1">
        <f t="array" ref="V10">_xlfn.SINGLE(IF(Q10&gt;=(Assumptions!$D$32+1),IF(Q10&lt;=Assumptions!$D$10,IF(Q10&gt;=Assumptions!$D$32,(((TREND($J$14:$J$15,$H$14:$H$15,$Q10)/$J$14)/5)*M$10)*((TREND($I$14:$I$15,$H$14:$H$15,Q10)/TREND($J$14:$J$15,$H$14:$H$15,Q10))),0),0),0))</f>
        <v>0</v>
      </c>
      <c r="W10" s="109">
        <f t="shared" si="4"/>
        <v>0</v>
      </c>
      <c r="Z10" s="438"/>
      <c r="AA10" s="57">
        <f t="shared" si="8"/>
        <v>2025</v>
      </c>
      <c r="AB10" s="58" cm="1">
        <f t="array" ref="AB10">_xlfn.SINGLE(IF(AA10&gt;=(Assumptions!$D$32+1),IF(AA10&lt;=Assumptions!$D$10,IF(AA10&gt;=Assumptions!$D$32,((TREND($J$14:$J$15,$H$14:$H$15,$AA10)/$J$14)/5)*I$10*$AG10,0),0),0))</f>
        <v>0</v>
      </c>
      <c r="AC10" s="58" cm="1">
        <f t="array" ref="AC10">_xlfn.SINGLE(IF(AA10&gt;=(Assumptions!$D$32+1),IF(AA10&lt;=Assumptions!$D$10,IF(AA10&gt;=Assumptions!$D$32,((TREND($J$14:$J$15,$H$14:$H$15,$AA10)/$J$14)/5)*J$10*$AG10,0),0),0))</f>
        <v>0</v>
      </c>
      <c r="AD10" s="58" cm="1">
        <f t="array" ref="AD10">_xlfn.SINGLE(IF(AA10&gt;=(Assumptions!$D$32+1),IF(AA10&lt;=Assumptions!$D$10,IF(AA10&gt;=Assumptions!$D$32,((TREND($J$14:$J$15,$H$14:$H$15,$AA10)/$J$14)/5)*K$10*$AG10,0),0),0))</f>
        <v>0</v>
      </c>
      <c r="AE10" s="58" cm="1">
        <f t="array" ref="AE10">_xlfn.SINGLE(IF(AA10&gt;=(Assumptions!$D$32+1),IF(AA10&lt;=Assumptions!$D$10,IF(AA10&gt;=Assumptions!$D$32,((TREND($J$14:$J$15,$H$14:$H$15,$AA10)/$J$14)/5)*L$10*$AG10,0),0),0))</f>
        <v>0</v>
      </c>
      <c r="AF10" s="58" cm="1">
        <f t="array" ref="AF10">_xlfn.SINGLE(IF(AA10&gt;=(Assumptions!$D$32+1),IF(AA10&lt;=Assumptions!$D$10,IF(AA10&gt;=Assumptions!$D$32,((TREND($J$14:$J$15,$H$14:$H$15,$AA10)/$J$14)/5)*M$10*$AG10,0),0),0))</f>
        <v>0</v>
      </c>
      <c r="AG10" s="58">
        <f>IF(Q10&gt;=(Assumptions!$D$32+1),IF(Q10&lt;=Assumptions!$D$10,IF(Q9&gt;=Assumptions!$D$32,$I$19,0),0),0)</f>
        <v>0</v>
      </c>
      <c r="AH10" s="109">
        <f t="shared" si="5"/>
        <v>0</v>
      </c>
    </row>
    <row r="11" spans="1:34" x14ac:dyDescent="0.25">
      <c r="B11" s="153">
        <f t="shared" si="6"/>
        <v>2031</v>
      </c>
      <c r="C11" s="264">
        <f t="shared" si="1"/>
        <v>274.01315789473659</v>
      </c>
      <c r="D11" s="264">
        <f t="shared" si="2"/>
        <v>555.05000000000007</v>
      </c>
      <c r="E11" s="265">
        <f t="shared" si="3"/>
        <v>-281.03684210526347</v>
      </c>
      <c r="F11" s="266">
        <f>E11*(1+0.07)^-(B11-Assumptions!$D$7)</f>
        <v>-142.86487974798715</v>
      </c>
      <c r="P11" s="436"/>
      <c r="Q11" s="57">
        <f t="shared" si="7"/>
        <v>2026</v>
      </c>
      <c r="R11" s="58" cm="1">
        <f t="array" ref="R11">_xlfn.SINGLE(IF(Q11&gt;=(Assumptions!$D$32+1),IF(Q11&lt;=Assumptions!$D$10,IF(Q11&gt;=Assumptions!$D$32,(((TREND($J$14:$J$15,$H$14:$H$15,$Q11)/$J$14)/5)*I$10)*((TREND($I$14:$I$15,$H$14:$H$15,Q11)/TREND($J$14:$J$15,$H$14:$H$15,Q11))),0),0),0))</f>
        <v>0</v>
      </c>
      <c r="S11" s="58" cm="1">
        <f t="array" ref="S11">_xlfn.SINGLE(IF(Q11&gt;=(Assumptions!$D$32+1),IF(Q11&lt;=Assumptions!$D$10,IF(Q11&gt;=Assumptions!$D$32,(((TREND($J$14:$J$15,$H$14:$H$15,$Q11)/$J$14)/5)*J$10)*((TREND($I$14:$I$15,$H$14:$H$15,Q11)/TREND($J$14:$J$15,$H$14:$H$15,Q11))),0),0),0))</f>
        <v>0</v>
      </c>
      <c r="T11" s="58" cm="1">
        <f t="array" ref="T11">_xlfn.SINGLE(IF(Q11&gt;=(Assumptions!$D$32+1),IF(Q11&lt;=Assumptions!$D$10,IF(Q11&gt;=Assumptions!$D$32,(((TREND($J$14:$J$15,$H$14:$H$15,$Q11)/$J$14)/5)*K$10)*((TREND($I$14:$I$15,$H$14:$H$15,Q11)/TREND($J$14:$J$15,$H$14:$H$15,Q11))),0),0),0))</f>
        <v>0</v>
      </c>
      <c r="U11" s="58" cm="1">
        <f t="array" ref="U11">_xlfn.SINGLE(IF(Q11&gt;=(Assumptions!$D$32+1),IF(Q11&lt;=Assumptions!$D$10,IF(Q11&gt;=Assumptions!$D$32,(((TREND($J$14:$J$15,$H$14:$H$15,$Q11)/$J$14)/5)*L$10)*((TREND($I$14:$I$15,$H$14:$H$15,Q11)/TREND($J$14:$J$15,$H$14:$H$15,Q11))),0),0),0))</f>
        <v>0</v>
      </c>
      <c r="V11" s="58" cm="1">
        <f t="array" ref="V11">_xlfn.SINGLE(IF(Q11&gt;=(Assumptions!$D$32+1),IF(Q11&lt;=Assumptions!$D$10,IF(Q11&gt;=Assumptions!$D$32,(((TREND($J$14:$J$15,$H$14:$H$15,$Q11)/$J$14)/5)*M$10)*((TREND($I$14:$I$15,$H$14:$H$15,Q11)/TREND($J$14:$J$15,$H$14:$H$15,Q11))),0),0),0))</f>
        <v>6.6264619883040943E-2</v>
      </c>
      <c r="W11" s="109">
        <f t="shared" si="4"/>
        <v>265.05847953216374</v>
      </c>
      <c r="Z11" s="438"/>
      <c r="AA11" s="57">
        <f t="shared" si="8"/>
        <v>2026</v>
      </c>
      <c r="AB11" s="58" cm="1">
        <f t="array" ref="AB11">_xlfn.SINGLE(IF(AA11&gt;=(Assumptions!$D$32+1),IF(AA11&lt;=Assumptions!$D$10,IF(AA11&gt;=Assumptions!$D$32,((TREND($J$14:$J$15,$H$14:$H$15,$AA11)/$J$14)/5)*I$10*$AG11,0),0),0))</f>
        <v>0</v>
      </c>
      <c r="AC11" s="58" cm="1">
        <f t="array" ref="AC11">_xlfn.SINGLE(IF(AA11&gt;=(Assumptions!$D$32+1),IF(AA11&lt;=Assumptions!$D$10,IF(AA11&gt;=Assumptions!$D$32,((TREND($J$14:$J$15,$H$14:$H$15,$AA11)/$J$14)/5)*J$10*$AG11,0),0),0))</f>
        <v>0</v>
      </c>
      <c r="AD11" s="58" cm="1">
        <f t="array" ref="AD11">_xlfn.SINGLE(IF(AA11&gt;=(Assumptions!$D$32+1),IF(AA11&lt;=Assumptions!$D$10,IF(AA11&gt;=Assumptions!$D$32,((TREND($J$14:$J$15,$H$14:$H$15,$AA11)/$J$14)/5)*K$10*$AG11,0),0),0))</f>
        <v>0</v>
      </c>
      <c r="AE11" s="58" cm="1">
        <f t="array" ref="AE11">_xlfn.SINGLE(IF(AA11&gt;=(Assumptions!$D$32+1),IF(AA11&lt;=Assumptions!$D$10,IF(AA11&gt;=Assumptions!$D$32,((TREND($J$14:$J$15,$H$14:$H$15,$AA11)/$J$14)/5)*L$10*$AG11,0),0),0))</f>
        <v>0</v>
      </c>
      <c r="AF11" s="58" cm="1">
        <f t="array" ref="AF11">_xlfn.SINGLE(IF(AA11&gt;=(Assumptions!$D$32+1),IF(AA11&lt;=Assumptions!$D$10,IF(AA11&gt;=Assumptions!$D$32,((TREND($J$14:$J$15,$H$14:$H$15,$AA11)/$J$14)/5)*M$10*$AG11,0),0),0))</f>
        <v>0.1342277777777777</v>
      </c>
      <c r="AG11" s="58">
        <f>IF(Q11&gt;=(Assumptions!$D$32+1),IF(Q11&lt;=Assumptions!$D$10,IF(Q10&gt;=Assumptions!$D$32,$I$19,0),0),0)</f>
        <v>0.65300000000000002</v>
      </c>
      <c r="AH11" s="109">
        <f t="shared" si="5"/>
        <v>536.91111111111081</v>
      </c>
    </row>
    <row r="12" spans="1:34" x14ac:dyDescent="0.25">
      <c r="B12" s="153">
        <f t="shared" si="6"/>
        <v>2032</v>
      </c>
      <c r="C12" s="264">
        <f t="shared" si="1"/>
        <v>275.80409356725136</v>
      </c>
      <c r="D12" s="264">
        <f t="shared" si="2"/>
        <v>558.67777777777712</v>
      </c>
      <c r="E12" s="265">
        <f t="shared" si="3"/>
        <v>-282.87368421052577</v>
      </c>
      <c r="F12" s="266">
        <f>E12*(1+0.07)^-(B12-Assumptions!$D$7)</f>
        <v>-134.39124965603781</v>
      </c>
      <c r="G12" s="3"/>
      <c r="H12" s="1" t="s">
        <v>175</v>
      </c>
      <c r="I12" s="26" t="s">
        <v>36</v>
      </c>
      <c r="J12" s="26" t="s">
        <v>14</v>
      </c>
      <c r="K12" s="1"/>
      <c r="L12" s="1"/>
      <c r="M12" s="1"/>
      <c r="P12" s="436"/>
      <c r="Q12" s="57">
        <f t="shared" si="7"/>
        <v>2027</v>
      </c>
      <c r="R12" s="58" cm="1">
        <f t="array" ref="R12">_xlfn.SINGLE(IF(Q12&gt;=(Assumptions!$D$32+1),IF(Q12&lt;=Assumptions!$D$10,IF(Q12&gt;=Assumptions!$D$32,(((TREND($J$14:$J$15,$H$14:$H$15,$Q12)/$J$14)/5)*I$10)*((TREND($I$14:$I$15,$H$14:$H$15,Q12)/TREND($J$14:$J$15,$H$14:$H$15,Q12))),0),0),0))</f>
        <v>0</v>
      </c>
      <c r="S12" s="58" cm="1">
        <f t="array" ref="S12">_xlfn.SINGLE(IF(Q12&gt;=(Assumptions!$D$32+1),IF(Q12&lt;=Assumptions!$D$10,IF(Q12&gt;=Assumptions!$D$32,(((TREND($J$14:$J$15,$H$14:$H$15,$Q12)/$J$14)/5)*J$10)*((TREND($I$14:$I$15,$H$14:$H$15,Q12)/TREND($J$14:$J$15,$H$14:$H$15,Q12))),0),0),0))</f>
        <v>0</v>
      </c>
      <c r="T12" s="58" cm="1">
        <f t="array" ref="T12">_xlfn.SINGLE(IF(Q12&gt;=(Assumptions!$D$32+1),IF(Q12&lt;=Assumptions!$D$10,IF(Q12&gt;=Assumptions!$D$32,(((TREND($J$14:$J$15,$H$14:$H$15,$Q12)/$J$14)/5)*K$10)*((TREND($I$14:$I$15,$H$14:$H$15,Q12)/TREND($J$14:$J$15,$H$14:$H$15,Q12))),0),0),0))</f>
        <v>0</v>
      </c>
      <c r="U12" s="58" cm="1">
        <f t="array" ref="U12">_xlfn.SINGLE(IF(Q12&gt;=(Assumptions!$D$32+1),IF(Q12&lt;=Assumptions!$D$10,IF(Q12&gt;=Assumptions!$D$32,(((TREND($J$14:$J$15,$H$14:$H$15,$Q12)/$J$14)/5)*L$10)*((TREND($I$14:$I$15,$H$14:$H$15,Q12)/TREND($J$14:$J$15,$H$14:$H$15,Q12))),0),0),0))</f>
        <v>0</v>
      </c>
      <c r="V12" s="58" cm="1">
        <f t="array" ref="V12">_xlfn.SINGLE(IF(Q12&gt;=(Assumptions!$D$32+1),IF(Q12&lt;=Assumptions!$D$10,IF(Q12&gt;=Assumptions!$D$32,(((TREND($J$14:$J$15,$H$14:$H$15,$Q12)/$J$14)/5)*M$10)*((TREND($I$14:$I$15,$H$14:$H$15,Q12)/TREND($J$14:$J$15,$H$14:$H$15,Q12))),0),0),0))</f>
        <v>6.6712353801169633E-2</v>
      </c>
      <c r="W12" s="109">
        <f t="shared" si="4"/>
        <v>266.84941520467851</v>
      </c>
      <c r="Z12" s="438"/>
      <c r="AA12" s="57">
        <f t="shared" si="8"/>
        <v>2027</v>
      </c>
      <c r="AB12" s="58" cm="1">
        <f t="array" ref="AB12">_xlfn.SINGLE(IF(AA12&gt;=(Assumptions!$D$32+1),IF(AA12&lt;=Assumptions!$D$10,IF(AA12&gt;=Assumptions!$D$32,((TREND($J$14:$J$15,$H$14:$H$15,$AA12)/$J$14)/5)*I$10*$AG12,0),0),0))</f>
        <v>0</v>
      </c>
      <c r="AC12" s="58" cm="1">
        <f t="array" ref="AC12">_xlfn.SINGLE(IF(AA12&gt;=(Assumptions!$D$32+1),IF(AA12&lt;=Assumptions!$D$10,IF(AA12&gt;=Assumptions!$D$32,((TREND($J$14:$J$15,$H$14:$H$15,$AA12)/$J$14)/5)*J$10*$AG12,0),0),0))</f>
        <v>0</v>
      </c>
      <c r="AD12" s="58" cm="1">
        <f t="array" ref="AD12">_xlfn.SINGLE(IF(AA12&gt;=(Assumptions!$D$32+1),IF(AA12&lt;=Assumptions!$D$10,IF(AA12&gt;=Assumptions!$D$32,((TREND($J$14:$J$15,$H$14:$H$15,$AA12)/$J$14)/5)*K$10*$AG12,0),0),0))</f>
        <v>0</v>
      </c>
      <c r="AE12" s="58" cm="1">
        <f t="array" ref="AE12">_xlfn.SINGLE(IF(AA12&gt;=(Assumptions!$D$32+1),IF(AA12&lt;=Assumptions!$D$10,IF(AA12&gt;=Assumptions!$D$32,((TREND($J$14:$J$15,$H$14:$H$15,$AA12)/$J$14)/5)*L$10*$AG12,0),0),0))</f>
        <v>0</v>
      </c>
      <c r="AF12" s="58" cm="1">
        <f t="array" ref="AF12">_xlfn.SINGLE(IF(AA12&gt;=(Assumptions!$D$32+1),IF(AA12&lt;=Assumptions!$D$10,IF(AA12&gt;=Assumptions!$D$32,((TREND($J$14:$J$15,$H$14:$H$15,$AA12)/$J$14)/5)*M$10*$AG12,0),0),0))</f>
        <v>0.135134722222222</v>
      </c>
      <c r="AG12" s="58">
        <f>IF(Q12&gt;=(Assumptions!$D$32+1),IF(Q12&lt;=Assumptions!$D$10,IF(Q11&gt;=Assumptions!$D$32,$I$19,0),0),0)</f>
        <v>0.65300000000000002</v>
      </c>
      <c r="AH12" s="109">
        <f t="shared" si="5"/>
        <v>540.53888888888798</v>
      </c>
    </row>
    <row r="13" spans="1:34" x14ac:dyDescent="0.25">
      <c r="B13" s="153">
        <f t="shared" si="6"/>
        <v>2033</v>
      </c>
      <c r="C13" s="264">
        <f t="shared" si="1"/>
        <v>277.59502923976601</v>
      </c>
      <c r="D13" s="264">
        <f t="shared" si="2"/>
        <v>562.30555555555554</v>
      </c>
      <c r="E13" s="265">
        <f t="shared" si="3"/>
        <v>-284.71052631578954</v>
      </c>
      <c r="F13" s="266">
        <f>E13*(1+0.07)^-(B13-Assumptions!$D$7)</f>
        <v>-126.41487860593463</v>
      </c>
      <c r="H13" s="42" t="s">
        <v>33</v>
      </c>
      <c r="I13" s="26" t="s">
        <v>53</v>
      </c>
      <c r="J13" s="26" t="s">
        <v>53</v>
      </c>
      <c r="K13" s="1"/>
      <c r="L13" s="1"/>
      <c r="M13" s="1"/>
      <c r="P13" s="436"/>
      <c r="Q13" s="57">
        <f t="shared" si="7"/>
        <v>2028</v>
      </c>
      <c r="R13" s="58" cm="1">
        <f t="array" ref="R13">_xlfn.SINGLE(IF(Q13&gt;=(Assumptions!$D$32+1),IF(Q13&lt;=Assumptions!$D$10,IF(Q13&gt;=Assumptions!$D$32,(((TREND($J$14:$J$15,$H$14:$H$15,$Q13)/$J$14)/5)*I$10)*((TREND($I$14:$I$15,$H$14:$H$15,Q13)/TREND($J$14:$J$15,$H$14:$H$15,Q13))),0),0),0))</f>
        <v>0</v>
      </c>
      <c r="S13" s="58" cm="1">
        <f t="array" ref="S13">_xlfn.SINGLE(IF(Q13&gt;=(Assumptions!$D$32+1),IF(Q13&lt;=Assumptions!$D$10,IF(Q13&gt;=Assumptions!$D$32,(((TREND($J$14:$J$15,$H$14:$H$15,$Q13)/$J$14)/5)*J$10)*((TREND($I$14:$I$15,$H$14:$H$15,Q13)/TREND($J$14:$J$15,$H$14:$H$15,Q13))),0),0),0))</f>
        <v>0</v>
      </c>
      <c r="T13" s="58" cm="1">
        <f t="array" ref="T13">_xlfn.SINGLE(IF(Q13&gt;=(Assumptions!$D$32+1),IF(Q13&lt;=Assumptions!$D$10,IF(Q13&gt;=Assumptions!$D$32,(((TREND($J$14:$J$15,$H$14:$H$15,$Q13)/$J$14)/5)*K$10)*((TREND($I$14:$I$15,$H$14:$H$15,Q13)/TREND($J$14:$J$15,$H$14:$H$15,Q13))),0),0),0))</f>
        <v>0</v>
      </c>
      <c r="U13" s="58" cm="1">
        <f t="array" ref="U13">_xlfn.SINGLE(IF(Q13&gt;=(Assumptions!$D$32+1),IF(Q13&lt;=Assumptions!$D$10,IF(Q13&gt;=Assumptions!$D$32,(((TREND($J$14:$J$15,$H$14:$H$15,$Q13)/$J$14)/5)*L$10)*((TREND($I$14:$I$15,$H$14:$H$15,Q13)/TREND($J$14:$J$15,$H$14:$H$15,Q13))),0),0),0))</f>
        <v>0</v>
      </c>
      <c r="V13" s="58" cm="1">
        <f t="array" ref="V13">_xlfn.SINGLE(IF(Q13&gt;=(Assumptions!$D$32+1),IF(Q13&lt;=Assumptions!$D$10,IF(Q13&gt;=Assumptions!$D$32,(((TREND($J$14:$J$15,$H$14:$H$15,$Q13)/$J$14)/5)*M$10)*((TREND($I$14:$I$15,$H$14:$H$15,Q13)/TREND($J$14:$J$15,$H$14:$H$15,Q13))),0),0),0))</f>
        <v>6.7160087719298198E-2</v>
      </c>
      <c r="W13" s="109">
        <f t="shared" si="4"/>
        <v>268.64035087719282</v>
      </c>
      <c r="Z13" s="438"/>
      <c r="AA13" s="57">
        <f t="shared" si="8"/>
        <v>2028</v>
      </c>
      <c r="AB13" s="58" cm="1">
        <f t="array" ref="AB13">_xlfn.SINGLE(IF(AA13&gt;=(Assumptions!$D$32+1),IF(AA13&lt;=Assumptions!$D$10,IF(AA13&gt;=Assumptions!$D$32,((TREND($J$14:$J$15,$H$14:$H$15,$AA13)/$J$14)/5)*I$10*$AG13,0),0),0))</f>
        <v>0</v>
      </c>
      <c r="AC13" s="58" cm="1">
        <f t="array" ref="AC13">_xlfn.SINGLE(IF(AA13&gt;=(Assumptions!$D$32+1),IF(AA13&lt;=Assumptions!$D$10,IF(AA13&gt;=Assumptions!$D$32,((TREND($J$14:$J$15,$H$14:$H$15,$AA13)/$J$14)/5)*J$10*$AG13,0),0),0))</f>
        <v>0</v>
      </c>
      <c r="AD13" s="58" cm="1">
        <f t="array" ref="AD13">_xlfn.SINGLE(IF(AA13&gt;=(Assumptions!$D$32+1),IF(AA13&lt;=Assumptions!$D$10,IF(AA13&gt;=Assumptions!$D$32,((TREND($J$14:$J$15,$H$14:$H$15,$AA13)/$J$14)/5)*K$10*$AG13,0),0),0))</f>
        <v>0</v>
      </c>
      <c r="AE13" s="58" cm="1">
        <f t="array" ref="AE13">_xlfn.SINGLE(IF(AA13&gt;=(Assumptions!$D$32+1),IF(AA13&lt;=Assumptions!$D$10,IF(AA13&gt;=Assumptions!$D$32,((TREND($J$14:$J$15,$H$14:$H$15,$AA13)/$J$14)/5)*L$10*$AG13,0),0),0))</f>
        <v>0</v>
      </c>
      <c r="AF13" s="58" cm="1">
        <f t="array" ref="AF13">_xlfn.SINGLE(IF(AA13&gt;=(Assumptions!$D$32+1),IF(AA13&lt;=Assumptions!$D$10,IF(AA13&gt;=Assumptions!$D$32,((TREND($J$14:$J$15,$H$14:$H$15,$AA13)/$J$14)/5)*M$10*$AG13,0),0),0))</f>
        <v>0.13604166666666656</v>
      </c>
      <c r="AG13" s="58">
        <f>IF(Q13&gt;=(Assumptions!$D$32+1),IF(Q13&lt;=Assumptions!$D$10,IF(Q12&gt;=Assumptions!$D$32,$I$19,0),0),0)</f>
        <v>0.65300000000000002</v>
      </c>
      <c r="AH13" s="109">
        <f t="shared" si="5"/>
        <v>544.16666666666629</v>
      </c>
    </row>
    <row r="14" spans="1:34" ht="15" customHeight="1" x14ac:dyDescent="0.25">
      <c r="B14" s="153">
        <f t="shared" si="6"/>
        <v>2034</v>
      </c>
      <c r="C14" s="264">
        <f t="shared" si="1"/>
        <v>279.38596491228077</v>
      </c>
      <c r="D14" s="264">
        <f t="shared" si="2"/>
        <v>565.9333333333326</v>
      </c>
      <c r="E14" s="265">
        <f t="shared" si="3"/>
        <v>-286.54736842105183</v>
      </c>
      <c r="F14" s="266">
        <f>E14*(1+0.07)^-(B14-Assumptions!$D$7)</f>
        <v>-118.90697053075515</v>
      </c>
      <c r="H14" s="42">
        <f>Assumptions!$C$33</f>
        <v>2022</v>
      </c>
      <c r="I14" s="145">
        <f>'Operations Calculations'!$T$68</f>
        <v>66.08552631578948</v>
      </c>
      <c r="J14" s="145">
        <f>Assumptions!$D$33</f>
        <v>205</v>
      </c>
      <c r="K14" s="1"/>
      <c r="L14" s="1"/>
      <c r="M14" s="1"/>
      <c r="P14" s="436"/>
      <c r="Q14" s="57">
        <f t="shared" si="7"/>
        <v>2029</v>
      </c>
      <c r="R14" s="58" cm="1">
        <f t="array" ref="R14">_xlfn.SINGLE(IF(Q14&gt;=(Assumptions!$D$32+1),IF(Q14&lt;=Assumptions!$D$10,IF(Q14&gt;=Assumptions!$D$32,(((TREND($J$14:$J$15,$H$14:$H$15,$Q14)/$J$14)/5)*I$10)*((TREND($I$14:$I$15,$H$14:$H$15,Q14)/TREND($J$14:$J$15,$H$14:$H$15,Q14))),0),0),0))</f>
        <v>0</v>
      </c>
      <c r="S14" s="58" cm="1">
        <f t="array" ref="S14">_xlfn.SINGLE(IF(Q14&gt;=(Assumptions!$D$32+1),IF(Q14&lt;=Assumptions!$D$10,IF(Q14&gt;=Assumptions!$D$32,(((TREND($J$14:$J$15,$H$14:$H$15,$Q14)/$J$14)/5)*J$10)*((TREND($I$14:$I$15,$H$14:$H$15,Q14)/TREND($J$14:$J$15,$H$14:$H$15,Q14))),0),0),0))</f>
        <v>0</v>
      </c>
      <c r="T14" s="58" cm="1">
        <f t="array" ref="T14">_xlfn.SINGLE(IF(Q14&gt;=(Assumptions!$D$32+1),IF(Q14&lt;=Assumptions!$D$10,IF(Q14&gt;=Assumptions!$D$32,(((TREND($J$14:$J$15,$H$14:$H$15,$Q14)/$J$14)/5)*K$10)*((TREND($I$14:$I$15,$H$14:$H$15,Q14)/TREND($J$14:$J$15,$H$14:$H$15,Q14))),0),0),0))</f>
        <v>0</v>
      </c>
      <c r="U14" s="58" cm="1">
        <f t="array" ref="U14">_xlfn.SINGLE(IF(Q14&gt;=(Assumptions!$D$32+1),IF(Q14&lt;=Assumptions!$D$10,IF(Q14&gt;=Assumptions!$D$32,(((TREND($J$14:$J$15,$H$14:$H$15,$Q14)/$J$14)/5)*L$10)*((TREND($I$14:$I$15,$H$14:$H$15,Q14)/TREND($J$14:$J$15,$H$14:$H$15,Q14))),0),0),0))</f>
        <v>0</v>
      </c>
      <c r="V14" s="58" cm="1">
        <f t="array" ref="V14">_xlfn.SINGLE(IF(Q14&gt;=(Assumptions!$D$32+1),IF(Q14&lt;=Assumptions!$D$10,IF(Q14&gt;=Assumptions!$D$32,(((TREND($J$14:$J$15,$H$14:$H$15,$Q14)/$J$14)/5)*M$10)*((TREND($I$14:$I$15,$H$14:$H$15,Q14)/TREND($J$14:$J$15,$H$14:$H$15,Q14))),0),0),0))</f>
        <v>6.7607821637426888E-2</v>
      </c>
      <c r="W14" s="109">
        <f t="shared" si="4"/>
        <v>270.43128654970752</v>
      </c>
      <c r="Z14" s="438"/>
      <c r="AA14" s="57">
        <f t="shared" si="8"/>
        <v>2029</v>
      </c>
      <c r="AB14" s="58" cm="1">
        <f t="array" ref="AB14">_xlfn.SINGLE(IF(AA14&gt;=(Assumptions!$D$32+1),IF(AA14&lt;=Assumptions!$D$10,IF(AA14&gt;=Assumptions!$D$32,((TREND($J$14:$J$15,$H$14:$H$15,$AA14)/$J$14)/5)*I$10*$AG14,0),0),0))</f>
        <v>0</v>
      </c>
      <c r="AC14" s="58" cm="1">
        <f t="array" ref="AC14">_xlfn.SINGLE(IF(AA14&gt;=(Assumptions!$D$32+1),IF(AA14&lt;=Assumptions!$D$10,IF(AA14&gt;=Assumptions!$D$32,((TREND($J$14:$J$15,$H$14:$H$15,$AA14)/$J$14)/5)*J$10*$AG14,0),0),0))</f>
        <v>0</v>
      </c>
      <c r="AD14" s="58" cm="1">
        <f t="array" ref="AD14">_xlfn.SINGLE(IF(AA14&gt;=(Assumptions!$D$32+1),IF(AA14&lt;=Assumptions!$D$10,IF(AA14&gt;=Assumptions!$D$32,((TREND($J$14:$J$15,$H$14:$H$15,$AA14)/$J$14)/5)*K$10*$AG14,0),0),0))</f>
        <v>0</v>
      </c>
      <c r="AE14" s="58" cm="1">
        <f t="array" ref="AE14">_xlfn.SINGLE(IF(AA14&gt;=(Assumptions!$D$32+1),IF(AA14&lt;=Assumptions!$D$10,IF(AA14&gt;=Assumptions!$D$32,((TREND($J$14:$J$15,$H$14:$H$15,$AA14)/$J$14)/5)*L$10*$AG14,0),0),0))</f>
        <v>0</v>
      </c>
      <c r="AF14" s="58" cm="1">
        <f t="array" ref="AF14">_xlfn.SINGLE(IF(AA14&gt;=(Assumptions!$D$32+1),IF(AA14&lt;=Assumptions!$D$10,IF(AA14&gt;=Assumptions!$D$32,((TREND($J$14:$J$15,$H$14:$H$15,$AA14)/$J$14)/5)*M$10*$AG14,0),0),0))</f>
        <v>0.13694861111111087</v>
      </c>
      <c r="AG14" s="58">
        <f>IF(Q14&gt;=(Assumptions!$D$32+1),IF(Q14&lt;=Assumptions!$D$10,IF(Q13&gt;=Assumptions!$D$32,$I$19,0),0),0)</f>
        <v>0.65300000000000002</v>
      </c>
      <c r="AH14" s="109">
        <f t="shared" si="5"/>
        <v>547.79444444444346</v>
      </c>
    </row>
    <row r="15" spans="1:34" x14ac:dyDescent="0.25">
      <c r="B15" s="153">
        <f t="shared" si="6"/>
        <v>2035</v>
      </c>
      <c r="C15" s="264">
        <f t="shared" si="1"/>
        <v>281.17690058479508</v>
      </c>
      <c r="D15" s="264">
        <f t="shared" si="2"/>
        <v>569.5611111111109</v>
      </c>
      <c r="E15" s="265">
        <f t="shared" si="3"/>
        <v>-288.38421052631583</v>
      </c>
      <c r="F15" s="266">
        <f>E15*(1+0.07)^-(B15-Assumptions!$D$7)</f>
        <v>-111.84036887927519</v>
      </c>
      <c r="H15" s="42">
        <f>Assumptions!$C$34</f>
        <v>2039</v>
      </c>
      <c r="I15" s="145">
        <f>'Operations Calculations'!$U$68</f>
        <v>73.887289839181278</v>
      </c>
      <c r="J15" s="145">
        <f>Assumptions!$D$34</f>
        <v>229.20138888888889</v>
      </c>
      <c r="K15" s="1"/>
      <c r="L15" s="1"/>
      <c r="M15" s="1"/>
      <c r="P15" s="436"/>
      <c r="Q15" s="57">
        <f t="shared" si="7"/>
        <v>2030</v>
      </c>
      <c r="R15" s="58" cm="1">
        <f t="array" ref="R15">_xlfn.SINGLE(IF(Q15&gt;=(Assumptions!$D$32+1),IF(Q15&lt;=Assumptions!$D$10,IF(Q15&gt;=Assumptions!$D$32,(((TREND($J$14:$J$15,$H$14:$H$15,$Q15)/$J$14)/5)*I$10)*((TREND($I$14:$I$15,$H$14:$H$15,Q15)/TREND($J$14:$J$15,$H$14:$H$15,Q15))),0),0),0))</f>
        <v>0</v>
      </c>
      <c r="S15" s="58" cm="1">
        <f t="array" ref="S15">_xlfn.SINGLE(IF(Q15&gt;=(Assumptions!$D$32+1),IF(Q15&lt;=Assumptions!$D$10,IF(Q15&gt;=Assumptions!$D$32,(((TREND($J$14:$J$15,$H$14:$H$15,$Q15)/$J$14)/5)*J$10)*((TREND($I$14:$I$15,$H$14:$H$15,Q15)/TREND($J$14:$J$15,$H$14:$H$15,Q15))),0),0),0))</f>
        <v>0</v>
      </c>
      <c r="T15" s="58" cm="1">
        <f t="array" ref="T15">_xlfn.SINGLE(IF(Q15&gt;=(Assumptions!$D$32+1),IF(Q15&lt;=Assumptions!$D$10,IF(Q15&gt;=Assumptions!$D$32,(((TREND($J$14:$J$15,$H$14:$H$15,$Q15)/$J$14)/5)*K$10)*((TREND($I$14:$I$15,$H$14:$H$15,Q15)/TREND($J$14:$J$15,$H$14:$H$15,Q15))),0),0),0))</f>
        <v>0</v>
      </c>
      <c r="U15" s="58" cm="1">
        <f t="array" ref="U15">_xlfn.SINGLE(IF(Q15&gt;=(Assumptions!$D$32+1),IF(Q15&lt;=Assumptions!$D$10,IF(Q15&gt;=Assumptions!$D$32,(((TREND($J$14:$J$15,$H$14:$H$15,$Q15)/$J$14)/5)*L$10)*((TREND($I$14:$I$15,$H$14:$H$15,Q15)/TREND($J$14:$J$15,$H$14:$H$15,Q15))),0),0),0))</f>
        <v>0</v>
      </c>
      <c r="V15" s="58" cm="1">
        <f t="array" ref="V15">_xlfn.SINGLE(IF(Q15&gt;=(Assumptions!$D$32+1),IF(Q15&lt;=Assumptions!$D$10,IF(Q15&gt;=Assumptions!$D$32,(((TREND($J$14:$J$15,$H$14:$H$15,$Q15)/$J$14)/5)*M$10)*((TREND($I$14:$I$15,$H$14:$H$15,Q15)/TREND($J$14:$J$15,$H$14:$H$15,Q15))),0),0),0))</f>
        <v>6.805555555555555E-2</v>
      </c>
      <c r="W15" s="109">
        <f t="shared" si="4"/>
        <v>272.22222222222217</v>
      </c>
      <c r="Z15" s="438"/>
      <c r="AA15" s="57">
        <f t="shared" si="8"/>
        <v>2030</v>
      </c>
      <c r="AB15" s="58" cm="1">
        <f t="array" ref="AB15">_xlfn.SINGLE(IF(AA15&gt;=(Assumptions!$D$32+1),IF(AA15&lt;=Assumptions!$D$10,IF(AA15&gt;=Assumptions!$D$32,((TREND($J$14:$J$15,$H$14:$H$15,$AA15)/$J$14)/5)*I$10*$AG15,0),0),0))</f>
        <v>0</v>
      </c>
      <c r="AC15" s="58" cm="1">
        <f t="array" ref="AC15">_xlfn.SINGLE(IF(AA15&gt;=(Assumptions!$D$32+1),IF(AA15&lt;=Assumptions!$D$10,IF(AA15&gt;=Assumptions!$D$32,((TREND($J$14:$J$15,$H$14:$H$15,$AA15)/$J$14)/5)*J$10*$AG15,0),0),0))</f>
        <v>0</v>
      </c>
      <c r="AD15" s="58" cm="1">
        <f t="array" ref="AD15">_xlfn.SINGLE(IF(AA15&gt;=(Assumptions!$D$32+1),IF(AA15&lt;=Assumptions!$D$10,IF(AA15&gt;=Assumptions!$D$32,((TREND($J$14:$J$15,$H$14:$H$15,$AA15)/$J$14)/5)*K$10*$AG15,0),0),0))</f>
        <v>0</v>
      </c>
      <c r="AE15" s="58" cm="1">
        <f t="array" ref="AE15">_xlfn.SINGLE(IF(AA15&gt;=(Assumptions!$D$32+1),IF(AA15&lt;=Assumptions!$D$10,IF(AA15&gt;=Assumptions!$D$32,((TREND($J$14:$J$15,$H$14:$H$15,$AA15)/$J$14)/5)*L$10*$AG15,0),0),0))</f>
        <v>0</v>
      </c>
      <c r="AF15" s="58" cm="1">
        <f t="array" ref="AF15">_xlfn.SINGLE(IF(AA15&gt;=(Assumptions!$D$32+1),IF(AA15&lt;=Assumptions!$D$10,IF(AA15&gt;=Assumptions!$D$32,((TREND($J$14:$J$15,$H$14:$H$15,$AA15)/$J$14)/5)*M$10*$AG15,0),0),0))</f>
        <v>0.13785555555555543</v>
      </c>
      <c r="AG15" s="58">
        <f>IF(Q15&gt;=(Assumptions!$D$32+1),IF(Q15&lt;=Assumptions!$D$10,IF(Q14&gt;=Assumptions!$D$32,$I$19,0),0),0)</f>
        <v>0.65300000000000002</v>
      </c>
      <c r="AH15" s="109">
        <f t="shared" si="5"/>
        <v>551.42222222222165</v>
      </c>
    </row>
    <row r="16" spans="1:34" x14ac:dyDescent="0.25">
      <c r="B16" s="153">
        <f t="shared" si="6"/>
        <v>2036</v>
      </c>
      <c r="C16" s="264">
        <f t="shared" si="1"/>
        <v>282.96783625730984</v>
      </c>
      <c r="D16" s="264">
        <f t="shared" si="2"/>
        <v>573.18888888888807</v>
      </c>
      <c r="E16" s="265">
        <f t="shared" si="3"/>
        <v>-290.22105263157823</v>
      </c>
      <c r="F16" s="266">
        <f>E16*(1+0.07)^-(B16-Assumptions!$D$7)</f>
        <v>-105.18946534273131</v>
      </c>
      <c r="H16" s="1"/>
      <c r="I16" s="1"/>
      <c r="J16" s="1"/>
      <c r="K16" s="1"/>
      <c r="L16" s="1"/>
      <c r="M16" s="1"/>
      <c r="P16" s="436"/>
      <c r="Q16" s="57">
        <f t="shared" si="7"/>
        <v>2031</v>
      </c>
      <c r="R16" s="58" cm="1">
        <f t="array" ref="R16">_xlfn.SINGLE(IF(Q16&gt;=(Assumptions!$D$32+1),IF(Q16&lt;=Assumptions!$D$10,IF(Q16&gt;=Assumptions!$D$32,(((TREND($J$14:$J$15,$H$14:$H$15,$Q16)/$J$14)/5)*I$10)*((TREND($I$14:$I$15,$H$14:$H$15,Q16)/TREND($J$14:$J$15,$H$14:$H$15,Q16))),0),0),0))</f>
        <v>0</v>
      </c>
      <c r="S16" s="58" cm="1">
        <f t="array" ref="S16">_xlfn.SINGLE(IF(Q16&gt;=(Assumptions!$D$32+1),IF(Q16&lt;=Assumptions!$D$10,IF(Q16&gt;=Assumptions!$D$32,(((TREND($J$14:$J$15,$H$14:$H$15,$Q16)/$J$14)/5)*J$10)*((TREND($I$14:$I$15,$H$14:$H$15,Q16)/TREND($J$14:$J$15,$H$14:$H$15,Q16))),0),0),0))</f>
        <v>0</v>
      </c>
      <c r="T16" s="58" cm="1">
        <f t="array" ref="T16">_xlfn.SINGLE(IF(Q16&gt;=(Assumptions!$D$32+1),IF(Q16&lt;=Assumptions!$D$10,IF(Q16&gt;=Assumptions!$D$32,(((TREND($J$14:$J$15,$H$14:$H$15,$Q16)/$J$14)/5)*K$10)*((TREND($I$14:$I$15,$H$14:$H$15,Q16)/TREND($J$14:$J$15,$H$14:$H$15,Q16))),0),0),0))</f>
        <v>0</v>
      </c>
      <c r="U16" s="58" cm="1">
        <f t="array" ref="U16">_xlfn.SINGLE(IF(Q16&gt;=(Assumptions!$D$32+1),IF(Q16&lt;=Assumptions!$D$10,IF(Q16&gt;=Assumptions!$D$32,(((TREND($J$14:$J$15,$H$14:$H$15,$Q16)/$J$14)/5)*L$10)*((TREND($I$14:$I$15,$H$14:$H$15,Q16)/TREND($J$14:$J$15,$H$14:$H$15,Q16))),0),0),0))</f>
        <v>0</v>
      </c>
      <c r="V16" s="58" cm="1">
        <f t="array" ref="V16">_xlfn.SINGLE(IF(Q16&gt;=(Assumptions!$D$32+1),IF(Q16&lt;=Assumptions!$D$10,IF(Q16&gt;=Assumptions!$D$32,(((TREND($J$14:$J$15,$H$14:$H$15,$Q16)/$J$14)/5)*M$10)*((TREND($I$14:$I$15,$H$14:$H$15,Q16)/TREND($J$14:$J$15,$H$14:$H$15,Q16))),0),0),0))</f>
        <v>6.8503289473684142E-2</v>
      </c>
      <c r="W16" s="109">
        <f t="shared" si="4"/>
        <v>274.01315789473659</v>
      </c>
      <c r="Z16" s="438"/>
      <c r="AA16" s="57">
        <f t="shared" si="8"/>
        <v>2031</v>
      </c>
      <c r="AB16" s="58" cm="1">
        <f t="array" ref="AB16">_xlfn.SINGLE(IF(AA16&gt;=(Assumptions!$D$32+1),IF(AA16&lt;=Assumptions!$D$10,IF(AA16&gt;=Assumptions!$D$32,((TREND($J$14:$J$15,$H$14:$H$15,$AA16)/$J$14)/5)*I$10*$AG16,0),0),0))</f>
        <v>0</v>
      </c>
      <c r="AC16" s="58" cm="1">
        <f t="array" ref="AC16">_xlfn.SINGLE(IF(AA16&gt;=(Assumptions!$D$32+1),IF(AA16&lt;=Assumptions!$D$10,IF(AA16&gt;=Assumptions!$D$32,((TREND($J$14:$J$15,$H$14:$H$15,$AA16)/$J$14)/5)*J$10*$AG16,0),0),0))</f>
        <v>0</v>
      </c>
      <c r="AD16" s="58" cm="1">
        <f t="array" ref="AD16">_xlfn.SINGLE(IF(AA16&gt;=(Assumptions!$D$32+1),IF(AA16&lt;=Assumptions!$D$10,IF(AA16&gt;=Assumptions!$D$32,((TREND($J$14:$J$15,$H$14:$H$15,$AA16)/$J$14)/5)*K$10*$AG16,0),0),0))</f>
        <v>0</v>
      </c>
      <c r="AE16" s="58" cm="1">
        <f t="array" ref="AE16">_xlfn.SINGLE(IF(AA16&gt;=(Assumptions!$D$32+1),IF(AA16&lt;=Assumptions!$D$10,IF(AA16&gt;=Assumptions!$D$32,((TREND($J$14:$J$15,$H$14:$H$15,$AA16)/$J$14)/5)*L$10*$AG16,0),0),0))</f>
        <v>0</v>
      </c>
      <c r="AF16" s="58" cm="1">
        <f t="array" ref="AF16">_xlfn.SINGLE(IF(AA16&gt;=(Assumptions!$D$32+1),IF(AA16&lt;=Assumptions!$D$10,IF(AA16&gt;=Assumptions!$D$32,((TREND($J$14:$J$15,$H$14:$H$15,$AA16)/$J$14)/5)*M$10*$AG16,0),0),0))</f>
        <v>0.13876250000000001</v>
      </c>
      <c r="AG16" s="58">
        <f>IF(Q16&gt;=(Assumptions!$D$32+1),IF(Q16&lt;=Assumptions!$D$10,IF(Q15&gt;=Assumptions!$D$32,$I$19,0),0),0)</f>
        <v>0.65300000000000002</v>
      </c>
      <c r="AH16" s="109">
        <f t="shared" si="5"/>
        <v>555.05000000000007</v>
      </c>
    </row>
    <row r="17" spans="1:34" ht="15" customHeight="1" x14ac:dyDescent="0.25">
      <c r="B17" s="153">
        <f t="shared" si="6"/>
        <v>2037</v>
      </c>
      <c r="C17" s="264">
        <f t="shared" si="1"/>
        <v>284.75877192982443</v>
      </c>
      <c r="D17" s="264">
        <f t="shared" si="2"/>
        <v>576.81666666666615</v>
      </c>
      <c r="E17" s="265">
        <f t="shared" si="3"/>
        <v>-292.05789473684172</v>
      </c>
      <c r="F17" s="266">
        <f>E17*(1+0.07)^-(B17-Assumptions!$D$7)</f>
        <v>-98.930113507005203</v>
      </c>
      <c r="H17" s="1" t="s">
        <v>801</v>
      </c>
      <c r="I17" s="1"/>
      <c r="J17" s="1"/>
      <c r="K17" s="1"/>
      <c r="L17" s="1"/>
      <c r="M17" s="1"/>
      <c r="P17" s="436"/>
      <c r="Q17" s="57">
        <f t="shared" si="7"/>
        <v>2032</v>
      </c>
      <c r="R17" s="58" cm="1">
        <f t="array" ref="R17">_xlfn.SINGLE(IF(Q17&gt;=(Assumptions!$D$32+1),IF(Q17&lt;=Assumptions!$D$10,IF(Q17&gt;=Assumptions!$D$32,(((TREND($J$14:$J$15,$H$14:$H$15,$Q17)/$J$14)/5)*I$10)*((TREND($I$14:$I$15,$H$14:$H$15,Q17)/TREND($J$14:$J$15,$H$14:$H$15,Q17))),0),0),0))</f>
        <v>0</v>
      </c>
      <c r="S17" s="58" cm="1">
        <f t="array" ref="S17">_xlfn.SINGLE(IF(Q17&gt;=(Assumptions!$D$32+1),IF(Q17&lt;=Assumptions!$D$10,IF(Q17&gt;=Assumptions!$D$32,(((TREND($J$14:$J$15,$H$14:$H$15,$Q17)/$J$14)/5)*J$10)*((TREND($I$14:$I$15,$H$14:$H$15,Q17)/TREND($J$14:$J$15,$H$14:$H$15,Q17))),0),0),0))</f>
        <v>0</v>
      </c>
      <c r="T17" s="58" cm="1">
        <f t="array" ref="T17">_xlfn.SINGLE(IF(Q17&gt;=(Assumptions!$D$32+1),IF(Q17&lt;=Assumptions!$D$10,IF(Q17&gt;=Assumptions!$D$32,(((TREND($J$14:$J$15,$H$14:$H$15,$Q17)/$J$14)/5)*K$10)*((TREND($I$14:$I$15,$H$14:$H$15,Q17)/TREND($J$14:$J$15,$H$14:$H$15,Q17))),0),0),0))</f>
        <v>0</v>
      </c>
      <c r="U17" s="58" cm="1">
        <f t="array" ref="U17">_xlfn.SINGLE(IF(Q17&gt;=(Assumptions!$D$32+1),IF(Q17&lt;=Assumptions!$D$10,IF(Q17&gt;=Assumptions!$D$32,(((TREND($J$14:$J$15,$H$14:$H$15,$Q17)/$J$14)/5)*L$10)*((TREND($I$14:$I$15,$H$14:$H$15,Q17)/TREND($J$14:$J$15,$H$14:$H$15,Q17))),0),0),0))</f>
        <v>0</v>
      </c>
      <c r="V17" s="58" cm="1">
        <f t="array" ref="V17">_xlfn.SINGLE(IF(Q17&gt;=(Assumptions!$D$32+1),IF(Q17&lt;=Assumptions!$D$10,IF(Q17&gt;=Assumptions!$D$32,(((TREND($J$14:$J$15,$H$14:$H$15,$Q17)/$J$14)/5)*M$10)*((TREND($I$14:$I$15,$H$14:$H$15,Q17)/TREND($J$14:$J$15,$H$14:$H$15,Q17))),0),0),0))</f>
        <v>6.8951023391812832E-2</v>
      </c>
      <c r="W17" s="109">
        <f t="shared" si="4"/>
        <v>275.80409356725136</v>
      </c>
      <c r="Z17" s="438"/>
      <c r="AA17" s="57">
        <f t="shared" si="8"/>
        <v>2032</v>
      </c>
      <c r="AB17" s="58" cm="1">
        <f t="array" ref="AB17">_xlfn.SINGLE(IF(AA17&gt;=(Assumptions!$D$32+1),IF(AA17&lt;=Assumptions!$D$10,IF(AA17&gt;=Assumptions!$D$32,((TREND($J$14:$J$15,$H$14:$H$15,$AA17)/$J$14)/5)*I$10*$AG17,0),0),0))</f>
        <v>0</v>
      </c>
      <c r="AC17" s="58" cm="1">
        <f t="array" ref="AC17">_xlfn.SINGLE(IF(AA17&gt;=(Assumptions!$D$32+1),IF(AA17&lt;=Assumptions!$D$10,IF(AA17&gt;=Assumptions!$D$32,((TREND($J$14:$J$15,$H$14:$H$15,$AA17)/$J$14)/5)*J$10*$AG17,0),0),0))</f>
        <v>0</v>
      </c>
      <c r="AD17" s="58" cm="1">
        <f t="array" ref="AD17">_xlfn.SINGLE(IF(AA17&gt;=(Assumptions!$D$32+1),IF(AA17&lt;=Assumptions!$D$10,IF(AA17&gt;=Assumptions!$D$32,((TREND($J$14:$J$15,$H$14:$H$15,$AA17)/$J$14)/5)*K$10*$AG17,0),0),0))</f>
        <v>0</v>
      </c>
      <c r="AE17" s="58" cm="1">
        <f t="array" ref="AE17">_xlfn.SINGLE(IF(AA17&gt;=(Assumptions!$D$32+1),IF(AA17&lt;=Assumptions!$D$10,IF(AA17&gt;=Assumptions!$D$32,((TREND($J$14:$J$15,$H$14:$H$15,$AA17)/$J$14)/5)*L$10*$AG17,0),0),0))</f>
        <v>0</v>
      </c>
      <c r="AF17" s="58" cm="1">
        <f t="array" ref="AF17">_xlfn.SINGLE(IF(AA17&gt;=(Assumptions!$D$32+1),IF(AA17&lt;=Assumptions!$D$10,IF(AA17&gt;=Assumptions!$D$32,((TREND($J$14:$J$15,$H$14:$H$15,$AA17)/$J$14)/5)*M$10*$AG17,0),0),0))</f>
        <v>0.13966944444444429</v>
      </c>
      <c r="AG17" s="58">
        <f>IF(Q17&gt;=(Assumptions!$D$32+1),IF(Q17&lt;=Assumptions!$D$10,IF(Q16&gt;=Assumptions!$D$32,$I$19,0),0),0)</f>
        <v>0.65300000000000002</v>
      </c>
      <c r="AH17" s="109">
        <f t="shared" si="5"/>
        <v>558.67777777777712</v>
      </c>
    </row>
    <row r="18" spans="1:34" ht="15" customHeight="1" x14ac:dyDescent="0.25">
      <c r="B18" s="153">
        <f t="shared" si="6"/>
        <v>2038</v>
      </c>
      <c r="C18" s="264">
        <f t="shared" si="1"/>
        <v>286.54970760233925</v>
      </c>
      <c r="D18" s="264">
        <f t="shared" si="2"/>
        <v>580.44444444444343</v>
      </c>
      <c r="E18" s="265">
        <f t="shared" si="3"/>
        <v>-293.89473684210418</v>
      </c>
      <c r="F18" s="266">
        <f>E18*(1+0.07)^-(B18-Assumptions!$D$7)</f>
        <v>-93.039547176399196</v>
      </c>
      <c r="H18" s="25" t="s">
        <v>679</v>
      </c>
      <c r="I18" s="26">
        <v>6942</v>
      </c>
      <c r="J18" s="1"/>
      <c r="K18" s="1"/>
      <c r="L18" s="1"/>
      <c r="M18" s="1"/>
      <c r="P18" s="436"/>
      <c r="Q18" s="57">
        <f t="shared" si="7"/>
        <v>2033</v>
      </c>
      <c r="R18" s="58" cm="1">
        <f t="array" ref="R18">_xlfn.SINGLE(IF(Q18&gt;=(Assumptions!$D$32+1),IF(Q18&lt;=Assumptions!$D$10,IF(Q18&gt;=Assumptions!$D$32,(((TREND($J$14:$J$15,$H$14:$H$15,$Q18)/$J$14)/5)*I$10)*((TREND($I$14:$I$15,$H$14:$H$15,Q18)/TREND($J$14:$J$15,$H$14:$H$15,Q18))),0),0),0))</f>
        <v>0</v>
      </c>
      <c r="S18" s="58" cm="1">
        <f t="array" ref="S18">_xlfn.SINGLE(IF(Q18&gt;=(Assumptions!$D$32+1),IF(Q18&lt;=Assumptions!$D$10,IF(Q18&gt;=Assumptions!$D$32,(((TREND($J$14:$J$15,$H$14:$H$15,$Q18)/$J$14)/5)*J$10)*((TREND($I$14:$I$15,$H$14:$H$15,Q18)/TREND($J$14:$J$15,$H$14:$H$15,Q18))),0),0),0))</f>
        <v>0</v>
      </c>
      <c r="T18" s="58" cm="1">
        <f t="array" ref="T18">_xlfn.SINGLE(IF(Q18&gt;=(Assumptions!$D$32+1),IF(Q18&lt;=Assumptions!$D$10,IF(Q18&gt;=Assumptions!$D$32,(((TREND($J$14:$J$15,$H$14:$H$15,$Q18)/$J$14)/5)*K$10)*((TREND($I$14:$I$15,$H$14:$H$15,Q18)/TREND($J$14:$J$15,$H$14:$H$15,Q18))),0),0),0))</f>
        <v>0</v>
      </c>
      <c r="U18" s="58" cm="1">
        <f t="array" ref="U18">_xlfn.SINGLE(IF(Q18&gt;=(Assumptions!$D$32+1),IF(Q18&lt;=Assumptions!$D$10,IF(Q18&gt;=Assumptions!$D$32,(((TREND($J$14:$J$15,$H$14:$H$15,$Q18)/$J$14)/5)*L$10)*((TREND($I$14:$I$15,$H$14:$H$15,Q18)/TREND($J$14:$J$15,$H$14:$H$15,Q18))),0),0),0))</f>
        <v>0</v>
      </c>
      <c r="V18" s="58" cm="1">
        <f t="array" ref="V18">_xlfn.SINGLE(IF(Q18&gt;=(Assumptions!$D$32+1),IF(Q18&lt;=Assumptions!$D$10,IF(Q18&gt;=Assumptions!$D$32,(((TREND($J$14:$J$15,$H$14:$H$15,$Q18)/$J$14)/5)*M$10)*((TREND($I$14:$I$15,$H$14:$H$15,Q18)/TREND($J$14:$J$15,$H$14:$H$15,Q18))),0),0),0))</f>
        <v>6.9398757309941508E-2</v>
      </c>
      <c r="W18" s="109">
        <f t="shared" si="4"/>
        <v>277.59502923976601</v>
      </c>
      <c r="Z18" s="438"/>
      <c r="AA18" s="57">
        <f t="shared" si="8"/>
        <v>2033</v>
      </c>
      <c r="AB18" s="58" cm="1">
        <f t="array" ref="AB18">_xlfn.SINGLE(IF(AA18&gt;=(Assumptions!$D$32+1),IF(AA18&lt;=Assumptions!$D$10,IF(AA18&gt;=Assumptions!$D$32,((TREND($J$14:$J$15,$H$14:$H$15,$AA18)/$J$14)/5)*I$10*$AG18,0),0),0))</f>
        <v>0</v>
      </c>
      <c r="AC18" s="58" cm="1">
        <f t="array" ref="AC18">_xlfn.SINGLE(IF(AA18&gt;=(Assumptions!$D$32+1),IF(AA18&lt;=Assumptions!$D$10,IF(AA18&gt;=Assumptions!$D$32,((TREND($J$14:$J$15,$H$14:$H$15,$AA18)/$J$14)/5)*J$10*$AG18,0),0),0))</f>
        <v>0</v>
      </c>
      <c r="AD18" s="58" cm="1">
        <f t="array" ref="AD18">_xlfn.SINGLE(IF(AA18&gt;=(Assumptions!$D$32+1),IF(AA18&lt;=Assumptions!$D$10,IF(AA18&gt;=Assumptions!$D$32,((TREND($J$14:$J$15,$H$14:$H$15,$AA18)/$J$14)/5)*K$10*$AG18,0),0),0))</f>
        <v>0</v>
      </c>
      <c r="AE18" s="58" cm="1">
        <f t="array" ref="AE18">_xlfn.SINGLE(IF(AA18&gt;=(Assumptions!$D$32+1),IF(AA18&lt;=Assumptions!$D$10,IF(AA18&gt;=Assumptions!$D$32,((TREND($J$14:$J$15,$H$14:$H$15,$AA18)/$J$14)/5)*L$10*$AG18,0),0),0))</f>
        <v>0</v>
      </c>
      <c r="AF18" s="58" cm="1">
        <f t="array" ref="AF18">_xlfn.SINGLE(IF(AA18&gt;=(Assumptions!$D$32+1),IF(AA18&lt;=Assumptions!$D$10,IF(AA18&gt;=Assumptions!$D$32,((TREND($J$14:$J$15,$H$14:$H$15,$AA18)/$J$14)/5)*M$10*$AG18,0),0),0))</f>
        <v>0.14057638888888888</v>
      </c>
      <c r="AG18" s="58">
        <f>IF(Q18&gt;=(Assumptions!$D$32+1),IF(Q18&lt;=Assumptions!$D$10,IF(Q17&gt;=Assumptions!$D$32,$I$19,0),0),0)</f>
        <v>0.65300000000000002</v>
      </c>
      <c r="AH18" s="109">
        <f t="shared" si="5"/>
        <v>562.30555555555554</v>
      </c>
    </row>
    <row r="19" spans="1:34" ht="15" customHeight="1" x14ac:dyDescent="0.25">
      <c r="B19" s="153">
        <f t="shared" si="6"/>
        <v>2039</v>
      </c>
      <c r="C19" s="264">
        <f t="shared" si="1"/>
        <v>288.34064327485356</v>
      </c>
      <c r="D19" s="264">
        <f t="shared" si="2"/>
        <v>584.07222222222163</v>
      </c>
      <c r="E19" s="265">
        <f t="shared" si="3"/>
        <v>-295.73157894736806</v>
      </c>
      <c r="F19" s="266">
        <f>E19*(1+0.07)^-(B19-Assumptions!$D$7)</f>
        <v>-87.496303127338237</v>
      </c>
      <c r="H19" s="25" t="s">
        <v>678</v>
      </c>
      <c r="I19" s="117">
        <v>0.65300000000000002</v>
      </c>
      <c r="J19" s="1"/>
      <c r="K19" s="1"/>
      <c r="L19" s="1"/>
      <c r="M19" s="1"/>
      <c r="P19" s="436"/>
      <c r="Q19" s="57">
        <f t="shared" si="7"/>
        <v>2034</v>
      </c>
      <c r="R19" s="58" cm="1">
        <f t="array" ref="R19">_xlfn.SINGLE(IF(Q19&gt;=(Assumptions!$D$32+1),IF(Q19&lt;=Assumptions!$D$10,IF(Q19&gt;=Assumptions!$D$32,(((TREND($J$14:$J$15,$H$14:$H$15,$Q19)/$J$14)/5)*I$10)*((TREND($I$14:$I$15,$H$14:$H$15,Q19)/TREND($J$14:$J$15,$H$14:$H$15,Q19))),0),0),0))</f>
        <v>0</v>
      </c>
      <c r="S19" s="58" cm="1">
        <f t="array" ref="S19">_xlfn.SINGLE(IF(Q19&gt;=(Assumptions!$D$32+1),IF(Q19&lt;=Assumptions!$D$10,IF(Q19&gt;=Assumptions!$D$32,(((TREND($J$14:$J$15,$H$14:$H$15,$Q19)/$J$14)/5)*J$10)*((TREND($I$14:$I$15,$H$14:$H$15,Q19)/TREND($J$14:$J$15,$H$14:$H$15,Q19))),0),0),0))</f>
        <v>0</v>
      </c>
      <c r="T19" s="58" cm="1">
        <f t="array" ref="T19">_xlfn.SINGLE(IF(Q19&gt;=(Assumptions!$D$32+1),IF(Q19&lt;=Assumptions!$D$10,IF(Q19&gt;=Assumptions!$D$32,(((TREND($J$14:$J$15,$H$14:$H$15,$Q19)/$J$14)/5)*K$10)*((TREND($I$14:$I$15,$H$14:$H$15,Q19)/TREND($J$14:$J$15,$H$14:$H$15,Q19))),0),0),0))</f>
        <v>0</v>
      </c>
      <c r="U19" s="58" cm="1">
        <f t="array" ref="U19">_xlfn.SINGLE(IF(Q19&gt;=(Assumptions!$D$32+1),IF(Q19&lt;=Assumptions!$D$10,IF(Q19&gt;=Assumptions!$D$32,(((TREND($J$14:$J$15,$H$14:$H$15,$Q19)/$J$14)/5)*L$10)*((TREND($I$14:$I$15,$H$14:$H$15,Q19)/TREND($J$14:$J$15,$H$14:$H$15,Q19))),0),0),0))</f>
        <v>0</v>
      </c>
      <c r="V19" s="58" cm="1">
        <f t="array" ref="V19">_xlfn.SINGLE(IF(Q19&gt;=(Assumptions!$D$32+1),IF(Q19&lt;=Assumptions!$D$10,IF(Q19&gt;=Assumptions!$D$32,(((TREND($J$14:$J$15,$H$14:$H$15,$Q19)/$J$14)/5)*M$10)*((TREND($I$14:$I$15,$H$14:$H$15,Q19)/TREND($J$14:$J$15,$H$14:$H$15,Q19))),0),0),0))</f>
        <v>6.9846491228070198E-2</v>
      </c>
      <c r="W19" s="109">
        <f t="shared" si="4"/>
        <v>279.38596491228077</v>
      </c>
      <c r="Z19" s="438"/>
      <c r="AA19" s="57">
        <f t="shared" si="8"/>
        <v>2034</v>
      </c>
      <c r="AB19" s="58" cm="1">
        <f t="array" ref="AB19">_xlfn.SINGLE(IF(AA19&gt;=(Assumptions!$D$32+1),IF(AA19&lt;=Assumptions!$D$10,IF(AA19&gt;=Assumptions!$D$32,((TREND($J$14:$J$15,$H$14:$H$15,$AA19)/$J$14)/5)*I$10*$AG19,0),0),0))</f>
        <v>0</v>
      </c>
      <c r="AC19" s="58" cm="1">
        <f t="array" ref="AC19">_xlfn.SINGLE(IF(AA19&gt;=(Assumptions!$D$32+1),IF(AA19&lt;=Assumptions!$D$10,IF(AA19&gt;=Assumptions!$D$32,((TREND($J$14:$J$15,$H$14:$H$15,$AA19)/$J$14)/5)*J$10*$AG19,0),0),0))</f>
        <v>0</v>
      </c>
      <c r="AD19" s="58" cm="1">
        <f t="array" ref="AD19">_xlfn.SINGLE(IF(AA19&gt;=(Assumptions!$D$32+1),IF(AA19&lt;=Assumptions!$D$10,IF(AA19&gt;=Assumptions!$D$32,((TREND($J$14:$J$15,$H$14:$H$15,$AA19)/$J$14)/5)*K$10*$AG19,0),0),0))</f>
        <v>0</v>
      </c>
      <c r="AE19" s="58" cm="1">
        <f t="array" ref="AE19">_xlfn.SINGLE(IF(AA19&gt;=(Assumptions!$D$32+1),IF(AA19&lt;=Assumptions!$D$10,IF(AA19&gt;=Assumptions!$D$32,((TREND($J$14:$J$15,$H$14:$H$15,$AA19)/$J$14)/5)*L$10*$AG19,0),0),0))</f>
        <v>0</v>
      </c>
      <c r="AF19" s="58" cm="1">
        <f t="array" ref="AF19">_xlfn.SINGLE(IF(AA19&gt;=(Assumptions!$D$32+1),IF(AA19&lt;=Assumptions!$D$10,IF(AA19&gt;=Assumptions!$D$32,((TREND($J$14:$J$15,$H$14:$H$15,$AA19)/$J$14)/5)*M$10*$AG19,0),0),0))</f>
        <v>0.14148333333333316</v>
      </c>
      <c r="AG19" s="58">
        <f>IF(Q19&gt;=(Assumptions!$D$32+1),IF(Q19&lt;=Assumptions!$D$10,IF(Q18&gt;=Assumptions!$D$32,$I$19,0),0),0)</f>
        <v>0.65300000000000002</v>
      </c>
      <c r="AH19" s="109">
        <f t="shared" si="5"/>
        <v>565.9333333333326</v>
      </c>
    </row>
    <row r="20" spans="1:34" x14ac:dyDescent="0.25">
      <c r="B20" s="153">
        <f t="shared" si="6"/>
        <v>2040</v>
      </c>
      <c r="C20" s="264">
        <f t="shared" si="1"/>
        <v>290.13157894736827</v>
      </c>
      <c r="D20" s="264">
        <f t="shared" si="2"/>
        <v>587.70000000000005</v>
      </c>
      <c r="E20" s="265">
        <f t="shared" si="3"/>
        <v>-297.56842105263178</v>
      </c>
      <c r="F20" s="266">
        <f>E20*(1+0.07)^-(B20-Assumptions!$D$7)</f>
        <v>-82.280148061930802</v>
      </c>
      <c r="H20" s="25" t="s">
        <v>674</v>
      </c>
      <c r="I20" s="26" t="s">
        <v>677</v>
      </c>
      <c r="J20" s="1"/>
      <c r="K20" s="1"/>
      <c r="L20" s="1"/>
      <c r="M20" s="1"/>
      <c r="P20" s="436"/>
      <c r="Q20" s="57">
        <f t="shared" si="7"/>
        <v>2035</v>
      </c>
      <c r="R20" s="58" cm="1">
        <f t="array" ref="R20">_xlfn.SINGLE(IF(Q20&gt;=(Assumptions!$D$32+1),IF(Q20&lt;=Assumptions!$D$10,IF(Q20&gt;=Assumptions!$D$32,(((TREND($J$14:$J$15,$H$14:$H$15,$Q20)/$J$14)/5)*I$10)*((TREND($I$14:$I$15,$H$14:$H$15,Q20)/TREND($J$14:$J$15,$H$14:$H$15,Q20))),0),0),0))</f>
        <v>0</v>
      </c>
      <c r="S20" s="58" cm="1">
        <f t="array" ref="S20">_xlfn.SINGLE(IF(Q20&gt;=(Assumptions!$D$32+1),IF(Q20&lt;=Assumptions!$D$10,IF(Q20&gt;=Assumptions!$D$32,(((TREND($J$14:$J$15,$H$14:$H$15,$Q20)/$J$14)/5)*J$10)*((TREND($I$14:$I$15,$H$14:$H$15,Q20)/TREND($J$14:$J$15,$H$14:$H$15,Q20))),0),0),0))</f>
        <v>0</v>
      </c>
      <c r="T20" s="58" cm="1">
        <f t="array" ref="T20">_xlfn.SINGLE(IF(Q20&gt;=(Assumptions!$D$32+1),IF(Q20&lt;=Assumptions!$D$10,IF(Q20&gt;=Assumptions!$D$32,(((TREND($J$14:$J$15,$H$14:$H$15,$Q20)/$J$14)/5)*K$10)*((TREND($I$14:$I$15,$H$14:$H$15,Q20)/TREND($J$14:$J$15,$H$14:$H$15,Q20))),0),0),0))</f>
        <v>0</v>
      </c>
      <c r="U20" s="58" cm="1">
        <f t="array" ref="U20">_xlfn.SINGLE(IF(Q20&gt;=(Assumptions!$D$32+1),IF(Q20&lt;=Assumptions!$D$10,IF(Q20&gt;=Assumptions!$D$32,(((TREND($J$14:$J$15,$H$14:$H$15,$Q20)/$J$14)/5)*L$10)*((TREND($I$14:$I$15,$H$14:$H$15,Q20)/TREND($J$14:$J$15,$H$14:$H$15,Q20))),0),0),0))</f>
        <v>0</v>
      </c>
      <c r="V20" s="58" cm="1">
        <f t="array" ref="V20">_xlfn.SINGLE(IF(Q20&gt;=(Assumptions!$D$32+1),IF(Q20&lt;=Assumptions!$D$10,IF(Q20&gt;=Assumptions!$D$32,(((TREND($J$14:$J$15,$H$14:$H$15,$Q20)/$J$14)/5)*M$10)*((TREND($I$14:$I$15,$H$14:$H$15,Q20)/TREND($J$14:$J$15,$H$14:$H$15,Q20))),0),0),0))</f>
        <v>7.0294225146198763E-2</v>
      </c>
      <c r="W20" s="109">
        <f t="shared" si="4"/>
        <v>281.17690058479508</v>
      </c>
      <c r="Z20" s="438"/>
      <c r="AA20" s="57">
        <f t="shared" si="8"/>
        <v>2035</v>
      </c>
      <c r="AB20" s="58" cm="1">
        <f t="array" ref="AB20">_xlfn.SINGLE(IF(AA20&gt;=(Assumptions!$D$32+1),IF(AA20&lt;=Assumptions!$D$10,IF(AA20&gt;=Assumptions!$D$32,((TREND($J$14:$J$15,$H$14:$H$15,$AA20)/$J$14)/5)*I$10*$AG20,0),0),0))</f>
        <v>0</v>
      </c>
      <c r="AC20" s="58" cm="1">
        <f t="array" ref="AC20">_xlfn.SINGLE(IF(AA20&gt;=(Assumptions!$D$32+1),IF(AA20&lt;=Assumptions!$D$10,IF(AA20&gt;=Assumptions!$D$32,((TREND($J$14:$J$15,$H$14:$H$15,$AA20)/$J$14)/5)*J$10*$AG20,0),0),0))</f>
        <v>0</v>
      </c>
      <c r="AD20" s="58" cm="1">
        <f t="array" ref="AD20">_xlfn.SINGLE(IF(AA20&gt;=(Assumptions!$D$32+1),IF(AA20&lt;=Assumptions!$D$10,IF(AA20&gt;=Assumptions!$D$32,((TREND($J$14:$J$15,$H$14:$H$15,$AA20)/$J$14)/5)*K$10*$AG20,0),0),0))</f>
        <v>0</v>
      </c>
      <c r="AE20" s="58" cm="1">
        <f t="array" ref="AE20">_xlfn.SINGLE(IF(AA20&gt;=(Assumptions!$D$32+1),IF(AA20&lt;=Assumptions!$D$10,IF(AA20&gt;=Assumptions!$D$32,((TREND($J$14:$J$15,$H$14:$H$15,$AA20)/$J$14)/5)*L$10*$AG20,0),0),0))</f>
        <v>0</v>
      </c>
      <c r="AF20" s="58" cm="1">
        <f t="array" ref="AF20">_xlfn.SINGLE(IF(AA20&gt;=(Assumptions!$D$32+1),IF(AA20&lt;=Assumptions!$D$10,IF(AA20&gt;=Assumptions!$D$32,((TREND($J$14:$J$15,$H$14:$H$15,$AA20)/$J$14)/5)*M$10*$AG20,0),0),0))</f>
        <v>0.14239027777777771</v>
      </c>
      <c r="AG20" s="58">
        <f>IF(Q20&gt;=(Assumptions!$D$32+1),IF(Q20&lt;=Assumptions!$D$10,IF(Q19&gt;=Assumptions!$D$32,$I$19,0),0),0)</f>
        <v>0.65300000000000002</v>
      </c>
      <c r="AH20" s="109">
        <f t="shared" si="5"/>
        <v>569.5611111111109</v>
      </c>
    </row>
    <row r="21" spans="1:34" x14ac:dyDescent="0.25">
      <c r="B21" s="153">
        <f t="shared" si="6"/>
        <v>2041</v>
      </c>
      <c r="C21" s="264">
        <f t="shared" si="1"/>
        <v>291.92251461988303</v>
      </c>
      <c r="D21" s="264">
        <f t="shared" si="2"/>
        <v>591.32777777777721</v>
      </c>
      <c r="E21" s="265">
        <f t="shared" si="3"/>
        <v>-299.40526315789418</v>
      </c>
      <c r="F21" s="266">
        <f>E21*(1+0.07)^-(B21-Assumptions!$D$7)</f>
        <v>-77.37200954248695</v>
      </c>
      <c r="H21" s="25" t="s">
        <v>675</v>
      </c>
      <c r="I21" s="26" t="s">
        <v>676</v>
      </c>
      <c r="J21" s="1"/>
      <c r="K21" s="1"/>
      <c r="L21" s="1"/>
      <c r="M21" s="1"/>
      <c r="P21" s="436"/>
      <c r="Q21" s="57">
        <f t="shared" si="7"/>
        <v>2036</v>
      </c>
      <c r="R21" s="58" cm="1">
        <f t="array" ref="R21">_xlfn.SINGLE(IF(Q21&gt;=(Assumptions!$D$32+1),IF(Q21&lt;=Assumptions!$D$10,IF(Q21&gt;=Assumptions!$D$32,(((TREND($J$14:$J$15,$H$14:$H$15,$Q21)/$J$14)/5)*I$10)*((TREND($I$14:$I$15,$H$14:$H$15,Q21)/TREND($J$14:$J$15,$H$14:$H$15,Q21))),0),0),0))</f>
        <v>0</v>
      </c>
      <c r="S21" s="58" cm="1">
        <f t="array" ref="S21">_xlfn.SINGLE(IF(Q21&gt;=(Assumptions!$D$32+1),IF(Q21&lt;=Assumptions!$D$10,IF(Q21&gt;=Assumptions!$D$32,(((TREND($J$14:$J$15,$H$14:$H$15,$Q21)/$J$14)/5)*J$10)*((TREND($I$14:$I$15,$H$14:$H$15,Q21)/TREND($J$14:$J$15,$H$14:$H$15,Q21))),0),0),0))</f>
        <v>0</v>
      </c>
      <c r="T21" s="58" cm="1">
        <f t="array" ref="T21">_xlfn.SINGLE(IF(Q21&gt;=(Assumptions!$D$32+1),IF(Q21&lt;=Assumptions!$D$10,IF(Q21&gt;=Assumptions!$D$32,(((TREND($J$14:$J$15,$H$14:$H$15,$Q21)/$J$14)/5)*K$10)*((TREND($I$14:$I$15,$H$14:$H$15,Q21)/TREND($J$14:$J$15,$H$14:$H$15,Q21))),0),0),0))</f>
        <v>0</v>
      </c>
      <c r="U21" s="58" cm="1">
        <f t="array" ref="U21">_xlfn.SINGLE(IF(Q21&gt;=(Assumptions!$D$32+1),IF(Q21&lt;=Assumptions!$D$10,IF(Q21&gt;=Assumptions!$D$32,(((TREND($J$14:$J$15,$H$14:$H$15,$Q21)/$J$14)/5)*L$10)*((TREND($I$14:$I$15,$H$14:$H$15,Q21)/TREND($J$14:$J$15,$H$14:$H$15,Q21))),0),0),0))</f>
        <v>0</v>
      </c>
      <c r="V21" s="58" cm="1">
        <f t="array" ref="V21">_xlfn.SINGLE(IF(Q21&gt;=(Assumptions!$D$32+1),IF(Q21&lt;=Assumptions!$D$10,IF(Q21&gt;=Assumptions!$D$32,(((TREND($J$14:$J$15,$H$14:$H$15,$Q21)/$J$14)/5)*M$10)*((TREND($I$14:$I$15,$H$14:$H$15,Q21)/TREND($J$14:$J$15,$H$14:$H$15,Q21))),0),0),0))</f>
        <v>7.0741959064327453E-2</v>
      </c>
      <c r="W21" s="109">
        <f t="shared" si="4"/>
        <v>282.96783625730984</v>
      </c>
      <c r="Z21" s="438"/>
      <c r="AA21" s="57">
        <f t="shared" si="8"/>
        <v>2036</v>
      </c>
      <c r="AB21" s="58" cm="1">
        <f t="array" ref="AB21">_xlfn.SINGLE(IF(AA21&gt;=(Assumptions!$D$32+1),IF(AA21&lt;=Assumptions!$D$10,IF(AA21&gt;=Assumptions!$D$32,((TREND($J$14:$J$15,$H$14:$H$15,$AA21)/$J$14)/5)*I$10*$AG21,0),0),0))</f>
        <v>0</v>
      </c>
      <c r="AC21" s="58" cm="1">
        <f t="array" ref="AC21">_xlfn.SINGLE(IF(AA21&gt;=(Assumptions!$D$32+1),IF(AA21&lt;=Assumptions!$D$10,IF(AA21&gt;=Assumptions!$D$32,((TREND($J$14:$J$15,$H$14:$H$15,$AA21)/$J$14)/5)*J$10*$AG21,0),0),0))</f>
        <v>0</v>
      </c>
      <c r="AD21" s="58" cm="1">
        <f t="array" ref="AD21">_xlfn.SINGLE(IF(AA21&gt;=(Assumptions!$D$32+1),IF(AA21&lt;=Assumptions!$D$10,IF(AA21&gt;=Assumptions!$D$32,((TREND($J$14:$J$15,$H$14:$H$15,$AA21)/$J$14)/5)*K$10*$AG21,0),0),0))</f>
        <v>0</v>
      </c>
      <c r="AE21" s="58" cm="1">
        <f t="array" ref="AE21">_xlfn.SINGLE(IF(AA21&gt;=(Assumptions!$D$32+1),IF(AA21&lt;=Assumptions!$D$10,IF(AA21&gt;=Assumptions!$D$32,((TREND($J$14:$J$15,$H$14:$H$15,$AA21)/$J$14)/5)*L$10*$AG21,0),0),0))</f>
        <v>0</v>
      </c>
      <c r="AF21" s="58" cm="1">
        <f t="array" ref="AF21">_xlfn.SINGLE(IF(AA21&gt;=(Assumptions!$D$32+1),IF(AA21&lt;=Assumptions!$D$10,IF(AA21&gt;=Assumptions!$D$32,((TREND($J$14:$J$15,$H$14:$H$15,$AA21)/$J$14)/5)*M$10*$AG21,0),0),0))</f>
        <v>0.14329722222222202</v>
      </c>
      <c r="AG21" s="58">
        <f>IF(Q21&gt;=(Assumptions!$D$32+1),IF(Q21&lt;=Assumptions!$D$10,IF(Q20&gt;=Assumptions!$D$32,$I$19,0),0),0)</f>
        <v>0.65300000000000002</v>
      </c>
      <c r="AH21" s="109">
        <f t="shared" si="5"/>
        <v>573.18888888888807</v>
      </c>
    </row>
    <row r="22" spans="1:34" x14ac:dyDescent="0.25">
      <c r="B22" s="153">
        <f t="shared" si="6"/>
        <v>2042</v>
      </c>
      <c r="C22" s="264">
        <f t="shared" si="1"/>
        <v>293.71345029239774</v>
      </c>
      <c r="D22" s="264">
        <f t="shared" si="2"/>
        <v>594.95555555555541</v>
      </c>
      <c r="E22" s="265">
        <f t="shared" si="3"/>
        <v>-301.24210526315767</v>
      </c>
      <c r="F22" s="266">
        <f>E22*(1+0.07)^-(B22-Assumptions!$D$7)</f>
        <v>-72.753910698743624</v>
      </c>
      <c r="H22" s="25" t="s">
        <v>802</v>
      </c>
      <c r="I22" s="26" t="s">
        <v>676</v>
      </c>
      <c r="J22" s="1"/>
      <c r="K22" s="1"/>
      <c r="L22" s="1"/>
      <c r="M22" s="1"/>
      <c r="P22" s="436"/>
      <c r="Q22" s="57">
        <f t="shared" si="7"/>
        <v>2037</v>
      </c>
      <c r="R22" s="58" cm="1">
        <f t="array" ref="R22">_xlfn.SINGLE(IF(Q22&gt;=(Assumptions!$D$32+1),IF(Q22&lt;=Assumptions!$D$10,IF(Q22&gt;=Assumptions!$D$32,(((TREND($J$14:$J$15,$H$14:$H$15,$Q22)/$J$14)/5)*I$10)*((TREND($I$14:$I$15,$H$14:$H$15,Q22)/TREND($J$14:$J$15,$H$14:$H$15,Q22))),0),0),0))</f>
        <v>0</v>
      </c>
      <c r="S22" s="58" cm="1">
        <f t="array" ref="S22">_xlfn.SINGLE(IF(Q22&gt;=(Assumptions!$D$32+1),IF(Q22&lt;=Assumptions!$D$10,IF(Q22&gt;=Assumptions!$D$32,(((TREND($J$14:$J$15,$H$14:$H$15,$Q22)/$J$14)/5)*J$10)*((TREND($I$14:$I$15,$H$14:$H$15,Q22)/TREND($J$14:$J$15,$H$14:$H$15,Q22))),0),0),0))</f>
        <v>0</v>
      </c>
      <c r="T22" s="58" cm="1">
        <f t="array" ref="T22">_xlfn.SINGLE(IF(Q22&gt;=(Assumptions!$D$32+1),IF(Q22&lt;=Assumptions!$D$10,IF(Q22&gt;=Assumptions!$D$32,(((TREND($J$14:$J$15,$H$14:$H$15,$Q22)/$J$14)/5)*K$10)*((TREND($I$14:$I$15,$H$14:$H$15,Q22)/TREND($J$14:$J$15,$H$14:$H$15,Q22))),0),0),0))</f>
        <v>0</v>
      </c>
      <c r="U22" s="58" cm="1">
        <f t="array" ref="U22">_xlfn.SINGLE(IF(Q22&gt;=(Assumptions!$D$32+1),IF(Q22&lt;=Assumptions!$D$10,IF(Q22&gt;=Assumptions!$D$32,(((TREND($J$14:$J$15,$H$14:$H$15,$Q22)/$J$14)/5)*L$10)*((TREND($I$14:$I$15,$H$14:$H$15,Q22)/TREND($J$14:$J$15,$H$14:$H$15,Q22))),0),0),0))</f>
        <v>0</v>
      </c>
      <c r="V22" s="58" cm="1">
        <f t="array" ref="V22">_xlfn.SINGLE(IF(Q22&gt;=(Assumptions!$D$32+1),IF(Q22&lt;=Assumptions!$D$10,IF(Q22&gt;=Assumptions!$D$32,(((TREND($J$14:$J$15,$H$14:$H$15,$Q22)/$J$14)/5)*M$10)*((TREND($I$14:$I$15,$H$14:$H$15,Q22)/TREND($J$14:$J$15,$H$14:$H$15,Q22))),0),0),0))</f>
        <v>7.1189692982456115E-2</v>
      </c>
      <c r="W22" s="109">
        <f t="shared" si="4"/>
        <v>284.75877192982443</v>
      </c>
      <c r="Z22" s="438"/>
      <c r="AA22" s="57">
        <f t="shared" si="8"/>
        <v>2037</v>
      </c>
      <c r="AB22" s="58" cm="1">
        <f t="array" ref="AB22">_xlfn.SINGLE(IF(AA22&gt;=(Assumptions!$D$32+1),IF(AA22&lt;=Assumptions!$D$10,IF(AA22&gt;=Assumptions!$D$32,((TREND($J$14:$J$15,$H$14:$H$15,$AA22)/$J$14)/5)*I$10*$AG22,0),0),0))</f>
        <v>0</v>
      </c>
      <c r="AC22" s="58" cm="1">
        <f t="array" ref="AC22">_xlfn.SINGLE(IF(AA22&gt;=(Assumptions!$D$32+1),IF(AA22&lt;=Assumptions!$D$10,IF(AA22&gt;=Assumptions!$D$32,((TREND($J$14:$J$15,$H$14:$H$15,$AA22)/$J$14)/5)*J$10*$AG22,0),0),0))</f>
        <v>0</v>
      </c>
      <c r="AD22" s="58" cm="1">
        <f t="array" ref="AD22">_xlfn.SINGLE(IF(AA22&gt;=(Assumptions!$D$32+1),IF(AA22&lt;=Assumptions!$D$10,IF(AA22&gt;=Assumptions!$D$32,((TREND($J$14:$J$15,$H$14:$H$15,$AA22)/$J$14)/5)*K$10*$AG22,0),0),0))</f>
        <v>0</v>
      </c>
      <c r="AE22" s="58" cm="1">
        <f t="array" ref="AE22">_xlfn.SINGLE(IF(AA22&gt;=(Assumptions!$D$32+1),IF(AA22&lt;=Assumptions!$D$10,IF(AA22&gt;=Assumptions!$D$32,((TREND($J$14:$J$15,$H$14:$H$15,$AA22)/$J$14)/5)*L$10*$AG22,0),0),0))</f>
        <v>0</v>
      </c>
      <c r="AF22" s="58" cm="1">
        <f t="array" ref="AF22">_xlfn.SINGLE(IF(AA22&gt;=(Assumptions!$D$32+1),IF(AA22&lt;=Assumptions!$D$10,IF(AA22&gt;=Assumptions!$D$32,((TREND($J$14:$J$15,$H$14:$H$15,$AA22)/$J$14)/5)*M$10*$AG22,0),0),0))</f>
        <v>0.14420416666666655</v>
      </c>
      <c r="AG22" s="58">
        <f>IF(Q22&gt;=(Assumptions!$D$32+1),IF(Q22&lt;=Assumptions!$D$10,IF(Q21&gt;=Assumptions!$D$32,$I$19,0),0),0)</f>
        <v>0.65300000000000002</v>
      </c>
      <c r="AH22" s="109">
        <f t="shared" si="5"/>
        <v>576.81666666666615</v>
      </c>
    </row>
    <row r="23" spans="1:34" x14ac:dyDescent="0.25">
      <c r="B23" s="153">
        <f t="shared" si="6"/>
        <v>2043</v>
      </c>
      <c r="C23" s="264">
        <f t="shared" si="1"/>
        <v>295.5043859649121</v>
      </c>
      <c r="D23" s="264">
        <f t="shared" si="2"/>
        <v>598.58333333333258</v>
      </c>
      <c r="E23" s="265">
        <f t="shared" si="3"/>
        <v>-303.07894736842047</v>
      </c>
      <c r="F23" s="266">
        <f>E23*(1+0.07)^-(B23-Assumptions!$D$7)</f>
        <v>-68.408908509759996</v>
      </c>
      <c r="H23" s="1"/>
      <c r="I23" s="1"/>
      <c r="J23" s="1"/>
      <c r="K23" s="1"/>
      <c r="L23" s="1"/>
      <c r="M23" s="1"/>
      <c r="P23" s="436"/>
      <c r="Q23" s="57">
        <f t="shared" si="7"/>
        <v>2038</v>
      </c>
      <c r="R23" s="58" cm="1">
        <f t="array" ref="R23">_xlfn.SINGLE(IF(Q23&gt;=(Assumptions!$D$32+1),IF(Q23&lt;=Assumptions!$D$10,IF(Q23&gt;=Assumptions!$D$32,(((TREND($J$14:$J$15,$H$14:$H$15,$Q23)/$J$14)/5)*I$10)*((TREND($I$14:$I$15,$H$14:$H$15,Q23)/TREND($J$14:$J$15,$H$14:$H$15,Q23))),0),0),0))</f>
        <v>0</v>
      </c>
      <c r="S23" s="58" cm="1">
        <f t="array" ref="S23">_xlfn.SINGLE(IF(Q23&gt;=(Assumptions!$D$32+1),IF(Q23&lt;=Assumptions!$D$10,IF(Q23&gt;=Assumptions!$D$32,(((TREND($J$14:$J$15,$H$14:$H$15,$Q23)/$J$14)/5)*J$10)*((TREND($I$14:$I$15,$H$14:$H$15,Q23)/TREND($J$14:$J$15,$H$14:$H$15,Q23))),0),0),0))</f>
        <v>0</v>
      </c>
      <c r="T23" s="58" cm="1">
        <f t="array" ref="T23">_xlfn.SINGLE(IF(Q23&gt;=(Assumptions!$D$32+1),IF(Q23&lt;=Assumptions!$D$10,IF(Q23&gt;=Assumptions!$D$32,(((TREND($J$14:$J$15,$H$14:$H$15,$Q23)/$J$14)/5)*K$10)*((TREND($I$14:$I$15,$H$14:$H$15,Q23)/TREND($J$14:$J$15,$H$14:$H$15,Q23))),0),0),0))</f>
        <v>0</v>
      </c>
      <c r="U23" s="58" cm="1">
        <f t="array" ref="U23">_xlfn.SINGLE(IF(Q23&gt;=(Assumptions!$D$32+1),IF(Q23&lt;=Assumptions!$D$10,IF(Q23&gt;=Assumptions!$D$32,(((TREND($J$14:$J$15,$H$14:$H$15,$Q23)/$J$14)/5)*L$10)*((TREND($I$14:$I$15,$H$14:$H$15,Q23)/TREND($J$14:$J$15,$H$14:$H$15,Q23))),0),0),0))</f>
        <v>0</v>
      </c>
      <c r="V23" s="58" cm="1">
        <f t="array" ref="V23">_xlfn.SINGLE(IF(Q23&gt;=(Assumptions!$D$32+1),IF(Q23&lt;=Assumptions!$D$10,IF(Q23&gt;=Assumptions!$D$32,(((TREND($J$14:$J$15,$H$14:$H$15,$Q23)/$J$14)/5)*M$10)*((TREND($I$14:$I$15,$H$14:$H$15,Q23)/TREND($J$14:$J$15,$H$14:$H$15,Q23))),0),0),0))</f>
        <v>7.1637426900584819E-2</v>
      </c>
      <c r="W23" s="109">
        <f t="shared" si="4"/>
        <v>286.54970760233925</v>
      </c>
      <c r="Z23" s="438"/>
      <c r="AA23" s="57">
        <f t="shared" si="8"/>
        <v>2038</v>
      </c>
      <c r="AB23" s="58" cm="1">
        <f t="array" ref="AB23">_xlfn.SINGLE(IF(AA23&gt;=(Assumptions!$D$32+1),IF(AA23&lt;=Assumptions!$D$10,IF(AA23&gt;=Assumptions!$D$32,((TREND($J$14:$J$15,$H$14:$H$15,$AA23)/$J$14)/5)*I$10*$AG23,0),0),0))</f>
        <v>0</v>
      </c>
      <c r="AC23" s="58" cm="1">
        <f t="array" ref="AC23">_xlfn.SINGLE(IF(AA23&gt;=(Assumptions!$D$32+1),IF(AA23&lt;=Assumptions!$D$10,IF(AA23&gt;=Assumptions!$D$32,((TREND($J$14:$J$15,$H$14:$H$15,$AA23)/$J$14)/5)*J$10*$AG23,0),0),0))</f>
        <v>0</v>
      </c>
      <c r="AD23" s="58" cm="1">
        <f t="array" ref="AD23">_xlfn.SINGLE(IF(AA23&gt;=(Assumptions!$D$32+1),IF(AA23&lt;=Assumptions!$D$10,IF(AA23&gt;=Assumptions!$D$32,((TREND($J$14:$J$15,$H$14:$H$15,$AA23)/$J$14)/5)*K$10*$AG23,0),0),0))</f>
        <v>0</v>
      </c>
      <c r="AE23" s="58" cm="1">
        <f t="array" ref="AE23">_xlfn.SINGLE(IF(AA23&gt;=(Assumptions!$D$32+1),IF(AA23&lt;=Assumptions!$D$10,IF(AA23&gt;=Assumptions!$D$32,((TREND($J$14:$J$15,$H$14:$H$15,$AA23)/$J$14)/5)*L$10*$AG23,0),0),0))</f>
        <v>0</v>
      </c>
      <c r="AF23" s="58" cm="1">
        <f t="array" ref="AF23">_xlfn.SINGLE(IF(AA23&gt;=(Assumptions!$D$32+1),IF(AA23&lt;=Assumptions!$D$10,IF(AA23&gt;=Assumptions!$D$32,((TREND($J$14:$J$15,$H$14:$H$15,$AA23)/$J$14)/5)*M$10*$AG23,0),0),0))</f>
        <v>0.14511111111111086</v>
      </c>
      <c r="AG23" s="58">
        <f>IF(Q23&gt;=(Assumptions!$D$32+1),IF(Q23&lt;=Assumptions!$D$10,IF(Q22&gt;=Assumptions!$D$32,$I$19,0),0),0)</f>
        <v>0.65300000000000002</v>
      </c>
      <c r="AH23" s="109">
        <f t="shared" si="5"/>
        <v>580.44444444444343</v>
      </c>
    </row>
    <row r="24" spans="1:34" x14ac:dyDescent="0.25">
      <c r="B24" s="153">
        <f t="shared" si="6"/>
        <v>2044</v>
      </c>
      <c r="C24" s="264">
        <f t="shared" si="1"/>
        <v>297.29532163742675</v>
      </c>
      <c r="D24" s="264">
        <f t="shared" si="2"/>
        <v>602.21111111111088</v>
      </c>
      <c r="E24" s="265">
        <f t="shared" si="3"/>
        <v>-304.91578947368413</v>
      </c>
      <c r="F24" s="266">
        <f>E24*(1+0.07)^-(B24-Assumptions!$D$7)</f>
        <v>-64.321035472218497</v>
      </c>
      <c r="H24" s="1"/>
      <c r="I24" s="1"/>
      <c r="J24" s="1"/>
      <c r="K24" s="1"/>
      <c r="L24" s="1"/>
      <c r="M24" s="1"/>
      <c r="P24" s="436"/>
      <c r="Q24" s="57">
        <f t="shared" si="7"/>
        <v>2039</v>
      </c>
      <c r="R24" s="58" cm="1">
        <f t="array" ref="R24">_xlfn.SINGLE(IF(Q24&gt;=(Assumptions!$D$32+1),IF(Q24&lt;=Assumptions!$D$10,IF(Q24&gt;=Assumptions!$D$32,(((TREND($J$14:$J$15,$H$14:$H$15,$Q24)/$J$14)/5)*I$10)*((TREND($I$14:$I$15,$H$14:$H$15,Q24)/TREND($J$14:$J$15,$H$14:$H$15,Q24))),0),0),0))</f>
        <v>0</v>
      </c>
      <c r="S24" s="58" cm="1">
        <f t="array" ref="S24">_xlfn.SINGLE(IF(Q24&gt;=(Assumptions!$D$32+1),IF(Q24&lt;=Assumptions!$D$10,IF(Q24&gt;=Assumptions!$D$32,(((TREND($J$14:$J$15,$H$14:$H$15,$Q24)/$J$14)/5)*J$10)*((TREND($I$14:$I$15,$H$14:$H$15,Q24)/TREND($J$14:$J$15,$H$14:$H$15,Q24))),0),0),0))</f>
        <v>0</v>
      </c>
      <c r="T24" s="58" cm="1">
        <f t="array" ref="T24">_xlfn.SINGLE(IF(Q24&gt;=(Assumptions!$D$32+1),IF(Q24&lt;=Assumptions!$D$10,IF(Q24&gt;=Assumptions!$D$32,(((TREND($J$14:$J$15,$H$14:$H$15,$Q24)/$J$14)/5)*K$10)*((TREND($I$14:$I$15,$H$14:$H$15,Q24)/TREND($J$14:$J$15,$H$14:$H$15,Q24))),0),0),0))</f>
        <v>0</v>
      </c>
      <c r="U24" s="58" cm="1">
        <f t="array" ref="U24">_xlfn.SINGLE(IF(Q24&gt;=(Assumptions!$D$32+1),IF(Q24&lt;=Assumptions!$D$10,IF(Q24&gt;=Assumptions!$D$32,(((TREND($J$14:$J$15,$H$14:$H$15,$Q24)/$J$14)/5)*L$10)*((TREND($I$14:$I$15,$H$14:$H$15,Q24)/TREND($J$14:$J$15,$H$14:$H$15,Q24))),0),0),0))</f>
        <v>0</v>
      </c>
      <c r="V24" s="58" cm="1">
        <f t="array" ref="V24">_xlfn.SINGLE(IF(Q24&gt;=(Assumptions!$D$32+1),IF(Q24&lt;=Assumptions!$D$10,IF(Q24&gt;=Assumptions!$D$32,(((TREND($J$14:$J$15,$H$14:$H$15,$Q24)/$J$14)/5)*M$10)*((TREND($I$14:$I$15,$H$14:$H$15,Q24)/TREND($J$14:$J$15,$H$14:$H$15,Q24))),0),0),0))</f>
        <v>7.2085160818713384E-2</v>
      </c>
      <c r="W24" s="109">
        <f t="shared" si="4"/>
        <v>288.34064327485356</v>
      </c>
      <c r="Z24" s="438"/>
      <c r="AA24" s="57">
        <f t="shared" si="8"/>
        <v>2039</v>
      </c>
      <c r="AB24" s="58" cm="1">
        <f t="array" ref="AB24">_xlfn.SINGLE(IF(AA24&gt;=(Assumptions!$D$32+1),IF(AA24&lt;=Assumptions!$D$10,IF(AA24&gt;=Assumptions!$D$32,((TREND($J$14:$J$15,$H$14:$H$15,$AA24)/$J$14)/5)*I$10*$AG24,0),0),0))</f>
        <v>0</v>
      </c>
      <c r="AC24" s="58" cm="1">
        <f t="array" ref="AC24">_xlfn.SINGLE(IF(AA24&gt;=(Assumptions!$D$32+1),IF(AA24&lt;=Assumptions!$D$10,IF(AA24&gt;=Assumptions!$D$32,((TREND($J$14:$J$15,$H$14:$H$15,$AA24)/$J$14)/5)*J$10*$AG24,0),0),0))</f>
        <v>0</v>
      </c>
      <c r="AD24" s="58" cm="1">
        <f t="array" ref="AD24">_xlfn.SINGLE(IF(AA24&gt;=(Assumptions!$D$32+1),IF(AA24&lt;=Assumptions!$D$10,IF(AA24&gt;=Assumptions!$D$32,((TREND($J$14:$J$15,$H$14:$H$15,$AA24)/$J$14)/5)*K$10*$AG24,0),0),0))</f>
        <v>0</v>
      </c>
      <c r="AE24" s="58" cm="1">
        <f t="array" ref="AE24">_xlfn.SINGLE(IF(AA24&gt;=(Assumptions!$D$32+1),IF(AA24&lt;=Assumptions!$D$10,IF(AA24&gt;=Assumptions!$D$32,((TREND($J$14:$J$15,$H$14:$H$15,$AA24)/$J$14)/5)*L$10*$AG24,0),0),0))</f>
        <v>0</v>
      </c>
      <c r="AF24" s="58" cm="1">
        <f t="array" ref="AF24">_xlfn.SINGLE(IF(AA24&gt;=(Assumptions!$D$32+1),IF(AA24&lt;=Assumptions!$D$10,IF(AA24&gt;=Assumptions!$D$32,((TREND($J$14:$J$15,$H$14:$H$15,$AA24)/$J$14)/5)*M$10*$AG24,0),0),0))</f>
        <v>0.14601805555555541</v>
      </c>
      <c r="AG24" s="58">
        <f>IF(Q24&gt;=(Assumptions!$D$32+1),IF(Q24&lt;=Assumptions!$D$10,IF(Q23&gt;=Assumptions!$D$32,$I$19,0),0),0)</f>
        <v>0.65300000000000002</v>
      </c>
      <c r="AH24" s="109">
        <f t="shared" si="5"/>
        <v>584.07222222222163</v>
      </c>
    </row>
    <row r="25" spans="1:34" x14ac:dyDescent="0.25">
      <c r="B25" s="153">
        <f t="shared" si="6"/>
        <v>2045</v>
      </c>
      <c r="C25" s="264">
        <f t="shared" si="1"/>
        <v>299.08625730994152</v>
      </c>
      <c r="D25" s="264">
        <f t="shared" si="2"/>
        <v>605.83888888888805</v>
      </c>
      <c r="E25" s="265">
        <f t="shared" si="3"/>
        <v>-306.75263157894653</v>
      </c>
      <c r="F25" s="266">
        <f>E25*(1+0.07)^-(B25-Assumptions!$D$7)</f>
        <v>-60.475244476187726</v>
      </c>
      <c r="I25" s="1"/>
      <c r="J25" s="1"/>
      <c r="K25" s="1"/>
      <c r="L25" s="1"/>
      <c r="M25" s="1"/>
      <c r="P25" s="436"/>
      <c r="Q25" s="57">
        <f t="shared" si="7"/>
        <v>2040</v>
      </c>
      <c r="R25" s="58" cm="1">
        <f t="array" ref="R25">_xlfn.SINGLE(IF(Q25&gt;=(Assumptions!$D$32+1),IF(Q25&lt;=Assumptions!$D$10,IF(Q25&gt;=Assumptions!$D$32,(((TREND($J$14:$J$15,$H$14:$H$15,$Q25)/$J$14)/5)*I$10)*((TREND($I$14:$I$15,$H$14:$H$15,Q25)/TREND($J$14:$J$15,$H$14:$H$15,Q25))),0),0),0))</f>
        <v>0</v>
      </c>
      <c r="S25" s="58" cm="1">
        <f t="array" ref="S25">_xlfn.SINGLE(IF(Q25&gt;=(Assumptions!$D$32+1),IF(Q25&lt;=Assumptions!$D$10,IF(Q25&gt;=Assumptions!$D$32,(((TREND($J$14:$J$15,$H$14:$H$15,$Q25)/$J$14)/5)*J$10)*((TREND($I$14:$I$15,$H$14:$H$15,Q25)/TREND($J$14:$J$15,$H$14:$H$15,Q25))),0),0),0))</f>
        <v>0</v>
      </c>
      <c r="T25" s="58" cm="1">
        <f t="array" ref="T25">_xlfn.SINGLE(IF(Q25&gt;=(Assumptions!$D$32+1),IF(Q25&lt;=Assumptions!$D$10,IF(Q25&gt;=Assumptions!$D$32,(((TREND($J$14:$J$15,$H$14:$H$15,$Q25)/$J$14)/5)*K$10)*((TREND($I$14:$I$15,$H$14:$H$15,Q25)/TREND($J$14:$J$15,$H$14:$H$15,Q25))),0),0),0))</f>
        <v>0</v>
      </c>
      <c r="U25" s="58" cm="1">
        <f t="array" ref="U25">_xlfn.SINGLE(IF(Q25&gt;=(Assumptions!$D$32+1),IF(Q25&lt;=Assumptions!$D$10,IF(Q25&gt;=Assumptions!$D$32,(((TREND($J$14:$J$15,$H$14:$H$15,$Q25)/$J$14)/5)*L$10)*((TREND($I$14:$I$15,$H$14:$H$15,Q25)/TREND($J$14:$J$15,$H$14:$H$15,Q25))),0),0),0))</f>
        <v>0</v>
      </c>
      <c r="V25" s="58" cm="1">
        <f t="array" ref="V25">_xlfn.SINGLE(IF(Q25&gt;=(Assumptions!$D$32+1),IF(Q25&lt;=Assumptions!$D$10,IF(Q25&gt;=Assumptions!$D$32,(((TREND($J$14:$J$15,$H$14:$H$15,$Q25)/$J$14)/5)*M$10)*((TREND($I$14:$I$15,$H$14:$H$15,Q25)/TREND($J$14:$J$15,$H$14:$H$15,Q25))),0),0),0))</f>
        <v>7.2532894736842074E-2</v>
      </c>
      <c r="W25" s="109">
        <f t="shared" si="4"/>
        <v>290.13157894736827</v>
      </c>
      <c r="Z25" s="438"/>
      <c r="AA25" s="57">
        <f t="shared" si="8"/>
        <v>2040</v>
      </c>
      <c r="AB25" s="58" cm="1">
        <f t="array" ref="AB25">_xlfn.SINGLE(IF(AA25&gt;=(Assumptions!$D$32+1),IF(AA25&lt;=Assumptions!$D$10,IF(AA25&gt;=Assumptions!$D$32,((TREND($J$14:$J$15,$H$14:$H$15,$AA25)/$J$14)/5)*I$10*$AG25,0),0),0))</f>
        <v>0</v>
      </c>
      <c r="AC25" s="58" cm="1">
        <f t="array" ref="AC25">_xlfn.SINGLE(IF(AA25&gt;=(Assumptions!$D$32+1),IF(AA25&lt;=Assumptions!$D$10,IF(AA25&gt;=Assumptions!$D$32,((TREND($J$14:$J$15,$H$14:$H$15,$AA25)/$J$14)/5)*J$10*$AG25,0),0),0))</f>
        <v>0</v>
      </c>
      <c r="AD25" s="58" cm="1">
        <f t="array" ref="AD25">_xlfn.SINGLE(IF(AA25&gt;=(Assumptions!$D$32+1),IF(AA25&lt;=Assumptions!$D$10,IF(AA25&gt;=Assumptions!$D$32,((TREND($J$14:$J$15,$H$14:$H$15,$AA25)/$J$14)/5)*K$10*$AG25,0),0),0))</f>
        <v>0</v>
      </c>
      <c r="AE25" s="58" cm="1">
        <f t="array" ref="AE25">_xlfn.SINGLE(IF(AA25&gt;=(Assumptions!$D$32+1),IF(AA25&lt;=Assumptions!$D$10,IF(AA25&gt;=Assumptions!$D$32,((TREND($J$14:$J$15,$H$14:$H$15,$AA25)/$J$14)/5)*L$10*$AG25,0),0),0))</f>
        <v>0</v>
      </c>
      <c r="AF25" s="58" cm="1">
        <f t="array" ref="AF25">_xlfn.SINGLE(IF(AA25&gt;=(Assumptions!$D$32+1),IF(AA25&lt;=Assumptions!$D$10,IF(AA25&gt;=Assumptions!$D$32,((TREND($J$14:$J$15,$H$14:$H$15,$AA25)/$J$14)/5)*M$10*$AG25,0),0),0))</f>
        <v>0.146925</v>
      </c>
      <c r="AG25" s="58">
        <f>IF(Q25&gt;=(Assumptions!$D$32+1),IF(Q25&lt;=Assumptions!$D$10,IF(Q24&gt;=Assumptions!$D$32,$I$19,0),0),0)</f>
        <v>0.65300000000000002</v>
      </c>
      <c r="AH25" s="109">
        <f t="shared" si="5"/>
        <v>587.70000000000005</v>
      </c>
    </row>
    <row r="26" spans="1:34" x14ac:dyDescent="0.25">
      <c r="B26" s="153">
        <f t="shared" si="6"/>
        <v>2046</v>
      </c>
      <c r="C26" s="264">
        <f t="shared" si="1"/>
        <v>0</v>
      </c>
      <c r="D26" s="264">
        <f t="shared" si="2"/>
        <v>0</v>
      </c>
      <c r="E26" s="265">
        <f t="shared" si="3"/>
        <v>0</v>
      </c>
      <c r="F26" s="266">
        <f>E26*(1+0.07)^-(B26-Assumptions!$D$7)</f>
        <v>0</v>
      </c>
      <c r="I26" s="1"/>
      <c r="J26" s="1"/>
      <c r="K26" s="1"/>
      <c r="L26" s="1"/>
      <c r="M26" s="1"/>
      <c r="P26" s="436"/>
      <c r="Q26" s="57">
        <f t="shared" si="7"/>
        <v>2041</v>
      </c>
      <c r="R26" s="58" cm="1">
        <f t="array" ref="R26">_xlfn.SINGLE(IF(Q26&gt;=(Assumptions!$D$32+1),IF(Q26&lt;=Assumptions!$D$10,IF(Q26&gt;=Assumptions!$D$32,(((TREND($J$14:$J$15,$H$14:$H$15,$Q26)/$J$14)/5)*I$10)*((TREND($I$14:$I$15,$H$14:$H$15,Q26)/TREND($J$14:$J$15,$H$14:$H$15,Q26))),0),0),0))</f>
        <v>0</v>
      </c>
      <c r="S26" s="58" cm="1">
        <f t="array" ref="S26">_xlfn.SINGLE(IF(Q26&gt;=(Assumptions!$D$32+1),IF(Q26&lt;=Assumptions!$D$10,IF(Q26&gt;=Assumptions!$D$32,(((TREND($J$14:$J$15,$H$14:$H$15,$Q26)/$J$14)/5)*J$10)*((TREND($I$14:$I$15,$H$14:$H$15,Q26)/TREND($J$14:$J$15,$H$14:$H$15,Q26))),0),0),0))</f>
        <v>0</v>
      </c>
      <c r="T26" s="58" cm="1">
        <f t="array" ref="T26">_xlfn.SINGLE(IF(Q26&gt;=(Assumptions!$D$32+1),IF(Q26&lt;=Assumptions!$D$10,IF(Q26&gt;=Assumptions!$D$32,(((TREND($J$14:$J$15,$H$14:$H$15,$Q26)/$J$14)/5)*K$10)*((TREND($I$14:$I$15,$H$14:$H$15,Q26)/TREND($J$14:$J$15,$H$14:$H$15,Q26))),0),0),0))</f>
        <v>0</v>
      </c>
      <c r="U26" s="58" cm="1">
        <f t="array" ref="U26">_xlfn.SINGLE(IF(Q26&gt;=(Assumptions!$D$32+1),IF(Q26&lt;=Assumptions!$D$10,IF(Q26&gt;=Assumptions!$D$32,(((TREND($J$14:$J$15,$H$14:$H$15,$Q26)/$J$14)/5)*L$10)*((TREND($I$14:$I$15,$H$14:$H$15,Q26)/TREND($J$14:$J$15,$H$14:$H$15,Q26))),0),0),0))</f>
        <v>0</v>
      </c>
      <c r="V26" s="58" cm="1">
        <f t="array" ref="V26">_xlfn.SINGLE(IF(Q26&gt;=(Assumptions!$D$32+1),IF(Q26&lt;=Assumptions!$D$10,IF(Q26&gt;=Assumptions!$D$32,(((TREND($J$14:$J$15,$H$14:$H$15,$Q26)/$J$14)/5)*M$10)*((TREND($I$14:$I$15,$H$14:$H$15,Q26)/TREND($J$14:$J$15,$H$14:$H$15,Q26))),0),0),0))</f>
        <v>7.2980628654970764E-2</v>
      </c>
      <c r="W26" s="109">
        <f t="shared" si="4"/>
        <v>291.92251461988303</v>
      </c>
      <c r="Z26" s="438"/>
      <c r="AA26" s="57">
        <f t="shared" si="8"/>
        <v>2041</v>
      </c>
      <c r="AB26" s="58" cm="1">
        <f t="array" ref="AB26">_xlfn.SINGLE(IF(AA26&gt;=(Assumptions!$D$32+1),IF(AA26&lt;=Assumptions!$D$10,IF(AA26&gt;=Assumptions!$D$32,((TREND($J$14:$J$15,$H$14:$H$15,$AA26)/$J$14)/5)*I$10*$AG26,0),0),0))</f>
        <v>0</v>
      </c>
      <c r="AC26" s="58" cm="1">
        <f t="array" ref="AC26">_xlfn.SINGLE(IF(AA26&gt;=(Assumptions!$D$32+1),IF(AA26&lt;=Assumptions!$D$10,IF(AA26&gt;=Assumptions!$D$32,((TREND($J$14:$J$15,$H$14:$H$15,$AA26)/$J$14)/5)*J$10*$AG26,0),0),0))</f>
        <v>0</v>
      </c>
      <c r="AD26" s="58" cm="1">
        <f t="array" ref="AD26">_xlfn.SINGLE(IF(AA26&gt;=(Assumptions!$D$32+1),IF(AA26&lt;=Assumptions!$D$10,IF(AA26&gt;=Assumptions!$D$32,((TREND($J$14:$J$15,$H$14:$H$15,$AA26)/$J$14)/5)*K$10*$AG26,0),0),0))</f>
        <v>0</v>
      </c>
      <c r="AE26" s="58" cm="1">
        <f t="array" ref="AE26">_xlfn.SINGLE(IF(AA26&gt;=(Assumptions!$D$32+1),IF(AA26&lt;=Assumptions!$D$10,IF(AA26&gt;=Assumptions!$D$32,((TREND($J$14:$J$15,$H$14:$H$15,$AA26)/$J$14)/5)*L$10*$AG26,0),0),0))</f>
        <v>0</v>
      </c>
      <c r="AF26" s="58" cm="1">
        <f t="array" ref="AF26">_xlfn.SINGLE(IF(AA26&gt;=(Assumptions!$D$32+1),IF(AA26&lt;=Assumptions!$D$10,IF(AA26&gt;=Assumptions!$D$32,((TREND($J$14:$J$15,$H$14:$H$15,$AA26)/$J$14)/5)*M$10*$AG26,0),0),0))</f>
        <v>0.14783194444444431</v>
      </c>
      <c r="AG26" s="58">
        <f>IF(Q26&gt;=(Assumptions!$D$32+1),IF(Q26&lt;=Assumptions!$D$10,IF(Q25&gt;=Assumptions!$D$32,$I$19,0),0),0)</f>
        <v>0.65300000000000002</v>
      </c>
      <c r="AH26" s="109">
        <f t="shared" si="5"/>
        <v>591.32777777777721</v>
      </c>
    </row>
    <row r="27" spans="1:34" x14ac:dyDescent="0.25">
      <c r="B27" s="153">
        <f t="shared" si="6"/>
        <v>2047</v>
      </c>
      <c r="C27" s="264">
        <f t="shared" si="1"/>
        <v>0</v>
      </c>
      <c r="D27" s="264">
        <f t="shared" si="2"/>
        <v>0</v>
      </c>
      <c r="E27" s="265">
        <f t="shared" si="3"/>
        <v>0</v>
      </c>
      <c r="F27" s="266">
        <f>E27*(1+0.07)^-(B27-Assumptions!$D$7)</f>
        <v>0</v>
      </c>
      <c r="I27" s="1"/>
      <c r="J27" s="1"/>
      <c r="K27" s="1"/>
      <c r="L27" s="1"/>
      <c r="M27" s="1"/>
      <c r="P27" s="436"/>
      <c r="Q27" s="57">
        <f t="shared" si="7"/>
        <v>2042</v>
      </c>
      <c r="R27" s="58" cm="1">
        <f t="array" ref="R27">_xlfn.SINGLE(IF(Q27&gt;=(Assumptions!$D$32+1),IF(Q27&lt;=Assumptions!$D$10,IF(Q27&gt;=Assumptions!$D$32,(((TREND($J$14:$J$15,$H$14:$H$15,$Q27)/$J$14)/5)*I$10)*((TREND($I$14:$I$15,$H$14:$H$15,Q27)/TREND($J$14:$J$15,$H$14:$H$15,Q27))),0),0),0))</f>
        <v>0</v>
      </c>
      <c r="S27" s="58" cm="1">
        <f t="array" ref="S27">_xlfn.SINGLE(IF(Q27&gt;=(Assumptions!$D$32+1),IF(Q27&lt;=Assumptions!$D$10,IF(Q27&gt;=Assumptions!$D$32,(((TREND($J$14:$J$15,$H$14:$H$15,$Q27)/$J$14)/5)*J$10)*((TREND($I$14:$I$15,$H$14:$H$15,Q27)/TREND($J$14:$J$15,$H$14:$H$15,Q27))),0),0),0))</f>
        <v>0</v>
      </c>
      <c r="T27" s="58" cm="1">
        <f t="array" ref="T27">_xlfn.SINGLE(IF(Q27&gt;=(Assumptions!$D$32+1),IF(Q27&lt;=Assumptions!$D$10,IF(Q27&gt;=Assumptions!$D$32,(((TREND($J$14:$J$15,$H$14:$H$15,$Q27)/$J$14)/5)*K$10)*((TREND($I$14:$I$15,$H$14:$H$15,Q27)/TREND($J$14:$J$15,$H$14:$H$15,Q27))),0),0),0))</f>
        <v>0</v>
      </c>
      <c r="U27" s="58" cm="1">
        <f t="array" ref="U27">_xlfn.SINGLE(IF(Q27&gt;=(Assumptions!$D$32+1),IF(Q27&lt;=Assumptions!$D$10,IF(Q27&gt;=Assumptions!$D$32,(((TREND($J$14:$J$15,$H$14:$H$15,$Q27)/$J$14)/5)*L$10)*((TREND($I$14:$I$15,$H$14:$H$15,Q27)/TREND($J$14:$J$15,$H$14:$H$15,Q27))),0),0),0))</f>
        <v>0</v>
      </c>
      <c r="V27" s="58" cm="1">
        <f t="array" ref="V27">_xlfn.SINGLE(IF(Q27&gt;=(Assumptions!$D$32+1),IF(Q27&lt;=Assumptions!$D$10,IF(Q27&gt;=Assumptions!$D$32,(((TREND($J$14:$J$15,$H$14:$H$15,$Q27)/$J$14)/5)*M$10)*((TREND($I$14:$I$15,$H$14:$H$15,Q27)/TREND($J$14:$J$15,$H$14:$H$15,Q27))),0),0),0))</f>
        <v>7.342836257309944E-2</v>
      </c>
      <c r="W27" s="109">
        <f t="shared" si="4"/>
        <v>293.71345029239774</v>
      </c>
      <c r="Z27" s="438"/>
      <c r="AA27" s="57">
        <f t="shared" si="8"/>
        <v>2042</v>
      </c>
      <c r="AB27" s="58" cm="1">
        <f t="array" ref="AB27">_xlfn.SINGLE(IF(AA27&gt;=(Assumptions!$D$32+1),IF(AA27&lt;=Assumptions!$D$10,IF(AA27&gt;=Assumptions!$D$32,((TREND($J$14:$J$15,$H$14:$H$15,$AA27)/$J$14)/5)*I$10*$AG27,0),0),0))</f>
        <v>0</v>
      </c>
      <c r="AC27" s="58" cm="1">
        <f t="array" ref="AC27">_xlfn.SINGLE(IF(AA27&gt;=(Assumptions!$D$32+1),IF(AA27&lt;=Assumptions!$D$10,IF(AA27&gt;=Assumptions!$D$32,((TREND($J$14:$J$15,$H$14:$H$15,$AA27)/$J$14)/5)*J$10*$AG27,0),0),0))</f>
        <v>0</v>
      </c>
      <c r="AD27" s="58" cm="1">
        <f t="array" ref="AD27">_xlfn.SINGLE(IF(AA27&gt;=(Assumptions!$D$32+1),IF(AA27&lt;=Assumptions!$D$10,IF(AA27&gt;=Assumptions!$D$32,((TREND($J$14:$J$15,$H$14:$H$15,$AA27)/$J$14)/5)*K$10*$AG27,0),0),0))</f>
        <v>0</v>
      </c>
      <c r="AE27" s="58" cm="1">
        <f t="array" ref="AE27">_xlfn.SINGLE(IF(AA27&gt;=(Assumptions!$D$32+1),IF(AA27&lt;=Assumptions!$D$10,IF(AA27&gt;=Assumptions!$D$32,((TREND($J$14:$J$15,$H$14:$H$15,$AA27)/$J$14)/5)*L$10*$AG27,0),0),0))</f>
        <v>0</v>
      </c>
      <c r="AF27" s="58" cm="1">
        <f t="array" ref="AF27">_xlfn.SINGLE(IF(AA27&gt;=(Assumptions!$D$32+1),IF(AA27&lt;=Assumptions!$D$10,IF(AA27&gt;=Assumptions!$D$32,((TREND($J$14:$J$15,$H$14:$H$15,$AA27)/$J$14)/5)*M$10*$AG27,0),0),0))</f>
        <v>0.14873888888888886</v>
      </c>
      <c r="AG27" s="58">
        <f>IF(Q27&gt;=(Assumptions!$D$32+1),IF(Q27&lt;=Assumptions!$D$10,IF(Q26&gt;=Assumptions!$D$32,$I$19,0),0),0)</f>
        <v>0.65300000000000002</v>
      </c>
      <c r="AH27" s="109">
        <f t="shared" si="5"/>
        <v>594.95555555555541</v>
      </c>
    </row>
    <row r="28" spans="1:34" x14ac:dyDescent="0.25">
      <c r="B28" s="153">
        <f t="shared" si="6"/>
        <v>2048</v>
      </c>
      <c r="C28" s="264">
        <f t="shared" si="1"/>
        <v>0</v>
      </c>
      <c r="D28" s="264">
        <f t="shared" si="2"/>
        <v>0</v>
      </c>
      <c r="E28" s="265">
        <f t="shared" si="3"/>
        <v>0</v>
      </c>
      <c r="F28" s="266">
        <f>E28*(1+0.07)^-(B28-Assumptions!$D$7)</f>
        <v>0</v>
      </c>
      <c r="H28" s="1"/>
      <c r="J28" s="1"/>
      <c r="K28" s="1"/>
      <c r="L28" s="1"/>
      <c r="M28" s="1"/>
      <c r="P28" s="436"/>
      <c r="Q28" s="57">
        <f t="shared" si="7"/>
        <v>2043</v>
      </c>
      <c r="R28" s="58" cm="1">
        <f t="array" ref="R28">_xlfn.SINGLE(IF(Q28&gt;=(Assumptions!$D$32+1),IF(Q28&lt;=Assumptions!$D$10,IF(Q28&gt;=Assumptions!$D$32,(((TREND($J$14:$J$15,$H$14:$H$15,$Q28)/$J$14)/5)*I$10)*((TREND($I$14:$I$15,$H$14:$H$15,Q28)/TREND($J$14:$J$15,$H$14:$H$15,Q28))),0),0),0))</f>
        <v>0</v>
      </c>
      <c r="S28" s="58" cm="1">
        <f t="array" ref="S28">_xlfn.SINGLE(IF(Q28&gt;=(Assumptions!$D$32+1),IF(Q28&lt;=Assumptions!$D$10,IF(Q28&gt;=Assumptions!$D$32,(((TREND($J$14:$J$15,$H$14:$H$15,$Q28)/$J$14)/5)*J$10)*((TREND($I$14:$I$15,$H$14:$H$15,Q28)/TREND($J$14:$J$15,$H$14:$H$15,Q28))),0),0),0))</f>
        <v>0</v>
      </c>
      <c r="T28" s="58" cm="1">
        <f t="array" ref="T28">_xlfn.SINGLE(IF(Q28&gt;=(Assumptions!$D$32+1),IF(Q28&lt;=Assumptions!$D$10,IF(Q28&gt;=Assumptions!$D$32,(((TREND($J$14:$J$15,$H$14:$H$15,$Q28)/$J$14)/5)*K$10)*((TREND($I$14:$I$15,$H$14:$H$15,Q28)/TREND($J$14:$J$15,$H$14:$H$15,Q28))),0),0),0))</f>
        <v>0</v>
      </c>
      <c r="U28" s="58" cm="1">
        <f t="array" ref="U28">_xlfn.SINGLE(IF(Q28&gt;=(Assumptions!$D$32+1),IF(Q28&lt;=Assumptions!$D$10,IF(Q28&gt;=Assumptions!$D$32,(((TREND($J$14:$J$15,$H$14:$H$15,$Q28)/$J$14)/5)*L$10)*((TREND($I$14:$I$15,$H$14:$H$15,Q28)/TREND($J$14:$J$15,$H$14:$H$15,Q28))),0),0),0))</f>
        <v>0</v>
      </c>
      <c r="V28" s="58" cm="1">
        <f t="array" ref="V28">_xlfn.SINGLE(IF(Q28&gt;=(Assumptions!$D$32+1),IF(Q28&lt;=Assumptions!$D$10,IF(Q28&gt;=Assumptions!$D$32,(((TREND($J$14:$J$15,$H$14:$H$15,$Q28)/$J$14)/5)*M$10)*((TREND($I$14:$I$15,$H$14:$H$15,Q28)/TREND($J$14:$J$15,$H$14:$H$15,Q28))),0),0),0))</f>
        <v>7.3876096491228019E-2</v>
      </c>
      <c r="W28" s="109">
        <f t="shared" si="4"/>
        <v>295.5043859649121</v>
      </c>
      <c r="Z28" s="438"/>
      <c r="AA28" s="57">
        <f t="shared" si="8"/>
        <v>2043</v>
      </c>
      <c r="AB28" s="58" cm="1">
        <f t="array" ref="AB28">_xlfn.SINGLE(IF(AA28&gt;=(Assumptions!$D$32+1),IF(AA28&lt;=Assumptions!$D$10,IF(AA28&gt;=Assumptions!$D$32,((TREND($J$14:$J$15,$H$14:$H$15,$AA28)/$J$14)/5)*I$10*$AG28,0),0),0))</f>
        <v>0</v>
      </c>
      <c r="AC28" s="58" cm="1">
        <f t="array" ref="AC28">_xlfn.SINGLE(IF(AA28&gt;=(Assumptions!$D$32+1),IF(AA28&lt;=Assumptions!$D$10,IF(AA28&gt;=Assumptions!$D$32,((TREND($J$14:$J$15,$H$14:$H$15,$AA28)/$J$14)/5)*J$10*$AG28,0),0),0))</f>
        <v>0</v>
      </c>
      <c r="AD28" s="58" cm="1">
        <f t="array" ref="AD28">_xlfn.SINGLE(IF(AA28&gt;=(Assumptions!$D$32+1),IF(AA28&lt;=Assumptions!$D$10,IF(AA28&gt;=Assumptions!$D$32,((TREND($J$14:$J$15,$H$14:$H$15,$AA28)/$J$14)/5)*K$10*$AG28,0),0),0))</f>
        <v>0</v>
      </c>
      <c r="AE28" s="58" cm="1">
        <f t="array" ref="AE28">_xlfn.SINGLE(IF(AA28&gt;=(Assumptions!$D$32+1),IF(AA28&lt;=Assumptions!$D$10,IF(AA28&gt;=Assumptions!$D$32,((TREND($J$14:$J$15,$H$14:$H$15,$AA28)/$J$14)/5)*L$10*$AG28,0),0),0))</f>
        <v>0</v>
      </c>
      <c r="AF28" s="58" cm="1">
        <f t="array" ref="AF28">_xlfn.SINGLE(IF(AA28&gt;=(Assumptions!$D$32+1),IF(AA28&lt;=Assumptions!$D$10,IF(AA28&gt;=Assumptions!$D$32,((TREND($J$14:$J$15,$H$14:$H$15,$AA28)/$J$14)/5)*M$10*$AG28,0),0),0))</f>
        <v>0.14964583333333314</v>
      </c>
      <c r="AG28" s="58">
        <f>IF(Q28&gt;=(Assumptions!$D$32+1),IF(Q28&lt;=Assumptions!$D$10,IF(Q27&gt;=Assumptions!$D$32,$I$19,0),0),0)</f>
        <v>0.65300000000000002</v>
      </c>
      <c r="AH28" s="109">
        <f t="shared" si="5"/>
        <v>598.58333333333258</v>
      </c>
    </row>
    <row r="29" spans="1:34" ht="15" customHeight="1" x14ac:dyDescent="0.25">
      <c r="B29" s="153">
        <f t="shared" si="6"/>
        <v>2049</v>
      </c>
      <c r="C29" s="264">
        <f t="shared" si="1"/>
        <v>0</v>
      </c>
      <c r="D29" s="264">
        <f t="shared" si="2"/>
        <v>0</v>
      </c>
      <c r="E29" s="265">
        <f t="shared" si="3"/>
        <v>0</v>
      </c>
      <c r="F29" s="266">
        <f>E29*(1+0.07)^-(B29-Assumptions!$D$7)</f>
        <v>0</v>
      </c>
      <c r="H29" s="1"/>
      <c r="I29" s="171"/>
      <c r="J29" s="1"/>
      <c r="K29" s="1"/>
      <c r="L29" s="1"/>
      <c r="M29" s="1"/>
      <c r="P29" s="436"/>
      <c r="Q29" s="57">
        <f t="shared" si="7"/>
        <v>2044</v>
      </c>
      <c r="R29" s="58" cm="1">
        <f t="array" ref="R29">_xlfn.SINGLE(IF(Q29&gt;=(Assumptions!$D$32+1),IF(Q29&lt;=Assumptions!$D$10,IF(Q29&gt;=Assumptions!$D$32,(((TREND($J$14:$J$15,$H$14:$H$15,$Q29)/$J$14)/5)*I$10)*((TREND($I$14:$I$15,$H$14:$H$15,Q29)/TREND($J$14:$J$15,$H$14:$H$15,Q29))),0),0),0))</f>
        <v>0</v>
      </c>
      <c r="S29" s="58" cm="1">
        <f t="array" ref="S29">_xlfn.SINGLE(IF(Q29&gt;=(Assumptions!$D$32+1),IF(Q29&lt;=Assumptions!$D$10,IF(Q29&gt;=Assumptions!$D$32,(((TREND($J$14:$J$15,$H$14:$H$15,$Q29)/$J$14)/5)*J$10)*((TREND($I$14:$I$15,$H$14:$H$15,Q29)/TREND($J$14:$J$15,$H$14:$H$15,Q29))),0),0),0))</f>
        <v>0</v>
      </c>
      <c r="T29" s="58" cm="1">
        <f t="array" ref="T29">_xlfn.SINGLE(IF(Q29&gt;=(Assumptions!$D$32+1),IF(Q29&lt;=Assumptions!$D$10,IF(Q29&gt;=Assumptions!$D$32,(((TREND($J$14:$J$15,$H$14:$H$15,$Q29)/$J$14)/5)*K$10)*((TREND($I$14:$I$15,$H$14:$H$15,Q29)/TREND($J$14:$J$15,$H$14:$H$15,Q29))),0),0),0))</f>
        <v>0</v>
      </c>
      <c r="U29" s="58" cm="1">
        <f t="array" ref="U29">_xlfn.SINGLE(IF(Q29&gt;=(Assumptions!$D$32+1),IF(Q29&lt;=Assumptions!$D$10,IF(Q29&gt;=Assumptions!$D$32,(((TREND($J$14:$J$15,$H$14:$H$15,$Q29)/$J$14)/5)*L$10)*((TREND($I$14:$I$15,$H$14:$H$15,Q29)/TREND($J$14:$J$15,$H$14:$H$15,Q29))),0),0),0))</f>
        <v>0</v>
      </c>
      <c r="V29" s="58" cm="1">
        <f t="array" ref="V29">_xlfn.SINGLE(IF(Q29&gt;=(Assumptions!$D$32+1),IF(Q29&lt;=Assumptions!$D$10,IF(Q29&gt;=Assumptions!$D$32,(((TREND($J$14:$J$15,$H$14:$H$15,$Q29)/$J$14)/5)*M$10)*((TREND($I$14:$I$15,$H$14:$H$15,Q29)/TREND($J$14:$J$15,$H$14:$H$15,Q29))),0),0),0))</f>
        <v>7.4323830409356695E-2</v>
      </c>
      <c r="W29" s="109">
        <f t="shared" si="4"/>
        <v>297.29532163742675</v>
      </c>
      <c r="Z29" s="438"/>
      <c r="AA29" s="57">
        <f t="shared" si="8"/>
        <v>2044</v>
      </c>
      <c r="AB29" s="58" cm="1">
        <f t="array" ref="AB29">_xlfn.SINGLE(IF(AA29&gt;=(Assumptions!$D$32+1),IF(AA29&lt;=Assumptions!$D$10,IF(AA29&gt;=Assumptions!$D$32,((TREND($J$14:$J$15,$H$14:$H$15,$AA29)/$J$14)/5)*I$10*$AG29,0),0),0))</f>
        <v>0</v>
      </c>
      <c r="AC29" s="58" cm="1">
        <f t="array" ref="AC29">_xlfn.SINGLE(IF(AA29&gt;=(Assumptions!$D$32+1),IF(AA29&lt;=Assumptions!$D$10,IF(AA29&gt;=Assumptions!$D$32,((TREND($J$14:$J$15,$H$14:$H$15,$AA29)/$J$14)/5)*J$10*$AG29,0),0),0))</f>
        <v>0</v>
      </c>
      <c r="AD29" s="58" cm="1">
        <f t="array" ref="AD29">_xlfn.SINGLE(IF(AA29&gt;=(Assumptions!$D$32+1),IF(AA29&lt;=Assumptions!$D$10,IF(AA29&gt;=Assumptions!$D$32,((TREND($J$14:$J$15,$H$14:$H$15,$AA29)/$J$14)/5)*K$10*$AG29,0),0),0))</f>
        <v>0</v>
      </c>
      <c r="AE29" s="58" cm="1">
        <f t="array" ref="AE29">_xlfn.SINGLE(IF(AA29&gt;=(Assumptions!$D$32+1),IF(AA29&lt;=Assumptions!$D$10,IF(AA29&gt;=Assumptions!$D$32,((TREND($J$14:$J$15,$H$14:$H$15,$AA29)/$J$14)/5)*L$10*$AG29,0),0),0))</f>
        <v>0</v>
      </c>
      <c r="AF29" s="58" cm="1">
        <f t="array" ref="AF29">_xlfn.SINGLE(IF(AA29&gt;=(Assumptions!$D$32+1),IF(AA29&lt;=Assumptions!$D$10,IF(AA29&gt;=Assumptions!$D$32,((TREND($J$14:$J$15,$H$14:$H$15,$AA29)/$J$14)/5)*M$10*$AG29,0),0),0))</f>
        <v>0.15055277777777773</v>
      </c>
      <c r="AG29" s="58">
        <f>IF(Q29&gt;=(Assumptions!$D$32+1),IF(Q29&lt;=Assumptions!$D$10,IF(Q28&gt;=Assumptions!$D$32,$I$19,0),0),0)</f>
        <v>0.65300000000000002</v>
      </c>
      <c r="AH29" s="109">
        <f t="shared" si="5"/>
        <v>602.21111111111088</v>
      </c>
    </row>
    <row r="30" spans="1:34" ht="15.75" customHeight="1" x14ac:dyDescent="0.25">
      <c r="B30" s="153">
        <f t="shared" si="6"/>
        <v>2050</v>
      </c>
      <c r="C30" s="264">
        <f t="shared" si="1"/>
        <v>0</v>
      </c>
      <c r="D30" s="264">
        <f t="shared" si="2"/>
        <v>0</v>
      </c>
      <c r="E30" s="265">
        <f t="shared" si="3"/>
        <v>0</v>
      </c>
      <c r="F30" s="266">
        <f>E30*(1+0.07)^-(B30-Assumptions!$D$7)</f>
        <v>0</v>
      </c>
      <c r="H30" s="1"/>
      <c r="I30" s="1"/>
      <c r="J30" s="1"/>
      <c r="K30" s="1"/>
      <c r="L30" s="1"/>
      <c r="M30" s="1"/>
      <c r="P30" s="436"/>
      <c r="Q30" s="57">
        <f t="shared" si="7"/>
        <v>2045</v>
      </c>
      <c r="R30" s="58" cm="1">
        <f t="array" ref="R30">_xlfn.SINGLE(IF(Q30&gt;=(Assumptions!$D$32+1),IF(Q30&lt;=Assumptions!$D$10,IF(Q30&gt;=Assumptions!$D$32,(((TREND($J$14:$J$15,$H$14:$H$15,$Q30)/$J$14)/5)*I$10)*((TREND($I$14:$I$15,$H$14:$H$15,Q30)/TREND($J$14:$J$15,$H$14:$H$15,Q30))),0),0),0))</f>
        <v>0</v>
      </c>
      <c r="S30" s="58" cm="1">
        <f t="array" ref="S30">_xlfn.SINGLE(IF(Q30&gt;=(Assumptions!$D$32+1),IF(Q30&lt;=Assumptions!$D$10,IF(Q30&gt;=Assumptions!$D$32,(((TREND($J$14:$J$15,$H$14:$H$15,$Q30)/$J$14)/5)*J$10)*((TREND($I$14:$I$15,$H$14:$H$15,Q30)/TREND($J$14:$J$15,$H$14:$H$15,Q30))),0),0),0))</f>
        <v>0</v>
      </c>
      <c r="T30" s="58" cm="1">
        <f t="array" ref="T30">_xlfn.SINGLE(IF(Q30&gt;=(Assumptions!$D$32+1),IF(Q30&lt;=Assumptions!$D$10,IF(Q30&gt;=Assumptions!$D$32,(((TREND($J$14:$J$15,$H$14:$H$15,$Q30)/$J$14)/5)*K$10)*((TREND($I$14:$I$15,$H$14:$H$15,Q30)/TREND($J$14:$J$15,$H$14:$H$15,Q30))),0),0),0))</f>
        <v>0</v>
      </c>
      <c r="U30" s="58" cm="1">
        <f t="array" ref="U30">_xlfn.SINGLE(IF(Q30&gt;=(Assumptions!$D$32+1),IF(Q30&lt;=Assumptions!$D$10,IF(Q30&gt;=Assumptions!$D$32,(((TREND($J$14:$J$15,$H$14:$H$15,$Q30)/$J$14)/5)*L$10)*((TREND($I$14:$I$15,$H$14:$H$15,Q30)/TREND($J$14:$J$15,$H$14:$H$15,Q30))),0),0),0))</f>
        <v>0</v>
      </c>
      <c r="V30" s="58" cm="1">
        <f t="array" ref="V30">_xlfn.SINGLE(IF(Q30&gt;=(Assumptions!$D$32+1),IF(Q30&lt;=Assumptions!$D$10,IF(Q30&gt;=Assumptions!$D$32,(((TREND($J$14:$J$15,$H$14:$H$15,$Q30)/$J$14)/5)*M$10)*((TREND($I$14:$I$15,$H$14:$H$15,Q30)/TREND($J$14:$J$15,$H$14:$H$15,Q30))),0),0),0))</f>
        <v>7.4771564327485385E-2</v>
      </c>
      <c r="W30" s="109">
        <f t="shared" si="4"/>
        <v>299.08625730994152</v>
      </c>
      <c r="Z30" s="438"/>
      <c r="AA30" s="57">
        <f t="shared" si="8"/>
        <v>2045</v>
      </c>
      <c r="AB30" s="58" cm="1">
        <f t="array" ref="AB30">_xlfn.SINGLE(IF(AA30&gt;=(Assumptions!$D$32+1),IF(AA30&lt;=Assumptions!$D$10,IF(AA30&gt;=Assumptions!$D$32,((TREND($J$14:$J$15,$H$14:$H$15,$AA30)/$J$14)/5)*I$10*$AG30,0),0),0))</f>
        <v>0</v>
      </c>
      <c r="AC30" s="58" cm="1">
        <f t="array" ref="AC30">_xlfn.SINGLE(IF(AA30&gt;=(Assumptions!$D$32+1),IF(AA30&lt;=Assumptions!$D$10,IF(AA30&gt;=Assumptions!$D$32,((TREND($J$14:$J$15,$H$14:$H$15,$AA30)/$J$14)/5)*J$10*$AG30,0),0),0))</f>
        <v>0</v>
      </c>
      <c r="AD30" s="58" cm="1">
        <f t="array" ref="AD30">_xlfn.SINGLE(IF(AA30&gt;=(Assumptions!$D$32+1),IF(AA30&lt;=Assumptions!$D$10,IF(AA30&gt;=Assumptions!$D$32,((TREND($J$14:$J$15,$H$14:$H$15,$AA30)/$J$14)/5)*K$10*$AG30,0),0),0))</f>
        <v>0</v>
      </c>
      <c r="AE30" s="58" cm="1">
        <f t="array" ref="AE30">_xlfn.SINGLE(IF(AA30&gt;=(Assumptions!$D$32+1),IF(AA30&lt;=Assumptions!$D$10,IF(AA30&gt;=Assumptions!$D$32,((TREND($J$14:$J$15,$H$14:$H$15,$AA30)/$J$14)/5)*L$10*$AG30,0),0),0))</f>
        <v>0</v>
      </c>
      <c r="AF30" s="58" cm="1">
        <f t="array" ref="AF30">_xlfn.SINGLE(IF(AA30&gt;=(Assumptions!$D$32+1),IF(AA30&lt;=Assumptions!$D$10,IF(AA30&gt;=Assumptions!$D$32,((TREND($J$14:$J$15,$H$14:$H$15,$AA30)/$J$14)/5)*M$10*$AG30,0),0),0))</f>
        <v>0.15145972222222201</v>
      </c>
      <c r="AG30" s="58">
        <f>IF(Q30&gt;=(Assumptions!$D$32+1),IF(Q30&lt;=Assumptions!$D$10,IF(Q29&gt;=Assumptions!$D$32,$I$19,0),0),0)</f>
        <v>0.65300000000000002</v>
      </c>
      <c r="AH30" s="109">
        <f t="shared" si="5"/>
        <v>605.83888888888805</v>
      </c>
    </row>
    <row r="31" spans="1:34" ht="15" customHeight="1" x14ac:dyDescent="0.25">
      <c r="B31" s="153">
        <f t="shared" si="6"/>
        <v>2051</v>
      </c>
      <c r="C31" s="264">
        <f t="shared" si="1"/>
        <v>0</v>
      </c>
      <c r="D31" s="264">
        <f t="shared" si="2"/>
        <v>0</v>
      </c>
      <c r="E31" s="265">
        <f t="shared" si="3"/>
        <v>0</v>
      </c>
      <c r="F31" s="266">
        <f>E31*(1+0.07)^-(B31-Assumptions!$D$7)</f>
        <v>0</v>
      </c>
      <c r="H31" s="1"/>
      <c r="I31" s="1"/>
      <c r="J31" s="1"/>
      <c r="K31" s="1"/>
      <c r="L31" s="1"/>
      <c r="M31" s="1"/>
      <c r="P31" s="436"/>
      <c r="Q31" s="57">
        <f t="shared" si="7"/>
        <v>2046</v>
      </c>
      <c r="R31" s="58" cm="1">
        <f t="array" ref="R31">_xlfn.SINGLE(IF(Q31&gt;=(Assumptions!$D$32+1),IF(Q31&lt;=Assumptions!$D$10,IF(Q31&gt;=Assumptions!$D$32,(((TREND($J$14:$J$15,$H$14:$H$15,$Q31)/$J$14)/5)*I$10)*((TREND($I$14:$I$15,$H$14:$H$15,Q31)/TREND($J$14:$J$15,$H$14:$H$15,Q31))),0),0),0))</f>
        <v>0</v>
      </c>
      <c r="S31" s="58" cm="1">
        <f t="array" ref="S31">_xlfn.SINGLE(IF(Q31&gt;=(Assumptions!$D$32+1),IF(Q31&lt;=Assumptions!$D$10,IF(Q31&gt;=Assumptions!$D$32,(((TREND($J$14:$J$15,$H$14:$H$15,$Q31)/$J$14)/5)*J$10)*((TREND($I$14:$I$15,$H$14:$H$15,Q31)/TREND($J$14:$J$15,$H$14:$H$15,Q31))),0),0),0))</f>
        <v>0</v>
      </c>
      <c r="T31" s="58" cm="1">
        <f t="array" ref="T31">_xlfn.SINGLE(IF(Q31&gt;=(Assumptions!$D$32+1),IF(Q31&lt;=Assumptions!$D$10,IF(Q31&gt;=Assumptions!$D$32,(((TREND($J$14:$J$15,$H$14:$H$15,$Q31)/$J$14)/5)*K$10)*((TREND($I$14:$I$15,$H$14:$H$15,Q31)/TREND($J$14:$J$15,$H$14:$H$15,Q31))),0),0),0))</f>
        <v>0</v>
      </c>
      <c r="U31" s="58" cm="1">
        <f t="array" ref="U31">_xlfn.SINGLE(IF(Q31&gt;=(Assumptions!$D$32+1),IF(Q31&lt;=Assumptions!$D$10,IF(Q31&gt;=Assumptions!$D$32,(((TREND($J$14:$J$15,$H$14:$H$15,$Q31)/$J$14)/5)*L$10)*((TREND($I$14:$I$15,$H$14:$H$15,Q31)/TREND($J$14:$J$15,$H$14:$H$15,Q31))),0),0),0))</f>
        <v>0</v>
      </c>
      <c r="V31" s="58" cm="1">
        <f t="array" ref="V31">_xlfn.SINGLE(IF(Q31&gt;=(Assumptions!$D$32+1),IF(Q31&lt;=Assumptions!$D$10,IF(Q31&gt;=Assumptions!$D$32,(((TREND($J$14:$J$15,$H$14:$H$15,$Q31)/$J$14)/5)*M$10)*((TREND($I$14:$I$15,$H$14:$H$15,Q31)/TREND($J$14:$J$15,$H$14:$H$15,Q31))),0),0),0))</f>
        <v>0</v>
      </c>
      <c r="W31" s="109">
        <f t="shared" si="4"/>
        <v>0</v>
      </c>
      <c r="Z31" s="438"/>
      <c r="AA31" s="57">
        <f t="shared" si="8"/>
        <v>2046</v>
      </c>
      <c r="AB31" s="58" cm="1">
        <f t="array" ref="AB31">_xlfn.SINGLE(IF(AA31&gt;=(Assumptions!$D$32+1),IF(AA31&lt;=Assumptions!$D$10,IF(AA31&gt;=Assumptions!$D$32,((TREND($J$14:$J$15,$H$14:$H$15,$AA31)/$J$14)/5)*I$10*$AG31,0),0),0))</f>
        <v>0</v>
      </c>
      <c r="AC31" s="58" cm="1">
        <f t="array" ref="AC31">_xlfn.SINGLE(IF(AA31&gt;=(Assumptions!$D$32+1),IF(AA31&lt;=Assumptions!$D$10,IF(AA31&gt;=Assumptions!$D$32,((TREND($J$14:$J$15,$H$14:$H$15,$AA31)/$J$14)/5)*J$10*$AG31,0),0),0))</f>
        <v>0</v>
      </c>
      <c r="AD31" s="58" cm="1">
        <f t="array" ref="AD31">_xlfn.SINGLE(IF(AA31&gt;=(Assumptions!$D$32+1),IF(AA31&lt;=Assumptions!$D$10,IF(AA31&gt;=Assumptions!$D$32,((TREND($J$14:$J$15,$H$14:$H$15,$AA31)/$J$14)/5)*K$10*$AG31,0),0),0))</f>
        <v>0</v>
      </c>
      <c r="AE31" s="58" cm="1">
        <f t="array" ref="AE31">_xlfn.SINGLE(IF(AA31&gt;=(Assumptions!$D$32+1),IF(AA31&lt;=Assumptions!$D$10,IF(AA31&gt;=Assumptions!$D$32,((TREND($J$14:$J$15,$H$14:$H$15,$AA31)/$J$14)/5)*L$10*$AG31,0),0),0))</f>
        <v>0</v>
      </c>
      <c r="AF31" s="58" cm="1">
        <f t="array" ref="AF31">_xlfn.SINGLE(IF(AA31&gt;=(Assumptions!$D$32+1),IF(AA31&lt;=Assumptions!$D$10,IF(AA31&gt;=Assumptions!$D$32,((TREND($J$14:$J$15,$H$14:$H$15,$AA31)/$J$14)/5)*M$10*$AG31,0),0),0))</f>
        <v>0</v>
      </c>
      <c r="AG31" s="58">
        <f>IF(Q31&gt;=(Assumptions!$D$32+1),IF(Q31&lt;=Assumptions!$D$10,IF(Q30&gt;=Assumptions!$D$32,$I$19,0),0),0)</f>
        <v>0</v>
      </c>
      <c r="AH31" s="109">
        <f t="shared" si="5"/>
        <v>0</v>
      </c>
    </row>
    <row r="32" spans="1:34" ht="15" customHeight="1" x14ac:dyDescent="0.25">
      <c r="A32" s="2"/>
      <c r="B32" s="153">
        <f t="shared" si="6"/>
        <v>2052</v>
      </c>
      <c r="C32" s="264">
        <f t="shared" si="1"/>
        <v>0</v>
      </c>
      <c r="D32" s="264">
        <f t="shared" si="2"/>
        <v>0</v>
      </c>
      <c r="E32" s="265">
        <f t="shared" si="3"/>
        <v>0</v>
      </c>
      <c r="F32" s="266">
        <f>E32*(1+0.07)^-(B32-Assumptions!$D$7)</f>
        <v>0</v>
      </c>
      <c r="H32" s="1"/>
      <c r="I32" s="1"/>
      <c r="J32" s="1"/>
      <c r="K32" s="1"/>
      <c r="L32" s="1"/>
      <c r="M32" s="1"/>
      <c r="P32" s="436"/>
      <c r="Q32" s="57">
        <f t="shared" si="7"/>
        <v>2047</v>
      </c>
      <c r="R32" s="58" cm="1">
        <f t="array" ref="R32">_xlfn.SINGLE(IF(Q32&gt;=(Assumptions!$D$32+1),IF(Q32&lt;=Assumptions!$D$10,IF(Q32&gt;=Assumptions!$D$32,(((TREND($J$14:$J$15,$H$14:$H$15,$Q32)/$J$14)/5)*I$10)*((TREND($I$14:$I$15,$H$14:$H$15,Q32)/TREND($J$14:$J$15,$H$14:$H$15,Q32))),0),0),0))</f>
        <v>0</v>
      </c>
      <c r="S32" s="58" cm="1">
        <f t="array" ref="S32">_xlfn.SINGLE(IF(Q32&gt;=(Assumptions!$D$32+1),IF(Q32&lt;=Assumptions!$D$10,IF(Q32&gt;=Assumptions!$D$32,(((TREND($J$14:$J$15,$H$14:$H$15,$Q32)/$J$14)/5)*J$10)*((TREND($I$14:$I$15,$H$14:$H$15,Q32)/TREND($J$14:$J$15,$H$14:$H$15,Q32))),0),0),0))</f>
        <v>0</v>
      </c>
      <c r="T32" s="58" cm="1">
        <f t="array" ref="T32">_xlfn.SINGLE(IF(Q32&gt;=(Assumptions!$D$32+1),IF(Q32&lt;=Assumptions!$D$10,IF(Q32&gt;=Assumptions!$D$32,(((TREND($J$14:$J$15,$H$14:$H$15,$Q32)/$J$14)/5)*K$10)*((TREND($I$14:$I$15,$H$14:$H$15,Q32)/TREND($J$14:$J$15,$H$14:$H$15,Q32))),0),0),0))</f>
        <v>0</v>
      </c>
      <c r="U32" s="58" cm="1">
        <f t="array" ref="U32">_xlfn.SINGLE(IF(Q32&gt;=(Assumptions!$D$32+1),IF(Q32&lt;=Assumptions!$D$10,IF(Q32&gt;=Assumptions!$D$32,(((TREND($J$14:$J$15,$H$14:$H$15,$Q32)/$J$14)/5)*L$10)*((TREND($I$14:$I$15,$H$14:$H$15,Q32)/TREND($J$14:$J$15,$H$14:$H$15,Q32))),0),0),0))</f>
        <v>0</v>
      </c>
      <c r="V32" s="58" cm="1">
        <f t="array" ref="V32">_xlfn.SINGLE(IF(Q32&gt;=(Assumptions!$D$32+1),IF(Q32&lt;=Assumptions!$D$10,IF(Q32&gt;=Assumptions!$D$32,(((TREND($J$14:$J$15,$H$14:$H$15,$Q32)/$J$14)/5)*M$10)*((TREND($I$14:$I$15,$H$14:$H$15,Q32)/TREND($J$14:$J$15,$H$14:$H$15,Q32))),0),0),0))</f>
        <v>0</v>
      </c>
      <c r="W32" s="109">
        <f t="shared" si="4"/>
        <v>0</v>
      </c>
      <c r="Z32" s="438"/>
      <c r="AA32" s="57">
        <f t="shared" si="8"/>
        <v>2047</v>
      </c>
      <c r="AB32" s="58" cm="1">
        <f t="array" ref="AB32">_xlfn.SINGLE(IF(AA32&gt;=(Assumptions!$D$32+1),IF(AA32&lt;=Assumptions!$D$10,IF(AA32&gt;=Assumptions!$D$32,((TREND($J$14:$J$15,$H$14:$H$15,$AA32)/$J$14)/5)*I$10*$AG32,0),0),0))</f>
        <v>0</v>
      </c>
      <c r="AC32" s="58" cm="1">
        <f t="array" ref="AC32">_xlfn.SINGLE(IF(AA32&gt;=(Assumptions!$D$32+1),IF(AA32&lt;=Assumptions!$D$10,IF(AA32&gt;=Assumptions!$D$32,((TREND($J$14:$J$15,$H$14:$H$15,$AA32)/$J$14)/5)*J$10*$AG32,0),0),0))</f>
        <v>0</v>
      </c>
      <c r="AD32" s="58" cm="1">
        <f t="array" ref="AD32">_xlfn.SINGLE(IF(AA32&gt;=(Assumptions!$D$32+1),IF(AA32&lt;=Assumptions!$D$10,IF(AA32&gt;=Assumptions!$D$32,((TREND($J$14:$J$15,$H$14:$H$15,$AA32)/$J$14)/5)*K$10*$AG32,0),0),0))</f>
        <v>0</v>
      </c>
      <c r="AE32" s="58" cm="1">
        <f t="array" ref="AE32">_xlfn.SINGLE(IF(AA32&gt;=(Assumptions!$D$32+1),IF(AA32&lt;=Assumptions!$D$10,IF(AA32&gt;=Assumptions!$D$32,((TREND($J$14:$J$15,$H$14:$H$15,$AA32)/$J$14)/5)*L$10*$AG32,0),0),0))</f>
        <v>0</v>
      </c>
      <c r="AF32" s="58" cm="1">
        <f t="array" ref="AF32">_xlfn.SINGLE(IF(AA32&gt;=(Assumptions!$D$32+1),IF(AA32&lt;=Assumptions!$D$10,IF(AA32&gt;=Assumptions!$D$32,((TREND($J$14:$J$15,$H$14:$H$15,$AA32)/$J$14)/5)*M$10*$AG32,0),0),0))</f>
        <v>0</v>
      </c>
      <c r="AG32" s="58">
        <f>IF(Q32&gt;=(Assumptions!$D$32+1),IF(Q32&lt;=Assumptions!$D$10,IF(Q31&gt;=Assumptions!$D$32,$I$19,0),0),0)</f>
        <v>0</v>
      </c>
      <c r="AH32" s="109">
        <f t="shared" si="5"/>
        <v>0</v>
      </c>
    </row>
    <row r="33" spans="1:34" ht="15" customHeight="1" x14ac:dyDescent="0.25">
      <c r="B33" s="153">
        <f t="shared" si="6"/>
        <v>2053</v>
      </c>
      <c r="C33" s="264">
        <f t="shared" si="1"/>
        <v>0</v>
      </c>
      <c r="D33" s="264">
        <f t="shared" si="2"/>
        <v>0</v>
      </c>
      <c r="E33" s="265">
        <f t="shared" si="3"/>
        <v>0</v>
      </c>
      <c r="F33" s="266">
        <f>E33*(1+0.07)^-(B33-Assumptions!$D$7)</f>
        <v>0</v>
      </c>
      <c r="P33" s="436"/>
      <c r="Q33" s="57">
        <f t="shared" si="7"/>
        <v>2048</v>
      </c>
      <c r="R33" s="58" cm="1">
        <f t="array" ref="R33">_xlfn.SINGLE(IF(Q33&gt;=(Assumptions!$D$32+1),IF(Q33&lt;=Assumptions!$D$10,IF(Q33&gt;=Assumptions!$D$32,(((TREND($J$14:$J$15,$H$14:$H$15,$Q33)/$J$14)/5)*I$10)*((TREND($I$14:$I$15,$H$14:$H$15,Q33)/TREND($J$14:$J$15,$H$14:$H$15,Q33))),0),0),0))</f>
        <v>0</v>
      </c>
      <c r="S33" s="58" cm="1">
        <f t="array" ref="S33">_xlfn.SINGLE(IF(Q33&gt;=(Assumptions!$D$32+1),IF(Q33&lt;=Assumptions!$D$10,IF(Q33&gt;=Assumptions!$D$32,(((TREND($J$14:$J$15,$H$14:$H$15,$Q33)/$J$14)/5)*J$10)*((TREND($I$14:$I$15,$H$14:$H$15,Q33)/TREND($J$14:$J$15,$H$14:$H$15,Q33))),0),0),0))</f>
        <v>0</v>
      </c>
      <c r="T33" s="58" cm="1">
        <f t="array" ref="T33">_xlfn.SINGLE(IF(Q33&gt;=(Assumptions!$D$32+1),IF(Q33&lt;=Assumptions!$D$10,IF(Q33&gt;=Assumptions!$D$32,(((TREND($J$14:$J$15,$H$14:$H$15,$Q33)/$J$14)/5)*K$10)*((TREND($I$14:$I$15,$H$14:$H$15,Q33)/TREND($J$14:$J$15,$H$14:$H$15,Q33))),0),0),0))</f>
        <v>0</v>
      </c>
      <c r="U33" s="58" cm="1">
        <f t="array" ref="U33">_xlfn.SINGLE(IF(Q33&gt;=(Assumptions!$D$32+1),IF(Q33&lt;=Assumptions!$D$10,IF(Q33&gt;=Assumptions!$D$32,(((TREND($J$14:$J$15,$H$14:$H$15,$Q33)/$J$14)/5)*L$10)*((TREND($I$14:$I$15,$H$14:$H$15,Q33)/TREND($J$14:$J$15,$H$14:$H$15,Q33))),0),0),0))</f>
        <v>0</v>
      </c>
      <c r="V33" s="58" cm="1">
        <f t="array" ref="V33">_xlfn.SINGLE(IF(Q33&gt;=(Assumptions!$D$32+1),IF(Q33&lt;=Assumptions!$D$10,IF(Q33&gt;=Assumptions!$D$32,(((TREND($J$14:$J$15,$H$14:$H$15,$Q33)/$J$14)/5)*M$10)*((TREND($I$14:$I$15,$H$14:$H$15,Q33)/TREND($J$14:$J$15,$H$14:$H$15,Q33))),0),0),0))</f>
        <v>0</v>
      </c>
      <c r="W33" s="109">
        <f t="shared" si="4"/>
        <v>0</v>
      </c>
      <c r="Z33" s="438"/>
      <c r="AA33" s="57">
        <f t="shared" si="8"/>
        <v>2048</v>
      </c>
      <c r="AB33" s="58" cm="1">
        <f t="array" ref="AB33">_xlfn.SINGLE(IF(AA33&gt;=(Assumptions!$D$32+1),IF(AA33&lt;=Assumptions!$D$10,IF(AA33&gt;=Assumptions!$D$32,((TREND($J$14:$J$15,$H$14:$H$15,$AA33)/$J$14)/5)*I$10*$AG33,0),0),0))</f>
        <v>0</v>
      </c>
      <c r="AC33" s="58" cm="1">
        <f t="array" ref="AC33">_xlfn.SINGLE(IF(AA33&gt;=(Assumptions!$D$32+1),IF(AA33&lt;=Assumptions!$D$10,IF(AA33&gt;=Assumptions!$D$32,((TREND($J$14:$J$15,$H$14:$H$15,$AA33)/$J$14)/5)*J$10*$AG33,0),0),0))</f>
        <v>0</v>
      </c>
      <c r="AD33" s="58" cm="1">
        <f t="array" ref="AD33">_xlfn.SINGLE(IF(AA33&gt;=(Assumptions!$D$32+1),IF(AA33&lt;=Assumptions!$D$10,IF(AA33&gt;=Assumptions!$D$32,((TREND($J$14:$J$15,$H$14:$H$15,$AA33)/$J$14)/5)*K$10*$AG33,0),0),0))</f>
        <v>0</v>
      </c>
      <c r="AE33" s="58" cm="1">
        <f t="array" ref="AE33">_xlfn.SINGLE(IF(AA33&gt;=(Assumptions!$D$32+1),IF(AA33&lt;=Assumptions!$D$10,IF(AA33&gt;=Assumptions!$D$32,((TREND($J$14:$J$15,$H$14:$H$15,$AA33)/$J$14)/5)*L$10*$AG33,0),0),0))</f>
        <v>0</v>
      </c>
      <c r="AF33" s="58" cm="1">
        <f t="array" ref="AF33">_xlfn.SINGLE(IF(AA33&gt;=(Assumptions!$D$32+1),IF(AA33&lt;=Assumptions!$D$10,IF(AA33&gt;=Assumptions!$D$32,((TREND($J$14:$J$15,$H$14:$H$15,$AA33)/$J$14)/5)*M$10*$AG33,0),0),0))</f>
        <v>0</v>
      </c>
      <c r="AG33" s="58">
        <f>IF(Q33&gt;=(Assumptions!$D$32+1),IF(Q33&lt;=Assumptions!$D$10,IF(Q32&gt;=Assumptions!$D$32,$I$19,0),0),0)</f>
        <v>0</v>
      </c>
      <c r="AH33" s="109">
        <f t="shared" si="5"/>
        <v>0</v>
      </c>
    </row>
    <row r="34" spans="1:34" ht="15" customHeight="1" x14ac:dyDescent="0.25">
      <c r="B34" s="153">
        <f t="shared" si="6"/>
        <v>2054</v>
      </c>
      <c r="C34" s="264">
        <f t="shared" si="1"/>
        <v>0</v>
      </c>
      <c r="D34" s="264">
        <f t="shared" si="2"/>
        <v>0</v>
      </c>
      <c r="E34" s="265">
        <f t="shared" si="3"/>
        <v>0</v>
      </c>
      <c r="F34" s="266">
        <f>E34*(1+0.07)^-(B34-Assumptions!$D$7)</f>
        <v>0</v>
      </c>
      <c r="P34" s="436"/>
      <c r="Q34" s="57">
        <f t="shared" si="7"/>
        <v>2049</v>
      </c>
      <c r="R34" s="58" cm="1">
        <f t="array" ref="R34">_xlfn.SINGLE(IF(Q34&gt;=(Assumptions!$D$32+1),IF(Q34&lt;=Assumptions!$D$10,IF(Q34&gt;=Assumptions!$D$32,(((TREND($J$14:$J$15,$H$14:$H$15,$Q34)/$J$14)/5)*I$10)*((TREND($I$14:$I$15,$H$14:$H$15,Q34)/TREND($J$14:$J$15,$H$14:$H$15,Q34))),0),0),0))</f>
        <v>0</v>
      </c>
      <c r="S34" s="58" cm="1">
        <f t="array" ref="S34">_xlfn.SINGLE(IF(Q34&gt;=(Assumptions!$D$32+1),IF(Q34&lt;=Assumptions!$D$10,IF(Q34&gt;=Assumptions!$D$32,(((TREND($J$14:$J$15,$H$14:$H$15,$Q34)/$J$14)/5)*J$10)*((TREND($I$14:$I$15,$H$14:$H$15,Q34)/TREND($J$14:$J$15,$H$14:$H$15,Q34))),0),0),0))</f>
        <v>0</v>
      </c>
      <c r="T34" s="58" cm="1">
        <f t="array" ref="T34">_xlfn.SINGLE(IF(Q34&gt;=(Assumptions!$D$32+1),IF(Q34&lt;=Assumptions!$D$10,IF(Q34&gt;=Assumptions!$D$32,(((TREND($J$14:$J$15,$H$14:$H$15,$Q34)/$J$14)/5)*K$10)*((TREND($I$14:$I$15,$H$14:$H$15,Q34)/TREND($J$14:$J$15,$H$14:$H$15,Q34))),0),0),0))</f>
        <v>0</v>
      </c>
      <c r="U34" s="58" cm="1">
        <f t="array" ref="U34">_xlfn.SINGLE(IF(Q34&gt;=(Assumptions!$D$32+1),IF(Q34&lt;=Assumptions!$D$10,IF(Q34&gt;=Assumptions!$D$32,(((TREND($J$14:$J$15,$H$14:$H$15,$Q34)/$J$14)/5)*L$10)*((TREND($I$14:$I$15,$H$14:$H$15,Q34)/TREND($J$14:$J$15,$H$14:$H$15,Q34))),0),0),0))</f>
        <v>0</v>
      </c>
      <c r="V34" s="58" cm="1">
        <f t="array" ref="V34">_xlfn.SINGLE(IF(Q34&gt;=(Assumptions!$D$32+1),IF(Q34&lt;=Assumptions!$D$10,IF(Q34&gt;=Assumptions!$D$32,(((TREND($J$14:$J$15,$H$14:$H$15,$Q34)/$J$14)/5)*M$10)*((TREND($I$14:$I$15,$H$14:$H$15,Q34)/TREND($J$14:$J$15,$H$14:$H$15,Q34))),0),0),0))</f>
        <v>0</v>
      </c>
      <c r="W34" s="109">
        <f t="shared" si="4"/>
        <v>0</v>
      </c>
      <c r="Z34" s="438"/>
      <c r="AA34" s="57">
        <f t="shared" si="8"/>
        <v>2049</v>
      </c>
      <c r="AB34" s="58" cm="1">
        <f t="array" ref="AB34">_xlfn.SINGLE(IF(AA34&gt;=(Assumptions!$D$32+1),IF(AA34&lt;=Assumptions!$D$10,IF(AA34&gt;=Assumptions!$D$32,((TREND($J$14:$J$15,$H$14:$H$15,$AA34)/$J$14)/5)*I$10*$AG34,0),0),0))</f>
        <v>0</v>
      </c>
      <c r="AC34" s="58" cm="1">
        <f t="array" ref="AC34">_xlfn.SINGLE(IF(AA34&gt;=(Assumptions!$D$32+1),IF(AA34&lt;=Assumptions!$D$10,IF(AA34&gt;=Assumptions!$D$32,((TREND($J$14:$J$15,$H$14:$H$15,$AA34)/$J$14)/5)*J$10*$AG34,0),0),0))</f>
        <v>0</v>
      </c>
      <c r="AD34" s="58" cm="1">
        <f t="array" ref="AD34">_xlfn.SINGLE(IF(AA34&gt;=(Assumptions!$D$32+1),IF(AA34&lt;=Assumptions!$D$10,IF(AA34&gt;=Assumptions!$D$32,((TREND($J$14:$J$15,$H$14:$H$15,$AA34)/$J$14)/5)*K$10*$AG34,0),0),0))</f>
        <v>0</v>
      </c>
      <c r="AE34" s="58" cm="1">
        <f t="array" ref="AE34">_xlfn.SINGLE(IF(AA34&gt;=(Assumptions!$D$32+1),IF(AA34&lt;=Assumptions!$D$10,IF(AA34&gt;=Assumptions!$D$32,((TREND($J$14:$J$15,$H$14:$H$15,$AA34)/$J$14)/5)*L$10*$AG34,0),0),0))</f>
        <v>0</v>
      </c>
      <c r="AF34" s="58" cm="1">
        <f t="array" ref="AF34">_xlfn.SINGLE(IF(AA34&gt;=(Assumptions!$D$32+1),IF(AA34&lt;=Assumptions!$D$10,IF(AA34&gt;=Assumptions!$D$32,((TREND($J$14:$J$15,$H$14:$H$15,$AA34)/$J$14)/5)*M$10*$AG34,0),0),0))</f>
        <v>0</v>
      </c>
      <c r="AG34" s="58">
        <f>IF(Q34&gt;=(Assumptions!$D$32+1),IF(Q34&lt;=Assumptions!$D$10,IF(Q33&gt;=Assumptions!$D$32,$I$19,0),0),0)</f>
        <v>0</v>
      </c>
      <c r="AH34" s="109">
        <f t="shared" si="5"/>
        <v>0</v>
      </c>
    </row>
    <row r="35" spans="1:34" ht="15" customHeight="1" thickBot="1" x14ac:dyDescent="0.3">
      <c r="B35" s="154">
        <f t="shared" si="6"/>
        <v>2055</v>
      </c>
      <c r="C35" s="267">
        <f t="shared" si="1"/>
        <v>0</v>
      </c>
      <c r="D35" s="267">
        <f t="shared" si="2"/>
        <v>0</v>
      </c>
      <c r="E35" s="268">
        <f t="shared" si="3"/>
        <v>0</v>
      </c>
      <c r="F35" s="269">
        <f>E35*(1+0.07)^-(B35-Assumptions!$D$7)</f>
        <v>0</v>
      </c>
      <c r="P35" s="436"/>
      <c r="Q35" s="57">
        <f t="shared" si="7"/>
        <v>2050</v>
      </c>
      <c r="R35" s="58" cm="1">
        <f t="array" ref="R35">_xlfn.SINGLE(IF(Q35&gt;=(Assumptions!$D$32+1),IF(Q35&lt;=Assumptions!$D$10,IF(Q35&gt;=Assumptions!$D$32,(((TREND($J$14:$J$15,$H$14:$H$15,$Q35)/$J$14)/5)*I$10)*((TREND($I$14:$I$15,$H$14:$H$15,Q35)/TREND($J$14:$J$15,$H$14:$H$15,Q35))),0),0),0))</f>
        <v>0</v>
      </c>
      <c r="S35" s="58" cm="1">
        <f t="array" ref="S35">_xlfn.SINGLE(IF(Q35&gt;=(Assumptions!$D$32+1),IF(Q35&lt;=Assumptions!$D$10,IF(Q35&gt;=Assumptions!$D$32,(((TREND($J$14:$J$15,$H$14:$H$15,$Q35)/$J$14)/5)*J$10)*((TREND($I$14:$I$15,$H$14:$H$15,Q35)/TREND($J$14:$J$15,$H$14:$H$15,Q35))),0),0),0))</f>
        <v>0</v>
      </c>
      <c r="T35" s="58" cm="1">
        <f t="array" ref="T35">_xlfn.SINGLE(IF(Q35&gt;=(Assumptions!$D$32+1),IF(Q35&lt;=Assumptions!$D$10,IF(Q35&gt;=Assumptions!$D$32,(((TREND($J$14:$J$15,$H$14:$H$15,$Q35)/$J$14)/5)*K$10)*((TREND($I$14:$I$15,$H$14:$H$15,Q35)/TREND($J$14:$J$15,$H$14:$H$15,Q35))),0),0),0))</f>
        <v>0</v>
      </c>
      <c r="U35" s="58" cm="1">
        <f t="array" ref="U35">_xlfn.SINGLE(IF(Q35&gt;=(Assumptions!$D$32+1),IF(Q35&lt;=Assumptions!$D$10,IF(Q35&gt;=Assumptions!$D$32,(((TREND($J$14:$J$15,$H$14:$H$15,$Q35)/$J$14)/5)*L$10)*((TREND($I$14:$I$15,$H$14:$H$15,Q35)/TREND($J$14:$J$15,$H$14:$H$15,Q35))),0),0),0))</f>
        <v>0</v>
      </c>
      <c r="V35" s="58" cm="1">
        <f t="array" ref="V35">_xlfn.SINGLE(IF(Q35&gt;=(Assumptions!$D$32+1),IF(Q35&lt;=Assumptions!$D$10,IF(Q35&gt;=Assumptions!$D$32,(((TREND($J$14:$J$15,$H$14:$H$15,$Q35)/$J$14)/5)*M$10)*((TREND($I$14:$I$15,$H$14:$H$15,Q35)/TREND($J$14:$J$15,$H$14:$H$15,Q35))),0),0),0))</f>
        <v>0</v>
      </c>
      <c r="W35" s="109">
        <f t="shared" si="4"/>
        <v>0</v>
      </c>
      <c r="Z35" s="438"/>
      <c r="AA35" s="57">
        <f t="shared" si="8"/>
        <v>2050</v>
      </c>
      <c r="AB35" s="58" cm="1">
        <f t="array" ref="AB35">_xlfn.SINGLE(IF(AA35&gt;=(Assumptions!$D$32+1),IF(AA35&lt;=Assumptions!$D$10,IF(AA35&gt;=Assumptions!$D$32,((TREND($J$14:$J$15,$H$14:$H$15,$AA35)/$J$14)/5)*I$10*$AG35,0),0),0))</f>
        <v>0</v>
      </c>
      <c r="AC35" s="58" cm="1">
        <f t="array" ref="AC35">_xlfn.SINGLE(IF(AA35&gt;=(Assumptions!$D$32+1),IF(AA35&lt;=Assumptions!$D$10,IF(AA35&gt;=Assumptions!$D$32,((TREND($J$14:$J$15,$H$14:$H$15,$AA35)/$J$14)/5)*J$10*$AG35,0),0),0))</f>
        <v>0</v>
      </c>
      <c r="AD35" s="58" cm="1">
        <f t="array" ref="AD35">_xlfn.SINGLE(IF(AA35&gt;=(Assumptions!$D$32+1),IF(AA35&lt;=Assumptions!$D$10,IF(AA35&gt;=Assumptions!$D$32,((TREND($J$14:$J$15,$H$14:$H$15,$AA35)/$J$14)/5)*K$10*$AG35,0),0),0))</f>
        <v>0</v>
      </c>
      <c r="AE35" s="58" cm="1">
        <f t="array" ref="AE35">_xlfn.SINGLE(IF(AA35&gt;=(Assumptions!$D$32+1),IF(AA35&lt;=Assumptions!$D$10,IF(AA35&gt;=Assumptions!$D$32,((TREND($J$14:$J$15,$H$14:$H$15,$AA35)/$J$14)/5)*L$10*$AG35,0),0),0))</f>
        <v>0</v>
      </c>
      <c r="AF35" s="58" cm="1">
        <f t="array" ref="AF35">_xlfn.SINGLE(IF(AA35&gt;=(Assumptions!$D$32+1),IF(AA35&lt;=Assumptions!$D$10,IF(AA35&gt;=Assumptions!$D$32,((TREND($J$14:$J$15,$H$14:$H$15,$AA35)/$J$14)/5)*M$10*$AG35,0),0),0))</f>
        <v>0</v>
      </c>
      <c r="AG35" s="58">
        <f>IF(Q35&gt;=(Assumptions!$D$32+1),IF(Q35&lt;=Assumptions!$D$10,IF(Q34&gt;=Assumptions!$D$32,$I$19,0),0),0)</f>
        <v>0</v>
      </c>
      <c r="AH35" s="109">
        <f t="shared" si="5"/>
        <v>0</v>
      </c>
    </row>
    <row r="36" spans="1:34" ht="15" customHeight="1" thickBot="1" x14ac:dyDescent="0.3">
      <c r="A36" s="2"/>
      <c r="E36" s="177" t="s">
        <v>2</v>
      </c>
      <c r="F36" s="270">
        <f>SUM(F6:F35)</f>
        <v>-2305.7611811722008</v>
      </c>
      <c r="P36" s="436"/>
      <c r="Q36" s="57">
        <f t="shared" si="7"/>
        <v>2051</v>
      </c>
      <c r="R36" s="58" cm="1">
        <f t="array" ref="R36">_xlfn.SINGLE(IF(Q36&gt;=(Assumptions!$D$32+1),IF(Q36&lt;=Assumptions!$D$10,IF(Q36&gt;=Assumptions!$D$32,(((TREND($J$14:$J$15,$H$14:$H$15,$Q36)/$J$14)/5)*I$10)*((TREND($I$14:$I$15,$H$14:$H$15,Q36)/TREND($J$14:$J$15,$H$14:$H$15,Q36))),0),0),0))</f>
        <v>0</v>
      </c>
      <c r="S36" s="58" cm="1">
        <f t="array" ref="S36">_xlfn.SINGLE(IF(Q36&gt;=(Assumptions!$D$32+1),IF(Q36&lt;=Assumptions!$D$10,IF(Q36&gt;=Assumptions!$D$32,(((TREND($J$14:$J$15,$H$14:$H$15,$Q36)/$J$14)/5)*J$10)*((TREND($I$14:$I$15,$H$14:$H$15,Q36)/TREND($J$14:$J$15,$H$14:$H$15,Q36))),0),0),0))</f>
        <v>0</v>
      </c>
      <c r="T36" s="58" cm="1">
        <f t="array" ref="T36">_xlfn.SINGLE(IF(Q36&gt;=(Assumptions!$D$32+1),IF(Q36&lt;=Assumptions!$D$10,IF(Q36&gt;=Assumptions!$D$32,(((TREND($J$14:$J$15,$H$14:$H$15,$Q36)/$J$14)/5)*K$10)*((TREND($I$14:$I$15,$H$14:$H$15,Q36)/TREND($J$14:$J$15,$H$14:$H$15,Q36))),0),0),0))</f>
        <v>0</v>
      </c>
      <c r="U36" s="58" cm="1">
        <f t="array" ref="U36">_xlfn.SINGLE(IF(Q36&gt;=(Assumptions!$D$32+1),IF(Q36&lt;=Assumptions!$D$10,IF(Q36&gt;=Assumptions!$D$32,(((TREND($J$14:$J$15,$H$14:$H$15,$Q36)/$J$14)/5)*L$10)*((TREND($I$14:$I$15,$H$14:$H$15,Q36)/TREND($J$14:$J$15,$H$14:$H$15,Q36))),0),0),0))</f>
        <v>0</v>
      </c>
      <c r="V36" s="58" cm="1">
        <f t="array" ref="V36">_xlfn.SINGLE(IF(Q36&gt;=(Assumptions!$D$32+1),IF(Q36&lt;=Assumptions!$D$10,IF(Q36&gt;=Assumptions!$D$32,(((TREND($J$14:$J$15,$H$14:$H$15,$Q36)/$J$14)/5)*M$10)*((TREND($I$14:$I$15,$H$14:$H$15,Q36)/TREND($J$14:$J$15,$H$14:$H$15,Q36))),0),0),0))</f>
        <v>0</v>
      </c>
      <c r="W36" s="109">
        <f t="shared" si="4"/>
        <v>0</v>
      </c>
      <c r="Z36" s="438"/>
      <c r="AA36" s="57">
        <f t="shared" si="8"/>
        <v>2051</v>
      </c>
      <c r="AB36" s="58" cm="1">
        <f t="array" ref="AB36">_xlfn.SINGLE(IF(AA36&gt;=(Assumptions!$D$32+1),IF(AA36&lt;=Assumptions!$D$10,IF(AA36&gt;=Assumptions!$D$32,((TREND($J$14:$J$15,$H$14:$H$15,$AA36)/$J$14)/5)*I$10*$AG36,0),0),0))</f>
        <v>0</v>
      </c>
      <c r="AC36" s="58" cm="1">
        <f t="array" ref="AC36">_xlfn.SINGLE(IF(AA36&gt;=(Assumptions!$D$32+1),IF(AA36&lt;=Assumptions!$D$10,IF(AA36&gt;=Assumptions!$D$32,((TREND($J$14:$J$15,$H$14:$H$15,$AA36)/$J$14)/5)*J$10*$AG36,0),0),0))</f>
        <v>0</v>
      </c>
      <c r="AD36" s="58" cm="1">
        <f t="array" ref="AD36">_xlfn.SINGLE(IF(AA36&gt;=(Assumptions!$D$32+1),IF(AA36&lt;=Assumptions!$D$10,IF(AA36&gt;=Assumptions!$D$32,((TREND($J$14:$J$15,$H$14:$H$15,$AA36)/$J$14)/5)*K$10*$AG36,0),0),0))</f>
        <v>0</v>
      </c>
      <c r="AE36" s="58" cm="1">
        <f t="array" ref="AE36">_xlfn.SINGLE(IF(AA36&gt;=(Assumptions!$D$32+1),IF(AA36&lt;=Assumptions!$D$10,IF(AA36&gt;=Assumptions!$D$32,((TREND($J$14:$J$15,$H$14:$H$15,$AA36)/$J$14)/5)*L$10*$AG36,0),0),0))</f>
        <v>0</v>
      </c>
      <c r="AF36" s="58" cm="1">
        <f t="array" ref="AF36">_xlfn.SINGLE(IF(AA36&gt;=(Assumptions!$D$32+1),IF(AA36&lt;=Assumptions!$D$10,IF(AA36&gt;=Assumptions!$D$32,((TREND($J$14:$J$15,$H$14:$H$15,$AA36)/$J$14)/5)*M$10*$AG36,0),0),0))</f>
        <v>0</v>
      </c>
      <c r="AG36" s="58">
        <f>IF(Q36&gt;=(Assumptions!$D$32+1),IF(Q36&lt;=Assumptions!$D$10,IF(Q35&gt;=Assumptions!$D$32,$I$19,0),0),0)</f>
        <v>0</v>
      </c>
      <c r="AH36" s="109">
        <f t="shared" si="5"/>
        <v>0</v>
      </c>
    </row>
    <row r="37" spans="1:34" ht="15" customHeight="1" x14ac:dyDescent="0.25">
      <c r="B37" s="51"/>
      <c r="C37" s="49"/>
      <c r="D37" s="193"/>
      <c r="E37" s="193"/>
      <c r="F37" s="193"/>
      <c r="P37" s="436"/>
      <c r="Q37" s="57">
        <f t="shared" si="7"/>
        <v>2052</v>
      </c>
      <c r="R37" s="58" cm="1">
        <f t="array" ref="R37">_xlfn.SINGLE(IF(Q37&gt;=(Assumptions!$D$32+1),IF(Q37&lt;=Assumptions!$D$10,IF(Q37&gt;=Assumptions!$D$32,(((TREND($J$14:$J$15,$H$14:$H$15,$Q37)/$J$14)/5)*I$10)*((TREND($I$14:$I$15,$H$14:$H$15,Q37)/TREND($J$14:$J$15,$H$14:$H$15,Q37))),0),0),0))</f>
        <v>0</v>
      </c>
      <c r="S37" s="58" cm="1">
        <f t="array" ref="S37">_xlfn.SINGLE(IF(Q37&gt;=(Assumptions!$D$32+1),IF(Q37&lt;=Assumptions!$D$10,IF(Q37&gt;=Assumptions!$D$32,(((TREND($J$14:$J$15,$H$14:$H$15,$Q37)/$J$14)/5)*J$10)*((TREND($I$14:$I$15,$H$14:$H$15,Q37)/TREND($J$14:$J$15,$H$14:$H$15,Q37))),0),0),0))</f>
        <v>0</v>
      </c>
      <c r="T37" s="58" cm="1">
        <f t="array" ref="T37">_xlfn.SINGLE(IF(Q37&gt;=(Assumptions!$D$32+1),IF(Q37&lt;=Assumptions!$D$10,IF(Q37&gt;=Assumptions!$D$32,(((TREND($J$14:$J$15,$H$14:$H$15,$Q37)/$J$14)/5)*K$10)*((TREND($I$14:$I$15,$H$14:$H$15,Q37)/TREND($J$14:$J$15,$H$14:$H$15,Q37))),0),0),0))</f>
        <v>0</v>
      </c>
      <c r="U37" s="58" cm="1">
        <f t="array" ref="U37">_xlfn.SINGLE(IF(Q37&gt;=(Assumptions!$D$32+1),IF(Q37&lt;=Assumptions!$D$10,IF(Q37&gt;=Assumptions!$D$32,(((TREND($J$14:$J$15,$H$14:$H$15,$Q37)/$J$14)/5)*L$10)*((TREND($I$14:$I$15,$H$14:$H$15,Q37)/TREND($J$14:$J$15,$H$14:$H$15,Q37))),0),0),0))</f>
        <v>0</v>
      </c>
      <c r="V37" s="58" cm="1">
        <f t="array" ref="V37">_xlfn.SINGLE(IF(Q37&gt;=(Assumptions!$D$32+1),IF(Q37&lt;=Assumptions!$D$10,IF(Q37&gt;=Assumptions!$D$32,(((TREND($J$14:$J$15,$H$14:$H$15,$Q37)/$J$14)/5)*M$10)*((TREND($I$14:$I$15,$H$14:$H$15,Q37)/TREND($J$14:$J$15,$H$14:$H$15,Q37))),0),0),0))</f>
        <v>0</v>
      </c>
      <c r="W37" s="109">
        <f t="shared" si="4"/>
        <v>0</v>
      </c>
      <c r="Z37" s="438"/>
      <c r="AA37" s="57">
        <f t="shared" si="8"/>
        <v>2052</v>
      </c>
      <c r="AB37" s="58" cm="1">
        <f t="array" ref="AB37">_xlfn.SINGLE(IF(AA37&gt;=(Assumptions!$D$32+1),IF(AA37&lt;=Assumptions!$D$10,IF(AA37&gt;=Assumptions!$D$32,((TREND($J$14:$J$15,$H$14:$H$15,$AA37)/$J$14)/5)*I$10*$AG37,0),0),0))</f>
        <v>0</v>
      </c>
      <c r="AC37" s="58" cm="1">
        <f t="array" ref="AC37">_xlfn.SINGLE(IF(AA37&gt;=(Assumptions!$D$32+1),IF(AA37&lt;=Assumptions!$D$10,IF(AA37&gt;=Assumptions!$D$32,((TREND($J$14:$J$15,$H$14:$H$15,$AA37)/$J$14)/5)*J$10*$AG37,0),0),0))</f>
        <v>0</v>
      </c>
      <c r="AD37" s="58" cm="1">
        <f t="array" ref="AD37">_xlfn.SINGLE(IF(AA37&gt;=(Assumptions!$D$32+1),IF(AA37&lt;=Assumptions!$D$10,IF(AA37&gt;=Assumptions!$D$32,((TREND($J$14:$J$15,$H$14:$H$15,$AA37)/$J$14)/5)*K$10*$AG37,0),0),0))</f>
        <v>0</v>
      </c>
      <c r="AE37" s="58" cm="1">
        <f t="array" ref="AE37">_xlfn.SINGLE(IF(AA37&gt;=(Assumptions!$D$32+1),IF(AA37&lt;=Assumptions!$D$10,IF(AA37&gt;=Assumptions!$D$32,((TREND($J$14:$J$15,$H$14:$H$15,$AA37)/$J$14)/5)*L$10*$AG37,0),0),0))</f>
        <v>0</v>
      </c>
      <c r="AF37" s="58" cm="1">
        <f t="array" ref="AF37">_xlfn.SINGLE(IF(AA37&gt;=(Assumptions!$D$32+1),IF(AA37&lt;=Assumptions!$D$10,IF(AA37&gt;=Assumptions!$D$32,((TREND($J$14:$J$15,$H$14:$H$15,$AA37)/$J$14)/5)*M$10*$AG37,0),0),0))</f>
        <v>0</v>
      </c>
      <c r="AG37" s="58">
        <f>IF(Q37&gt;=(Assumptions!$D$32+1),IF(Q37&lt;=Assumptions!$D$10,IF(Q36&gt;=Assumptions!$D$32,$I$19,0),0),0)</f>
        <v>0</v>
      </c>
      <c r="AH37" s="109">
        <f t="shared" si="5"/>
        <v>0</v>
      </c>
    </row>
    <row r="38" spans="1:34" x14ac:dyDescent="0.25">
      <c r="A38" s="2"/>
      <c r="D38" s="193"/>
      <c r="E38" s="193"/>
      <c r="F38" s="193"/>
      <c r="P38" s="436"/>
      <c r="Q38" s="57">
        <f t="shared" si="7"/>
        <v>2053</v>
      </c>
      <c r="R38" s="58" cm="1">
        <f t="array" ref="R38">_xlfn.SINGLE(IF(Q38&gt;=(Assumptions!$D$32+1),IF(Q38&lt;=Assumptions!$D$10,IF(Q38&gt;=Assumptions!$D$32,(((TREND($J$14:$J$15,$H$14:$H$15,$Q38)/$J$14)/5)*I$10)*((TREND($I$14:$I$15,$H$14:$H$15,Q38)/TREND($J$14:$J$15,$H$14:$H$15,Q38))),0),0),0))</f>
        <v>0</v>
      </c>
      <c r="S38" s="58" cm="1">
        <f t="array" ref="S38">_xlfn.SINGLE(IF(Q38&gt;=(Assumptions!$D$32+1),IF(Q38&lt;=Assumptions!$D$10,IF(Q38&gt;=Assumptions!$D$32,(((TREND($J$14:$J$15,$H$14:$H$15,$Q38)/$J$14)/5)*J$10)*((TREND($I$14:$I$15,$H$14:$H$15,Q38)/TREND($J$14:$J$15,$H$14:$H$15,Q38))),0),0),0))</f>
        <v>0</v>
      </c>
      <c r="T38" s="58" cm="1">
        <f t="array" ref="T38">_xlfn.SINGLE(IF(Q38&gt;=(Assumptions!$D$32+1),IF(Q38&lt;=Assumptions!$D$10,IF(Q38&gt;=Assumptions!$D$32,(((TREND($J$14:$J$15,$H$14:$H$15,$Q38)/$J$14)/5)*K$10)*((TREND($I$14:$I$15,$H$14:$H$15,Q38)/TREND($J$14:$J$15,$H$14:$H$15,Q38))),0),0),0))</f>
        <v>0</v>
      </c>
      <c r="U38" s="58" cm="1">
        <f t="array" ref="U38">_xlfn.SINGLE(IF(Q38&gt;=(Assumptions!$D$32+1),IF(Q38&lt;=Assumptions!$D$10,IF(Q38&gt;=Assumptions!$D$32,(((TREND($J$14:$J$15,$H$14:$H$15,$Q38)/$J$14)/5)*L$10)*((TREND($I$14:$I$15,$H$14:$H$15,Q38)/TREND($J$14:$J$15,$H$14:$H$15,Q38))),0),0),0))</f>
        <v>0</v>
      </c>
      <c r="V38" s="58" cm="1">
        <f t="array" ref="V38">_xlfn.SINGLE(IF(Q38&gt;=(Assumptions!$D$32+1),IF(Q38&lt;=Assumptions!$D$10,IF(Q38&gt;=Assumptions!$D$32,(((TREND($J$14:$J$15,$H$14:$H$15,$Q38)/$J$14)/5)*M$10)*((TREND($I$14:$I$15,$H$14:$H$15,Q38)/TREND($J$14:$J$15,$H$14:$H$15,Q38))),0),0),0))</f>
        <v>0</v>
      </c>
      <c r="W38" s="109">
        <f t="shared" si="4"/>
        <v>0</v>
      </c>
      <c r="Z38" s="438"/>
      <c r="AA38" s="57">
        <f t="shared" si="8"/>
        <v>2053</v>
      </c>
      <c r="AB38" s="58" cm="1">
        <f t="array" ref="AB38">_xlfn.SINGLE(IF(AA38&gt;=(Assumptions!$D$32+1),IF(AA38&lt;=Assumptions!$D$10,IF(AA38&gt;=Assumptions!$D$32,((TREND($J$14:$J$15,$H$14:$H$15,$AA38)/$J$14)/5)*I$10*$AG38,0),0),0))</f>
        <v>0</v>
      </c>
      <c r="AC38" s="58" cm="1">
        <f t="array" ref="AC38">_xlfn.SINGLE(IF(AA38&gt;=(Assumptions!$D$32+1),IF(AA38&lt;=Assumptions!$D$10,IF(AA38&gt;=Assumptions!$D$32,((TREND($J$14:$J$15,$H$14:$H$15,$AA38)/$J$14)/5)*J$10*$AG38,0),0),0))</f>
        <v>0</v>
      </c>
      <c r="AD38" s="58" cm="1">
        <f t="array" ref="AD38">_xlfn.SINGLE(IF(AA38&gt;=(Assumptions!$D$32+1),IF(AA38&lt;=Assumptions!$D$10,IF(AA38&gt;=Assumptions!$D$32,((TREND($J$14:$J$15,$H$14:$H$15,$AA38)/$J$14)/5)*K$10*$AG38,0),0),0))</f>
        <v>0</v>
      </c>
      <c r="AE38" s="58" cm="1">
        <f t="array" ref="AE38">_xlfn.SINGLE(IF(AA38&gt;=(Assumptions!$D$32+1),IF(AA38&lt;=Assumptions!$D$10,IF(AA38&gt;=Assumptions!$D$32,((TREND($J$14:$J$15,$H$14:$H$15,$AA38)/$J$14)/5)*L$10*$AG38,0),0),0))</f>
        <v>0</v>
      </c>
      <c r="AF38" s="58" cm="1">
        <f t="array" ref="AF38">_xlfn.SINGLE(IF(AA38&gt;=(Assumptions!$D$32+1),IF(AA38&lt;=Assumptions!$D$10,IF(AA38&gt;=Assumptions!$D$32,((TREND($J$14:$J$15,$H$14:$H$15,$AA38)/$J$14)/5)*M$10*$AG38,0),0),0))</f>
        <v>0</v>
      </c>
      <c r="AG38" s="58">
        <f>IF(Q38&gt;=(Assumptions!$D$32+1),IF(Q38&lt;=Assumptions!$D$10,IF(Q37&gt;=Assumptions!$D$32,$I$19,0),0),0)</f>
        <v>0</v>
      </c>
      <c r="AH38" s="109">
        <f t="shared" si="5"/>
        <v>0</v>
      </c>
    </row>
    <row r="39" spans="1:34" ht="15" customHeight="1" x14ac:dyDescent="0.25">
      <c r="P39" s="436"/>
      <c r="Q39" s="57">
        <f t="shared" si="7"/>
        <v>2054</v>
      </c>
      <c r="R39" s="58" cm="1">
        <f t="array" ref="R39">_xlfn.SINGLE(IF(Q39&gt;=(Assumptions!$D$32+1),IF(Q39&lt;=Assumptions!$D$10,IF(Q39&gt;=Assumptions!$D$32,(((TREND($J$14:$J$15,$H$14:$H$15,$Q39)/$J$14)/5)*I$10)*((TREND($I$14:$I$15,$H$14:$H$15,Q39)/TREND($J$14:$J$15,$H$14:$H$15,Q39))),0),0),0))</f>
        <v>0</v>
      </c>
      <c r="S39" s="58" cm="1">
        <f t="array" ref="S39">_xlfn.SINGLE(IF(Q39&gt;=(Assumptions!$D$32+1),IF(Q39&lt;=Assumptions!$D$10,IF(Q39&gt;=Assumptions!$D$32,(((TREND($J$14:$J$15,$H$14:$H$15,$Q39)/$J$14)/5)*J$10)*((TREND($I$14:$I$15,$H$14:$H$15,Q39)/TREND($J$14:$J$15,$H$14:$H$15,Q39))),0),0),0))</f>
        <v>0</v>
      </c>
      <c r="T39" s="58" cm="1">
        <f t="array" ref="T39">_xlfn.SINGLE(IF(Q39&gt;=(Assumptions!$D$32+1),IF(Q39&lt;=Assumptions!$D$10,IF(Q39&gt;=Assumptions!$D$32,(((TREND($J$14:$J$15,$H$14:$H$15,$Q39)/$J$14)/5)*K$10)*((TREND($I$14:$I$15,$H$14:$H$15,Q39)/TREND($J$14:$J$15,$H$14:$H$15,Q39))),0),0),0))</f>
        <v>0</v>
      </c>
      <c r="U39" s="58" cm="1">
        <f t="array" ref="U39">_xlfn.SINGLE(IF(Q39&gt;=(Assumptions!$D$32+1),IF(Q39&lt;=Assumptions!$D$10,IF(Q39&gt;=Assumptions!$D$32,(((TREND($J$14:$J$15,$H$14:$H$15,$Q39)/$J$14)/5)*L$10)*((TREND($I$14:$I$15,$H$14:$H$15,Q39)/TREND($J$14:$J$15,$H$14:$H$15,Q39))),0),0),0))</f>
        <v>0</v>
      </c>
      <c r="V39" s="58" cm="1">
        <f t="array" ref="V39">_xlfn.SINGLE(IF(Q39&gt;=(Assumptions!$D$32+1),IF(Q39&lt;=Assumptions!$D$10,IF(Q39&gt;=Assumptions!$D$32,(((TREND($J$14:$J$15,$H$14:$H$15,$Q39)/$J$14)/5)*M$10)*((TREND($I$14:$I$15,$H$14:$H$15,Q39)/TREND($J$14:$J$15,$H$14:$H$15,Q39))),0),0),0))</f>
        <v>0</v>
      </c>
      <c r="W39" s="109">
        <f t="shared" si="4"/>
        <v>0</v>
      </c>
      <c r="Z39" s="438"/>
      <c r="AA39" s="57">
        <f t="shared" si="8"/>
        <v>2054</v>
      </c>
      <c r="AB39" s="58" cm="1">
        <f t="array" ref="AB39">_xlfn.SINGLE(IF(AA39&gt;=(Assumptions!$D$32+1),IF(AA39&lt;=Assumptions!$D$10,IF(AA39&gt;=Assumptions!$D$32,((TREND($J$14:$J$15,$H$14:$H$15,$AA39)/$J$14)/5)*I$10*$AG39,0),0),0))</f>
        <v>0</v>
      </c>
      <c r="AC39" s="58" cm="1">
        <f t="array" ref="AC39">_xlfn.SINGLE(IF(AA39&gt;=(Assumptions!$D$32+1),IF(AA39&lt;=Assumptions!$D$10,IF(AA39&gt;=Assumptions!$D$32,((TREND($J$14:$J$15,$H$14:$H$15,$AA39)/$J$14)/5)*J$10*$AG39,0),0),0))</f>
        <v>0</v>
      </c>
      <c r="AD39" s="58" cm="1">
        <f t="array" ref="AD39">_xlfn.SINGLE(IF(AA39&gt;=(Assumptions!$D$32+1),IF(AA39&lt;=Assumptions!$D$10,IF(AA39&gt;=Assumptions!$D$32,((TREND($J$14:$J$15,$H$14:$H$15,$AA39)/$J$14)/5)*K$10*$AG39,0),0),0))</f>
        <v>0</v>
      </c>
      <c r="AE39" s="58" cm="1">
        <f t="array" ref="AE39">_xlfn.SINGLE(IF(AA39&gt;=(Assumptions!$D$32+1),IF(AA39&lt;=Assumptions!$D$10,IF(AA39&gt;=Assumptions!$D$32,((TREND($J$14:$J$15,$H$14:$H$15,$AA39)/$J$14)/5)*L$10*$AG39,0),0),0))</f>
        <v>0</v>
      </c>
      <c r="AF39" s="58" cm="1">
        <f t="array" ref="AF39">_xlfn.SINGLE(IF(AA39&gt;=(Assumptions!$D$32+1),IF(AA39&lt;=Assumptions!$D$10,IF(AA39&gt;=Assumptions!$D$32,((TREND($J$14:$J$15,$H$14:$H$15,$AA39)/$J$14)/5)*M$10*$AG39,0),0),0))</f>
        <v>0</v>
      </c>
      <c r="AG39" s="58">
        <f>IF(Q39&gt;=(Assumptions!$D$32+1),IF(Q39&lt;=Assumptions!$D$10,IF(Q38&gt;=Assumptions!$D$32,$I$19,0),0),0)</f>
        <v>0</v>
      </c>
      <c r="AH39" s="109">
        <f t="shared" si="5"/>
        <v>0</v>
      </c>
    </row>
    <row r="40" spans="1:34" ht="15" customHeight="1" x14ac:dyDescent="0.25">
      <c r="B40" s="1" t="s">
        <v>3</v>
      </c>
      <c r="C40" s="1"/>
      <c r="D40" s="1"/>
      <c r="P40" s="436"/>
      <c r="Q40" s="57">
        <f t="shared" si="7"/>
        <v>2055</v>
      </c>
      <c r="R40" s="58" cm="1">
        <f t="array" ref="R40">_xlfn.SINGLE(IF(Q40&gt;=(Assumptions!$D$32+1),IF(Q40&lt;=Assumptions!$D$10,IF(Q40&gt;=Assumptions!$D$32,(((TREND($J$14:$J$15,$H$14:$H$15,$Q40)/$J$14)/5)*I$10)*((TREND($I$14:$I$15,$H$14:$H$15,Q40)/TREND($J$14:$J$15,$H$14:$H$15,Q40))),0),0),0))</f>
        <v>0</v>
      </c>
      <c r="S40" s="58" cm="1">
        <f t="array" ref="S40">_xlfn.SINGLE(IF(Q40&gt;=(Assumptions!$D$32+1),IF(Q40&lt;=Assumptions!$D$10,IF(Q40&gt;=Assumptions!$D$32,(((TREND($J$14:$J$15,$H$14:$H$15,$Q40)/$J$14)/5)*J$10)*((TREND($I$14:$I$15,$H$14:$H$15,Q40)/TREND($J$14:$J$15,$H$14:$H$15,Q40))),0),0),0))</f>
        <v>0</v>
      </c>
      <c r="T40" s="58" cm="1">
        <f t="array" ref="T40">_xlfn.SINGLE(IF(Q40&gt;=(Assumptions!$D$32+1),IF(Q40&lt;=Assumptions!$D$10,IF(Q40&gt;=Assumptions!$D$32,(((TREND($J$14:$J$15,$H$14:$H$15,$Q40)/$J$14)/5)*K$10)*((TREND($I$14:$I$15,$H$14:$H$15,Q40)/TREND($J$14:$J$15,$H$14:$H$15,Q40))),0),0),0))</f>
        <v>0</v>
      </c>
      <c r="U40" s="58" cm="1">
        <f t="array" ref="U40">_xlfn.SINGLE(IF(Q40&gt;=(Assumptions!$D$32+1),IF(Q40&lt;=Assumptions!$D$10,IF(Q40&gt;=Assumptions!$D$32,(((TREND($J$14:$J$15,$H$14:$H$15,$Q40)/$J$14)/5)*L$10)*((TREND($I$14:$I$15,$H$14:$H$15,Q40)/TREND($J$14:$J$15,$H$14:$H$15,Q40))),0),0),0))</f>
        <v>0</v>
      </c>
      <c r="V40" s="58" cm="1">
        <f t="array" ref="V40">_xlfn.SINGLE(IF(Q40&gt;=(Assumptions!$D$32+1),IF(Q40&lt;=Assumptions!$D$10,IF(Q40&gt;=Assumptions!$D$32,(((TREND($J$14:$J$15,$H$14:$H$15,$Q40)/$J$14)/5)*M$10)*((TREND($I$14:$I$15,$H$14:$H$15,Q40)/TREND($J$14:$J$15,$H$14:$H$15,Q40))),0),0),0))</f>
        <v>0</v>
      </c>
      <c r="W40" s="109">
        <f t="shared" si="4"/>
        <v>0</v>
      </c>
      <c r="Z40" s="438"/>
      <c r="AA40" s="57">
        <f t="shared" si="8"/>
        <v>2055</v>
      </c>
      <c r="AB40" s="58" cm="1">
        <f t="array" ref="AB40">_xlfn.SINGLE(IF(AA40&gt;=(Assumptions!$D$32+1),IF(AA40&lt;=Assumptions!$D$10,IF(AA40&gt;=Assumptions!$D$32,((TREND($J$14:$J$15,$H$14:$H$15,$AA40)/$J$14)/5)*I$10*$AG40,0),0),0))</f>
        <v>0</v>
      </c>
      <c r="AC40" s="58" cm="1">
        <f t="array" ref="AC40">_xlfn.SINGLE(IF(AA40&gt;=(Assumptions!$D$32+1),IF(AA40&lt;=Assumptions!$D$10,IF(AA40&gt;=Assumptions!$D$32,((TREND($J$14:$J$15,$H$14:$H$15,$AA40)/$J$14)/5)*J$10*$AG40,0),0),0))</f>
        <v>0</v>
      </c>
      <c r="AD40" s="58" cm="1">
        <f t="array" ref="AD40">_xlfn.SINGLE(IF(AA40&gt;=(Assumptions!$D$32+1),IF(AA40&lt;=Assumptions!$D$10,IF(AA40&gt;=Assumptions!$D$32,((TREND($J$14:$J$15,$H$14:$H$15,$AA40)/$J$14)/5)*K$10*$AG40,0),0),0))</f>
        <v>0</v>
      </c>
      <c r="AE40" s="58" cm="1">
        <f t="array" ref="AE40">_xlfn.SINGLE(IF(AA40&gt;=(Assumptions!$D$32+1),IF(AA40&lt;=Assumptions!$D$10,IF(AA40&gt;=Assumptions!$D$32,((TREND($J$14:$J$15,$H$14:$H$15,$AA40)/$J$14)/5)*L$10*$AG40,0),0),0))</f>
        <v>0</v>
      </c>
      <c r="AF40" s="58" cm="1">
        <f t="array" ref="AF40">_xlfn.SINGLE(IF(AA40&gt;=(Assumptions!$D$32+1),IF(AA40&lt;=Assumptions!$D$10,IF(AA40&gt;=Assumptions!$D$32,((TREND($J$14:$J$15,$H$14:$H$15,$AA40)/$J$14)/5)*M$10*$AG40,0),0),0))</f>
        <v>0</v>
      </c>
      <c r="AG40" s="58">
        <f>IF(Q40&gt;=(Assumptions!$D$32+1),IF(Q40&lt;=Assumptions!$D$10,IF(Q39&gt;=Assumptions!$D$32,$I$19,0),0),0)</f>
        <v>0</v>
      </c>
      <c r="AH40" s="109">
        <f t="shared" si="5"/>
        <v>0</v>
      </c>
    </row>
    <row r="41" spans="1:34" ht="15" customHeight="1" x14ac:dyDescent="0.25">
      <c r="A41" s="2" t="s">
        <v>19</v>
      </c>
      <c r="B41" s="388" t="s">
        <v>817</v>
      </c>
      <c r="C41" s="388"/>
      <c r="D41" s="388"/>
      <c r="E41" s="388"/>
      <c r="F41" s="388"/>
      <c r="P41" s="436"/>
      <c r="Q41" s="57">
        <f t="shared" si="7"/>
        <v>2056</v>
      </c>
      <c r="R41" s="58" cm="1">
        <f t="array" ref="R41">_xlfn.SINGLE(IF(Q41&gt;=(Assumptions!$D$32+1),IF(Q41&lt;=Assumptions!$D$10,IF(Q41&gt;=Assumptions!$D$32,(((TREND($J$14:$J$15,$H$14:$H$15,$Q41)/$J$14)/5)*I$10)*((TREND($I$14:$I$15,$H$14:$H$15,Q41)/TREND($J$14:$J$15,$H$14:$H$15,Q41))),0),0),0))</f>
        <v>0</v>
      </c>
      <c r="S41" s="58" cm="1">
        <f t="array" ref="S41">_xlfn.SINGLE(IF(Q41&gt;=(Assumptions!$D$32+1),IF(Q41&lt;=Assumptions!$D$10,IF(Q41&gt;=Assumptions!$D$32,(((TREND($J$14:$J$15,$H$14:$H$15,$Q41)/$J$14)/5)*J$10)*((TREND($I$14:$I$15,$H$14:$H$15,Q41)/TREND($J$14:$J$15,$H$14:$H$15,Q41))),0),0),0))</f>
        <v>0</v>
      </c>
      <c r="T41" s="58" cm="1">
        <f t="array" ref="T41">_xlfn.SINGLE(IF(Q41&gt;=(Assumptions!$D$32+1),IF(Q41&lt;=Assumptions!$D$10,IF(Q41&gt;=Assumptions!$D$32,(((TREND($J$14:$J$15,$H$14:$H$15,$Q41)/$J$14)/5)*K$10)*((TREND($I$14:$I$15,$H$14:$H$15,Q41)/TREND($J$14:$J$15,$H$14:$H$15,Q41))),0),0),0))</f>
        <v>0</v>
      </c>
      <c r="U41" s="58" cm="1">
        <f t="array" ref="U41">_xlfn.SINGLE(IF(Q41&gt;=(Assumptions!$D$32+1),IF(Q41&lt;=Assumptions!$D$10,IF(Q41&gt;=Assumptions!$D$32,(((TREND($J$14:$J$15,$H$14:$H$15,$Q41)/$J$14)/5)*L$10)*((TREND($I$14:$I$15,$H$14:$H$15,Q41)/TREND($J$14:$J$15,$H$14:$H$15,Q41))),0),0),0))</f>
        <v>0</v>
      </c>
      <c r="V41" s="58" cm="1">
        <f t="array" ref="V41">_xlfn.SINGLE(IF(Q41&gt;=(Assumptions!$D$32+1),IF(Q41&lt;=Assumptions!$D$10,IF(Q41&gt;=Assumptions!$D$32,(((TREND($J$14:$J$15,$H$14:$H$15,$Q41)/$J$14)/5)*M$10)*((TREND($I$14:$I$15,$H$14:$H$15,Q41)/TREND($J$14:$J$15,$H$14:$H$15,Q41))),0),0),0))</f>
        <v>0</v>
      </c>
      <c r="W41" s="109">
        <f t="shared" si="4"/>
        <v>0</v>
      </c>
      <c r="Z41" s="438"/>
      <c r="AA41" s="57">
        <f t="shared" si="8"/>
        <v>2056</v>
      </c>
      <c r="AB41" s="58" cm="1">
        <f t="array" ref="AB41">_xlfn.SINGLE(IF(AA41&gt;=(Assumptions!$D$32+1),IF(AA41&lt;=Assumptions!$D$10,IF(AA41&gt;=Assumptions!$D$32,((TREND($J$14:$J$15,$H$14:$H$15,$AA41)/$J$14)/5)*I$10*$AG41,0),0),0))</f>
        <v>0</v>
      </c>
      <c r="AC41" s="58" cm="1">
        <f t="array" ref="AC41">_xlfn.SINGLE(IF(AA41&gt;=(Assumptions!$D$32+1),IF(AA41&lt;=Assumptions!$D$10,IF(AA41&gt;=Assumptions!$D$32,((TREND($J$14:$J$15,$H$14:$H$15,$AA41)/$J$14)/5)*J$10*$AG41,0),0),0))</f>
        <v>0</v>
      </c>
      <c r="AD41" s="58" cm="1">
        <f t="array" ref="AD41">_xlfn.SINGLE(IF(AA41&gt;=(Assumptions!$D$32+1),IF(AA41&lt;=Assumptions!$D$10,IF(AA41&gt;=Assumptions!$D$32,((TREND($J$14:$J$15,$H$14:$H$15,$AA41)/$J$14)/5)*K$10*$AG41,0),0),0))</f>
        <v>0</v>
      </c>
      <c r="AE41" s="58" cm="1">
        <f t="array" ref="AE41">_xlfn.SINGLE(IF(AA41&gt;=(Assumptions!$D$32+1),IF(AA41&lt;=Assumptions!$D$10,IF(AA41&gt;=Assumptions!$D$32,((TREND($J$14:$J$15,$H$14:$H$15,$AA41)/$J$14)/5)*L$10*$AG41,0),0),0))</f>
        <v>0</v>
      </c>
      <c r="AF41" s="58" cm="1">
        <f t="array" ref="AF41">_xlfn.SINGLE(IF(AA41&gt;=(Assumptions!$D$32+1),IF(AA41&lt;=Assumptions!$D$10,IF(AA41&gt;=Assumptions!$D$32,((TREND($J$14:$J$15,$H$14:$H$15,$AA41)/$J$14)/5)*M$10*$AG41,0),0),0))</f>
        <v>0</v>
      </c>
      <c r="AG41" s="58">
        <f>IF(Q41&gt;=(Assumptions!$D$32+1),IF(Q41&lt;=Assumptions!$D$10,IF(Q40&gt;=Assumptions!$D$32,$I$19,0),0),0)</f>
        <v>0</v>
      </c>
      <c r="AH41" s="109">
        <f t="shared" si="5"/>
        <v>0</v>
      </c>
    </row>
    <row r="42" spans="1:34" ht="15" customHeight="1" x14ac:dyDescent="0.25">
      <c r="B42" s="388"/>
      <c r="C42" s="388"/>
      <c r="D42" s="388"/>
      <c r="E42" s="388"/>
      <c r="F42" s="388"/>
      <c r="P42" s="436"/>
      <c r="Q42" s="57">
        <f t="shared" si="7"/>
        <v>2057</v>
      </c>
      <c r="R42" s="58" cm="1">
        <f t="array" ref="R42">_xlfn.SINGLE(IF(Q42&gt;=(Assumptions!$D$32+1),IF(Q42&lt;=Assumptions!$D$10,IF(Q42&gt;=Assumptions!$D$32,(((TREND($J$14:$J$15,$H$14:$H$15,$Q42)/$J$14)/5)*I$10)*((TREND($I$14:$I$15,$H$14:$H$15,Q42)/TREND($J$14:$J$15,$H$14:$H$15,Q42))),0),0),0))</f>
        <v>0</v>
      </c>
      <c r="S42" s="58" cm="1">
        <f t="array" ref="S42">_xlfn.SINGLE(IF(Q42&gt;=(Assumptions!$D$32+1),IF(Q42&lt;=Assumptions!$D$10,IF(Q42&gt;=Assumptions!$D$32,(((TREND($J$14:$J$15,$H$14:$H$15,$Q42)/$J$14)/5)*J$10)*((TREND($I$14:$I$15,$H$14:$H$15,Q42)/TREND($J$14:$J$15,$H$14:$H$15,Q42))),0),0),0))</f>
        <v>0</v>
      </c>
      <c r="T42" s="58" cm="1">
        <f t="array" ref="T42">_xlfn.SINGLE(IF(Q42&gt;=(Assumptions!$D$32+1),IF(Q42&lt;=Assumptions!$D$10,IF(Q42&gt;=Assumptions!$D$32,(((TREND($J$14:$J$15,$H$14:$H$15,$Q42)/$J$14)/5)*K$10)*((TREND($I$14:$I$15,$H$14:$H$15,Q42)/TREND($J$14:$J$15,$H$14:$H$15,Q42))),0),0),0))</f>
        <v>0</v>
      </c>
      <c r="U42" s="58" cm="1">
        <f t="array" ref="U42">_xlfn.SINGLE(IF(Q42&gt;=(Assumptions!$D$32+1),IF(Q42&lt;=Assumptions!$D$10,IF(Q42&gt;=Assumptions!$D$32,(((TREND($J$14:$J$15,$H$14:$H$15,$Q42)/$J$14)/5)*L$10)*((TREND($I$14:$I$15,$H$14:$H$15,Q42)/TREND($J$14:$J$15,$H$14:$H$15,Q42))),0),0),0))</f>
        <v>0</v>
      </c>
      <c r="V42" s="58" cm="1">
        <f t="array" ref="V42">_xlfn.SINGLE(IF(Q42&gt;=(Assumptions!$D$32+1),IF(Q42&lt;=Assumptions!$D$10,IF(Q42&gt;=Assumptions!$D$32,(((TREND($J$14:$J$15,$H$14:$H$15,$Q42)/$J$14)/5)*M$10)*((TREND($I$14:$I$15,$H$14:$H$15,Q42)/TREND($J$14:$J$15,$H$14:$H$15,Q42))),0),0),0))</f>
        <v>0</v>
      </c>
      <c r="W42" s="109">
        <f t="shared" si="4"/>
        <v>0</v>
      </c>
      <c r="Z42" s="438"/>
      <c r="AA42" s="57">
        <f t="shared" si="8"/>
        <v>2057</v>
      </c>
      <c r="AB42" s="58" cm="1">
        <f t="array" ref="AB42">_xlfn.SINGLE(IF(AA42&gt;=(Assumptions!$D$32+1),IF(AA42&lt;=Assumptions!$D$10,IF(AA42&gt;=Assumptions!$D$32,((TREND($J$14:$J$15,$H$14:$H$15,$AA42)/$J$14)/5)*I$10*$AG42,0),0),0))</f>
        <v>0</v>
      </c>
      <c r="AC42" s="58" cm="1">
        <f t="array" ref="AC42">_xlfn.SINGLE(IF(AA42&gt;=(Assumptions!$D$32+1),IF(AA42&lt;=Assumptions!$D$10,IF(AA42&gt;=Assumptions!$D$32,((TREND($J$14:$J$15,$H$14:$H$15,$AA42)/$J$14)/5)*J$10*$AG42,0),0),0))</f>
        <v>0</v>
      </c>
      <c r="AD42" s="58" cm="1">
        <f t="array" ref="AD42">_xlfn.SINGLE(IF(AA42&gt;=(Assumptions!$D$32+1),IF(AA42&lt;=Assumptions!$D$10,IF(AA42&gt;=Assumptions!$D$32,((TREND($J$14:$J$15,$H$14:$H$15,$AA42)/$J$14)/5)*K$10*$AG42,0),0),0))</f>
        <v>0</v>
      </c>
      <c r="AE42" s="58" cm="1">
        <f t="array" ref="AE42">_xlfn.SINGLE(IF(AA42&gt;=(Assumptions!$D$32+1),IF(AA42&lt;=Assumptions!$D$10,IF(AA42&gt;=Assumptions!$D$32,((TREND($J$14:$J$15,$H$14:$H$15,$AA42)/$J$14)/5)*L$10*$AG42,0),0),0))</f>
        <v>0</v>
      </c>
      <c r="AF42" s="58" cm="1">
        <f t="array" ref="AF42">_xlfn.SINGLE(IF(AA42&gt;=(Assumptions!$D$32+1),IF(AA42&lt;=Assumptions!$D$10,IF(AA42&gt;=Assumptions!$D$32,((TREND($J$14:$J$15,$H$14:$H$15,$AA42)/$J$14)/5)*M$10*$AG42,0),0),0))</f>
        <v>0</v>
      </c>
      <c r="AG42" s="58">
        <f>IF(Q42&gt;=(Assumptions!$D$32+1),IF(Q42&lt;=Assumptions!$D$10,IF(Q41&gt;=Assumptions!$D$32,$I$19,0),0),0)</f>
        <v>0</v>
      </c>
      <c r="AH42" s="109">
        <f t="shared" si="5"/>
        <v>0</v>
      </c>
    </row>
    <row r="43" spans="1:34" x14ac:dyDescent="0.25">
      <c r="A43" s="2"/>
      <c r="B43" s="388"/>
      <c r="C43" s="388"/>
      <c r="D43" s="388"/>
      <c r="E43" s="388"/>
      <c r="F43" s="388"/>
      <c r="P43" s="436"/>
      <c r="Q43" s="57">
        <f t="shared" si="7"/>
        <v>2058</v>
      </c>
      <c r="R43" s="58" cm="1">
        <f t="array" ref="R43">_xlfn.SINGLE(IF(Q43&gt;=(Assumptions!$D$32+1),IF(Q43&lt;=Assumptions!$D$10,IF(Q43&gt;=Assumptions!$D$32,(((TREND($J$14:$J$15,$H$14:$H$15,$Q43)/$J$14)/5)*I$10)*((TREND($I$14:$I$15,$H$14:$H$15,Q43)/TREND($J$14:$J$15,$H$14:$H$15,Q43))),0),0),0))</f>
        <v>0</v>
      </c>
      <c r="S43" s="58" cm="1">
        <f t="array" ref="S43">_xlfn.SINGLE(IF(Q43&gt;=(Assumptions!$D$32+1),IF(Q43&lt;=Assumptions!$D$10,IF(Q43&gt;=Assumptions!$D$32,(((TREND($J$14:$J$15,$H$14:$H$15,$Q43)/$J$14)/5)*J$10)*((TREND($I$14:$I$15,$H$14:$H$15,Q43)/TREND($J$14:$J$15,$H$14:$H$15,Q43))),0),0),0))</f>
        <v>0</v>
      </c>
      <c r="T43" s="58" cm="1">
        <f t="array" ref="T43">_xlfn.SINGLE(IF(Q43&gt;=(Assumptions!$D$32+1),IF(Q43&lt;=Assumptions!$D$10,IF(Q43&gt;=Assumptions!$D$32,(((TREND($J$14:$J$15,$H$14:$H$15,$Q43)/$J$14)/5)*K$10)*((TREND($I$14:$I$15,$H$14:$H$15,Q43)/TREND($J$14:$J$15,$H$14:$H$15,Q43))),0),0),0))</f>
        <v>0</v>
      </c>
      <c r="U43" s="58" cm="1">
        <f t="array" ref="U43">_xlfn.SINGLE(IF(Q43&gt;=(Assumptions!$D$32+1),IF(Q43&lt;=Assumptions!$D$10,IF(Q43&gt;=Assumptions!$D$32,(((TREND($J$14:$J$15,$H$14:$H$15,$Q43)/$J$14)/5)*L$10)*((TREND($I$14:$I$15,$H$14:$H$15,Q43)/TREND($J$14:$J$15,$H$14:$H$15,Q43))),0),0),0))</f>
        <v>0</v>
      </c>
      <c r="V43" s="58" cm="1">
        <f t="array" ref="V43">_xlfn.SINGLE(IF(Q43&gt;=(Assumptions!$D$32+1),IF(Q43&lt;=Assumptions!$D$10,IF(Q43&gt;=Assumptions!$D$32,(((TREND($J$14:$J$15,$H$14:$H$15,$Q43)/$J$14)/5)*M$10)*((TREND($I$14:$I$15,$H$14:$H$15,Q43)/TREND($J$14:$J$15,$H$14:$H$15,Q43))),0),0),0))</f>
        <v>0</v>
      </c>
      <c r="W43" s="109">
        <f t="shared" si="4"/>
        <v>0</v>
      </c>
      <c r="Z43" s="438"/>
      <c r="AA43" s="57">
        <f t="shared" si="8"/>
        <v>2058</v>
      </c>
      <c r="AB43" s="58" cm="1">
        <f t="array" ref="AB43">_xlfn.SINGLE(IF(AA43&gt;=(Assumptions!$D$32+1),IF(AA43&lt;=Assumptions!$D$10,IF(AA43&gt;=Assumptions!$D$32,((TREND($J$14:$J$15,$H$14:$H$15,$AA43)/$J$14)/5)*I$10*$AG43,0),0),0))</f>
        <v>0</v>
      </c>
      <c r="AC43" s="58" cm="1">
        <f t="array" ref="AC43">_xlfn.SINGLE(IF(AA43&gt;=(Assumptions!$D$32+1),IF(AA43&lt;=Assumptions!$D$10,IF(AA43&gt;=Assumptions!$D$32,((TREND($J$14:$J$15,$H$14:$H$15,$AA43)/$J$14)/5)*J$10*$AG43,0),0),0))</f>
        <v>0</v>
      </c>
      <c r="AD43" s="58" cm="1">
        <f t="array" ref="AD43">_xlfn.SINGLE(IF(AA43&gt;=(Assumptions!$D$32+1),IF(AA43&lt;=Assumptions!$D$10,IF(AA43&gt;=Assumptions!$D$32,((TREND($J$14:$J$15,$H$14:$H$15,$AA43)/$J$14)/5)*K$10*$AG43,0),0),0))</f>
        <v>0</v>
      </c>
      <c r="AE43" s="58" cm="1">
        <f t="array" ref="AE43">_xlfn.SINGLE(IF(AA43&gt;=(Assumptions!$D$32+1),IF(AA43&lt;=Assumptions!$D$10,IF(AA43&gt;=Assumptions!$D$32,((TREND($J$14:$J$15,$H$14:$H$15,$AA43)/$J$14)/5)*L$10*$AG43,0),0),0))</f>
        <v>0</v>
      </c>
      <c r="AF43" s="58" cm="1">
        <f t="array" ref="AF43">_xlfn.SINGLE(IF(AA43&gt;=(Assumptions!$D$32+1),IF(AA43&lt;=Assumptions!$D$10,IF(AA43&gt;=Assumptions!$D$32,((TREND($J$14:$J$15,$H$14:$H$15,$AA43)/$J$14)/5)*M$10*$AG43,0),0),0))</f>
        <v>0</v>
      </c>
      <c r="AG43" s="58">
        <f>IF(Q43&gt;=(Assumptions!$D$32+1),IF(Q43&lt;=Assumptions!$D$10,IF(Q42&gt;=Assumptions!$D$32,$I$19,0),0),0)</f>
        <v>0</v>
      </c>
      <c r="AH43" s="109">
        <f t="shared" si="5"/>
        <v>0</v>
      </c>
    </row>
    <row r="44" spans="1:34" ht="15" customHeight="1" x14ac:dyDescent="0.25">
      <c r="B44" s="388"/>
      <c r="C44" s="388"/>
      <c r="D44" s="388"/>
      <c r="E44" s="388"/>
      <c r="F44" s="388"/>
      <c r="P44" s="436"/>
      <c r="Q44" s="57">
        <f t="shared" si="7"/>
        <v>2059</v>
      </c>
      <c r="R44" s="58" cm="1">
        <f t="array" ref="R44">_xlfn.SINGLE(IF(Q44&gt;=(Assumptions!$D$32+1),IF(Q44&lt;=Assumptions!$D$10,IF(Q44&gt;=Assumptions!$D$32,(((TREND($J$14:$J$15,$H$14:$H$15,$Q44)/$J$14)/5)*I$10)*((TREND($I$14:$I$15,$H$14:$H$15,Q44)/TREND($J$14:$J$15,$H$14:$H$15,Q44))),0),0),0))</f>
        <v>0</v>
      </c>
      <c r="S44" s="58" cm="1">
        <f t="array" ref="S44">_xlfn.SINGLE(IF(Q44&gt;=(Assumptions!$D$32+1),IF(Q44&lt;=Assumptions!$D$10,IF(Q44&gt;=Assumptions!$D$32,(((TREND($J$14:$J$15,$H$14:$H$15,$Q44)/$J$14)/5)*J$10)*((TREND($I$14:$I$15,$H$14:$H$15,Q44)/TREND($J$14:$J$15,$H$14:$H$15,Q44))),0),0),0))</f>
        <v>0</v>
      </c>
      <c r="T44" s="58" cm="1">
        <f t="array" ref="T44">_xlfn.SINGLE(IF(Q44&gt;=(Assumptions!$D$32+1),IF(Q44&lt;=Assumptions!$D$10,IF(Q44&gt;=Assumptions!$D$32,(((TREND($J$14:$J$15,$H$14:$H$15,$Q44)/$J$14)/5)*K$10)*((TREND($I$14:$I$15,$H$14:$H$15,Q44)/TREND($J$14:$J$15,$H$14:$H$15,Q44))),0),0),0))</f>
        <v>0</v>
      </c>
      <c r="U44" s="58" cm="1">
        <f t="array" ref="U44">_xlfn.SINGLE(IF(Q44&gt;=(Assumptions!$D$32+1),IF(Q44&lt;=Assumptions!$D$10,IF(Q44&gt;=Assumptions!$D$32,(((TREND($J$14:$J$15,$H$14:$H$15,$Q44)/$J$14)/5)*L$10)*((TREND($I$14:$I$15,$H$14:$H$15,Q44)/TREND($J$14:$J$15,$H$14:$H$15,Q44))),0),0),0))</f>
        <v>0</v>
      </c>
      <c r="V44" s="58" cm="1">
        <f t="array" ref="V44">_xlfn.SINGLE(IF(Q44&gt;=(Assumptions!$D$32+1),IF(Q44&lt;=Assumptions!$D$10,IF(Q44&gt;=Assumptions!$D$32,(((TREND($J$14:$J$15,$H$14:$H$15,$Q44)/$J$14)/5)*M$10)*((TREND($I$14:$I$15,$H$14:$H$15,Q44)/TREND($J$14:$J$15,$H$14:$H$15,Q44))),0),0),0))</f>
        <v>0</v>
      </c>
      <c r="W44" s="109">
        <f t="shared" si="4"/>
        <v>0</v>
      </c>
      <c r="Z44" s="438"/>
      <c r="AA44" s="57">
        <f t="shared" si="8"/>
        <v>2059</v>
      </c>
      <c r="AB44" s="58" cm="1">
        <f t="array" ref="AB44">_xlfn.SINGLE(IF(AA44&gt;=(Assumptions!$D$32+1),IF(AA44&lt;=Assumptions!$D$10,IF(AA44&gt;=Assumptions!$D$32,((TREND($J$14:$J$15,$H$14:$H$15,$AA44)/$J$14)/5)*I$10*$AG44,0),0),0))</f>
        <v>0</v>
      </c>
      <c r="AC44" s="58" cm="1">
        <f t="array" ref="AC44">_xlfn.SINGLE(IF(AA44&gt;=(Assumptions!$D$32+1),IF(AA44&lt;=Assumptions!$D$10,IF(AA44&gt;=Assumptions!$D$32,((TREND($J$14:$J$15,$H$14:$H$15,$AA44)/$J$14)/5)*J$10*$AG44,0),0),0))</f>
        <v>0</v>
      </c>
      <c r="AD44" s="58" cm="1">
        <f t="array" ref="AD44">_xlfn.SINGLE(IF(AA44&gt;=(Assumptions!$D$32+1),IF(AA44&lt;=Assumptions!$D$10,IF(AA44&gt;=Assumptions!$D$32,((TREND($J$14:$J$15,$H$14:$H$15,$AA44)/$J$14)/5)*K$10*$AG44,0),0),0))</f>
        <v>0</v>
      </c>
      <c r="AE44" s="58" cm="1">
        <f t="array" ref="AE44">_xlfn.SINGLE(IF(AA44&gt;=(Assumptions!$D$32+1),IF(AA44&lt;=Assumptions!$D$10,IF(AA44&gt;=Assumptions!$D$32,((TREND($J$14:$J$15,$H$14:$H$15,$AA44)/$J$14)/5)*L$10*$AG44,0),0),0))</f>
        <v>0</v>
      </c>
      <c r="AF44" s="58" cm="1">
        <f t="array" ref="AF44">_xlfn.SINGLE(IF(AA44&gt;=(Assumptions!$D$32+1),IF(AA44&lt;=Assumptions!$D$10,IF(AA44&gt;=Assumptions!$D$32,((TREND($J$14:$J$15,$H$14:$H$15,$AA44)/$J$14)/5)*M$10*$AG44,0),0),0))</f>
        <v>0</v>
      </c>
      <c r="AG44" s="58">
        <f>IF(Q44&gt;=(Assumptions!$D$32+1),IF(Q44&lt;=Assumptions!$D$10,IF(Q43&gt;=Assumptions!$D$32,$I$19,0),0),0)</f>
        <v>0</v>
      </c>
      <c r="AH44" s="109">
        <f t="shared" si="5"/>
        <v>0</v>
      </c>
    </row>
    <row r="45" spans="1:34" ht="15" customHeight="1" x14ac:dyDescent="0.25">
      <c r="B45" s="388"/>
      <c r="C45" s="388"/>
      <c r="D45" s="388"/>
      <c r="E45" s="388"/>
      <c r="F45" s="388"/>
      <c r="P45" s="436"/>
      <c r="Q45" s="57">
        <f t="shared" si="7"/>
        <v>2060</v>
      </c>
      <c r="R45" s="58" cm="1">
        <f t="array" ref="R45">_xlfn.SINGLE(IF(Q45&gt;=(Assumptions!$D$32+1),IF(Q45&lt;=Assumptions!$D$10,IF(Q45&gt;=Assumptions!$D$32,(((TREND($J$14:$J$15,$H$14:$H$15,$Q45)/$J$14)/5)*I$10)*((TREND($I$14:$I$15,$H$14:$H$15,Q45)/TREND($J$14:$J$15,$H$14:$H$15,Q45))),0),0),0))</f>
        <v>0</v>
      </c>
      <c r="S45" s="58" cm="1">
        <f t="array" ref="S45">_xlfn.SINGLE(IF(Q45&gt;=(Assumptions!$D$32+1),IF(Q45&lt;=Assumptions!$D$10,IF(Q45&gt;=Assumptions!$D$32,(((TREND($J$14:$J$15,$H$14:$H$15,$Q45)/$J$14)/5)*J$10)*((TREND($I$14:$I$15,$H$14:$H$15,Q45)/TREND($J$14:$J$15,$H$14:$H$15,Q45))),0),0),0))</f>
        <v>0</v>
      </c>
      <c r="T45" s="58" cm="1">
        <f t="array" ref="T45">_xlfn.SINGLE(IF(Q45&gt;=(Assumptions!$D$32+1),IF(Q45&lt;=Assumptions!$D$10,IF(Q45&gt;=Assumptions!$D$32,(((TREND($J$14:$J$15,$H$14:$H$15,$Q45)/$J$14)/5)*K$10)*((TREND($I$14:$I$15,$H$14:$H$15,Q45)/TREND($J$14:$J$15,$H$14:$H$15,Q45))),0),0),0))</f>
        <v>0</v>
      </c>
      <c r="U45" s="58" cm="1">
        <f t="array" ref="U45">_xlfn.SINGLE(IF(Q45&gt;=(Assumptions!$D$32+1),IF(Q45&lt;=Assumptions!$D$10,IF(Q45&gt;=Assumptions!$D$32,(((TREND($J$14:$J$15,$H$14:$H$15,$Q45)/$J$14)/5)*L$10)*((TREND($I$14:$I$15,$H$14:$H$15,Q45)/TREND($J$14:$J$15,$H$14:$H$15,Q45))),0),0),0))</f>
        <v>0</v>
      </c>
      <c r="V45" s="58" cm="1">
        <f t="array" ref="V45">_xlfn.SINGLE(IF(Q45&gt;=(Assumptions!$D$32+1),IF(Q45&lt;=Assumptions!$D$10,IF(Q45&gt;=Assumptions!$D$32,(((TREND($J$14:$J$15,$H$14:$H$15,$Q45)/$J$14)/5)*M$10)*((TREND($I$14:$I$15,$H$14:$H$15,Q45)/TREND($J$14:$J$15,$H$14:$H$15,Q45))),0),0),0))</f>
        <v>0</v>
      </c>
      <c r="W45" s="109">
        <f t="shared" si="4"/>
        <v>0</v>
      </c>
      <c r="Z45" s="438"/>
      <c r="AA45" s="57">
        <f t="shared" si="8"/>
        <v>2060</v>
      </c>
      <c r="AB45" s="58" cm="1">
        <f t="array" ref="AB45">_xlfn.SINGLE(IF(AA45&gt;=(Assumptions!$D$32+1),IF(AA45&lt;=Assumptions!$D$10,IF(AA45&gt;=Assumptions!$D$32,((TREND($J$14:$J$15,$H$14:$H$15,$AA45)/$J$14)/5)*I$10*$AG45,0),0),0))</f>
        <v>0</v>
      </c>
      <c r="AC45" s="58" cm="1">
        <f t="array" ref="AC45">_xlfn.SINGLE(IF(AA45&gt;=(Assumptions!$D$32+1),IF(AA45&lt;=Assumptions!$D$10,IF(AA45&gt;=Assumptions!$D$32,((TREND($J$14:$J$15,$H$14:$H$15,$AA45)/$J$14)/5)*J$10*$AG45,0),0),0))</f>
        <v>0</v>
      </c>
      <c r="AD45" s="58" cm="1">
        <f t="array" ref="AD45">_xlfn.SINGLE(IF(AA45&gt;=(Assumptions!$D$32+1),IF(AA45&lt;=Assumptions!$D$10,IF(AA45&gt;=Assumptions!$D$32,((TREND($J$14:$J$15,$H$14:$H$15,$AA45)/$J$14)/5)*K$10*$AG45,0),0),0))</f>
        <v>0</v>
      </c>
      <c r="AE45" s="58" cm="1">
        <f t="array" ref="AE45">_xlfn.SINGLE(IF(AA45&gt;=(Assumptions!$D$32+1),IF(AA45&lt;=Assumptions!$D$10,IF(AA45&gt;=Assumptions!$D$32,((TREND($J$14:$J$15,$H$14:$H$15,$AA45)/$J$14)/5)*L$10*$AG45,0),0),0))</f>
        <v>0</v>
      </c>
      <c r="AF45" s="58" cm="1">
        <f t="array" ref="AF45">_xlfn.SINGLE(IF(AA45&gt;=(Assumptions!$D$32+1),IF(AA45&lt;=Assumptions!$D$10,IF(AA45&gt;=Assumptions!$D$32,((TREND($J$14:$J$15,$H$14:$H$15,$AA45)/$J$14)/5)*M$10*$AG45,0),0),0))</f>
        <v>0</v>
      </c>
      <c r="AG45" s="58">
        <f>IF(Q45&gt;=(Assumptions!$D$32+1),IF(Q45&lt;=Assumptions!$D$10,IF(Q44&gt;=Assumptions!$D$32,$I$19,0),0),0)</f>
        <v>0</v>
      </c>
      <c r="AH45" s="109">
        <f t="shared" si="5"/>
        <v>0</v>
      </c>
    </row>
    <row r="46" spans="1:34" x14ac:dyDescent="0.25">
      <c r="B46" s="388"/>
      <c r="C46" s="388"/>
      <c r="D46" s="388"/>
      <c r="E46" s="388"/>
      <c r="F46" s="388"/>
      <c r="P46" s="436"/>
      <c r="Q46" s="57">
        <f t="shared" si="7"/>
        <v>2061</v>
      </c>
      <c r="R46" s="58" cm="1">
        <f t="array" ref="R46">_xlfn.SINGLE(IF(Q46&gt;=(Assumptions!$D$32+1),IF(Q46&lt;=Assumptions!$D$10,IF(Q46&gt;=Assumptions!$D$32,(((TREND($J$14:$J$15,$H$14:$H$15,$Q46)/$J$14)/5)*I$10)*((TREND($I$14:$I$15,$H$14:$H$15,Q46)/TREND($J$14:$J$15,$H$14:$H$15,Q46))),0),0),0))</f>
        <v>0</v>
      </c>
      <c r="S46" s="58" cm="1">
        <f t="array" ref="S46">_xlfn.SINGLE(IF(Q46&gt;=(Assumptions!$D$32+1),IF(Q46&lt;=Assumptions!$D$10,IF(Q46&gt;=Assumptions!$D$32,(((TREND($J$14:$J$15,$H$14:$H$15,$Q46)/$J$14)/5)*J$10)*((TREND($I$14:$I$15,$H$14:$H$15,Q46)/TREND($J$14:$J$15,$H$14:$H$15,Q46))),0),0),0))</f>
        <v>0</v>
      </c>
      <c r="T46" s="58" cm="1">
        <f t="array" ref="T46">_xlfn.SINGLE(IF(Q46&gt;=(Assumptions!$D$32+1),IF(Q46&lt;=Assumptions!$D$10,IF(Q46&gt;=Assumptions!$D$32,(((TREND($J$14:$J$15,$H$14:$H$15,$Q46)/$J$14)/5)*K$10)*((TREND($I$14:$I$15,$H$14:$H$15,Q46)/TREND($J$14:$J$15,$H$14:$H$15,Q46))),0),0),0))</f>
        <v>0</v>
      </c>
      <c r="U46" s="58" cm="1">
        <f t="array" ref="U46">_xlfn.SINGLE(IF(Q46&gt;=(Assumptions!$D$32+1),IF(Q46&lt;=Assumptions!$D$10,IF(Q46&gt;=Assumptions!$D$32,(((TREND($J$14:$J$15,$H$14:$H$15,$Q46)/$J$14)/5)*L$10)*((TREND($I$14:$I$15,$H$14:$H$15,Q46)/TREND($J$14:$J$15,$H$14:$H$15,Q46))),0),0),0))</f>
        <v>0</v>
      </c>
      <c r="V46" s="58" cm="1">
        <f t="array" ref="V46">_xlfn.SINGLE(IF(Q46&gt;=(Assumptions!$D$32+1),IF(Q46&lt;=Assumptions!$D$10,IF(Q46&gt;=Assumptions!$D$32,(((TREND($J$14:$J$15,$H$14:$H$15,$Q46)/$J$14)/5)*M$10)*((TREND($I$14:$I$15,$H$14:$H$15,Q46)/TREND($J$14:$J$15,$H$14:$H$15,Q46))),0),0),0))</f>
        <v>0</v>
      </c>
      <c r="W46" s="109">
        <f t="shared" si="4"/>
        <v>0</v>
      </c>
      <c r="Z46" s="438"/>
      <c r="AA46" s="57">
        <f t="shared" si="8"/>
        <v>2061</v>
      </c>
      <c r="AB46" s="58" cm="1">
        <f t="array" ref="AB46">_xlfn.SINGLE(IF(AA46&gt;=(Assumptions!$D$32+1),IF(AA46&lt;=Assumptions!$D$10,IF(AA46&gt;=Assumptions!$D$32,((TREND($J$14:$J$15,$H$14:$H$15,$AA46)/$J$14)/5)*I$10*$AG46,0),0),0))</f>
        <v>0</v>
      </c>
      <c r="AC46" s="58" cm="1">
        <f t="array" ref="AC46">_xlfn.SINGLE(IF(AA46&gt;=(Assumptions!$D$32+1),IF(AA46&lt;=Assumptions!$D$10,IF(AA46&gt;=Assumptions!$D$32,((TREND($J$14:$J$15,$H$14:$H$15,$AA46)/$J$14)/5)*J$10*$AG46,0),0),0))</f>
        <v>0</v>
      </c>
      <c r="AD46" s="58" cm="1">
        <f t="array" ref="AD46">_xlfn.SINGLE(IF(AA46&gt;=(Assumptions!$D$32+1),IF(AA46&lt;=Assumptions!$D$10,IF(AA46&gt;=Assumptions!$D$32,((TREND($J$14:$J$15,$H$14:$H$15,$AA46)/$J$14)/5)*K$10*$AG46,0),0),0))</f>
        <v>0</v>
      </c>
      <c r="AE46" s="58" cm="1">
        <f t="array" ref="AE46">_xlfn.SINGLE(IF(AA46&gt;=(Assumptions!$D$32+1),IF(AA46&lt;=Assumptions!$D$10,IF(AA46&gt;=Assumptions!$D$32,((TREND($J$14:$J$15,$H$14:$H$15,$AA46)/$J$14)/5)*L$10*$AG46,0),0),0))</f>
        <v>0</v>
      </c>
      <c r="AF46" s="58" cm="1">
        <f t="array" ref="AF46">_xlfn.SINGLE(IF(AA46&gt;=(Assumptions!$D$32+1),IF(AA46&lt;=Assumptions!$D$10,IF(AA46&gt;=Assumptions!$D$32,((TREND($J$14:$J$15,$H$14:$H$15,$AA46)/$J$14)/5)*M$10*$AG46,0),0),0))</f>
        <v>0</v>
      </c>
      <c r="AG46" s="58">
        <f>IF(Q46&gt;=(Assumptions!$D$32+1),IF(Q46&lt;=Assumptions!$D$10,IF(Q45&gt;=Assumptions!$D$32,$I$19,0),0),0)</f>
        <v>0</v>
      </c>
      <c r="AH46" s="109">
        <f t="shared" si="5"/>
        <v>0</v>
      </c>
    </row>
    <row r="47" spans="1:34" ht="15" customHeight="1" x14ac:dyDescent="0.25">
      <c r="B47" s="388"/>
      <c r="C47" s="388"/>
      <c r="D47" s="388"/>
      <c r="E47" s="388"/>
      <c r="F47" s="388"/>
      <c r="P47" s="436"/>
      <c r="Q47" s="57">
        <f t="shared" si="7"/>
        <v>2062</v>
      </c>
      <c r="R47" s="58" cm="1">
        <f t="array" ref="R47">_xlfn.SINGLE(IF(Q47&gt;=(Assumptions!$D$32+1),IF(Q47&lt;=Assumptions!$D$10,IF(Q47&gt;=Assumptions!$D$32,(((TREND($J$14:$J$15,$H$14:$H$15,$Q47)/$J$14)/5)*I$10)*((TREND($I$14:$I$15,$H$14:$H$15,Q47)/TREND($J$14:$J$15,$H$14:$H$15,Q47))),0),0),0))</f>
        <v>0</v>
      </c>
      <c r="S47" s="58" cm="1">
        <f t="array" ref="S47">_xlfn.SINGLE(IF(Q47&gt;=(Assumptions!$D$32+1),IF(Q47&lt;=Assumptions!$D$10,IF(Q47&gt;=Assumptions!$D$32,(((TREND($J$14:$J$15,$H$14:$H$15,$Q47)/$J$14)/5)*J$10)*((TREND($I$14:$I$15,$H$14:$H$15,Q47)/TREND($J$14:$J$15,$H$14:$H$15,Q47))),0),0),0))</f>
        <v>0</v>
      </c>
      <c r="T47" s="58" cm="1">
        <f t="array" ref="T47">_xlfn.SINGLE(IF(Q47&gt;=(Assumptions!$D$32+1),IF(Q47&lt;=Assumptions!$D$10,IF(Q47&gt;=Assumptions!$D$32,(((TREND($J$14:$J$15,$H$14:$H$15,$Q47)/$J$14)/5)*K$10)*((TREND($I$14:$I$15,$H$14:$H$15,Q47)/TREND($J$14:$J$15,$H$14:$H$15,Q47))),0),0),0))</f>
        <v>0</v>
      </c>
      <c r="U47" s="58" cm="1">
        <f t="array" ref="U47">_xlfn.SINGLE(IF(Q47&gt;=(Assumptions!$D$32+1),IF(Q47&lt;=Assumptions!$D$10,IF(Q47&gt;=Assumptions!$D$32,(((TREND($J$14:$J$15,$H$14:$H$15,$Q47)/$J$14)/5)*L$10)*((TREND($I$14:$I$15,$H$14:$H$15,Q47)/TREND($J$14:$J$15,$H$14:$H$15,Q47))),0),0),0))</f>
        <v>0</v>
      </c>
      <c r="V47" s="58" cm="1">
        <f t="array" ref="V47">_xlfn.SINGLE(IF(Q47&gt;=(Assumptions!$D$32+1),IF(Q47&lt;=Assumptions!$D$10,IF(Q47&gt;=Assumptions!$D$32,(((TREND($J$14:$J$15,$H$14:$H$15,$Q47)/$J$14)/5)*M$10)*((TREND($I$14:$I$15,$H$14:$H$15,Q47)/TREND($J$14:$J$15,$H$14:$H$15,Q47))),0),0),0))</f>
        <v>0</v>
      </c>
      <c r="W47" s="109">
        <f t="shared" si="4"/>
        <v>0</v>
      </c>
      <c r="Z47" s="438"/>
      <c r="AA47" s="57">
        <f t="shared" si="8"/>
        <v>2062</v>
      </c>
      <c r="AB47" s="58" cm="1">
        <f t="array" ref="AB47">_xlfn.SINGLE(IF(AA47&gt;=(Assumptions!$D$32+1),IF(AA47&lt;=Assumptions!$D$10,IF(AA47&gt;=Assumptions!$D$32,((TREND($J$14:$J$15,$H$14:$H$15,$AA47)/$J$14)/5)*I$10*$AG47,0),0),0))</f>
        <v>0</v>
      </c>
      <c r="AC47" s="58" cm="1">
        <f t="array" ref="AC47">_xlfn.SINGLE(IF(AA47&gt;=(Assumptions!$D$32+1),IF(AA47&lt;=Assumptions!$D$10,IF(AA47&gt;=Assumptions!$D$32,((TREND($J$14:$J$15,$H$14:$H$15,$AA47)/$J$14)/5)*J$10*$AG47,0),0),0))</f>
        <v>0</v>
      </c>
      <c r="AD47" s="58" cm="1">
        <f t="array" ref="AD47">_xlfn.SINGLE(IF(AA47&gt;=(Assumptions!$D$32+1),IF(AA47&lt;=Assumptions!$D$10,IF(AA47&gt;=Assumptions!$D$32,((TREND($J$14:$J$15,$H$14:$H$15,$AA47)/$J$14)/5)*K$10*$AG47,0),0),0))</f>
        <v>0</v>
      </c>
      <c r="AE47" s="58" cm="1">
        <f t="array" ref="AE47">_xlfn.SINGLE(IF(AA47&gt;=(Assumptions!$D$32+1),IF(AA47&lt;=Assumptions!$D$10,IF(AA47&gt;=Assumptions!$D$32,((TREND($J$14:$J$15,$H$14:$H$15,$AA47)/$J$14)/5)*L$10*$AG47,0),0),0))</f>
        <v>0</v>
      </c>
      <c r="AF47" s="58" cm="1">
        <f t="array" ref="AF47">_xlfn.SINGLE(IF(AA47&gt;=(Assumptions!$D$32+1),IF(AA47&lt;=Assumptions!$D$10,IF(AA47&gt;=Assumptions!$D$32,((TREND($J$14:$J$15,$H$14:$H$15,$AA47)/$J$14)/5)*M$10*$AG47,0),0),0))</f>
        <v>0</v>
      </c>
      <c r="AG47" s="58">
        <f>IF(Q47&gt;=(Assumptions!$D$32+1),IF(Q47&lt;=Assumptions!$D$10,IF(Q46&gt;=Assumptions!$D$32,$I$19,0),0),0)</f>
        <v>0</v>
      </c>
      <c r="AH47" s="109">
        <f t="shared" si="5"/>
        <v>0</v>
      </c>
    </row>
    <row r="48" spans="1:34" x14ac:dyDescent="0.25">
      <c r="P48" s="436"/>
      <c r="Q48" s="57">
        <f t="shared" si="7"/>
        <v>2063</v>
      </c>
      <c r="R48" s="58" cm="1">
        <f t="array" ref="R48">_xlfn.SINGLE(IF(Q48&gt;=(Assumptions!$D$32+1),IF(Q48&lt;=Assumptions!$D$10,IF(Q48&gt;=Assumptions!$D$32,(((TREND($J$14:$J$15,$H$14:$H$15,$Q48)/$J$14)/5)*I$10)*((TREND($I$14:$I$15,$H$14:$H$15,Q48)/TREND($J$14:$J$15,$H$14:$H$15,Q48))),0),0),0))</f>
        <v>0</v>
      </c>
      <c r="S48" s="58" cm="1">
        <f t="array" ref="S48">_xlfn.SINGLE(IF(Q48&gt;=(Assumptions!$D$32+1),IF(Q48&lt;=Assumptions!$D$10,IF(Q48&gt;=Assumptions!$D$32,(((TREND($J$14:$J$15,$H$14:$H$15,$Q48)/$J$14)/5)*J$10)*((TREND($I$14:$I$15,$H$14:$H$15,Q48)/TREND($J$14:$J$15,$H$14:$H$15,Q48))),0),0),0))</f>
        <v>0</v>
      </c>
      <c r="T48" s="58" cm="1">
        <f t="array" ref="T48">_xlfn.SINGLE(IF(Q48&gt;=(Assumptions!$D$32+1),IF(Q48&lt;=Assumptions!$D$10,IF(Q48&gt;=Assumptions!$D$32,(((TREND($J$14:$J$15,$H$14:$H$15,$Q48)/$J$14)/5)*K$10)*((TREND($I$14:$I$15,$H$14:$H$15,Q48)/TREND($J$14:$J$15,$H$14:$H$15,Q48))),0),0),0))</f>
        <v>0</v>
      </c>
      <c r="U48" s="58" cm="1">
        <f t="array" ref="U48">_xlfn.SINGLE(IF(Q48&gt;=(Assumptions!$D$32+1),IF(Q48&lt;=Assumptions!$D$10,IF(Q48&gt;=Assumptions!$D$32,(((TREND($J$14:$J$15,$H$14:$H$15,$Q48)/$J$14)/5)*L$10)*((TREND($I$14:$I$15,$H$14:$H$15,Q48)/TREND($J$14:$J$15,$H$14:$H$15,Q48))),0),0),0))</f>
        <v>0</v>
      </c>
      <c r="V48" s="58" cm="1">
        <f t="array" ref="V48">_xlfn.SINGLE(IF(Q48&gt;=(Assumptions!$D$32+1),IF(Q48&lt;=Assumptions!$D$10,IF(Q48&gt;=Assumptions!$D$32,(((TREND($J$14:$J$15,$H$14:$H$15,$Q48)/$J$14)/5)*M$10)*((TREND($I$14:$I$15,$H$14:$H$15,Q48)/TREND($J$14:$J$15,$H$14:$H$15,Q48))),0),0),0))</f>
        <v>0</v>
      </c>
      <c r="W48" s="109">
        <f t="shared" si="4"/>
        <v>0</v>
      </c>
      <c r="Z48" s="438"/>
      <c r="AA48" s="57">
        <f t="shared" si="8"/>
        <v>2063</v>
      </c>
      <c r="AB48" s="58" cm="1">
        <f t="array" ref="AB48">_xlfn.SINGLE(IF(AA48&gt;=(Assumptions!$D$32+1),IF(AA48&lt;=Assumptions!$D$10,IF(AA48&gt;=Assumptions!$D$32,((TREND($J$14:$J$15,$H$14:$H$15,$AA48)/$J$14)/5)*I$10*$AG48,0),0),0))</f>
        <v>0</v>
      </c>
      <c r="AC48" s="58" cm="1">
        <f t="array" ref="AC48">_xlfn.SINGLE(IF(AA48&gt;=(Assumptions!$D$32+1),IF(AA48&lt;=Assumptions!$D$10,IF(AA48&gt;=Assumptions!$D$32,((TREND($J$14:$J$15,$H$14:$H$15,$AA48)/$J$14)/5)*J$10*$AG48,0),0),0))</f>
        <v>0</v>
      </c>
      <c r="AD48" s="58" cm="1">
        <f t="array" ref="AD48">_xlfn.SINGLE(IF(AA48&gt;=(Assumptions!$D$32+1),IF(AA48&lt;=Assumptions!$D$10,IF(AA48&gt;=Assumptions!$D$32,((TREND($J$14:$J$15,$H$14:$H$15,$AA48)/$J$14)/5)*K$10*$AG48,0),0),0))</f>
        <v>0</v>
      </c>
      <c r="AE48" s="58" cm="1">
        <f t="array" ref="AE48">_xlfn.SINGLE(IF(AA48&gt;=(Assumptions!$D$32+1),IF(AA48&lt;=Assumptions!$D$10,IF(AA48&gt;=Assumptions!$D$32,((TREND($J$14:$J$15,$H$14:$H$15,$AA48)/$J$14)/5)*L$10*$AG48,0),0),0))</f>
        <v>0</v>
      </c>
      <c r="AF48" s="58" cm="1">
        <f t="array" ref="AF48">_xlfn.SINGLE(IF(AA48&gt;=(Assumptions!$D$32+1),IF(AA48&lt;=Assumptions!$D$10,IF(AA48&gt;=Assumptions!$D$32,((TREND($J$14:$J$15,$H$14:$H$15,$AA48)/$J$14)/5)*M$10*$AG48,0),0),0))</f>
        <v>0</v>
      </c>
      <c r="AG48" s="58">
        <f>IF(Q48&gt;=(Assumptions!$D$32+1),IF(Q48&lt;=Assumptions!$D$10,IF(Q47&gt;=Assumptions!$D$32,$I$19,0),0),0)</f>
        <v>0</v>
      </c>
      <c r="AH48" s="109">
        <f t="shared" si="5"/>
        <v>0</v>
      </c>
    </row>
    <row r="49" spans="1:34" x14ac:dyDescent="0.25">
      <c r="A49" s="2" t="s">
        <v>25</v>
      </c>
      <c r="B49" s="388" t="s">
        <v>800</v>
      </c>
      <c r="C49" s="388"/>
      <c r="D49" s="388"/>
      <c r="E49" s="388"/>
      <c r="F49" s="388"/>
      <c r="P49" s="436"/>
      <c r="Q49" s="57">
        <f t="shared" si="7"/>
        <v>2064</v>
      </c>
      <c r="R49" s="58" cm="1">
        <f t="array" ref="R49">_xlfn.SINGLE(IF(Q49&gt;=(Assumptions!$D$32+1),IF(Q49&lt;=Assumptions!$D$10,IF(Q49&gt;=Assumptions!$D$32,(((TREND($J$14:$J$15,$H$14:$H$15,$Q49)/$J$14)/5)*I$10)*((TREND($I$14:$I$15,$H$14:$H$15,Q49)/TREND($J$14:$J$15,$H$14:$H$15,Q49))),0),0),0))</f>
        <v>0</v>
      </c>
      <c r="S49" s="58" cm="1">
        <f t="array" ref="S49">_xlfn.SINGLE(IF(Q49&gt;=(Assumptions!$D$32+1),IF(Q49&lt;=Assumptions!$D$10,IF(Q49&gt;=Assumptions!$D$32,(((TREND($J$14:$J$15,$H$14:$H$15,$Q49)/$J$14)/5)*J$10)*((TREND($I$14:$I$15,$H$14:$H$15,Q49)/TREND($J$14:$J$15,$H$14:$H$15,Q49))),0),0),0))</f>
        <v>0</v>
      </c>
      <c r="T49" s="58" cm="1">
        <f t="array" ref="T49">_xlfn.SINGLE(IF(Q49&gt;=(Assumptions!$D$32+1),IF(Q49&lt;=Assumptions!$D$10,IF(Q49&gt;=Assumptions!$D$32,(((TREND($J$14:$J$15,$H$14:$H$15,$Q49)/$J$14)/5)*K$10)*((TREND($I$14:$I$15,$H$14:$H$15,Q49)/TREND($J$14:$J$15,$H$14:$H$15,Q49))),0),0),0))</f>
        <v>0</v>
      </c>
      <c r="U49" s="58" cm="1">
        <f t="array" ref="U49">_xlfn.SINGLE(IF(Q49&gt;=(Assumptions!$D$32+1),IF(Q49&lt;=Assumptions!$D$10,IF(Q49&gt;=Assumptions!$D$32,(((TREND($J$14:$J$15,$H$14:$H$15,$Q49)/$J$14)/5)*L$10)*((TREND($I$14:$I$15,$H$14:$H$15,Q49)/TREND($J$14:$J$15,$H$14:$H$15,Q49))),0),0),0))</f>
        <v>0</v>
      </c>
      <c r="V49" s="58" cm="1">
        <f t="array" ref="V49">_xlfn.SINGLE(IF(Q49&gt;=(Assumptions!$D$32+1),IF(Q49&lt;=Assumptions!$D$10,IF(Q49&gt;=Assumptions!$D$32,(((TREND($J$14:$J$15,$H$14:$H$15,$Q49)/$J$14)/5)*M$10)*((TREND($I$14:$I$15,$H$14:$H$15,Q49)/TREND($J$14:$J$15,$H$14:$H$15,Q49))),0),0),0))</f>
        <v>0</v>
      </c>
      <c r="W49" s="109">
        <f t="shared" si="4"/>
        <v>0</v>
      </c>
      <c r="Z49" s="438"/>
      <c r="AA49" s="57">
        <f t="shared" si="8"/>
        <v>2064</v>
      </c>
      <c r="AB49" s="58" cm="1">
        <f t="array" ref="AB49">_xlfn.SINGLE(IF(AA49&gt;=(Assumptions!$D$32+1),IF(AA49&lt;=Assumptions!$D$10,IF(AA49&gt;=Assumptions!$D$32,((TREND($J$14:$J$15,$H$14:$H$15,$AA49)/$J$14)/5)*I$10*$AG49,0),0),0))</f>
        <v>0</v>
      </c>
      <c r="AC49" s="58" cm="1">
        <f t="array" ref="AC49">_xlfn.SINGLE(IF(AA49&gt;=(Assumptions!$D$32+1),IF(AA49&lt;=Assumptions!$D$10,IF(AA49&gt;=Assumptions!$D$32,((TREND($J$14:$J$15,$H$14:$H$15,$AA49)/$J$14)/5)*J$10*$AG49,0),0),0))</f>
        <v>0</v>
      </c>
      <c r="AD49" s="58" cm="1">
        <f t="array" ref="AD49">_xlfn.SINGLE(IF(AA49&gt;=(Assumptions!$D$32+1),IF(AA49&lt;=Assumptions!$D$10,IF(AA49&gt;=Assumptions!$D$32,((TREND($J$14:$J$15,$H$14:$H$15,$AA49)/$J$14)/5)*K$10*$AG49,0),0),0))</f>
        <v>0</v>
      </c>
      <c r="AE49" s="58" cm="1">
        <f t="array" ref="AE49">_xlfn.SINGLE(IF(AA49&gt;=(Assumptions!$D$32+1),IF(AA49&lt;=Assumptions!$D$10,IF(AA49&gt;=Assumptions!$D$32,((TREND($J$14:$J$15,$H$14:$H$15,$AA49)/$J$14)/5)*L$10*$AG49,0),0),0))</f>
        <v>0</v>
      </c>
      <c r="AF49" s="58" cm="1">
        <f t="array" ref="AF49">_xlfn.SINGLE(IF(AA49&gt;=(Assumptions!$D$32+1),IF(AA49&lt;=Assumptions!$D$10,IF(AA49&gt;=Assumptions!$D$32,((TREND($J$14:$J$15,$H$14:$H$15,$AA49)/$J$14)/5)*M$10*$AG49,0),0),0))</f>
        <v>0</v>
      </c>
      <c r="AG49" s="58">
        <f>IF(Q49&gt;=(Assumptions!$D$32+1),IF(Q49&lt;=Assumptions!$D$10,IF(Q48&gt;=Assumptions!$D$32,$I$19,0),0),0)</f>
        <v>0</v>
      </c>
      <c r="AH49" s="109">
        <f t="shared" si="5"/>
        <v>0</v>
      </c>
    </row>
    <row r="50" spans="1:34" ht="15" customHeight="1" x14ac:dyDescent="0.25">
      <c r="B50" s="388"/>
      <c r="C50" s="388"/>
      <c r="D50" s="388"/>
      <c r="E50" s="388"/>
      <c r="F50" s="388"/>
      <c r="P50" s="436"/>
      <c r="Q50" s="57">
        <f t="shared" si="7"/>
        <v>2065</v>
      </c>
      <c r="R50" s="58" cm="1">
        <f t="array" ref="R50">_xlfn.SINGLE(IF(Q50&gt;=(Assumptions!$D$32+1),IF(Q50&lt;=Assumptions!$D$10,IF(Q50&gt;=Assumptions!$D$32,(((TREND($J$14:$J$15,$H$14:$H$15,$Q50)/$J$14)/5)*I$10)*((TREND($I$14:$I$15,$H$14:$H$15,Q50)/TREND($J$14:$J$15,$H$14:$H$15,Q50))),0),0),0))</f>
        <v>0</v>
      </c>
      <c r="S50" s="58" cm="1">
        <f t="array" ref="S50">_xlfn.SINGLE(IF(Q50&gt;=(Assumptions!$D$32+1),IF(Q50&lt;=Assumptions!$D$10,IF(Q50&gt;=Assumptions!$D$32,(((TREND($J$14:$J$15,$H$14:$H$15,$Q50)/$J$14)/5)*J$10)*((TREND($I$14:$I$15,$H$14:$H$15,Q50)/TREND($J$14:$J$15,$H$14:$H$15,Q50))),0),0),0))</f>
        <v>0</v>
      </c>
      <c r="T50" s="58" cm="1">
        <f t="array" ref="T50">_xlfn.SINGLE(IF(Q50&gt;=(Assumptions!$D$32+1),IF(Q50&lt;=Assumptions!$D$10,IF(Q50&gt;=Assumptions!$D$32,(((TREND($J$14:$J$15,$H$14:$H$15,$Q50)/$J$14)/5)*K$10)*((TREND($I$14:$I$15,$H$14:$H$15,Q50)/TREND($J$14:$J$15,$H$14:$H$15,Q50))),0),0),0))</f>
        <v>0</v>
      </c>
      <c r="U50" s="58" cm="1">
        <f t="array" ref="U50">_xlfn.SINGLE(IF(Q50&gt;=(Assumptions!$D$32+1),IF(Q50&lt;=Assumptions!$D$10,IF(Q50&gt;=Assumptions!$D$32,(((TREND($J$14:$J$15,$H$14:$H$15,$Q50)/$J$14)/5)*L$10)*((TREND($I$14:$I$15,$H$14:$H$15,Q50)/TREND($J$14:$J$15,$H$14:$H$15,Q50))),0),0),0))</f>
        <v>0</v>
      </c>
      <c r="V50" s="58" cm="1">
        <f t="array" ref="V50">_xlfn.SINGLE(IF(Q50&gt;=(Assumptions!$D$32+1),IF(Q50&lt;=Assumptions!$D$10,IF(Q50&gt;=Assumptions!$D$32,(((TREND($J$14:$J$15,$H$14:$H$15,$Q50)/$J$14)/5)*M$10)*((TREND($I$14:$I$15,$H$14:$H$15,Q50)/TREND($J$14:$J$15,$H$14:$H$15,Q50))),0),0),0))</f>
        <v>0</v>
      </c>
      <c r="W50" s="109">
        <f t="shared" si="4"/>
        <v>0</v>
      </c>
      <c r="Z50" s="438"/>
      <c r="AA50" s="57">
        <f t="shared" si="8"/>
        <v>2065</v>
      </c>
      <c r="AB50" s="58" cm="1">
        <f t="array" ref="AB50">_xlfn.SINGLE(IF(AA50&gt;=(Assumptions!$D$32+1),IF(AA50&lt;=Assumptions!$D$10,IF(AA50&gt;=Assumptions!$D$32,((TREND($J$14:$J$15,$H$14:$H$15,$AA50)/$J$14)/5)*I$10*$AG50,0),0),0))</f>
        <v>0</v>
      </c>
      <c r="AC50" s="58" cm="1">
        <f t="array" ref="AC50">_xlfn.SINGLE(IF(AA50&gt;=(Assumptions!$D$32+1),IF(AA50&lt;=Assumptions!$D$10,IF(AA50&gt;=Assumptions!$D$32,((TREND($J$14:$J$15,$H$14:$H$15,$AA50)/$J$14)/5)*J$10*$AG50,0),0),0))</f>
        <v>0</v>
      </c>
      <c r="AD50" s="58" cm="1">
        <f t="array" ref="AD50">_xlfn.SINGLE(IF(AA50&gt;=(Assumptions!$D$32+1),IF(AA50&lt;=Assumptions!$D$10,IF(AA50&gt;=Assumptions!$D$32,((TREND($J$14:$J$15,$H$14:$H$15,$AA50)/$J$14)/5)*K$10*$AG50,0),0),0))</f>
        <v>0</v>
      </c>
      <c r="AE50" s="58" cm="1">
        <f t="array" ref="AE50">_xlfn.SINGLE(IF(AA50&gt;=(Assumptions!$D$32+1),IF(AA50&lt;=Assumptions!$D$10,IF(AA50&gt;=Assumptions!$D$32,((TREND($J$14:$J$15,$H$14:$H$15,$AA50)/$J$14)/5)*L$10*$AG50,0),0),0))</f>
        <v>0</v>
      </c>
      <c r="AF50" s="58" cm="1">
        <f t="array" ref="AF50">_xlfn.SINGLE(IF(AA50&gt;=(Assumptions!$D$32+1),IF(AA50&lt;=Assumptions!$D$10,IF(AA50&gt;=Assumptions!$D$32,((TREND($J$14:$J$15,$H$14:$H$15,$AA50)/$J$14)/5)*M$10*$AG50,0),0),0))</f>
        <v>0</v>
      </c>
      <c r="AG50" s="58">
        <f>IF(Q50&gt;=(Assumptions!$D$32+1),IF(Q50&lt;=Assumptions!$D$10,IF(Q49&gt;=Assumptions!$D$32,$I$19,0),0),0)</f>
        <v>0</v>
      </c>
      <c r="AH50" s="109">
        <f t="shared" si="5"/>
        <v>0</v>
      </c>
    </row>
    <row r="51" spans="1:34" ht="15" customHeight="1" x14ac:dyDescent="0.25">
      <c r="A51" s="2"/>
      <c r="B51" s="388"/>
      <c r="C51" s="388"/>
      <c r="D51" s="388"/>
      <c r="E51" s="388"/>
      <c r="F51" s="388"/>
      <c r="P51" s="437"/>
      <c r="Q51" s="57">
        <f t="shared" si="7"/>
        <v>2066</v>
      </c>
      <c r="R51" s="58" cm="1">
        <f t="array" ref="R51">_xlfn.SINGLE(IF(Q51&gt;=(Assumptions!$D$32+1),IF(Q51&lt;=Assumptions!$D$10,IF(Q51&gt;=Assumptions!$D$32,(((TREND($J$14:$J$15,$H$14:$H$15,$Q51)/$J$14)/5)*I$10)*((TREND($I$14:$I$15,$H$14:$H$15,Q51)/TREND($J$14:$J$15,$H$14:$H$15,Q51))),0),0),0))</f>
        <v>0</v>
      </c>
      <c r="S51" s="58" cm="1">
        <f t="array" ref="S51">_xlfn.SINGLE(IF(Q51&gt;=(Assumptions!$D$32+1),IF(Q51&lt;=Assumptions!$D$10,IF(Q51&gt;=Assumptions!$D$32,(((TREND($J$14:$J$15,$H$14:$H$15,$Q51)/$J$14)/5)*J$10)*((TREND($I$14:$I$15,$H$14:$H$15,Q51)/TREND($J$14:$J$15,$H$14:$H$15,Q51))),0),0),0))</f>
        <v>0</v>
      </c>
      <c r="T51" s="58" cm="1">
        <f t="array" ref="T51">_xlfn.SINGLE(IF(Q51&gt;=(Assumptions!$D$32+1),IF(Q51&lt;=Assumptions!$D$10,IF(Q51&gt;=Assumptions!$D$32,(((TREND($J$14:$J$15,$H$14:$H$15,$Q51)/$J$14)/5)*K$10)*((TREND($I$14:$I$15,$H$14:$H$15,Q51)/TREND($J$14:$J$15,$H$14:$H$15,Q51))),0),0),0))</f>
        <v>0</v>
      </c>
      <c r="U51" s="58" cm="1">
        <f t="array" ref="U51">_xlfn.SINGLE(IF(Q51&gt;=(Assumptions!$D$32+1),IF(Q51&lt;=Assumptions!$D$10,IF(Q51&gt;=Assumptions!$D$32,(((TREND($J$14:$J$15,$H$14:$H$15,$Q51)/$J$14)/5)*L$10)*((TREND($I$14:$I$15,$H$14:$H$15,Q51)/TREND($J$14:$J$15,$H$14:$H$15,Q51))),0),0),0))</f>
        <v>0</v>
      </c>
      <c r="V51" s="58" cm="1">
        <f t="array" ref="V51">_xlfn.SINGLE(IF(Q51&gt;=(Assumptions!$D$32+1),IF(Q51&lt;=Assumptions!$D$10,IF(Q51&gt;=Assumptions!$D$32,(((TREND($J$14:$J$15,$H$14:$H$15,$Q51)/$J$14)/5)*M$10)*((TREND($I$14:$I$15,$H$14:$H$15,Q51)/TREND($J$14:$J$15,$H$14:$H$15,Q51))),0),0),0))</f>
        <v>0</v>
      </c>
      <c r="W51" s="109">
        <f t="shared" si="4"/>
        <v>0</v>
      </c>
      <c r="Z51" s="438"/>
      <c r="AA51" s="57">
        <f t="shared" si="8"/>
        <v>2066</v>
      </c>
      <c r="AB51" s="58" cm="1">
        <f t="array" ref="AB51">_xlfn.SINGLE(IF(AA51&gt;=(Assumptions!$D$32+1),IF(AA51&lt;=Assumptions!$D$10,IF(AA51&gt;=Assumptions!$D$32,((TREND($J$14:$J$15,$H$14:$H$15,$AA51)/$J$14)/5)*I$10*$AG51,0),0),0))</f>
        <v>0</v>
      </c>
      <c r="AC51" s="58" cm="1">
        <f t="array" ref="AC51">_xlfn.SINGLE(IF(AA51&gt;=(Assumptions!$D$32+1),IF(AA51&lt;=Assumptions!$D$10,IF(AA51&gt;=Assumptions!$D$32,((TREND($J$14:$J$15,$H$14:$H$15,$AA51)/$J$14)/5)*J$10*$AG51,0),0),0))</f>
        <v>0</v>
      </c>
      <c r="AD51" s="58" cm="1">
        <f t="array" ref="AD51">_xlfn.SINGLE(IF(AA51&gt;=(Assumptions!$D$32+1),IF(AA51&lt;=Assumptions!$D$10,IF(AA51&gt;=Assumptions!$D$32,((TREND($J$14:$J$15,$H$14:$H$15,$AA51)/$J$14)/5)*K$10*$AG51,0),0),0))</f>
        <v>0</v>
      </c>
      <c r="AE51" s="58" cm="1">
        <f t="array" ref="AE51">_xlfn.SINGLE(IF(AA51&gt;=(Assumptions!$D$32+1),IF(AA51&lt;=Assumptions!$D$10,IF(AA51&gt;=Assumptions!$D$32,((TREND($J$14:$J$15,$H$14:$H$15,$AA51)/$J$14)/5)*L$10*$AG51,0),0),0))</f>
        <v>0</v>
      </c>
      <c r="AF51" s="58" cm="1">
        <f t="array" ref="AF51">_xlfn.SINGLE(IF(AA51&gt;=(Assumptions!$D$32+1),IF(AA51&lt;=Assumptions!$D$10,IF(AA51&gt;=Assumptions!$D$32,((TREND($J$14:$J$15,$H$14:$H$15,$AA51)/$J$14)/5)*M$10*$AG51,0),0),0))</f>
        <v>0</v>
      </c>
      <c r="AG51" s="58">
        <f>IF(Q51&gt;=(Assumptions!$D$32+1),IF(Q51&lt;=Assumptions!$D$10,IF(Q50&gt;=Assumptions!$D$32,$I$19,0),0),0)</f>
        <v>0</v>
      </c>
      <c r="AH51" s="109">
        <f t="shared" si="5"/>
        <v>0</v>
      </c>
    </row>
    <row r="52" spans="1:34" x14ac:dyDescent="0.25">
      <c r="B52" s="388"/>
      <c r="C52" s="388"/>
      <c r="D52" s="388"/>
      <c r="E52" s="388"/>
      <c r="F52" s="388"/>
    </row>
    <row r="53" spans="1:34" ht="15" customHeight="1" x14ac:dyDescent="0.25">
      <c r="B53" s="388"/>
      <c r="C53" s="388"/>
      <c r="D53" s="388"/>
      <c r="E53" s="388"/>
      <c r="F53" s="388"/>
    </row>
    <row r="54" spans="1:34" ht="15" customHeight="1" x14ac:dyDescent="0.25">
      <c r="B54" s="388"/>
      <c r="C54" s="388"/>
      <c r="D54" s="388"/>
      <c r="E54" s="388"/>
      <c r="F54" s="388"/>
    </row>
    <row r="56" spans="1:34" x14ac:dyDescent="0.25">
      <c r="A56" s="2" t="s">
        <v>26</v>
      </c>
      <c r="B56" s="415" t="s">
        <v>708</v>
      </c>
      <c r="C56" s="415"/>
      <c r="D56" s="415"/>
      <c r="E56" s="415"/>
      <c r="F56" s="415"/>
    </row>
    <row r="57" spans="1:34" x14ac:dyDescent="0.25">
      <c r="B57" s="415"/>
      <c r="C57" s="415"/>
      <c r="D57" s="415"/>
      <c r="E57" s="415"/>
      <c r="F57" s="415"/>
    </row>
    <row r="58" spans="1:34" ht="15" customHeight="1" x14ac:dyDescent="0.25">
      <c r="B58" s="415"/>
      <c r="C58" s="415"/>
      <c r="D58" s="415"/>
      <c r="E58" s="415"/>
      <c r="F58" s="415"/>
    </row>
    <row r="59" spans="1:34" ht="15" customHeight="1" x14ac:dyDescent="0.25">
      <c r="B59" s="415"/>
      <c r="C59" s="415"/>
      <c r="D59" s="415"/>
      <c r="E59" s="415"/>
      <c r="F59" s="415"/>
    </row>
    <row r="60" spans="1:34" ht="15" customHeight="1" x14ac:dyDescent="0.25">
      <c r="B60" s="415"/>
      <c r="C60" s="415"/>
      <c r="D60" s="415"/>
      <c r="E60" s="415"/>
      <c r="F60" s="415"/>
    </row>
    <row r="61" spans="1:34" x14ac:dyDescent="0.25">
      <c r="B61" s="415"/>
      <c r="C61" s="415"/>
      <c r="D61" s="415"/>
      <c r="E61" s="415"/>
      <c r="F61" s="415"/>
    </row>
    <row r="62" spans="1:34" x14ac:dyDescent="0.25">
      <c r="A62" s="2" t="s">
        <v>260</v>
      </c>
      <c r="B62" s="415" t="s">
        <v>729</v>
      </c>
      <c r="C62" s="415"/>
      <c r="D62" s="415"/>
      <c r="E62" s="415"/>
      <c r="F62" s="415"/>
    </row>
    <row r="63" spans="1:34" ht="15" customHeight="1" x14ac:dyDescent="0.25">
      <c r="B63" s="415"/>
      <c r="C63" s="415"/>
      <c r="D63" s="415"/>
      <c r="E63" s="415"/>
      <c r="F63" s="415"/>
    </row>
    <row r="64" spans="1:34" x14ac:dyDescent="0.25">
      <c r="B64" s="415"/>
      <c r="C64" s="415"/>
      <c r="D64" s="415"/>
      <c r="E64" s="415"/>
      <c r="F64" s="415"/>
    </row>
    <row r="65" spans="1:6" ht="15" customHeight="1" x14ac:dyDescent="0.25">
      <c r="B65" s="415"/>
      <c r="C65" s="415"/>
      <c r="D65" s="415"/>
      <c r="E65" s="415"/>
      <c r="F65" s="415"/>
    </row>
    <row r="66" spans="1:6" x14ac:dyDescent="0.25">
      <c r="B66" s="415"/>
      <c r="C66" s="415"/>
      <c r="D66" s="415"/>
      <c r="E66" s="415"/>
      <c r="F66" s="415"/>
    </row>
    <row r="67" spans="1:6" x14ac:dyDescent="0.25">
      <c r="B67" s="8"/>
      <c r="C67" s="8"/>
      <c r="D67" s="8"/>
      <c r="E67" s="8"/>
      <c r="F67" s="8"/>
    </row>
    <row r="68" spans="1:6" ht="15" customHeight="1" x14ac:dyDescent="0.25">
      <c r="A68" s="2" t="s">
        <v>27</v>
      </c>
      <c r="B68" s="415" t="s">
        <v>709</v>
      </c>
      <c r="C68" s="415"/>
      <c r="D68" s="415"/>
      <c r="E68" s="415"/>
      <c r="F68" s="415"/>
    </row>
    <row r="69" spans="1:6" x14ac:dyDescent="0.25">
      <c r="B69" s="415"/>
      <c r="C69" s="415"/>
      <c r="D69" s="415"/>
      <c r="E69" s="415"/>
      <c r="F69" s="415"/>
    </row>
    <row r="70" spans="1:6" x14ac:dyDescent="0.25">
      <c r="B70" s="415"/>
      <c r="C70" s="415"/>
      <c r="D70" s="415"/>
      <c r="E70" s="415"/>
      <c r="F70" s="415"/>
    </row>
    <row r="72" spans="1:6" x14ac:dyDescent="0.25">
      <c r="A72" s="2"/>
    </row>
    <row r="73" spans="1:6" ht="15" customHeight="1" x14ac:dyDescent="0.25"/>
    <row r="116" spans="21:32" x14ac:dyDescent="0.25">
      <c r="U116" s="3"/>
      <c r="V116" s="3"/>
      <c r="W116" s="3"/>
      <c r="AE116" s="3"/>
      <c r="AF116" s="3"/>
    </row>
  </sheetData>
  <mergeCells count="13">
    <mergeCell ref="B41:F47"/>
    <mergeCell ref="B56:F61"/>
    <mergeCell ref="B68:F70"/>
    <mergeCell ref="P6:P51"/>
    <mergeCell ref="Z6:Z51"/>
    <mergeCell ref="B49:F54"/>
    <mergeCell ref="B62:F66"/>
    <mergeCell ref="C3:F3"/>
    <mergeCell ref="E4:E5"/>
    <mergeCell ref="F4:F5"/>
    <mergeCell ref="B4:B5"/>
    <mergeCell ref="C4:C5"/>
    <mergeCell ref="D4:D5"/>
  </mergeCells>
  <phoneticPr fontId="14" type="noConversion"/>
  <pageMargins left="0.25" right="0.25" top="0.75" bottom="0.75" header="0.3" footer="0.3"/>
  <pageSetup paperSize="3" scale="48"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3B3977-B58E-44C4-B571-2D4E4629EE30}">
  <sheetPr>
    <tabColor rgb="FF00B050"/>
    <pageSetUpPr fitToPage="1"/>
  </sheetPr>
  <dimension ref="A1:AP84"/>
  <sheetViews>
    <sheetView view="pageBreakPreview" zoomScale="55" zoomScaleNormal="55" zoomScaleSheetLayoutView="55" workbookViewId="0">
      <selection activeCell="B2" sqref="B2"/>
    </sheetView>
  </sheetViews>
  <sheetFormatPr defaultRowHeight="15" x14ac:dyDescent="0.25"/>
  <cols>
    <col min="1" max="1" width="7.7109375" customWidth="1"/>
    <col min="2" max="2" width="25.28515625" customWidth="1"/>
    <col min="3" max="4" width="14.5703125" bestFit="1" customWidth="1"/>
    <col min="5" max="5" width="19.42578125" bestFit="1" customWidth="1"/>
    <col min="6" max="7" width="20.140625" customWidth="1"/>
    <col min="8" max="8" width="70.28515625" customWidth="1"/>
    <col min="9" max="9" width="29.42578125" bestFit="1" customWidth="1"/>
    <col min="10" max="10" width="32.85546875" bestFit="1" customWidth="1"/>
    <col min="11" max="11" width="46.85546875" customWidth="1"/>
    <col min="12" max="14" width="24.85546875" bestFit="1" customWidth="1"/>
    <col min="15" max="16" width="26.42578125" bestFit="1" customWidth="1"/>
    <col min="17" max="21" width="17" customWidth="1"/>
    <col min="22" max="24" width="20.140625" customWidth="1"/>
    <col min="25" max="29" width="6.140625" bestFit="1" customWidth="1"/>
    <col min="30" max="30" width="22.7109375" bestFit="1" customWidth="1"/>
    <col min="31" max="35" width="6.140625" bestFit="1" customWidth="1"/>
    <col min="36" max="36" width="22.7109375" bestFit="1" customWidth="1"/>
    <col min="37" max="41" width="20.140625" customWidth="1"/>
    <col min="42" max="42" width="15.85546875" customWidth="1"/>
  </cols>
  <sheetData>
    <row r="1" spans="1:42" ht="15" customHeight="1" x14ac:dyDescent="0.25">
      <c r="A1" s="221"/>
      <c r="B1" s="54"/>
      <c r="C1" s="54"/>
      <c r="D1" s="54"/>
      <c r="E1" s="54"/>
      <c r="F1" s="54"/>
      <c r="G1" s="54"/>
      <c r="H1" s="54"/>
      <c r="I1" s="54"/>
      <c r="J1" s="54"/>
      <c r="K1" s="54"/>
      <c r="L1" s="54"/>
      <c r="M1" s="54"/>
      <c r="N1" s="54"/>
      <c r="O1" s="54"/>
      <c r="P1" s="54"/>
      <c r="Q1" s="54"/>
      <c r="R1" s="54"/>
      <c r="S1" s="54"/>
      <c r="T1" s="54"/>
      <c r="U1" s="54"/>
      <c r="V1" s="54"/>
      <c r="W1" s="54"/>
      <c r="X1" s="54"/>
      <c r="Y1" s="54"/>
      <c r="Z1" s="54"/>
      <c r="AA1" s="54"/>
      <c r="AB1" s="54"/>
      <c r="AC1" s="54"/>
      <c r="AD1" s="54"/>
      <c r="AE1" s="54"/>
      <c r="AF1" s="54"/>
      <c r="AG1" s="54"/>
      <c r="AH1" s="54"/>
      <c r="AI1" s="54"/>
      <c r="AJ1" s="54"/>
      <c r="AK1" s="54"/>
      <c r="AL1" s="54"/>
      <c r="AM1" s="54"/>
      <c r="AN1" s="54"/>
      <c r="AO1" s="54"/>
      <c r="AP1" s="54"/>
    </row>
    <row r="2" spans="1:42" ht="15.75" thickBot="1" x14ac:dyDescent="0.3">
      <c r="B2" s="1" t="s">
        <v>818</v>
      </c>
      <c r="C2" s="1"/>
      <c r="D2" s="1"/>
    </row>
    <row r="3" spans="1:42" ht="15.75" thickBot="1" x14ac:dyDescent="0.3">
      <c r="B3" s="1"/>
      <c r="C3" s="430" t="s">
        <v>85</v>
      </c>
      <c r="D3" s="431"/>
      <c r="E3" s="431"/>
      <c r="F3" s="432"/>
      <c r="G3" s="150"/>
      <c r="H3" s="150"/>
      <c r="I3" s="150"/>
      <c r="J3" s="150"/>
      <c r="K3" s="150"/>
      <c r="L3" s="150"/>
      <c r="M3" s="150"/>
      <c r="N3" s="150"/>
      <c r="O3" s="150"/>
      <c r="P3" s="150"/>
      <c r="Q3" s="150"/>
      <c r="R3" s="150"/>
      <c r="S3" s="150"/>
      <c r="T3" s="150"/>
      <c r="U3" s="150"/>
      <c r="V3" s="150"/>
      <c r="W3" s="150"/>
      <c r="X3" s="150"/>
      <c r="Y3" s="150"/>
      <c r="Z3" s="150"/>
      <c r="AA3" s="150"/>
      <c r="AB3" s="150"/>
      <c r="AC3" s="150"/>
      <c r="AD3" s="150"/>
      <c r="AE3" s="150"/>
      <c r="AF3" s="150"/>
      <c r="AG3" s="150"/>
      <c r="AH3" s="150"/>
      <c r="AI3" s="150"/>
      <c r="AJ3" s="150"/>
      <c r="AK3" s="150"/>
      <c r="AL3" s="150"/>
      <c r="AM3" s="150"/>
      <c r="AN3" s="150"/>
      <c r="AO3" s="150"/>
    </row>
    <row r="4" spans="1:42" ht="30" customHeight="1" x14ac:dyDescent="0.25">
      <c r="B4" s="422" t="s">
        <v>0</v>
      </c>
      <c r="C4" s="422" t="s">
        <v>39</v>
      </c>
      <c r="D4" s="422" t="s">
        <v>40</v>
      </c>
      <c r="E4" s="433" t="s">
        <v>37</v>
      </c>
      <c r="F4" s="419" t="s">
        <v>1</v>
      </c>
      <c r="G4" s="45"/>
      <c r="H4" s="45"/>
      <c r="I4" s="45"/>
      <c r="J4" s="45"/>
      <c r="K4" s="45"/>
      <c r="L4" s="45"/>
      <c r="M4" s="45"/>
      <c r="N4" s="45"/>
      <c r="O4" s="45"/>
      <c r="P4" s="45"/>
      <c r="Q4" s="45"/>
      <c r="R4" s="45"/>
      <c r="S4" s="45"/>
      <c r="T4" s="45"/>
      <c r="U4" s="45"/>
      <c r="V4" s="45"/>
      <c r="W4" s="45"/>
      <c r="X4" s="45"/>
      <c r="Y4" s="45"/>
      <c r="Z4" s="45"/>
      <c r="AA4" s="45"/>
      <c r="AB4" s="45"/>
      <c r="AC4" s="45"/>
      <c r="AD4" s="45"/>
      <c r="AE4" s="45"/>
      <c r="AF4" s="45"/>
      <c r="AG4" s="45"/>
      <c r="AH4" s="45"/>
      <c r="AI4" s="45"/>
      <c r="AJ4" s="45"/>
      <c r="AK4" s="45"/>
      <c r="AL4" s="45"/>
      <c r="AM4" s="45"/>
      <c r="AN4" s="45"/>
      <c r="AO4" s="45"/>
      <c r="AP4" s="45"/>
    </row>
    <row r="5" spans="1:42" ht="30" customHeight="1" thickBot="1" x14ac:dyDescent="0.3">
      <c r="B5" s="423"/>
      <c r="C5" s="423"/>
      <c r="D5" s="423"/>
      <c r="E5" s="434"/>
      <c r="F5" s="420"/>
      <c r="G5" s="45"/>
      <c r="H5" s="40" t="s">
        <v>137</v>
      </c>
      <c r="I5" s="53"/>
      <c r="J5" s="53"/>
      <c r="K5" s="53"/>
      <c r="L5" s="53"/>
      <c r="M5" s="53"/>
      <c r="N5" s="45"/>
      <c r="O5" s="45"/>
      <c r="P5" s="45"/>
      <c r="Q5" s="45"/>
      <c r="R5" s="45"/>
      <c r="S5" s="45"/>
      <c r="T5" s="45"/>
      <c r="U5" s="45"/>
      <c r="V5" s="45"/>
      <c r="W5" s="45"/>
      <c r="X5" s="45"/>
      <c r="Y5" s="45"/>
      <c r="Z5" s="45"/>
      <c r="AA5" s="45"/>
      <c r="AB5" s="45"/>
      <c r="AC5" s="45"/>
      <c r="AD5" s="45"/>
      <c r="AE5" s="45"/>
      <c r="AF5" s="45"/>
      <c r="AG5" s="45"/>
      <c r="AH5" s="45"/>
      <c r="AI5" s="45"/>
      <c r="AJ5" s="45"/>
      <c r="AK5" s="45"/>
      <c r="AL5" s="45"/>
      <c r="AM5" s="45"/>
      <c r="AN5" s="45"/>
      <c r="AO5" s="45"/>
      <c r="AP5" s="45"/>
    </row>
    <row r="6" spans="1:42" ht="15" customHeight="1" x14ac:dyDescent="0.25">
      <c r="B6" s="222">
        <f>Assumptions!$D$9</f>
        <v>2026</v>
      </c>
      <c r="C6" s="261">
        <f t="shared" ref="C6:C35" si="0">IFERROR(_xlfn.XLOOKUP($B6,$X$10:$X$54,$AD$10:$AD$54,0,0,1),0)</f>
        <v>2462580.5199217601</v>
      </c>
      <c r="D6" s="261">
        <f t="shared" ref="D6:D35" si="1">IFERROR(_xlfn.XLOOKUP($B6,$X$10:$X$54,$AJ$10:$AJ$54,0,0,1),0)</f>
        <v>65186.463861794873</v>
      </c>
      <c r="E6" s="262">
        <f t="shared" ref="E6:E35" si="2">C6-D6</f>
        <v>2397394.0560599654</v>
      </c>
      <c r="F6" s="263">
        <f>E6*(1+0.07)^-(B6-Assumptions!$D$7)</f>
        <v>1709308.8287470501</v>
      </c>
      <c r="G6" s="32"/>
      <c r="H6" s="26" t="s">
        <v>70</v>
      </c>
      <c r="I6" s="26" t="s">
        <v>20</v>
      </c>
      <c r="J6" s="26" t="s">
        <v>21</v>
      </c>
      <c r="K6" s="26" t="s">
        <v>22</v>
      </c>
      <c r="L6" s="26" t="s">
        <v>23</v>
      </c>
      <c r="M6" s="26" t="s">
        <v>24</v>
      </c>
      <c r="AI6" s="32"/>
      <c r="AJ6" s="32"/>
      <c r="AK6" s="32"/>
      <c r="AL6" s="32"/>
      <c r="AM6" s="32"/>
      <c r="AN6" s="32"/>
      <c r="AO6" s="32"/>
      <c r="AP6" s="32"/>
    </row>
    <row r="7" spans="1:42" ht="15.75" thickBot="1" x14ac:dyDescent="0.3">
      <c r="B7" s="153">
        <f>B6+1</f>
        <v>2027</v>
      </c>
      <c r="C7" s="264">
        <f t="shared" si="0"/>
        <v>2479219.5774888024</v>
      </c>
      <c r="D7" s="264">
        <f t="shared" si="1"/>
        <v>65626.912941942093</v>
      </c>
      <c r="E7" s="265">
        <f t="shared" si="2"/>
        <v>2413592.6645468604</v>
      </c>
      <c r="F7" s="266">
        <f>E7*(1+0.07)^-(B7-Assumptions!$D$7)</f>
        <v>1608278.7034813769</v>
      </c>
      <c r="G7" s="32"/>
      <c r="H7" s="26" t="s">
        <v>44</v>
      </c>
      <c r="I7" s="31">
        <v>11800000</v>
      </c>
      <c r="J7" s="31">
        <v>564300</v>
      </c>
      <c r="K7" s="31">
        <v>153700</v>
      </c>
      <c r="L7" s="31">
        <v>78500</v>
      </c>
      <c r="M7" s="31">
        <v>4000</v>
      </c>
      <c r="X7" s="1" t="s">
        <v>833</v>
      </c>
      <c r="AI7" s="32"/>
      <c r="AJ7" s="32"/>
      <c r="AK7" s="32"/>
      <c r="AL7" s="32"/>
      <c r="AM7" s="32"/>
      <c r="AN7" s="32"/>
      <c r="AO7" s="32"/>
      <c r="AP7" s="32"/>
    </row>
    <row r="8" spans="1:42" ht="15" customHeight="1" thickBot="1" x14ac:dyDescent="0.3">
      <c r="B8" s="153">
        <f t="shared" ref="B8:B35" si="3">B7+1</f>
        <v>2028</v>
      </c>
      <c r="C8" s="264">
        <f t="shared" si="0"/>
        <v>2495858.6350558395</v>
      </c>
      <c r="D8" s="264">
        <f t="shared" si="1"/>
        <v>66067.362022089335</v>
      </c>
      <c r="E8" s="265">
        <f t="shared" si="2"/>
        <v>2429791.2730337502</v>
      </c>
      <c r="F8" s="266">
        <f>E8*(1+0.07)^-(B8-Assumptions!$D$7)</f>
        <v>1513151.8881152</v>
      </c>
      <c r="G8" s="32"/>
      <c r="X8" s="1"/>
      <c r="Y8" s="439" t="s">
        <v>36</v>
      </c>
      <c r="Z8" s="440"/>
      <c r="AA8" s="440"/>
      <c r="AB8" s="440"/>
      <c r="AC8" s="440"/>
      <c r="AD8" s="441"/>
      <c r="AE8" s="439" t="s">
        <v>14</v>
      </c>
      <c r="AF8" s="440"/>
      <c r="AG8" s="440"/>
      <c r="AH8" s="440"/>
      <c r="AI8" s="440"/>
      <c r="AJ8" s="441"/>
      <c r="AK8" s="32"/>
      <c r="AL8" s="32"/>
      <c r="AM8" s="32"/>
      <c r="AN8" s="32"/>
      <c r="AO8" s="32"/>
      <c r="AP8" s="32"/>
    </row>
    <row r="9" spans="1:42" ht="15.75" customHeight="1" x14ac:dyDescent="0.25">
      <c r="B9" s="153">
        <f t="shared" si="3"/>
        <v>2029</v>
      </c>
      <c r="C9" s="264">
        <f t="shared" si="0"/>
        <v>2512497.6926228767</v>
      </c>
      <c r="D9" s="264">
        <f t="shared" si="1"/>
        <v>66507.811102236723</v>
      </c>
      <c r="E9" s="265">
        <f t="shared" si="2"/>
        <v>2445989.8815206401</v>
      </c>
      <c r="F9" s="266">
        <f>E9*(1+0.07)^-(B9-Assumptions!$D$7)</f>
        <v>1423588.3807189721</v>
      </c>
      <c r="G9" s="32"/>
      <c r="H9" s="1" t="s">
        <v>718</v>
      </c>
      <c r="J9" s="8"/>
      <c r="K9" s="8"/>
      <c r="L9" s="8"/>
      <c r="M9" s="8"/>
      <c r="N9" s="8"/>
      <c r="X9" s="84" t="s">
        <v>33</v>
      </c>
      <c r="Y9" s="151" t="s">
        <v>20</v>
      </c>
      <c r="Z9" s="39" t="s">
        <v>21</v>
      </c>
      <c r="AA9" s="39" t="s">
        <v>22</v>
      </c>
      <c r="AB9" s="39" t="s">
        <v>23</v>
      </c>
      <c r="AC9" s="39" t="s">
        <v>83</v>
      </c>
      <c r="AD9" s="152" t="s">
        <v>136</v>
      </c>
      <c r="AE9" s="151" t="s">
        <v>20</v>
      </c>
      <c r="AF9" s="39" t="s">
        <v>21</v>
      </c>
      <c r="AG9" s="39" t="s">
        <v>22</v>
      </c>
      <c r="AH9" s="39" t="s">
        <v>23</v>
      </c>
      <c r="AI9" s="39" t="s">
        <v>83</v>
      </c>
      <c r="AJ9" s="152" t="s">
        <v>136</v>
      </c>
      <c r="AK9" s="32"/>
      <c r="AL9" s="32"/>
      <c r="AM9" s="32"/>
      <c r="AN9" s="32"/>
      <c r="AO9" s="32"/>
      <c r="AP9" s="32"/>
    </row>
    <row r="10" spans="1:42" ht="15" customHeight="1" x14ac:dyDescent="0.25">
      <c r="B10" s="153">
        <f t="shared" si="3"/>
        <v>2030</v>
      </c>
      <c r="C10" s="264">
        <f t="shared" si="0"/>
        <v>2529136.7501899195</v>
      </c>
      <c r="D10" s="264">
        <f t="shared" si="1"/>
        <v>66948.260182383936</v>
      </c>
      <c r="E10" s="265">
        <f t="shared" si="2"/>
        <v>2462188.4900075356</v>
      </c>
      <c r="F10" s="266">
        <f>E10*(1+0.07)^-(B10-Assumptions!$D$7)</f>
        <v>1339267.4003174109</v>
      </c>
      <c r="G10" s="32"/>
      <c r="H10" s="26" t="s">
        <v>33</v>
      </c>
      <c r="I10" s="26" t="s">
        <v>53</v>
      </c>
      <c r="J10" s="8"/>
      <c r="K10" s="8"/>
      <c r="L10" s="8"/>
      <c r="M10" s="8"/>
      <c r="N10" s="8"/>
      <c r="X10" s="153">
        <v>2016</v>
      </c>
      <c r="Y10" s="81">
        <f>IF(X10&gt;=(Assumptions!$D$32+1),IF(X10&lt;=Assumptions!$D$10,IF(X10&gt;=Assumptions!$D$32,TREND(I$68:I$69,$H$68:$H$69,$X10),0),0),0)</f>
        <v>0</v>
      </c>
      <c r="Z10" s="79">
        <f>IF(X10&gt;=(Assumptions!$D$32+1),IF(X10&lt;=Assumptions!$D$10,IF(X10&gt;=Assumptions!$D$32,TREND(J$68:J$69,$H$68:$H$69,$X10),0),0),0)</f>
        <v>0</v>
      </c>
      <c r="AA10" s="79">
        <f>IF(X10&gt;=(Assumptions!$D$32+1),IF(X10&lt;=Assumptions!$D$10,IF(X10&gt;=Assumptions!$D$32,TREND(K$68:K$69,$H$68:$H$69,$X10),0),0),0)</f>
        <v>0</v>
      </c>
      <c r="AB10" s="79">
        <f>IF(X10&gt;=(Assumptions!$D$32+1),IF(X10&lt;=Assumptions!$D$10,IF(X10&gt;=Assumptions!$D$32,TREND(L$68:L$69,$H$68:$H$69,$X10),0),0),0)</f>
        <v>0</v>
      </c>
      <c r="AC10" s="79">
        <f>IF(X10&gt;=(Assumptions!$D$32+1),IF(X10&lt;=Assumptions!$D$10,IF(X10&gt;=Assumptions!$D$32,TREND(M$68:M$69,$H$68:$H$69,$X10),0),0),0)</f>
        <v>0</v>
      </c>
      <c r="AD10" s="92">
        <f>SUMPRODUCT($I$7:$M$7,Y10:AC10)</f>
        <v>0</v>
      </c>
      <c r="AE10" s="81">
        <f>IF(X10&gt;=(Assumptions!$D$32+1),IF(X10&lt;=Assumptions!$D$10,IF(X10&gt;=Assumptions!$D$32,TREND(I$74:I$75,$H$74:$H$75,$X10),0),0),0)</f>
        <v>0</v>
      </c>
      <c r="AF10" s="79">
        <f>IF(X10&gt;=(Assumptions!$D$32+1),IF(X10&lt;=Assumptions!$D$10,IF(X10&gt;=Assumptions!$D$32,TREND(J$74:J$75,$H$74:$H$75,$X10),0),0),0)</f>
        <v>0</v>
      </c>
      <c r="AG10" s="79">
        <f>IF(X10&gt;=(Assumptions!$D$32+1),IF(X10&lt;=Assumptions!$D$10,IF(X10&gt;=Assumptions!$D$32,TREND(K$74:K$75,$H$74:$H$75,$X10),0),0),0)</f>
        <v>0</v>
      </c>
      <c r="AH10" s="79">
        <f>IF(X10&gt;=(Assumptions!$D$32+1),IF(X10&lt;=Assumptions!$D$10,IF(X10&gt;=Assumptions!$D$32,TREND(L$74:L$75,$H$74:$H$75,$X10),0),0),0)</f>
        <v>0</v>
      </c>
      <c r="AI10" s="79">
        <f>IF(X10&gt;=(Assumptions!$D$32+1),IF(X10&lt;=Assumptions!$D$10,IF(X10&gt;=Assumptions!$D$32,TREND(M$74:M$75,$H$74:$H$75,$X10),0),0),0)</f>
        <v>0</v>
      </c>
      <c r="AJ10" s="92">
        <f>SUMPRODUCT($I$7:$M$7,AE10:AI10)</f>
        <v>0</v>
      </c>
      <c r="AK10" s="32"/>
      <c r="AL10" s="32"/>
      <c r="AM10" s="32"/>
      <c r="AN10" s="32"/>
      <c r="AO10" s="32"/>
      <c r="AP10" s="32"/>
    </row>
    <row r="11" spans="1:42" x14ac:dyDescent="0.25">
      <c r="B11" s="153">
        <f t="shared" si="3"/>
        <v>2031</v>
      </c>
      <c r="C11" s="264">
        <f t="shared" si="0"/>
        <v>2545775.8077569553</v>
      </c>
      <c r="D11" s="264">
        <f t="shared" si="1"/>
        <v>67388.709262531178</v>
      </c>
      <c r="E11" s="265">
        <f t="shared" si="2"/>
        <v>2478387.098494424</v>
      </c>
      <c r="F11" s="266">
        <f>E11*(1+0.07)^-(B11-Assumptions!$D$7)</f>
        <v>1259886.3271554576</v>
      </c>
      <c r="G11" s="32"/>
      <c r="H11" s="26">
        <f>Assumptions!$C$33</f>
        <v>2022</v>
      </c>
      <c r="I11" s="28">
        <f>Assumptions!$D$33</f>
        <v>205</v>
      </c>
      <c r="J11" s="8"/>
      <c r="K11" s="8"/>
      <c r="L11" s="8"/>
      <c r="M11" s="8"/>
      <c r="N11" s="8"/>
      <c r="X11" s="153">
        <v>2017</v>
      </c>
      <c r="Y11" s="81">
        <f>IF(X11&gt;=(Assumptions!$D$32+1),IF(X11&lt;=Assumptions!$D$10,IF(X11&gt;=Assumptions!$D$32,TREND(I$68:I$69,$H$68:$H$69,$X11),0),0),0)</f>
        <v>0</v>
      </c>
      <c r="Z11" s="79">
        <f>IF(X11&gt;=(Assumptions!$D$32+1),IF(X11&lt;=Assumptions!$D$10,IF(X11&gt;=Assumptions!$D$32,TREND(J$68:J$69,$H$68:$H$69,$X11),0),0),0)</f>
        <v>0</v>
      </c>
      <c r="AA11" s="79">
        <f>IF(X11&gt;=(Assumptions!$D$32+1),IF(X11&lt;=Assumptions!$D$10,IF(X11&gt;=Assumptions!$D$32,TREND(K$68:K$69,$H$68:$H$69,$X11),0),0),0)</f>
        <v>0</v>
      </c>
      <c r="AB11" s="79">
        <f>IF(X11&gt;=(Assumptions!$D$32+1),IF(X11&lt;=Assumptions!$D$10,IF(X11&gt;=Assumptions!$D$32,TREND(L$68:L$69,$H$68:$H$69,$X11),0),0),0)</f>
        <v>0</v>
      </c>
      <c r="AC11" s="79">
        <f>IF(X11&gt;=(Assumptions!$D$32+1),IF(X11&lt;=Assumptions!$D$10,IF(X11&gt;=Assumptions!$D$32,TREND(M$68:M$69,$H$68:$H$69,$X11),0),0),0)</f>
        <v>0</v>
      </c>
      <c r="AD11" s="92">
        <f t="shared" ref="AD11:AD54" si="4">SUMPRODUCT($I$7:$M$7,Y11:AC11)</f>
        <v>0</v>
      </c>
      <c r="AE11" s="81">
        <f>IF(X11&gt;=(Assumptions!$D$32+1),IF(X11&lt;=Assumptions!$D$10,IF(X11&gt;=Assumptions!$D$32,TREND(I$74:I$75,$H$74:$H$75,$X11),0),0),0)</f>
        <v>0</v>
      </c>
      <c r="AF11" s="79">
        <f>IF(X11&gt;=(Assumptions!$D$32+1),IF(X11&lt;=Assumptions!$D$10,IF(X11&gt;=Assumptions!$D$32,TREND(J$74:J$75,$H$74:$H$75,$X11),0),0),0)</f>
        <v>0</v>
      </c>
      <c r="AG11" s="79">
        <f>IF(X11&gt;=(Assumptions!$D$32+1),IF(X11&lt;=Assumptions!$D$10,IF(X11&gt;=Assumptions!$D$32,TREND(K$74:K$75,$H$74:$H$75,$X11),0),0),0)</f>
        <v>0</v>
      </c>
      <c r="AH11" s="79">
        <f>IF(X11&gt;=(Assumptions!$D$32+1),IF(X11&lt;=Assumptions!$D$10,IF(X11&gt;=Assumptions!$D$32,TREND(L$74:L$75,$H$74:$H$75,$X11),0),0),0)</f>
        <v>0</v>
      </c>
      <c r="AI11" s="79">
        <f>IF(X11&gt;=(Assumptions!$D$32+1),IF(X11&lt;=Assumptions!$D$10,IF(X11&gt;=Assumptions!$D$32,TREND(M$74:M$75,$H$74:$H$75,$X11),0),0),0)</f>
        <v>0</v>
      </c>
      <c r="AJ11" s="92">
        <f t="shared" ref="AJ11:AJ54" si="5">SUMPRODUCT($I$7:$M$7,AE11:AI11)</f>
        <v>0</v>
      </c>
      <c r="AK11" s="32"/>
      <c r="AL11" s="32"/>
      <c r="AM11" s="32"/>
      <c r="AN11" s="32"/>
      <c r="AO11" s="32"/>
      <c r="AP11" s="32"/>
    </row>
    <row r="12" spans="1:42" x14ac:dyDescent="0.25">
      <c r="B12" s="153">
        <f t="shared" si="3"/>
        <v>2032</v>
      </c>
      <c r="C12" s="264">
        <f t="shared" si="0"/>
        <v>2562414.8653239929</v>
      </c>
      <c r="D12" s="264">
        <f t="shared" si="1"/>
        <v>67829.158342678405</v>
      </c>
      <c r="E12" s="265">
        <f t="shared" si="2"/>
        <v>2494585.7069813143</v>
      </c>
      <c r="F12" s="266">
        <f>E12*(1+0.07)^-(B12-Assumptions!$D$7)</f>
        <v>1185159.6993582575</v>
      </c>
      <c r="G12" s="32"/>
      <c r="H12" s="26">
        <f>Assumptions!$C$34</f>
        <v>2039</v>
      </c>
      <c r="I12" s="28">
        <f>Assumptions!$D$34</f>
        <v>229.20138888888889</v>
      </c>
      <c r="J12" s="8"/>
      <c r="K12" s="8"/>
      <c r="L12" s="8"/>
      <c r="M12" s="8"/>
      <c r="N12" s="8"/>
      <c r="X12" s="153">
        <v>2018</v>
      </c>
      <c r="Y12" s="81">
        <f>IF(X12&gt;=(Assumptions!$D$32+1),IF(X12&lt;=Assumptions!$D$10,IF(X12&gt;=Assumptions!$D$32,TREND(I$68:I$69,$H$68:$H$69,$X12),0),0),0)</f>
        <v>0</v>
      </c>
      <c r="Z12" s="79">
        <f>IF(X12&gt;=(Assumptions!$D$32+1),IF(X12&lt;=Assumptions!$D$10,IF(X12&gt;=Assumptions!$D$32,TREND(J$68:J$69,$H$68:$H$69,$X12),0),0),0)</f>
        <v>0</v>
      </c>
      <c r="AA12" s="79">
        <f>IF(X12&gt;=(Assumptions!$D$32+1),IF(X12&lt;=Assumptions!$D$10,IF(X12&gt;=Assumptions!$D$32,TREND(K$68:K$69,$H$68:$H$69,$X12),0),0),0)</f>
        <v>0</v>
      </c>
      <c r="AB12" s="79">
        <f>IF(X12&gt;=(Assumptions!$D$32+1),IF(X12&lt;=Assumptions!$D$10,IF(X12&gt;=Assumptions!$D$32,TREND(L$68:L$69,$H$68:$H$69,$X12),0),0),0)</f>
        <v>0</v>
      </c>
      <c r="AC12" s="79">
        <f>IF(X12&gt;=(Assumptions!$D$32+1),IF(X12&lt;=Assumptions!$D$10,IF(X12&gt;=Assumptions!$D$32,TREND(M$68:M$69,$H$68:$H$69,$X12),0),0),0)</f>
        <v>0</v>
      </c>
      <c r="AD12" s="92">
        <f t="shared" si="4"/>
        <v>0</v>
      </c>
      <c r="AE12" s="81">
        <f>IF(X12&gt;=(Assumptions!$D$32+1),IF(X12&lt;=Assumptions!$D$10,IF(X12&gt;=Assumptions!$D$32,TREND(I$74:I$75,$H$74:$H$75,$X12),0),0),0)</f>
        <v>0</v>
      </c>
      <c r="AF12" s="79">
        <f>IF(X12&gt;=(Assumptions!$D$32+1),IF(X12&lt;=Assumptions!$D$10,IF(X12&gt;=Assumptions!$D$32,TREND(J$74:J$75,$H$74:$H$75,$X12),0),0),0)</f>
        <v>0</v>
      </c>
      <c r="AG12" s="79">
        <f>IF(X12&gt;=(Assumptions!$D$32+1),IF(X12&lt;=Assumptions!$D$10,IF(X12&gt;=Assumptions!$D$32,TREND(K$74:K$75,$H$74:$H$75,$X12),0),0),0)</f>
        <v>0</v>
      </c>
      <c r="AH12" s="79">
        <f>IF(X12&gt;=(Assumptions!$D$32+1),IF(X12&lt;=Assumptions!$D$10,IF(X12&gt;=Assumptions!$D$32,TREND(L$74:L$75,$H$74:$H$75,$X12),0),0),0)</f>
        <v>0</v>
      </c>
      <c r="AI12" s="79">
        <f>IF(X12&gt;=(Assumptions!$D$32+1),IF(X12&lt;=Assumptions!$D$10,IF(X12&gt;=Assumptions!$D$32,TREND(M$74:M$75,$H$74:$H$75,$X12),0),0),0)</f>
        <v>0</v>
      </c>
      <c r="AJ12" s="92">
        <f t="shared" si="5"/>
        <v>0</v>
      </c>
      <c r="AK12" s="32"/>
      <c r="AL12" s="32"/>
      <c r="AM12" s="32"/>
      <c r="AN12" s="32"/>
      <c r="AO12" s="32"/>
      <c r="AP12" s="32"/>
    </row>
    <row r="13" spans="1:42" x14ac:dyDescent="0.25">
      <c r="B13" s="153">
        <f t="shared" si="3"/>
        <v>2033</v>
      </c>
      <c r="C13" s="264">
        <f t="shared" si="0"/>
        <v>2579053.9228910352</v>
      </c>
      <c r="D13" s="264">
        <f t="shared" si="1"/>
        <v>68269.607422825793</v>
      </c>
      <c r="E13" s="265">
        <f t="shared" si="2"/>
        <v>2510784.3154682093</v>
      </c>
      <c r="F13" s="266">
        <f>E13*(1+0.07)^-(B13-Assumptions!$D$7)</f>
        <v>1114818.263141948</v>
      </c>
      <c r="G13" s="32"/>
      <c r="H13" s="8"/>
      <c r="I13" s="8"/>
      <c r="J13" s="8"/>
      <c r="K13" s="8"/>
      <c r="L13" s="8"/>
      <c r="M13" s="8"/>
      <c r="N13" s="8"/>
      <c r="X13" s="153">
        <v>2019</v>
      </c>
      <c r="Y13" s="81">
        <f>IF(X13&gt;=(Assumptions!$D$32+1),IF(X13&lt;=Assumptions!$D$10,IF(X13&gt;=Assumptions!$D$32,TREND(I$68:I$69,$H$68:$H$69,$X13),0),0),0)</f>
        <v>0</v>
      </c>
      <c r="Z13" s="79">
        <f>IF(X13&gt;=(Assumptions!$D$32+1),IF(X13&lt;=Assumptions!$D$10,IF(X13&gt;=Assumptions!$D$32,TREND(J$68:J$69,$H$68:$H$69,$X13),0),0),0)</f>
        <v>0</v>
      </c>
      <c r="AA13" s="79">
        <f>IF(X13&gt;=(Assumptions!$D$32+1),IF(X13&lt;=Assumptions!$D$10,IF(X13&gt;=Assumptions!$D$32,TREND(K$68:K$69,$H$68:$H$69,$X13),0),0),0)</f>
        <v>0</v>
      </c>
      <c r="AB13" s="79">
        <f>IF(X13&gt;=(Assumptions!$D$32+1),IF(X13&lt;=Assumptions!$D$10,IF(X13&gt;=Assumptions!$D$32,TREND(L$68:L$69,$H$68:$H$69,$X13),0),0),0)</f>
        <v>0</v>
      </c>
      <c r="AC13" s="79">
        <f>IF(X13&gt;=(Assumptions!$D$32+1),IF(X13&lt;=Assumptions!$D$10,IF(X13&gt;=Assumptions!$D$32,TREND(M$68:M$69,$H$68:$H$69,$X13),0),0),0)</f>
        <v>0</v>
      </c>
      <c r="AD13" s="92">
        <f t="shared" si="4"/>
        <v>0</v>
      </c>
      <c r="AE13" s="81">
        <f>IF(X13&gt;=(Assumptions!$D$32+1),IF(X13&lt;=Assumptions!$D$10,IF(X13&gt;=Assumptions!$D$32,TREND(I$74:I$75,$H$74:$H$75,$X13),0),0),0)</f>
        <v>0</v>
      </c>
      <c r="AF13" s="79">
        <f>IF(X13&gt;=(Assumptions!$D$32+1),IF(X13&lt;=Assumptions!$D$10,IF(X13&gt;=Assumptions!$D$32,TREND(J$74:J$75,$H$74:$H$75,$X13),0),0),0)</f>
        <v>0</v>
      </c>
      <c r="AG13" s="79">
        <f>IF(X13&gt;=(Assumptions!$D$32+1),IF(X13&lt;=Assumptions!$D$10,IF(X13&gt;=Assumptions!$D$32,TREND(K$74:K$75,$H$74:$H$75,$X13),0),0),0)</f>
        <v>0</v>
      </c>
      <c r="AH13" s="79">
        <f>IF(X13&gt;=(Assumptions!$D$32+1),IF(X13&lt;=Assumptions!$D$10,IF(X13&gt;=Assumptions!$D$32,TREND(L$74:L$75,$H$74:$H$75,$X13),0),0),0)</f>
        <v>0</v>
      </c>
      <c r="AI13" s="79">
        <f>IF(X13&gt;=(Assumptions!$D$32+1),IF(X13&lt;=Assumptions!$D$10,IF(X13&gt;=Assumptions!$D$32,TREND(M$74:M$75,$H$74:$H$75,$X13),0),0),0)</f>
        <v>0</v>
      </c>
      <c r="AJ13" s="92">
        <f t="shared" si="5"/>
        <v>0</v>
      </c>
      <c r="AK13" s="32"/>
      <c r="AL13" s="32"/>
      <c r="AM13" s="32"/>
      <c r="AN13" s="32"/>
      <c r="AO13" s="32"/>
      <c r="AP13" s="32"/>
    </row>
    <row r="14" spans="1:42" ht="15" customHeight="1" x14ac:dyDescent="0.25">
      <c r="B14" s="153">
        <f t="shared" si="3"/>
        <v>2034</v>
      </c>
      <c r="C14" s="264">
        <f t="shared" si="0"/>
        <v>2595692.9804580724</v>
      </c>
      <c r="D14" s="264">
        <f t="shared" si="1"/>
        <v>68710.056502973006</v>
      </c>
      <c r="E14" s="265">
        <f t="shared" si="2"/>
        <v>2526982.9239550992</v>
      </c>
      <c r="F14" s="266">
        <f>E14*(1+0.07)^-(B14-Assumptions!$D$7)</f>
        <v>1048608.0738627901</v>
      </c>
      <c r="G14" s="32"/>
      <c r="H14" s="1" t="s">
        <v>762</v>
      </c>
      <c r="X14" s="153">
        <v>2020</v>
      </c>
      <c r="Y14" s="81">
        <f>IF(X14&gt;=(Assumptions!$D$32+1),IF(X14&lt;=Assumptions!$D$10,IF(X14&gt;=Assumptions!$D$32,TREND(I$68:I$69,$H$68:$H$69,$X14),0),0),0)</f>
        <v>0</v>
      </c>
      <c r="Z14" s="79">
        <f>IF(X14&gt;=(Assumptions!$D$32+1),IF(X14&lt;=Assumptions!$D$10,IF(X14&gt;=Assumptions!$D$32,TREND(J$68:J$69,$H$68:$H$69,$X14),0),0),0)</f>
        <v>0</v>
      </c>
      <c r="AA14" s="79">
        <f>IF(X14&gt;=(Assumptions!$D$32+1),IF(X14&lt;=Assumptions!$D$10,IF(X14&gt;=Assumptions!$D$32,TREND(K$68:K$69,$H$68:$H$69,$X14),0),0),0)</f>
        <v>0</v>
      </c>
      <c r="AB14" s="79">
        <f>IF(X14&gt;=(Assumptions!$D$32+1),IF(X14&lt;=Assumptions!$D$10,IF(X14&gt;=Assumptions!$D$32,TREND(L$68:L$69,$H$68:$H$69,$X14),0),0),0)</f>
        <v>0</v>
      </c>
      <c r="AC14" s="79">
        <f>IF(X14&gt;=(Assumptions!$D$32+1),IF(X14&lt;=Assumptions!$D$10,IF(X14&gt;=Assumptions!$D$32,TREND(M$68:M$69,$H$68:$H$69,$X14),0),0),0)</f>
        <v>0</v>
      </c>
      <c r="AD14" s="92">
        <f t="shared" si="4"/>
        <v>0</v>
      </c>
      <c r="AE14" s="81">
        <f>IF(X14&gt;=(Assumptions!$D$32+1),IF(X14&lt;=Assumptions!$D$10,IF(X14&gt;=Assumptions!$D$32,TREND(I$74:I$75,$H$74:$H$75,$X14),0),0),0)</f>
        <v>0</v>
      </c>
      <c r="AF14" s="79">
        <f>IF(X14&gt;=(Assumptions!$D$32+1),IF(X14&lt;=Assumptions!$D$10,IF(X14&gt;=Assumptions!$D$32,TREND(J$74:J$75,$H$74:$H$75,$X14),0),0),0)</f>
        <v>0</v>
      </c>
      <c r="AG14" s="79">
        <f>IF(X14&gt;=(Assumptions!$D$32+1),IF(X14&lt;=Assumptions!$D$10,IF(X14&gt;=Assumptions!$D$32,TREND(K$74:K$75,$H$74:$H$75,$X14),0),0),0)</f>
        <v>0</v>
      </c>
      <c r="AH14" s="79">
        <f>IF(X14&gt;=(Assumptions!$D$32+1),IF(X14&lt;=Assumptions!$D$10,IF(X14&gt;=Assumptions!$D$32,TREND(L$74:L$75,$H$74:$H$75,$X14),0),0),0)</f>
        <v>0</v>
      </c>
      <c r="AI14" s="79">
        <f>IF(X14&gt;=(Assumptions!$D$32+1),IF(X14&lt;=Assumptions!$D$10,IF(X14&gt;=Assumptions!$D$32,TREND(M$74:M$75,$H$74:$H$75,$X14),0),0),0)</f>
        <v>0</v>
      </c>
      <c r="AJ14" s="92">
        <f t="shared" si="5"/>
        <v>0</v>
      </c>
      <c r="AK14" s="32"/>
      <c r="AL14" s="32"/>
      <c r="AM14" s="32"/>
      <c r="AN14" s="32"/>
      <c r="AO14" s="32"/>
      <c r="AP14" s="32"/>
    </row>
    <row r="15" spans="1:42" x14ac:dyDescent="0.25">
      <c r="B15" s="153">
        <f t="shared" si="3"/>
        <v>2035</v>
      </c>
      <c r="C15" s="264">
        <f t="shared" si="0"/>
        <v>2612332.0380251096</v>
      </c>
      <c r="D15" s="264">
        <f t="shared" si="1"/>
        <v>69150.505583120248</v>
      </c>
      <c r="E15" s="265">
        <f t="shared" si="2"/>
        <v>2543181.5324419895</v>
      </c>
      <c r="F15" s="266">
        <f>E15*(1+0.07)^-(B15-Assumptions!$D$7)</f>
        <v>986289.64531786472</v>
      </c>
      <c r="G15" s="32"/>
      <c r="H15" s="199" t="s">
        <v>714</v>
      </c>
      <c r="X15" s="153">
        <v>2021</v>
      </c>
      <c r="Y15" s="81">
        <f>IF(X15&gt;=(Assumptions!$D$32+1),IF(X15&lt;=Assumptions!$D$10,IF(X15&gt;=Assumptions!$D$32,TREND(I$68:I$69,$H$68:$H$69,$X15),0),0),0)</f>
        <v>0</v>
      </c>
      <c r="Z15" s="79">
        <f>IF(X15&gt;=(Assumptions!$D$32+1),IF(X15&lt;=Assumptions!$D$10,IF(X15&gt;=Assumptions!$D$32,TREND(J$68:J$69,$H$68:$H$69,$X15),0),0),0)</f>
        <v>0</v>
      </c>
      <c r="AA15" s="79">
        <f>IF(X15&gt;=(Assumptions!$D$32+1),IF(X15&lt;=Assumptions!$D$10,IF(X15&gt;=Assumptions!$D$32,TREND(K$68:K$69,$H$68:$H$69,$X15),0),0),0)</f>
        <v>0</v>
      </c>
      <c r="AB15" s="79">
        <f>IF(X15&gt;=(Assumptions!$D$32+1),IF(X15&lt;=Assumptions!$D$10,IF(X15&gt;=Assumptions!$D$32,TREND(L$68:L$69,$H$68:$H$69,$X15),0),0),0)</f>
        <v>0</v>
      </c>
      <c r="AC15" s="79">
        <f>IF(X15&gt;=(Assumptions!$D$32+1),IF(X15&lt;=Assumptions!$D$10,IF(X15&gt;=Assumptions!$D$32,TREND(M$68:M$69,$H$68:$H$69,$X15),0),0),0)</f>
        <v>0</v>
      </c>
      <c r="AD15" s="92">
        <f t="shared" si="4"/>
        <v>0</v>
      </c>
      <c r="AE15" s="81">
        <f>IF(X15&gt;=(Assumptions!$D$32+1),IF(X15&lt;=Assumptions!$D$10,IF(X15&gt;=Assumptions!$D$32,TREND(I$74:I$75,$H$74:$H$75,$X15),0),0),0)</f>
        <v>0</v>
      </c>
      <c r="AF15" s="79">
        <f>IF(X15&gt;=(Assumptions!$D$32+1),IF(X15&lt;=Assumptions!$D$10,IF(X15&gt;=Assumptions!$D$32,TREND(J$74:J$75,$H$74:$H$75,$X15),0),0),0)</f>
        <v>0</v>
      </c>
      <c r="AG15" s="79">
        <f>IF(X15&gt;=(Assumptions!$D$32+1),IF(X15&lt;=Assumptions!$D$10,IF(X15&gt;=Assumptions!$D$32,TREND(K$74:K$75,$H$74:$H$75,$X15),0),0),0)</f>
        <v>0</v>
      </c>
      <c r="AH15" s="79">
        <f>IF(X15&gt;=(Assumptions!$D$32+1),IF(X15&lt;=Assumptions!$D$10,IF(X15&gt;=Assumptions!$D$32,TREND(L$74:L$75,$H$74:$H$75,$X15),0),0),0)</f>
        <v>0</v>
      </c>
      <c r="AI15" s="79">
        <f>IF(X15&gt;=(Assumptions!$D$32+1),IF(X15&lt;=Assumptions!$D$10,IF(X15&gt;=Assumptions!$D$32,TREND(M$74:M$75,$H$74:$H$75,$X15),0),0),0)</f>
        <v>0</v>
      </c>
      <c r="AJ15" s="92">
        <f t="shared" si="5"/>
        <v>0</v>
      </c>
      <c r="AK15" s="32"/>
      <c r="AL15" s="32"/>
      <c r="AM15" s="32"/>
      <c r="AN15" s="32"/>
      <c r="AO15" s="32"/>
      <c r="AP15" s="32"/>
    </row>
    <row r="16" spans="1:42" x14ac:dyDescent="0.25">
      <c r="B16" s="153">
        <f t="shared" si="3"/>
        <v>2036</v>
      </c>
      <c r="C16" s="264">
        <f t="shared" si="0"/>
        <v>2628971.0955921519</v>
      </c>
      <c r="D16" s="264">
        <f t="shared" si="1"/>
        <v>69590.954663267476</v>
      </c>
      <c r="E16" s="265">
        <f t="shared" si="2"/>
        <v>2559380.1409288845</v>
      </c>
      <c r="F16" s="266">
        <f>E16*(1+0.07)^-(B16-Assumptions!$D$7)</f>
        <v>927637.14483137568</v>
      </c>
      <c r="G16" s="32"/>
      <c r="H16" s="175" t="s">
        <v>712</v>
      </c>
      <c r="I16" s="8"/>
      <c r="J16" s="8"/>
      <c r="K16" s="8"/>
      <c r="L16" s="8"/>
      <c r="M16" s="8"/>
      <c r="N16" s="8"/>
      <c r="O16" s="8"/>
      <c r="P16" s="8"/>
      <c r="Q16" s="8"/>
      <c r="R16" s="8"/>
      <c r="S16" s="8"/>
      <c r="T16" s="8"/>
      <c r="X16" s="153">
        <v>2022</v>
      </c>
      <c r="Y16" s="81">
        <f>IF(X16&gt;=(Assumptions!$D$32+1),IF(X16&lt;=Assumptions!$D$10,IF(X16&gt;=Assumptions!$D$32,TREND(I$68:I$69,$H$68:$H$69,$X16),0),0),0)</f>
        <v>0</v>
      </c>
      <c r="Z16" s="79">
        <f>IF(X16&gt;=(Assumptions!$D$32+1),IF(X16&lt;=Assumptions!$D$10,IF(X16&gt;=Assumptions!$D$32,TREND(J$68:J$69,$H$68:$H$69,$X16),0),0),0)</f>
        <v>0</v>
      </c>
      <c r="AA16" s="79">
        <f>IF(X16&gt;=(Assumptions!$D$32+1),IF(X16&lt;=Assumptions!$D$10,IF(X16&gt;=Assumptions!$D$32,TREND(K$68:K$69,$H$68:$H$69,$X16),0),0),0)</f>
        <v>0</v>
      </c>
      <c r="AB16" s="79">
        <f>IF(X16&gt;=(Assumptions!$D$32+1),IF(X16&lt;=Assumptions!$D$10,IF(X16&gt;=Assumptions!$D$32,TREND(L$68:L$69,$H$68:$H$69,$X16),0),0),0)</f>
        <v>0</v>
      </c>
      <c r="AC16" s="79">
        <f>IF(X16&gt;=(Assumptions!$D$32+1),IF(X16&lt;=Assumptions!$D$10,IF(X16&gt;=Assumptions!$D$32,TREND(M$68:M$69,$H$68:$H$69,$X16),0),0),0)</f>
        <v>0</v>
      </c>
      <c r="AD16" s="92">
        <f t="shared" si="4"/>
        <v>0</v>
      </c>
      <c r="AE16" s="81">
        <f>IF(X16&gt;=(Assumptions!$D$32+1),IF(X16&lt;=Assumptions!$D$10,IF(X16&gt;=Assumptions!$D$32,TREND(I$74:I$75,$H$74:$H$75,$X16),0),0),0)</f>
        <v>0</v>
      </c>
      <c r="AF16" s="79">
        <f>IF(X16&gt;=(Assumptions!$D$32+1),IF(X16&lt;=Assumptions!$D$10,IF(X16&gt;=Assumptions!$D$32,TREND(J$74:J$75,$H$74:$H$75,$X16),0),0),0)</f>
        <v>0</v>
      </c>
      <c r="AG16" s="79">
        <f>IF(X16&gt;=(Assumptions!$D$32+1),IF(X16&lt;=Assumptions!$D$10,IF(X16&gt;=Assumptions!$D$32,TREND(K$74:K$75,$H$74:$H$75,$X16),0),0),0)</f>
        <v>0</v>
      </c>
      <c r="AH16" s="79">
        <f>IF(X16&gt;=(Assumptions!$D$32+1),IF(X16&lt;=Assumptions!$D$10,IF(X16&gt;=Assumptions!$D$32,TREND(L$74:L$75,$H$74:$H$75,$X16),0),0),0)</f>
        <v>0</v>
      </c>
      <c r="AI16" s="79">
        <f>IF(X16&gt;=(Assumptions!$D$32+1),IF(X16&lt;=Assumptions!$D$10,IF(X16&gt;=Assumptions!$D$32,TREND(M$74:M$75,$H$74:$H$75,$X16),0),0),0)</f>
        <v>0</v>
      </c>
      <c r="AJ16" s="92">
        <f t="shared" si="5"/>
        <v>0</v>
      </c>
      <c r="AK16" s="32"/>
      <c r="AL16" s="32"/>
      <c r="AM16" s="32"/>
      <c r="AN16" s="32"/>
      <c r="AO16" s="32"/>
      <c r="AP16" s="32"/>
    </row>
    <row r="17" spans="1:42" ht="15" customHeight="1" x14ac:dyDescent="0.25">
      <c r="B17" s="153">
        <f t="shared" si="3"/>
        <v>2037</v>
      </c>
      <c r="C17" s="264">
        <f t="shared" si="0"/>
        <v>2645610.153159189</v>
      </c>
      <c r="D17" s="264">
        <f t="shared" si="1"/>
        <v>70031.403743414849</v>
      </c>
      <c r="E17" s="265">
        <f t="shared" si="2"/>
        <v>2575578.7494157744</v>
      </c>
      <c r="F17" s="266">
        <f>E17*(1+0.07)^-(B17-Assumptions!$D$7)</f>
        <v>872437.63177681691</v>
      </c>
      <c r="G17" s="32"/>
      <c r="H17" s="219" t="s">
        <v>715</v>
      </c>
      <c r="I17" s="8"/>
      <c r="J17" s="8"/>
      <c r="K17" s="8"/>
      <c r="L17" s="8"/>
      <c r="M17" s="8"/>
      <c r="N17" s="8"/>
      <c r="X17" s="153">
        <v>2023</v>
      </c>
      <c r="Y17" s="81">
        <f>IF(X17&gt;=(Assumptions!$D$32+1),IF(X17&lt;=Assumptions!$D$10,IF(X17&gt;=Assumptions!$D$32,TREND(I$68:I$69,$H$68:$H$69,$X17),0),0),0)</f>
        <v>0</v>
      </c>
      <c r="Z17" s="79">
        <f>IF(X17&gt;=(Assumptions!$D$32+1),IF(X17&lt;=Assumptions!$D$10,IF(X17&gt;=Assumptions!$D$32,TREND(J$68:J$69,$H$68:$H$69,$X17),0),0),0)</f>
        <v>0</v>
      </c>
      <c r="AA17" s="79">
        <f>IF(X17&gt;=(Assumptions!$D$32+1),IF(X17&lt;=Assumptions!$D$10,IF(X17&gt;=Assumptions!$D$32,TREND(K$68:K$69,$H$68:$H$69,$X17),0),0),0)</f>
        <v>0</v>
      </c>
      <c r="AB17" s="79">
        <f>IF(X17&gt;=(Assumptions!$D$32+1),IF(X17&lt;=Assumptions!$D$10,IF(X17&gt;=Assumptions!$D$32,TREND(L$68:L$69,$H$68:$H$69,$X17),0),0),0)</f>
        <v>0</v>
      </c>
      <c r="AC17" s="79">
        <f>IF(X17&gt;=(Assumptions!$D$32+1),IF(X17&lt;=Assumptions!$D$10,IF(X17&gt;=Assumptions!$D$32,TREND(M$68:M$69,$H$68:$H$69,$X17),0),0),0)</f>
        <v>0</v>
      </c>
      <c r="AD17" s="92">
        <f t="shared" si="4"/>
        <v>0</v>
      </c>
      <c r="AE17" s="81">
        <f>IF(X17&gt;=(Assumptions!$D$32+1),IF(X17&lt;=Assumptions!$D$10,IF(X17&gt;=Assumptions!$D$32,TREND(I$74:I$75,$H$74:$H$75,$X17),0),0),0)</f>
        <v>0</v>
      </c>
      <c r="AF17" s="79">
        <f>IF(X17&gt;=(Assumptions!$D$32+1),IF(X17&lt;=Assumptions!$D$10,IF(X17&gt;=Assumptions!$D$32,TREND(J$74:J$75,$H$74:$H$75,$X17),0),0),0)</f>
        <v>0</v>
      </c>
      <c r="AG17" s="79">
        <f>IF(X17&gt;=(Assumptions!$D$32+1),IF(X17&lt;=Assumptions!$D$10,IF(X17&gt;=Assumptions!$D$32,TREND(K$74:K$75,$H$74:$H$75,$X17),0),0),0)</f>
        <v>0</v>
      </c>
      <c r="AH17" s="79">
        <f>IF(X17&gt;=(Assumptions!$D$32+1),IF(X17&lt;=Assumptions!$D$10,IF(X17&gt;=Assumptions!$D$32,TREND(L$74:L$75,$H$74:$H$75,$X17),0),0),0)</f>
        <v>0</v>
      </c>
      <c r="AI17" s="79">
        <f>IF(X17&gt;=(Assumptions!$D$32+1),IF(X17&lt;=Assumptions!$D$10,IF(X17&gt;=Assumptions!$D$32,TREND(M$74:M$75,$H$74:$H$75,$X17),0),0),0)</f>
        <v>0</v>
      </c>
      <c r="AJ17" s="92">
        <f t="shared" si="5"/>
        <v>0</v>
      </c>
      <c r="AK17" s="32"/>
      <c r="AL17" s="32"/>
      <c r="AM17" s="32"/>
      <c r="AN17" s="32"/>
      <c r="AO17" s="32"/>
      <c r="AP17" s="32"/>
    </row>
    <row r="18" spans="1:42" ht="15" customHeight="1" x14ac:dyDescent="0.25">
      <c r="B18" s="153">
        <f t="shared" si="3"/>
        <v>2038</v>
      </c>
      <c r="C18" s="264">
        <f t="shared" si="0"/>
        <v>2662249.2107262267</v>
      </c>
      <c r="D18" s="264">
        <f t="shared" si="1"/>
        <v>70471.852823562076</v>
      </c>
      <c r="E18" s="265">
        <f t="shared" si="2"/>
        <v>2591777.3579026647</v>
      </c>
      <c r="F18" s="266">
        <f>E18*(1+0.07)^-(B18-Assumptions!$D$7)</f>
        <v>820490.33729671803</v>
      </c>
      <c r="G18" s="32"/>
      <c r="H18" s="198" t="s">
        <v>713</v>
      </c>
      <c r="I18" s="8"/>
      <c r="J18" s="8"/>
      <c r="K18" s="8"/>
      <c r="L18" s="8"/>
      <c r="M18" s="8"/>
      <c r="N18" s="8"/>
      <c r="X18" s="153">
        <v>2024</v>
      </c>
      <c r="Y18" s="81">
        <f>IF(X18&gt;=(Assumptions!$D$32+1),IF(X18&lt;=Assumptions!$D$10,IF(X18&gt;=Assumptions!$D$32,TREND(I$68:I$69,$H$68:$H$69,$X18),0),0),0)</f>
        <v>0</v>
      </c>
      <c r="Z18" s="79">
        <f>IF(X18&gt;=(Assumptions!$D$32+1),IF(X18&lt;=Assumptions!$D$10,IF(X18&gt;=Assumptions!$D$32,TREND(J$68:J$69,$H$68:$H$69,$X18),0),0),0)</f>
        <v>0</v>
      </c>
      <c r="AA18" s="79">
        <f>IF(X18&gt;=(Assumptions!$D$32+1),IF(X18&lt;=Assumptions!$D$10,IF(X18&gt;=Assumptions!$D$32,TREND(K$68:K$69,$H$68:$H$69,$X18),0),0),0)</f>
        <v>0</v>
      </c>
      <c r="AB18" s="79">
        <f>IF(X18&gt;=(Assumptions!$D$32+1),IF(X18&lt;=Assumptions!$D$10,IF(X18&gt;=Assumptions!$D$32,TREND(L$68:L$69,$H$68:$H$69,$X18),0),0),0)</f>
        <v>0</v>
      </c>
      <c r="AC18" s="79">
        <f>IF(X18&gt;=(Assumptions!$D$32+1),IF(X18&lt;=Assumptions!$D$10,IF(X18&gt;=Assumptions!$D$32,TREND(M$68:M$69,$H$68:$H$69,$X18),0),0),0)</f>
        <v>0</v>
      </c>
      <c r="AD18" s="92">
        <f t="shared" si="4"/>
        <v>0</v>
      </c>
      <c r="AE18" s="81">
        <f>IF(X18&gt;=(Assumptions!$D$32+1),IF(X18&lt;=Assumptions!$D$10,IF(X18&gt;=Assumptions!$D$32,TREND(I$74:I$75,$H$74:$H$75,$X18),0),0),0)</f>
        <v>0</v>
      </c>
      <c r="AF18" s="79">
        <f>IF(X18&gt;=(Assumptions!$D$32+1),IF(X18&lt;=Assumptions!$D$10,IF(X18&gt;=Assumptions!$D$32,TREND(J$74:J$75,$H$74:$H$75,$X18),0),0),0)</f>
        <v>0</v>
      </c>
      <c r="AG18" s="79">
        <f>IF(X18&gt;=(Assumptions!$D$32+1),IF(X18&lt;=Assumptions!$D$10,IF(X18&gt;=Assumptions!$D$32,TREND(K$74:K$75,$H$74:$H$75,$X18),0),0),0)</f>
        <v>0</v>
      </c>
      <c r="AH18" s="79">
        <f>IF(X18&gt;=(Assumptions!$D$32+1),IF(X18&lt;=Assumptions!$D$10,IF(X18&gt;=Assumptions!$D$32,TREND(L$74:L$75,$H$74:$H$75,$X18),0),0),0)</f>
        <v>0</v>
      </c>
      <c r="AI18" s="79">
        <f>IF(X18&gt;=(Assumptions!$D$32+1),IF(X18&lt;=Assumptions!$D$10,IF(X18&gt;=Assumptions!$D$32,TREND(M$74:M$75,$H$74:$H$75,$X18),0),0),0)</f>
        <v>0</v>
      </c>
      <c r="AJ18" s="92">
        <f t="shared" si="5"/>
        <v>0</v>
      </c>
      <c r="AK18" s="32"/>
      <c r="AL18" s="32"/>
      <c r="AM18" s="32"/>
      <c r="AN18" s="32"/>
      <c r="AO18" s="32"/>
      <c r="AP18" s="32"/>
    </row>
    <row r="19" spans="1:42" ht="15" customHeight="1" x14ac:dyDescent="0.25">
      <c r="B19" s="153">
        <f t="shared" si="3"/>
        <v>2039</v>
      </c>
      <c r="C19" s="264">
        <f t="shared" si="0"/>
        <v>2678888.268293268</v>
      </c>
      <c r="D19" s="264">
        <f t="shared" si="1"/>
        <v>70912.301903709318</v>
      </c>
      <c r="E19" s="265">
        <f t="shared" si="2"/>
        <v>2607975.9663895587</v>
      </c>
      <c r="F19" s="266">
        <f>E19*(1+0.07)^-(B19-Assumptions!$D$7)</f>
        <v>771605.98308861977</v>
      </c>
      <c r="G19" s="32"/>
      <c r="H19" s="192" t="s">
        <v>728</v>
      </c>
      <c r="I19" s="8"/>
      <c r="J19" s="8"/>
      <c r="K19" s="8"/>
      <c r="L19" s="8"/>
      <c r="M19" s="8"/>
      <c r="N19" s="8"/>
      <c r="X19" s="153">
        <v>2025</v>
      </c>
      <c r="Y19" s="81">
        <f>IF(X19&gt;=(Assumptions!$D$32+1),IF(X19&lt;=Assumptions!$D$10,IF(X19&gt;=Assumptions!$D$32,TREND(I$68:I$69,$H$68:$H$69,$X19),0),0),0)</f>
        <v>0</v>
      </c>
      <c r="Z19" s="79">
        <f>IF(X19&gt;=(Assumptions!$D$32+1),IF(X19&lt;=Assumptions!$D$10,IF(X19&gt;=Assumptions!$D$32,TREND(J$68:J$69,$H$68:$H$69,$X19),0),0),0)</f>
        <v>0</v>
      </c>
      <c r="AA19" s="79">
        <f>IF(X19&gt;=(Assumptions!$D$32+1),IF(X19&lt;=Assumptions!$D$10,IF(X19&gt;=Assumptions!$D$32,TREND(K$68:K$69,$H$68:$H$69,$X19),0),0),0)</f>
        <v>0</v>
      </c>
      <c r="AB19" s="79">
        <f>IF(X19&gt;=(Assumptions!$D$32+1),IF(X19&lt;=Assumptions!$D$10,IF(X19&gt;=Assumptions!$D$32,TREND(L$68:L$69,$H$68:$H$69,$X19),0),0),0)</f>
        <v>0</v>
      </c>
      <c r="AC19" s="79">
        <f>IF(X19&gt;=(Assumptions!$D$32+1),IF(X19&lt;=Assumptions!$D$10,IF(X19&gt;=Assumptions!$D$32,TREND(M$68:M$69,$H$68:$H$69,$X19),0),0),0)</f>
        <v>0</v>
      </c>
      <c r="AD19" s="92">
        <f t="shared" si="4"/>
        <v>0</v>
      </c>
      <c r="AE19" s="81">
        <f>IF(X19&gt;=(Assumptions!$D$32+1),IF(X19&lt;=Assumptions!$D$10,IF(X19&gt;=Assumptions!$D$32,TREND(I$74:I$75,$H$74:$H$75,$X19),0),0),0)</f>
        <v>0</v>
      </c>
      <c r="AF19" s="79">
        <f>IF(X19&gt;=(Assumptions!$D$32+1),IF(X19&lt;=Assumptions!$D$10,IF(X19&gt;=Assumptions!$D$32,TREND(J$74:J$75,$H$74:$H$75,$X19),0),0),0)</f>
        <v>0</v>
      </c>
      <c r="AG19" s="79">
        <f>IF(X19&gt;=(Assumptions!$D$32+1),IF(X19&lt;=Assumptions!$D$10,IF(X19&gt;=Assumptions!$D$32,TREND(K$74:K$75,$H$74:$H$75,$X19),0),0),0)</f>
        <v>0</v>
      </c>
      <c r="AH19" s="79">
        <f>IF(X19&gt;=(Assumptions!$D$32+1),IF(X19&lt;=Assumptions!$D$10,IF(X19&gt;=Assumptions!$D$32,TREND(L$74:L$75,$H$74:$H$75,$X19),0),0),0)</f>
        <v>0</v>
      </c>
      <c r="AI19" s="79">
        <f>IF(X19&gt;=(Assumptions!$D$32+1),IF(X19&lt;=Assumptions!$D$10,IF(X19&gt;=Assumptions!$D$32,TREND(M$74:M$75,$H$74:$H$75,$X19),0),0),0)</f>
        <v>0</v>
      </c>
      <c r="AJ19" s="92">
        <f t="shared" si="5"/>
        <v>0</v>
      </c>
      <c r="AK19" s="32"/>
      <c r="AL19" s="32"/>
      <c r="AM19" s="32"/>
      <c r="AN19" s="32"/>
      <c r="AO19" s="32"/>
      <c r="AP19" s="32"/>
    </row>
    <row r="20" spans="1:42" x14ac:dyDescent="0.25">
      <c r="B20" s="153">
        <f t="shared" si="3"/>
        <v>2040</v>
      </c>
      <c r="C20" s="264">
        <f t="shared" si="0"/>
        <v>2695527.3258603057</v>
      </c>
      <c r="D20" s="264">
        <f t="shared" si="1"/>
        <v>71352.750983856531</v>
      </c>
      <c r="E20" s="265">
        <f t="shared" si="2"/>
        <v>2624174.5748764491</v>
      </c>
      <c r="F20" s="266">
        <f>E20*(1+0.07)^-(B20-Assumptions!$D$7)</f>
        <v>725606.13722851535</v>
      </c>
      <c r="G20" s="32"/>
      <c r="H20" s="8"/>
      <c r="I20" s="8"/>
      <c r="J20" s="8"/>
      <c r="K20" s="8"/>
      <c r="L20" s="8"/>
      <c r="M20" s="8"/>
      <c r="N20" s="8"/>
      <c r="X20" s="153">
        <v>2026</v>
      </c>
      <c r="Y20" s="81">
        <f>IF(X20&gt;=(Assumptions!$D$32+1),IF(X20&lt;=Assumptions!$D$10,IF(X20&gt;=Assumptions!$D$32,TREND(I$68:I$69,$H$68:$H$69,$X20),0),0),0)</f>
        <v>0.19413004236220566</v>
      </c>
      <c r="Z20" s="79">
        <f>IF(X20&gt;=(Assumptions!$D$32+1),IF(X20&lt;=Assumptions!$D$10,IF(X20&gt;=Assumptions!$D$32,TREND(J$68:J$69,$H$68:$H$69,$X20),0),0),0)</f>
        <v>0.20621864495570863</v>
      </c>
      <c r="AA20" s="79">
        <f>IF(X20&gt;=(Assumptions!$D$32+1),IF(X20&lt;=Assumptions!$D$10,IF(X20&gt;=Assumptions!$D$32,TREND(K$68:K$69,$H$68:$H$69,$X20),0),0),0)</f>
        <v>0.3084690394648133</v>
      </c>
      <c r="AB20" s="79">
        <f>IF(X20&gt;=(Assumptions!$D$32+1),IF(X20&lt;=Assumptions!$D$10,IF(X20&gt;=Assumptions!$D$32,TREND(L$68:L$69,$H$68:$H$69,$X20),0),0),0)</f>
        <v>6.4710014120735293E-2</v>
      </c>
      <c r="AC20" s="79">
        <f>IF(X20&gt;=(Assumptions!$D$32+1),IF(X20&lt;=Assumptions!$D$10,IF(X20&gt;=Assumptions!$D$32,TREND(M$68:M$69,$H$68:$H$69,$X20),0),0),0)</f>
        <v>0.74635280625184741</v>
      </c>
      <c r="AD20" s="92">
        <f t="shared" si="4"/>
        <v>2462580.5199217601</v>
      </c>
      <c r="AE20" s="81">
        <f>IF(X20&gt;=(Assumptions!$D$32+1),IF(X20&lt;=Assumptions!$D$10,IF(X20&gt;=Assumptions!$D$32,TREND(I$74:I$75,$H$74:$H$75,$X20),0),0),0)</f>
        <v>0</v>
      </c>
      <c r="AF20" s="79">
        <f>IF(X20&gt;=(Assumptions!$D$32+1),IF(X20&lt;=Assumptions!$D$10,IF(X20&gt;=Assumptions!$D$32,TREND(J$74:J$75,$H$74:$H$75,$X20),0),0),0)</f>
        <v>7.7751521390770018E-2</v>
      </c>
      <c r="AG20" s="79">
        <f>IF(X20&gt;=(Assumptions!$D$32+1),IF(X20&lt;=Assumptions!$D$10,IF(X20&gt;=Assumptions!$D$32,TREND(K$74:K$75,$H$74:$H$75,$X20),0),0),0)</f>
        <v>7.7751521390770018E-2</v>
      </c>
      <c r="AH20" s="79">
        <f>IF(X20&gt;=(Assumptions!$D$32+1),IF(X20&lt;=Assumptions!$D$10,IF(X20&gt;=Assumptions!$D$32,TREND(L$74:L$75,$H$74:$H$75,$X20),0),0),0)</f>
        <v>0</v>
      </c>
      <c r="AI20" s="79">
        <f>IF(X20&gt;=(Assumptions!$D$32+1),IF(X20&lt;=Assumptions!$D$10,IF(X20&gt;=Assumptions!$D$32,TREND(M$74:M$75,$H$74:$H$75,$X20),0),0),0)</f>
        <v>2.3402178758055001</v>
      </c>
      <c r="AJ20" s="92">
        <f t="shared" si="5"/>
        <v>65186.463861794873</v>
      </c>
      <c r="AK20" s="32"/>
      <c r="AL20" s="32"/>
      <c r="AM20" s="32"/>
      <c r="AN20" s="32"/>
      <c r="AO20" s="32"/>
      <c r="AP20" s="32"/>
    </row>
    <row r="21" spans="1:42" x14ac:dyDescent="0.25">
      <c r="B21" s="153">
        <f t="shared" si="3"/>
        <v>2041</v>
      </c>
      <c r="C21" s="264">
        <f t="shared" si="0"/>
        <v>2712166.3834273475</v>
      </c>
      <c r="D21" s="264">
        <f t="shared" si="1"/>
        <v>71793.200064003759</v>
      </c>
      <c r="E21" s="265">
        <f t="shared" si="2"/>
        <v>2640373.1833633436</v>
      </c>
      <c r="F21" s="266">
        <f>E21*(1+0.07)^-(B21-Assumptions!$D$7)</f>
        <v>682322.60510123533</v>
      </c>
      <c r="G21" s="32"/>
      <c r="H21" s="8"/>
      <c r="I21" s="8"/>
      <c r="J21" s="8"/>
      <c r="K21" s="8"/>
      <c r="L21" s="8"/>
      <c r="M21" s="8"/>
      <c r="N21" s="8"/>
      <c r="X21" s="153">
        <v>2027</v>
      </c>
      <c r="Y21" s="81">
        <f>IF(X21&gt;=(Assumptions!$D$32+1),IF(X21&lt;=Assumptions!$D$10,IF(X21&gt;=Assumptions!$D$32,TREND(I$68:I$69,$H$68:$H$69,$X21),0),0),0)</f>
        <v>0.19544173183762625</v>
      </c>
      <c r="Z21" s="79">
        <f>IF(X21&gt;=(Assumptions!$D$32+1),IF(X21&lt;=Assumptions!$D$10,IF(X21&gt;=Assumptions!$D$32,TREND(J$68:J$69,$H$68:$H$69,$X21),0),0),0)</f>
        <v>0.20761201417838215</v>
      </c>
      <c r="AA21" s="79">
        <f>IF(X21&gt;=(Assumptions!$D$32+1),IF(X21&lt;=Assumptions!$D$10,IF(X21&gt;=Assumptions!$D$32,TREND(K$68:K$69,$H$68:$H$69,$X21),0),0),0)</f>
        <v>0.31055328973146779</v>
      </c>
      <c r="AB21" s="79">
        <f>IF(X21&gt;=(Assumptions!$D$32+1),IF(X21&lt;=Assumptions!$D$10,IF(X21&gt;=Assumptions!$D$32,TREND(L$68:L$69,$H$68:$H$69,$X21),0),0),0)</f>
        <v>6.5147243945875455E-2</v>
      </c>
      <c r="AC21" s="79">
        <f>IF(X21&gt;=(Assumptions!$D$32+1),IF(X21&lt;=Assumptions!$D$10,IF(X21&gt;=Assumptions!$D$32,TREND(M$68:M$69,$H$68:$H$69,$X21),0),0),0)</f>
        <v>0.75139573061841425</v>
      </c>
      <c r="AD21" s="92">
        <f t="shared" si="4"/>
        <v>2479219.5774888024</v>
      </c>
      <c r="AE21" s="81">
        <f>IF(X21&gt;=(Assumptions!$D$32+1),IF(X21&lt;=Assumptions!$D$10,IF(X21&gt;=Assumptions!$D$32,TREND(I$74:I$75,$H$74:$H$75,$X21),0),0),0)</f>
        <v>0</v>
      </c>
      <c r="AF21" s="79">
        <f>IF(X21&gt;=(Assumptions!$D$32+1),IF(X21&lt;=Assumptions!$D$10,IF(X21&gt;=Assumptions!$D$32,TREND(J$74:J$75,$H$74:$H$75,$X21),0),0),0)</f>
        <v>7.8276869508275171E-2</v>
      </c>
      <c r="AG21" s="79">
        <f>IF(X21&gt;=(Assumptions!$D$32+1),IF(X21&lt;=Assumptions!$D$10,IF(X21&gt;=Assumptions!$D$32,TREND(K$74:K$75,$H$74:$H$75,$X21),0),0),0)</f>
        <v>7.8276869508275171E-2</v>
      </c>
      <c r="AH21" s="79">
        <f>IF(X21&gt;=(Assumptions!$D$32+1),IF(X21&lt;=Assumptions!$D$10,IF(X21&gt;=Assumptions!$D$32,TREND(L$74:L$75,$H$74:$H$75,$X21),0),0),0)</f>
        <v>0</v>
      </c>
      <c r="AI21" s="79">
        <f>IF(X21&gt;=(Assumptions!$D$32+1),IF(X21&lt;=Assumptions!$D$10,IF(X21&gt;=Assumptions!$D$32,TREND(M$74:M$75,$H$74:$H$75,$X21),0),0),0)</f>
        <v>2.35603015875013</v>
      </c>
      <c r="AJ21" s="92">
        <f t="shared" si="5"/>
        <v>65626.912941942093</v>
      </c>
      <c r="AK21" s="32"/>
      <c r="AL21" s="32"/>
      <c r="AM21" s="32"/>
      <c r="AN21" s="32"/>
      <c r="AO21" s="32"/>
      <c r="AP21" s="32"/>
    </row>
    <row r="22" spans="1:42" x14ac:dyDescent="0.25">
      <c r="B22" s="153">
        <f t="shared" si="3"/>
        <v>2042</v>
      </c>
      <c r="C22" s="264">
        <f t="shared" si="0"/>
        <v>2728805.4409943847</v>
      </c>
      <c r="D22" s="264">
        <f t="shared" si="1"/>
        <v>72233.649144151132</v>
      </c>
      <c r="E22" s="265">
        <f t="shared" si="2"/>
        <v>2656571.7918502335</v>
      </c>
      <c r="F22" s="266">
        <f>E22*(1+0.07)^-(B22-Assumptions!$D$7)</f>
        <v>641596.85360129876</v>
      </c>
      <c r="G22" s="32"/>
      <c r="H22" s="1" t="s">
        <v>721</v>
      </c>
      <c r="J22" s="3"/>
      <c r="Q22" t="s">
        <v>787</v>
      </c>
      <c r="X22" s="153">
        <v>2028</v>
      </c>
      <c r="Y22" s="81">
        <f>IF(X22&gt;=(Assumptions!$D$32+1),IF(X22&lt;=Assumptions!$D$10,IF(X22&gt;=Assumptions!$D$32,TREND(I$68:I$69,$H$68:$H$69,$X22),0),0),0)</f>
        <v>0.19675342131304641</v>
      </c>
      <c r="Z22" s="79">
        <f>IF(X22&gt;=(Assumptions!$D$32+1),IF(X22&lt;=Assumptions!$D$10,IF(X22&gt;=Assumptions!$D$32,TREND(J$68:J$69,$H$68:$H$69,$X22),0),0),0)</f>
        <v>0.20900538340105612</v>
      </c>
      <c r="AA22" s="79">
        <f>IF(X22&gt;=(Assumptions!$D$32+1),IF(X22&lt;=Assumptions!$D$10,IF(X22&gt;=Assumptions!$D$32,TREND(K$68:K$69,$H$68:$H$69,$X22),0),0),0)</f>
        <v>0.31263753999812227</v>
      </c>
      <c r="AB22" s="79">
        <f>IF(X22&gt;=(Assumptions!$D$32+1),IF(X22&lt;=Assumptions!$D$10,IF(X22&gt;=Assumptions!$D$32,TREND(L$68:L$69,$H$68:$H$69,$X22),0),0),0)</f>
        <v>6.5584473771015506E-2</v>
      </c>
      <c r="AC22" s="79">
        <f>IF(X22&gt;=(Assumptions!$D$32+1),IF(X22&lt;=Assumptions!$D$10,IF(X22&gt;=Assumptions!$D$32,TREND(M$68:M$69,$H$68:$H$69,$X22),0),0),0)</f>
        <v>0.75643865498497931</v>
      </c>
      <c r="AD22" s="92">
        <f t="shared" si="4"/>
        <v>2495858.6350558395</v>
      </c>
      <c r="AE22" s="81">
        <f>IF(X22&gt;=(Assumptions!$D$32+1),IF(X22&lt;=Assumptions!$D$10,IF(X22&gt;=Assumptions!$D$32,TREND(I$74:I$75,$H$74:$H$75,$X22),0),0),0)</f>
        <v>0</v>
      </c>
      <c r="AF22" s="79">
        <f>IF(X22&gt;=(Assumptions!$D$32+1),IF(X22&lt;=Assumptions!$D$10,IF(X22&gt;=Assumptions!$D$32,TREND(J$74:J$75,$H$74:$H$75,$X22),0),0),0)</f>
        <v>7.8802217625780324E-2</v>
      </c>
      <c r="AG22" s="79">
        <f>IF(X22&gt;=(Assumptions!$D$32+1),IF(X22&lt;=Assumptions!$D$10,IF(X22&gt;=Assumptions!$D$32,TREND(K$74:K$75,$H$74:$H$75,$X22),0),0),0)</f>
        <v>7.8802217625780324E-2</v>
      </c>
      <c r="AH22" s="79">
        <f>IF(X22&gt;=(Assumptions!$D$32+1),IF(X22&lt;=Assumptions!$D$10,IF(X22&gt;=Assumptions!$D$32,TREND(L$74:L$75,$H$74:$H$75,$X22),0),0),0)</f>
        <v>0</v>
      </c>
      <c r="AI22" s="79">
        <f>IF(X22&gt;=(Assumptions!$D$32+1),IF(X22&lt;=Assumptions!$D$10,IF(X22&gt;=Assumptions!$D$32,TREND(M$74:M$75,$H$74:$H$75,$X22),0),0),0)</f>
        <v>2.371842441694767</v>
      </c>
      <c r="AJ22" s="92">
        <f t="shared" si="5"/>
        <v>66067.362022089335</v>
      </c>
      <c r="AK22" s="32"/>
      <c r="AL22" s="32"/>
      <c r="AM22" s="32"/>
      <c r="AN22" s="32"/>
      <c r="AO22" s="32"/>
      <c r="AP22" s="32"/>
    </row>
    <row r="23" spans="1:42" x14ac:dyDescent="0.25">
      <c r="B23" s="153">
        <f t="shared" si="3"/>
        <v>2043</v>
      </c>
      <c r="C23" s="264">
        <f t="shared" si="0"/>
        <v>2745444.4985614219</v>
      </c>
      <c r="D23" s="264">
        <f t="shared" si="1"/>
        <v>72674.098224298388</v>
      </c>
      <c r="E23" s="265">
        <f t="shared" si="2"/>
        <v>2672770.4003371233</v>
      </c>
      <c r="F23" s="266">
        <f>E23*(1+0.07)^-(B23-Assumptions!$D$7)</f>
        <v>603279.46685784264</v>
      </c>
      <c r="G23" s="32"/>
      <c r="H23" s="39" t="s">
        <v>94</v>
      </c>
      <c r="I23" s="39" t="s">
        <v>93</v>
      </c>
      <c r="J23" s="39" t="s">
        <v>711</v>
      </c>
      <c r="K23" s="39" t="s">
        <v>786</v>
      </c>
      <c r="L23" s="39" t="s">
        <v>92</v>
      </c>
      <c r="M23" s="39" t="s">
        <v>91</v>
      </c>
      <c r="N23" s="39" t="s">
        <v>90</v>
      </c>
      <c r="O23" s="39" t="s">
        <v>89</v>
      </c>
      <c r="P23" s="39" t="s">
        <v>88</v>
      </c>
      <c r="Q23" s="39" t="s">
        <v>20</v>
      </c>
      <c r="R23" s="39" t="s">
        <v>21</v>
      </c>
      <c r="S23" s="39" t="s">
        <v>22</v>
      </c>
      <c r="T23" s="39" t="s">
        <v>23</v>
      </c>
      <c r="U23" s="39" t="s">
        <v>83</v>
      </c>
      <c r="X23" s="153">
        <v>2029</v>
      </c>
      <c r="Y23" s="81">
        <f>IF(X23&gt;=(Assumptions!$D$32+1),IF(X23&lt;=Assumptions!$D$10,IF(X23&gt;=Assumptions!$D$32,TREND(I$68:I$69,$H$68:$H$69,$X23),0),0),0)</f>
        <v>0.19806511078846656</v>
      </c>
      <c r="Z23" s="79">
        <f>IF(X23&gt;=(Assumptions!$D$32+1),IF(X23&lt;=Assumptions!$D$10,IF(X23&gt;=Assumptions!$D$32,TREND(J$68:J$69,$H$68:$H$69,$X23),0),0),0)</f>
        <v>0.21039875262372965</v>
      </c>
      <c r="AA23" s="79">
        <f>IF(X23&gt;=(Assumptions!$D$32+1),IF(X23&lt;=Assumptions!$D$10,IF(X23&gt;=Assumptions!$D$32,TREND(K$68:K$69,$H$68:$H$69,$X23),0),0),0)</f>
        <v>0.31472179026477587</v>
      </c>
      <c r="AB23" s="79">
        <f>IF(X23&gt;=(Assumptions!$D$32+1),IF(X23&lt;=Assumptions!$D$10,IF(X23&gt;=Assumptions!$D$32,TREND(L$68:L$69,$H$68:$H$69,$X23),0),0),0)</f>
        <v>6.6021703596155668E-2</v>
      </c>
      <c r="AC23" s="79">
        <f>IF(X23&gt;=(Assumptions!$D$32+1),IF(X23&lt;=Assumptions!$D$10,IF(X23&gt;=Assumptions!$D$32,TREND(M$68:M$69,$H$68:$H$69,$X23),0),0),0)</f>
        <v>0.76148157935154615</v>
      </c>
      <c r="AD23" s="92">
        <f t="shared" si="4"/>
        <v>2512497.6926228767</v>
      </c>
      <c r="AE23" s="81">
        <f>IF(X23&gt;=(Assumptions!$D$32+1),IF(X23&lt;=Assumptions!$D$10,IF(X23&gt;=Assumptions!$D$32,TREND(I$74:I$75,$H$74:$H$75,$X23),0),0),0)</f>
        <v>0</v>
      </c>
      <c r="AF23" s="79">
        <f>IF(X23&gt;=(Assumptions!$D$32+1),IF(X23&lt;=Assumptions!$D$10,IF(X23&gt;=Assumptions!$D$32,TREND(J$74:J$75,$H$74:$H$75,$X23),0),0),0)</f>
        <v>7.93275657432857E-2</v>
      </c>
      <c r="AG23" s="79">
        <f>IF(X23&gt;=(Assumptions!$D$32+1),IF(X23&lt;=Assumptions!$D$10,IF(X23&gt;=Assumptions!$D$32,TREND(K$74:K$75,$H$74:$H$75,$X23),0),0),0)</f>
        <v>7.93275657432857E-2</v>
      </c>
      <c r="AH23" s="79">
        <f>IF(X23&gt;=(Assumptions!$D$32+1),IF(X23&lt;=Assumptions!$D$10,IF(X23&gt;=Assumptions!$D$32,TREND(L$74:L$75,$H$74:$H$75,$X23),0),0),0)</f>
        <v>0</v>
      </c>
      <c r="AI23" s="79">
        <f>IF(X23&gt;=(Assumptions!$D$32+1),IF(X23&lt;=Assumptions!$D$10,IF(X23&gt;=Assumptions!$D$32,TREND(M$74:M$75,$H$74:$H$75,$X23),0),0),0)</f>
        <v>2.3876547246393969</v>
      </c>
      <c r="AJ23" s="92">
        <f t="shared" si="5"/>
        <v>66507.811102236723</v>
      </c>
      <c r="AK23" s="32"/>
      <c r="AL23" s="32"/>
      <c r="AM23" s="32"/>
      <c r="AN23" s="32"/>
      <c r="AO23" s="32"/>
      <c r="AP23" s="32"/>
    </row>
    <row r="24" spans="1:42" x14ac:dyDescent="0.25">
      <c r="B24" s="153">
        <f t="shared" si="3"/>
        <v>2044</v>
      </c>
      <c r="C24" s="264">
        <f t="shared" si="0"/>
        <v>2762083.5561284642</v>
      </c>
      <c r="D24" s="264">
        <f t="shared" si="1"/>
        <v>73114.547304445616</v>
      </c>
      <c r="E24" s="265">
        <f t="shared" si="2"/>
        <v>2688969.0088240188</v>
      </c>
      <c r="F24" s="266">
        <f>E24*(1+0.07)^-(B24-Assumptions!$D$7)</f>
        <v>567229.63182329095</v>
      </c>
      <c r="G24" s="32"/>
      <c r="H24" s="210" t="s">
        <v>692</v>
      </c>
      <c r="I24" s="215" t="s">
        <v>87</v>
      </c>
      <c r="J24" s="217">
        <f>'VMT &amp; Crash Data by Route'!$P$12</f>
        <v>2306202.0359848486</v>
      </c>
      <c r="K24" s="217">
        <f>J24-($I$11*Assumptions!$D$25*365)</f>
        <v>1322253.2859848486</v>
      </c>
      <c r="L24" s="203">
        <f t="shared" ref="L24:P31" si="6">Q24/(5*$J24)*100000000</f>
        <v>0</v>
      </c>
      <c r="M24" s="203">
        <f t="shared" si="6"/>
        <v>0</v>
      </c>
      <c r="N24" s="203">
        <f t="shared" si="6"/>
        <v>0</v>
      </c>
      <c r="O24" s="203">
        <f t="shared" si="6"/>
        <v>0</v>
      </c>
      <c r="P24" s="203">
        <f t="shared" si="6"/>
        <v>130.08400622276224</v>
      </c>
      <c r="Q24" s="30">
        <v>0</v>
      </c>
      <c r="R24" s="30">
        <v>0</v>
      </c>
      <c r="S24" s="30">
        <v>0</v>
      </c>
      <c r="T24" s="30">
        <v>0</v>
      </c>
      <c r="U24" s="30">
        <v>15</v>
      </c>
      <c r="X24" s="153">
        <v>2030</v>
      </c>
      <c r="Y24" s="81">
        <f>IF(X24&gt;=(Assumptions!$D$32+1),IF(X24&lt;=Assumptions!$D$10,IF(X24&gt;=Assumptions!$D$32,TREND(I$68:I$69,$H$68:$H$69,$X24),0),0),0)</f>
        <v>0.19937680026388716</v>
      </c>
      <c r="Z24" s="79">
        <f>IF(X24&gt;=(Assumptions!$D$32+1),IF(X24&lt;=Assumptions!$D$10,IF(X24&gt;=Assumptions!$D$32,TREND(J$68:J$69,$H$68:$H$69,$X24),0),0),0)</f>
        <v>0.21179212184640361</v>
      </c>
      <c r="AA24" s="79">
        <f>IF(X24&gt;=(Assumptions!$D$32+1),IF(X24&lt;=Assumptions!$D$10,IF(X24&gt;=Assumptions!$D$32,TREND(K$68:K$69,$H$68:$H$69,$X24),0),0),0)</f>
        <v>0.31680604053143036</v>
      </c>
      <c r="AB24" s="79">
        <f>IF(X24&gt;=(Assumptions!$D$32+1),IF(X24&lt;=Assumptions!$D$10,IF(X24&gt;=Assumptions!$D$32,TREND(L$68:L$69,$H$68:$H$69,$X24),0),0),0)</f>
        <v>6.6458933421295718E-2</v>
      </c>
      <c r="AC24" s="79">
        <f>IF(X24&gt;=(Assumptions!$D$32+1),IF(X24&lt;=Assumptions!$D$10,IF(X24&gt;=Assumptions!$D$32,TREND(M$68:M$69,$H$68:$H$69,$X24),0),0),0)</f>
        <v>0.76652450371811298</v>
      </c>
      <c r="AD24" s="92">
        <f t="shared" si="4"/>
        <v>2529136.7501899195</v>
      </c>
      <c r="AE24" s="81">
        <f>IF(X24&gt;=(Assumptions!$D$32+1),IF(X24&lt;=Assumptions!$D$10,IF(X24&gt;=Assumptions!$D$32,TREND(I$74:I$75,$H$74:$H$75,$X24),0),0),0)</f>
        <v>0</v>
      </c>
      <c r="AF24" s="79">
        <f>IF(X24&gt;=(Assumptions!$D$32+1),IF(X24&lt;=Assumptions!$D$10,IF(X24&gt;=Assumptions!$D$32,TREND(J$74:J$75,$H$74:$H$75,$X24),0),0),0)</f>
        <v>7.9852913860790853E-2</v>
      </c>
      <c r="AG24" s="79">
        <f>IF(X24&gt;=(Assumptions!$D$32+1),IF(X24&lt;=Assumptions!$D$10,IF(X24&gt;=Assumptions!$D$32,TREND(K$74:K$75,$H$74:$H$75,$X24),0),0),0)</f>
        <v>7.9852913860790853E-2</v>
      </c>
      <c r="AH24" s="79">
        <f>IF(X24&gt;=(Assumptions!$D$32+1),IF(X24&lt;=Assumptions!$D$10,IF(X24&gt;=Assumptions!$D$32,TREND(L$74:L$75,$H$74:$H$75,$X24),0),0),0)</f>
        <v>0</v>
      </c>
      <c r="AI24" s="79">
        <f>IF(X24&gt;=(Assumptions!$D$32+1),IF(X24&lt;=Assumptions!$D$10,IF(X24&gt;=Assumptions!$D$32,TREND(M$74:M$75,$H$74:$H$75,$X24),0),0),0)</f>
        <v>2.4034670075840268</v>
      </c>
      <c r="AJ24" s="92">
        <f t="shared" si="5"/>
        <v>66948.260182383936</v>
      </c>
      <c r="AK24" s="32"/>
      <c r="AL24" s="32"/>
      <c r="AM24" s="32"/>
      <c r="AN24" s="32"/>
      <c r="AO24" s="32"/>
      <c r="AP24" s="32"/>
    </row>
    <row r="25" spans="1:42" x14ac:dyDescent="0.25">
      <c r="B25" s="153">
        <f t="shared" si="3"/>
        <v>2045</v>
      </c>
      <c r="C25" s="264">
        <f t="shared" si="0"/>
        <v>2778722.6136955009</v>
      </c>
      <c r="D25" s="264">
        <f t="shared" si="1"/>
        <v>73554.996384592829</v>
      </c>
      <c r="E25" s="265">
        <f t="shared" si="2"/>
        <v>2705167.6173109082</v>
      </c>
      <c r="F25" s="266">
        <f>E25*(1+0.07)^-(B25-Assumptions!$D$7)</f>
        <v>533314.6521477846</v>
      </c>
      <c r="G25" s="32"/>
      <c r="H25" s="210" t="s">
        <v>691</v>
      </c>
      <c r="I25" s="215" t="s">
        <v>87</v>
      </c>
      <c r="J25" s="217">
        <f>'VMT &amp; Crash Data by Route'!$P$60</f>
        <v>11710812.083333334</v>
      </c>
      <c r="K25" s="217">
        <f>'VMT &amp; Crash Data by Route'!$P$60</f>
        <v>11710812.083333334</v>
      </c>
      <c r="L25" s="203">
        <f t="shared" si="6"/>
        <v>10.246940959011916</v>
      </c>
      <c r="M25" s="203">
        <f t="shared" si="6"/>
        <v>6.8312939726746107</v>
      </c>
      <c r="N25" s="203">
        <f t="shared" si="6"/>
        <v>11.954764452180569</v>
      </c>
      <c r="O25" s="203">
        <f t="shared" si="6"/>
        <v>3.4156469863373053</v>
      </c>
      <c r="P25" s="203">
        <f t="shared" si="6"/>
        <v>29.032999383867093</v>
      </c>
      <c r="Q25" s="30">
        <v>6</v>
      </c>
      <c r="R25" s="30">
        <v>4</v>
      </c>
      <c r="S25" s="30">
        <v>7</v>
      </c>
      <c r="T25" s="30">
        <v>2</v>
      </c>
      <c r="U25" s="30">
        <v>17</v>
      </c>
      <c r="X25" s="153">
        <v>2031</v>
      </c>
      <c r="Y25" s="81">
        <f>IF(X25&gt;=(Assumptions!$D$32+1),IF(X25&lt;=Assumptions!$D$10,IF(X25&gt;=Assumptions!$D$32,TREND(I$68:I$69,$H$68:$H$69,$X25),0),0),0)</f>
        <v>0.20068848973930731</v>
      </c>
      <c r="Z25" s="79">
        <f>IF(X25&gt;=(Assumptions!$D$32+1),IF(X25&lt;=Assumptions!$D$10,IF(X25&gt;=Assumptions!$D$32,TREND(J$68:J$69,$H$68:$H$69,$X25),0),0),0)</f>
        <v>0.21318549106907714</v>
      </c>
      <c r="AA25" s="79">
        <f>IF(X25&gt;=(Assumptions!$D$32+1),IF(X25&lt;=Assumptions!$D$10,IF(X25&gt;=Assumptions!$D$32,TREND(K$68:K$69,$H$68:$H$69,$X25),0),0),0)</f>
        <v>0.31889029079808395</v>
      </c>
      <c r="AB25" s="79">
        <f>IF(X25&gt;=(Assumptions!$D$32+1),IF(X25&lt;=Assumptions!$D$10,IF(X25&gt;=Assumptions!$D$32,TREND(L$68:L$69,$H$68:$H$69,$X25),0),0),0)</f>
        <v>6.689616324643588E-2</v>
      </c>
      <c r="AC25" s="79">
        <f>IF(X25&gt;=(Assumptions!$D$32+1),IF(X25&lt;=Assumptions!$D$10,IF(X25&gt;=Assumptions!$D$32,TREND(M$68:M$69,$H$68:$H$69,$X25),0),0),0)</f>
        <v>0.77156742808467982</v>
      </c>
      <c r="AD25" s="92">
        <f t="shared" si="4"/>
        <v>2545775.8077569553</v>
      </c>
      <c r="AE25" s="81">
        <f>IF(X25&gt;=(Assumptions!$D$32+1),IF(X25&lt;=Assumptions!$D$10,IF(X25&gt;=Assumptions!$D$32,TREND(I$74:I$75,$H$74:$H$75,$X25),0),0),0)</f>
        <v>0</v>
      </c>
      <c r="AF25" s="79">
        <f>IF(X25&gt;=(Assumptions!$D$32+1),IF(X25&lt;=Assumptions!$D$10,IF(X25&gt;=Assumptions!$D$32,TREND(J$74:J$75,$H$74:$H$75,$X25),0),0),0)</f>
        <v>8.0378261978296006E-2</v>
      </c>
      <c r="AG25" s="79">
        <f>IF(X25&gt;=(Assumptions!$D$32+1),IF(X25&lt;=Assumptions!$D$10,IF(X25&gt;=Assumptions!$D$32,TREND(K$74:K$75,$H$74:$H$75,$X25),0),0),0)</f>
        <v>8.0378261978296006E-2</v>
      </c>
      <c r="AH25" s="79">
        <f>IF(X25&gt;=(Assumptions!$D$32+1),IF(X25&lt;=Assumptions!$D$10,IF(X25&gt;=Assumptions!$D$32,TREND(L$74:L$75,$H$74:$H$75,$X25),0),0),0)</f>
        <v>0</v>
      </c>
      <c r="AI25" s="79">
        <f>IF(X25&gt;=(Assumptions!$D$32+1),IF(X25&lt;=Assumptions!$D$10,IF(X25&gt;=Assumptions!$D$32,TREND(M$74:M$75,$H$74:$H$75,$X25),0),0),0)</f>
        <v>2.4192792905286638</v>
      </c>
      <c r="AJ25" s="92">
        <f t="shared" si="5"/>
        <v>67388.709262531178</v>
      </c>
      <c r="AK25" s="32"/>
      <c r="AL25" s="32"/>
      <c r="AM25" s="32"/>
      <c r="AN25" s="32"/>
      <c r="AO25" s="32"/>
      <c r="AP25" s="32"/>
    </row>
    <row r="26" spans="1:42" x14ac:dyDescent="0.25">
      <c r="B26" s="153">
        <f t="shared" si="3"/>
        <v>2046</v>
      </c>
      <c r="C26" s="264">
        <f t="shared" si="0"/>
        <v>0</v>
      </c>
      <c r="D26" s="264">
        <f t="shared" si="1"/>
        <v>0</v>
      </c>
      <c r="E26" s="265">
        <f t="shared" si="2"/>
        <v>0</v>
      </c>
      <c r="F26" s="266">
        <f>E26*(1+0.07)^-(B26-Assumptions!$D$7)</f>
        <v>0</v>
      </c>
      <c r="G26" s="32"/>
      <c r="H26" s="210" t="s">
        <v>690</v>
      </c>
      <c r="I26" s="215" t="s">
        <v>87</v>
      </c>
      <c r="J26" s="217">
        <f>'VMT &amp; Crash Data by Route'!$P$115</f>
        <v>2561750.4261363633</v>
      </c>
      <c r="K26" s="217">
        <f>J26-($I$11*Assumptions!$D$25*365)</f>
        <v>1577801.6761363633</v>
      </c>
      <c r="L26" s="203">
        <f t="shared" si="6"/>
        <v>0</v>
      </c>
      <c r="M26" s="203">
        <f t="shared" si="6"/>
        <v>15.614323546860135</v>
      </c>
      <c r="N26" s="203">
        <f t="shared" si="6"/>
        <v>15.614323546860135</v>
      </c>
      <c r="O26" s="203">
        <f t="shared" si="6"/>
        <v>0</v>
      </c>
      <c r="P26" s="203">
        <f t="shared" si="6"/>
        <v>39.035808867150337</v>
      </c>
      <c r="Q26" s="30">
        <v>0</v>
      </c>
      <c r="R26" s="30">
        <v>2</v>
      </c>
      <c r="S26" s="30">
        <v>2</v>
      </c>
      <c r="T26" s="30">
        <v>0</v>
      </c>
      <c r="U26" s="30">
        <v>5</v>
      </c>
      <c r="X26" s="153">
        <v>2032</v>
      </c>
      <c r="Y26" s="81">
        <f>IF(X26&gt;=(Assumptions!$D$32+1),IF(X26&lt;=Assumptions!$D$10,IF(X26&gt;=Assumptions!$D$32,TREND(I$68:I$69,$H$68:$H$69,$X26),0),0),0)</f>
        <v>0.20200017921472746</v>
      </c>
      <c r="Z26" s="79">
        <f>IF(X26&gt;=(Assumptions!$D$32+1),IF(X26&lt;=Assumptions!$D$10,IF(X26&gt;=Assumptions!$D$32,TREND(J$68:J$69,$H$68:$H$69,$X26),0),0),0)</f>
        <v>0.21457886029175066</v>
      </c>
      <c r="AA26" s="79">
        <f>IF(X26&gt;=(Assumptions!$D$32+1),IF(X26&lt;=Assumptions!$D$10,IF(X26&gt;=Assumptions!$D$32,TREND(K$68:K$69,$H$68:$H$69,$X26),0),0),0)</f>
        <v>0.32097454106473844</v>
      </c>
      <c r="AB26" s="79">
        <f>IF(X26&gt;=(Assumptions!$D$32+1),IF(X26&lt;=Assumptions!$D$10,IF(X26&gt;=Assumptions!$D$32,TREND(L$68:L$69,$H$68:$H$69,$X26),0),0),0)</f>
        <v>6.7333393071575931E-2</v>
      </c>
      <c r="AC26" s="79">
        <f>IF(X26&gt;=(Assumptions!$D$32+1),IF(X26&lt;=Assumptions!$D$10,IF(X26&gt;=Assumptions!$D$32,TREND(M$68:M$69,$H$68:$H$69,$X26),0),0),0)</f>
        <v>0.77661035245124665</v>
      </c>
      <c r="AD26" s="92">
        <f t="shared" si="4"/>
        <v>2562414.8653239929</v>
      </c>
      <c r="AE26" s="81">
        <f>IF(X26&gt;=(Assumptions!$D$32+1),IF(X26&lt;=Assumptions!$D$10,IF(X26&gt;=Assumptions!$D$32,TREND(I$74:I$75,$H$74:$H$75,$X26),0),0),0)</f>
        <v>0</v>
      </c>
      <c r="AF26" s="79">
        <f>IF(X26&gt;=(Assumptions!$D$32+1),IF(X26&lt;=Assumptions!$D$10,IF(X26&gt;=Assumptions!$D$32,TREND(J$74:J$75,$H$74:$H$75,$X26),0),0),0)</f>
        <v>8.0903610095801159E-2</v>
      </c>
      <c r="AG26" s="79">
        <f>IF(X26&gt;=(Assumptions!$D$32+1),IF(X26&lt;=Assumptions!$D$10,IF(X26&gt;=Assumptions!$D$32,TREND(K$74:K$75,$H$74:$H$75,$X26),0),0),0)</f>
        <v>8.0903610095801159E-2</v>
      </c>
      <c r="AH26" s="79">
        <f>IF(X26&gt;=(Assumptions!$D$32+1),IF(X26&lt;=Assumptions!$D$10,IF(X26&gt;=Assumptions!$D$32,TREND(L$74:L$75,$H$74:$H$75,$X26),0),0),0)</f>
        <v>0</v>
      </c>
      <c r="AI26" s="79">
        <f>IF(X26&gt;=(Assumptions!$D$32+1),IF(X26&lt;=Assumptions!$D$10,IF(X26&gt;=Assumptions!$D$32,TREND(M$74:M$75,$H$74:$H$75,$X26),0),0),0)</f>
        <v>2.4350915734732936</v>
      </c>
      <c r="AJ26" s="92">
        <f t="shared" si="5"/>
        <v>67829.158342678405</v>
      </c>
      <c r="AK26" s="32"/>
      <c r="AL26" s="32"/>
      <c r="AM26" s="32"/>
      <c r="AN26" s="32"/>
      <c r="AO26" s="32"/>
      <c r="AP26" s="32"/>
    </row>
    <row r="27" spans="1:42" x14ac:dyDescent="0.25">
      <c r="B27" s="153">
        <f t="shared" si="3"/>
        <v>2047</v>
      </c>
      <c r="C27" s="264">
        <f t="shared" si="0"/>
        <v>0</v>
      </c>
      <c r="D27" s="264">
        <f t="shared" si="1"/>
        <v>0</v>
      </c>
      <c r="E27" s="265">
        <f t="shared" si="2"/>
        <v>0</v>
      </c>
      <c r="F27" s="266">
        <f>E27*(1+0.07)^-(B27-Assumptions!$D$7)</f>
        <v>0</v>
      </c>
      <c r="G27" s="32"/>
      <c r="H27" s="210" t="s">
        <v>693</v>
      </c>
      <c r="I27" s="215" t="s">
        <v>87</v>
      </c>
      <c r="J27" s="217">
        <f>'VMT &amp; Crash Data by Route'!$P$163</f>
        <v>6392875.1089015156</v>
      </c>
      <c r="K27" s="217">
        <f>'VMT &amp; Crash Data by Route'!$P$163</f>
        <v>6392875.1089015156</v>
      </c>
      <c r="L27" s="203">
        <f t="shared" si="6"/>
        <v>0</v>
      </c>
      <c r="M27" s="203">
        <f t="shared" si="6"/>
        <v>9.3854484841187151</v>
      </c>
      <c r="N27" s="203">
        <f t="shared" si="6"/>
        <v>18.77089696823743</v>
      </c>
      <c r="O27" s="203">
        <f t="shared" si="6"/>
        <v>0</v>
      </c>
      <c r="P27" s="203">
        <f t="shared" si="6"/>
        <v>31.284828280395722</v>
      </c>
      <c r="Q27" s="30">
        <v>0</v>
      </c>
      <c r="R27" s="30">
        <v>3</v>
      </c>
      <c r="S27" s="30">
        <v>6</v>
      </c>
      <c r="T27" s="30">
        <v>0</v>
      </c>
      <c r="U27" s="30">
        <v>10</v>
      </c>
      <c r="X27" s="153">
        <v>2033</v>
      </c>
      <c r="Y27" s="81">
        <f>IF(X27&gt;=(Assumptions!$D$32+1),IF(X27&lt;=Assumptions!$D$10,IF(X27&gt;=Assumptions!$D$32,TREND(I$68:I$69,$H$68:$H$69,$X27),0),0),0)</f>
        <v>0.20331186869014806</v>
      </c>
      <c r="Z27" s="79">
        <f>IF(X27&gt;=(Assumptions!$D$32+1),IF(X27&lt;=Assumptions!$D$10,IF(X27&gt;=Assumptions!$D$32,TREND(J$68:J$69,$H$68:$H$69,$X27),0),0),0)</f>
        <v>0.21597222951442463</v>
      </c>
      <c r="AA27" s="79">
        <f>IF(X27&gt;=(Assumptions!$D$32+1),IF(X27&lt;=Assumptions!$D$10,IF(X27&gt;=Assumptions!$D$32,TREND(K$68:K$69,$H$68:$H$69,$X27),0),0),0)</f>
        <v>0.32305879133139292</v>
      </c>
      <c r="AB27" s="79">
        <f>IF(X27&gt;=(Assumptions!$D$32+1),IF(X27&lt;=Assumptions!$D$10,IF(X27&gt;=Assumptions!$D$32,TREND(L$68:L$69,$H$68:$H$69,$X27),0),0),0)</f>
        <v>6.7770622896716093E-2</v>
      </c>
      <c r="AC27" s="79">
        <f>IF(X27&gt;=(Assumptions!$D$32+1),IF(X27&lt;=Assumptions!$D$10,IF(X27&gt;=Assumptions!$D$32,TREND(M$68:M$69,$H$68:$H$69,$X27),0),0),0)</f>
        <v>0.78165327681781349</v>
      </c>
      <c r="AD27" s="92">
        <f t="shared" si="4"/>
        <v>2579053.9228910352</v>
      </c>
      <c r="AE27" s="81">
        <f>IF(X27&gt;=(Assumptions!$D$32+1),IF(X27&lt;=Assumptions!$D$10,IF(X27&gt;=Assumptions!$D$32,TREND(I$74:I$75,$H$74:$H$75,$X27),0),0),0)</f>
        <v>0</v>
      </c>
      <c r="AF27" s="79">
        <f>IF(X27&gt;=(Assumptions!$D$32+1),IF(X27&lt;=Assumptions!$D$10,IF(X27&gt;=Assumptions!$D$32,TREND(J$74:J$75,$H$74:$H$75,$X27),0),0),0)</f>
        <v>8.1428958213306535E-2</v>
      </c>
      <c r="AG27" s="79">
        <f>IF(X27&gt;=(Assumptions!$D$32+1),IF(X27&lt;=Assumptions!$D$10,IF(X27&gt;=Assumptions!$D$32,TREND(K$74:K$75,$H$74:$H$75,$X27),0),0),0)</f>
        <v>8.1428958213306535E-2</v>
      </c>
      <c r="AH27" s="79">
        <f>IF(X27&gt;=(Assumptions!$D$32+1),IF(X27&lt;=Assumptions!$D$10,IF(X27&gt;=Assumptions!$D$32,TREND(L$74:L$75,$H$74:$H$75,$X27),0),0),0)</f>
        <v>0</v>
      </c>
      <c r="AI27" s="79">
        <f>IF(X27&gt;=(Assumptions!$D$32+1),IF(X27&lt;=Assumptions!$D$10,IF(X27&gt;=Assumptions!$D$32,TREND(M$74:M$75,$H$74:$H$75,$X27),0),0),0)</f>
        <v>2.4509038564179235</v>
      </c>
      <c r="AJ27" s="92">
        <f t="shared" si="5"/>
        <v>68269.607422825793</v>
      </c>
      <c r="AK27" s="32"/>
      <c r="AL27" s="32"/>
      <c r="AM27" s="32"/>
      <c r="AN27" s="32"/>
      <c r="AO27" s="32"/>
      <c r="AP27" s="32"/>
    </row>
    <row r="28" spans="1:42" x14ac:dyDescent="0.25">
      <c r="B28" s="153">
        <f t="shared" si="3"/>
        <v>2048</v>
      </c>
      <c r="C28" s="264">
        <f t="shared" si="0"/>
        <v>0</v>
      </c>
      <c r="D28" s="264">
        <f t="shared" si="1"/>
        <v>0</v>
      </c>
      <c r="E28" s="265">
        <f t="shared" si="2"/>
        <v>0</v>
      </c>
      <c r="F28" s="266">
        <f>E28*(1+0.07)^-(B28-Assumptions!$D$7)</f>
        <v>0</v>
      </c>
      <c r="G28" s="32"/>
      <c r="H28" s="212" t="s">
        <v>697</v>
      </c>
      <c r="I28" s="214" t="s">
        <v>86</v>
      </c>
      <c r="J28" s="213">
        <f>'VMT &amp; Crash Data by Route'!$P$12</f>
        <v>2306202.0359848486</v>
      </c>
      <c r="K28" s="213">
        <f>J28-($I$11*Assumptions!$D$25*365)</f>
        <v>1322253.2859848486</v>
      </c>
      <c r="L28" s="201">
        <f t="shared" si="6"/>
        <v>0</v>
      </c>
      <c r="M28" s="201">
        <f t="shared" si="6"/>
        <v>0</v>
      </c>
      <c r="N28" s="201">
        <f t="shared" si="6"/>
        <v>0</v>
      </c>
      <c r="O28" s="201">
        <f t="shared" si="6"/>
        <v>0</v>
      </c>
      <c r="P28" s="201">
        <f t="shared" si="6"/>
        <v>130.08400622276224</v>
      </c>
      <c r="Q28" s="30">
        <v>0</v>
      </c>
      <c r="R28" s="30">
        <v>0</v>
      </c>
      <c r="S28" s="30">
        <v>0</v>
      </c>
      <c r="T28" s="30">
        <v>0</v>
      </c>
      <c r="U28" s="30">
        <v>15</v>
      </c>
      <c r="X28" s="153">
        <v>2034</v>
      </c>
      <c r="Y28" s="81">
        <f>IF(X28&gt;=(Assumptions!$D$32+1),IF(X28&lt;=Assumptions!$D$10,IF(X28&gt;=Assumptions!$D$32,TREND(I$68:I$69,$H$68:$H$69,$X28),0),0),0)</f>
        <v>0.20462355816556821</v>
      </c>
      <c r="Z28" s="79">
        <f>IF(X28&gt;=(Assumptions!$D$32+1),IF(X28&lt;=Assumptions!$D$10,IF(X28&gt;=Assumptions!$D$32,TREND(J$68:J$69,$H$68:$H$69,$X28),0),0),0)</f>
        <v>0.21736559873709815</v>
      </c>
      <c r="AA28" s="79">
        <f>IF(X28&gt;=(Assumptions!$D$32+1),IF(X28&lt;=Assumptions!$D$10,IF(X28&gt;=Assumptions!$D$32,TREND(K$68:K$69,$H$68:$H$69,$X28),0),0),0)</f>
        <v>0.32514304159804652</v>
      </c>
      <c r="AB28" s="79">
        <f>IF(X28&gt;=(Assumptions!$D$32+1),IF(X28&lt;=Assumptions!$D$10,IF(X28&gt;=Assumptions!$D$32,TREND(L$68:L$69,$H$68:$H$69,$X28),0),0),0)</f>
        <v>6.8207852721856144E-2</v>
      </c>
      <c r="AC28" s="79">
        <f>IF(X28&gt;=(Assumptions!$D$32+1),IF(X28&lt;=Assumptions!$D$10,IF(X28&gt;=Assumptions!$D$32,TREND(M$68:M$69,$H$68:$H$69,$X28),0),0),0)</f>
        <v>0.78669620118437855</v>
      </c>
      <c r="AD28" s="92">
        <f t="shared" si="4"/>
        <v>2595692.9804580724</v>
      </c>
      <c r="AE28" s="81">
        <f>IF(X28&gt;=(Assumptions!$D$32+1),IF(X28&lt;=Assumptions!$D$10,IF(X28&gt;=Assumptions!$D$32,TREND(I$74:I$75,$H$74:$H$75,$X28),0),0),0)</f>
        <v>0</v>
      </c>
      <c r="AF28" s="79">
        <f>IF(X28&gt;=(Assumptions!$D$32+1),IF(X28&lt;=Assumptions!$D$10,IF(X28&gt;=Assumptions!$D$32,TREND(J$74:J$75,$H$74:$H$75,$X28),0),0),0)</f>
        <v>8.1954306330811688E-2</v>
      </c>
      <c r="AG28" s="79">
        <f>IF(X28&gt;=(Assumptions!$D$32+1),IF(X28&lt;=Assumptions!$D$10,IF(X28&gt;=Assumptions!$D$32,TREND(K$74:K$75,$H$74:$H$75,$X28),0),0),0)</f>
        <v>8.1954306330811688E-2</v>
      </c>
      <c r="AH28" s="79">
        <f>IF(X28&gt;=(Assumptions!$D$32+1),IF(X28&lt;=Assumptions!$D$10,IF(X28&gt;=Assumptions!$D$32,TREND(L$74:L$75,$H$74:$H$75,$X28),0),0),0)</f>
        <v>0</v>
      </c>
      <c r="AI28" s="79">
        <f>IF(X28&gt;=(Assumptions!$D$32+1),IF(X28&lt;=Assumptions!$D$10,IF(X28&gt;=Assumptions!$D$32,TREND(M$74:M$75,$H$74:$H$75,$X28),0),0),0)</f>
        <v>2.4667161393625534</v>
      </c>
      <c r="AJ28" s="92">
        <f t="shared" si="5"/>
        <v>68710.056502973006</v>
      </c>
      <c r="AK28" s="32"/>
      <c r="AL28" s="32"/>
      <c r="AM28" s="32"/>
      <c r="AN28" s="32"/>
      <c r="AO28" s="32"/>
      <c r="AP28" s="32"/>
    </row>
    <row r="29" spans="1:42" ht="15" customHeight="1" x14ac:dyDescent="0.25">
      <c r="B29" s="153">
        <f t="shared" si="3"/>
        <v>2049</v>
      </c>
      <c r="C29" s="264">
        <f t="shared" si="0"/>
        <v>0</v>
      </c>
      <c r="D29" s="264">
        <f t="shared" si="1"/>
        <v>0</v>
      </c>
      <c r="E29" s="265">
        <f t="shared" si="2"/>
        <v>0</v>
      </c>
      <c r="F29" s="266">
        <f>E29*(1+0.07)^-(B29-Assumptions!$D$7)</f>
        <v>0</v>
      </c>
      <c r="G29" s="32"/>
      <c r="H29" s="212" t="s">
        <v>694</v>
      </c>
      <c r="I29" s="214" t="s">
        <v>86</v>
      </c>
      <c r="J29" s="213">
        <f>'VMT &amp; Crash Data by Route'!$P$60</f>
        <v>11710812.083333334</v>
      </c>
      <c r="K29" s="213">
        <f>'VMT &amp; Crash Data by Route'!$P$60</f>
        <v>11710812.083333334</v>
      </c>
      <c r="L29" s="201">
        <f t="shared" si="6"/>
        <v>10.246940959011916</v>
      </c>
      <c r="M29" s="201">
        <f t="shared" si="6"/>
        <v>6.8312939726746107</v>
      </c>
      <c r="N29" s="201">
        <f t="shared" si="6"/>
        <v>11.954764452180569</v>
      </c>
      <c r="O29" s="201">
        <f t="shared" si="6"/>
        <v>3.4156469863373053</v>
      </c>
      <c r="P29" s="201">
        <f t="shared" si="6"/>
        <v>29.032999383867093</v>
      </c>
      <c r="Q29" s="30">
        <v>6</v>
      </c>
      <c r="R29" s="30">
        <v>4</v>
      </c>
      <c r="S29" s="30">
        <v>7</v>
      </c>
      <c r="T29" s="30">
        <v>2</v>
      </c>
      <c r="U29" s="30">
        <v>17</v>
      </c>
      <c r="X29" s="153">
        <v>2035</v>
      </c>
      <c r="Y29" s="81">
        <f>IF(X29&gt;=(Assumptions!$D$32+1),IF(X29&lt;=Assumptions!$D$10,IF(X29&gt;=Assumptions!$D$32,TREND(I$68:I$69,$H$68:$H$69,$X29),0),0),0)</f>
        <v>0.20593524764098836</v>
      </c>
      <c r="Z29" s="79">
        <f>IF(X29&gt;=(Assumptions!$D$32+1),IF(X29&lt;=Assumptions!$D$10,IF(X29&gt;=Assumptions!$D$32,TREND(J$68:J$69,$H$68:$H$69,$X29),0),0),0)</f>
        <v>0.21875896795977212</v>
      </c>
      <c r="AA29" s="79">
        <f>IF(X29&gt;=(Assumptions!$D$32+1),IF(X29&lt;=Assumptions!$D$10,IF(X29&gt;=Assumptions!$D$32,TREND(K$68:K$69,$H$68:$H$69,$X29),0),0),0)</f>
        <v>0.32722729186470101</v>
      </c>
      <c r="AB29" s="79">
        <f>IF(X29&gt;=(Assumptions!$D$32+1),IF(X29&lt;=Assumptions!$D$10,IF(X29&gt;=Assumptions!$D$32,TREND(L$68:L$69,$H$68:$H$69,$X29),0),0),0)</f>
        <v>6.8645082546996306E-2</v>
      </c>
      <c r="AC29" s="79">
        <f>IF(X29&gt;=(Assumptions!$D$32+1),IF(X29&lt;=Assumptions!$D$10,IF(X29&gt;=Assumptions!$D$32,TREND(M$68:M$69,$H$68:$H$69,$X29),0),0),0)</f>
        <v>0.79173912555094539</v>
      </c>
      <c r="AD29" s="92">
        <f t="shared" si="4"/>
        <v>2612332.0380251096</v>
      </c>
      <c r="AE29" s="81">
        <f>IF(X29&gt;=(Assumptions!$D$32+1),IF(X29&lt;=Assumptions!$D$10,IF(X29&gt;=Assumptions!$D$32,TREND(I$74:I$75,$H$74:$H$75,$X29),0),0),0)</f>
        <v>0</v>
      </c>
      <c r="AF29" s="79">
        <f>IF(X29&gt;=(Assumptions!$D$32+1),IF(X29&lt;=Assumptions!$D$10,IF(X29&gt;=Assumptions!$D$32,TREND(J$74:J$75,$H$74:$H$75,$X29),0),0),0)</f>
        <v>8.2479654448316841E-2</v>
      </c>
      <c r="AG29" s="79">
        <f>IF(X29&gt;=(Assumptions!$D$32+1),IF(X29&lt;=Assumptions!$D$10,IF(X29&gt;=Assumptions!$D$32,TREND(K$74:K$75,$H$74:$H$75,$X29),0),0),0)</f>
        <v>8.2479654448316841E-2</v>
      </c>
      <c r="AH29" s="79">
        <f>IF(X29&gt;=(Assumptions!$D$32+1),IF(X29&lt;=Assumptions!$D$10,IF(X29&gt;=Assumptions!$D$32,TREND(L$74:L$75,$H$74:$H$75,$X29),0),0),0)</f>
        <v>0</v>
      </c>
      <c r="AI29" s="79">
        <f>IF(X29&gt;=(Assumptions!$D$32+1),IF(X29&lt;=Assumptions!$D$10,IF(X29&gt;=Assumptions!$D$32,TREND(M$74:M$75,$H$74:$H$75,$X29),0),0),0)</f>
        <v>2.4825284223071904</v>
      </c>
      <c r="AJ29" s="92">
        <f t="shared" si="5"/>
        <v>69150.505583120248</v>
      </c>
      <c r="AK29" s="32"/>
      <c r="AL29" s="32"/>
      <c r="AM29" s="32"/>
      <c r="AN29" s="32"/>
      <c r="AO29" s="32"/>
      <c r="AP29" s="32"/>
    </row>
    <row r="30" spans="1:42" ht="15.75" customHeight="1" x14ac:dyDescent="0.25">
      <c r="B30" s="153">
        <f t="shared" si="3"/>
        <v>2050</v>
      </c>
      <c r="C30" s="264">
        <f t="shared" si="0"/>
        <v>0</v>
      </c>
      <c r="D30" s="264">
        <f t="shared" si="1"/>
        <v>0</v>
      </c>
      <c r="E30" s="265">
        <f t="shared" si="2"/>
        <v>0</v>
      </c>
      <c r="F30" s="266">
        <f>E30*(1+0.07)^-(B30-Assumptions!$D$7)</f>
        <v>0</v>
      </c>
      <c r="G30" s="32"/>
      <c r="H30" s="212" t="s">
        <v>695</v>
      </c>
      <c r="I30" s="214" t="s">
        <v>86</v>
      </c>
      <c r="J30" s="213">
        <f>'VMT &amp; Crash Data by Route'!$P$115</f>
        <v>2561750.4261363633</v>
      </c>
      <c r="K30" s="213">
        <v>1322253.2859848486</v>
      </c>
      <c r="L30" s="201">
        <f t="shared" si="6"/>
        <v>0</v>
      </c>
      <c r="M30" s="201">
        <f t="shared" si="6"/>
        <v>15.614323546860135</v>
      </c>
      <c r="N30" s="201">
        <f t="shared" si="6"/>
        <v>15.614323546860135</v>
      </c>
      <c r="O30" s="201">
        <f t="shared" si="6"/>
        <v>0</v>
      </c>
      <c r="P30" s="201">
        <f t="shared" si="6"/>
        <v>39.035808867150337</v>
      </c>
      <c r="Q30" s="30">
        <v>0</v>
      </c>
      <c r="R30" s="30">
        <v>2</v>
      </c>
      <c r="S30" s="30">
        <v>2</v>
      </c>
      <c r="T30" s="30">
        <v>0</v>
      </c>
      <c r="U30" s="30">
        <v>5</v>
      </c>
      <c r="X30" s="153">
        <v>2036</v>
      </c>
      <c r="Y30" s="81">
        <f>IF(X30&gt;=(Assumptions!$D$32+1),IF(X30&lt;=Assumptions!$D$10,IF(X30&gt;=Assumptions!$D$32,TREND(I$68:I$69,$H$68:$H$69,$X30),0),0),0)</f>
        <v>0.20724693711640896</v>
      </c>
      <c r="Z30" s="79">
        <f>IF(X30&gt;=(Assumptions!$D$32+1),IF(X30&lt;=Assumptions!$D$10,IF(X30&gt;=Assumptions!$D$32,TREND(J$68:J$69,$H$68:$H$69,$X30),0),0),0)</f>
        <v>0.22015233718244565</v>
      </c>
      <c r="AA30" s="79">
        <f>IF(X30&gt;=(Assumptions!$D$32+1),IF(X30&lt;=Assumptions!$D$10,IF(X30&gt;=Assumptions!$D$32,TREND(K$68:K$69,$H$68:$H$69,$X30),0),0),0)</f>
        <v>0.32931154213135549</v>
      </c>
      <c r="AB30" s="79">
        <f>IF(X30&gt;=(Assumptions!$D$32+1),IF(X30&lt;=Assumptions!$D$10,IF(X30&gt;=Assumptions!$D$32,TREND(L$68:L$69,$H$68:$H$69,$X30),0),0),0)</f>
        <v>6.9082312372136356E-2</v>
      </c>
      <c r="AC30" s="79">
        <f>IF(X30&gt;=(Assumptions!$D$32+1),IF(X30&lt;=Assumptions!$D$10,IF(X30&gt;=Assumptions!$D$32,TREND(M$68:M$69,$H$68:$H$69,$X30),0),0),0)</f>
        <v>0.79678204991751223</v>
      </c>
      <c r="AD30" s="92">
        <f t="shared" si="4"/>
        <v>2628971.0955921519</v>
      </c>
      <c r="AE30" s="81">
        <f>IF(X30&gt;=(Assumptions!$D$32+1),IF(X30&lt;=Assumptions!$D$10,IF(X30&gt;=Assumptions!$D$32,TREND(I$74:I$75,$H$74:$H$75,$X30),0),0),0)</f>
        <v>0</v>
      </c>
      <c r="AF30" s="79">
        <f>IF(X30&gt;=(Assumptions!$D$32+1),IF(X30&lt;=Assumptions!$D$10,IF(X30&gt;=Assumptions!$D$32,TREND(J$74:J$75,$H$74:$H$75,$X30),0),0),0)</f>
        <v>8.3005002565821995E-2</v>
      </c>
      <c r="AG30" s="79">
        <f>IF(X30&gt;=(Assumptions!$D$32+1),IF(X30&lt;=Assumptions!$D$10,IF(X30&gt;=Assumptions!$D$32,TREND(K$74:K$75,$H$74:$H$75,$X30),0),0),0)</f>
        <v>8.3005002565821995E-2</v>
      </c>
      <c r="AH30" s="79">
        <f>IF(X30&gt;=(Assumptions!$D$32+1),IF(X30&lt;=Assumptions!$D$10,IF(X30&gt;=Assumptions!$D$32,TREND(L$74:L$75,$H$74:$H$75,$X30),0),0),0)</f>
        <v>0</v>
      </c>
      <c r="AI30" s="79">
        <f>IF(X30&gt;=(Assumptions!$D$32+1),IF(X30&lt;=Assumptions!$D$10,IF(X30&gt;=Assumptions!$D$32,TREND(M$74:M$75,$H$74:$H$75,$X30),0),0),0)</f>
        <v>2.4983407052518203</v>
      </c>
      <c r="AJ30" s="92">
        <f t="shared" si="5"/>
        <v>69590.954663267476</v>
      </c>
      <c r="AK30" s="32"/>
      <c r="AL30" s="32"/>
      <c r="AM30" s="32"/>
      <c r="AN30" s="32"/>
      <c r="AO30" s="32"/>
      <c r="AP30" s="32"/>
    </row>
    <row r="31" spans="1:42" ht="15" customHeight="1" x14ac:dyDescent="0.25">
      <c r="B31" s="153">
        <f t="shared" si="3"/>
        <v>2051</v>
      </c>
      <c r="C31" s="264">
        <f t="shared" si="0"/>
        <v>0</v>
      </c>
      <c r="D31" s="264">
        <f t="shared" si="1"/>
        <v>0</v>
      </c>
      <c r="E31" s="265">
        <f t="shared" si="2"/>
        <v>0</v>
      </c>
      <c r="F31" s="266">
        <f>E31*(1+0.07)^-(B31-Assumptions!$D$7)</f>
        <v>0</v>
      </c>
      <c r="G31" s="32"/>
      <c r="H31" s="212" t="s">
        <v>696</v>
      </c>
      <c r="I31" s="214" t="s">
        <v>86</v>
      </c>
      <c r="J31" s="213">
        <f>'VMT &amp; Crash Data by Route'!$P$163</f>
        <v>6392875.1089015156</v>
      </c>
      <c r="K31" s="213">
        <f>'VMT &amp; Crash Data by Route'!$P$163</f>
        <v>6392875.1089015156</v>
      </c>
      <c r="L31" s="201">
        <f t="shared" si="6"/>
        <v>0</v>
      </c>
      <c r="M31" s="201">
        <f t="shared" si="6"/>
        <v>9.3854484841187151</v>
      </c>
      <c r="N31" s="201">
        <f t="shared" si="6"/>
        <v>18.77089696823743</v>
      </c>
      <c r="O31" s="201">
        <f t="shared" si="6"/>
        <v>0</v>
      </c>
      <c r="P31" s="201">
        <f t="shared" si="6"/>
        <v>31.284828280395722</v>
      </c>
      <c r="Q31" s="30">
        <v>0</v>
      </c>
      <c r="R31" s="30">
        <v>3</v>
      </c>
      <c r="S31" s="30">
        <v>6</v>
      </c>
      <c r="T31" s="30">
        <v>0</v>
      </c>
      <c r="U31" s="30">
        <v>10</v>
      </c>
      <c r="X31" s="153">
        <v>2037</v>
      </c>
      <c r="Y31" s="81">
        <f>IF(X31&gt;=(Assumptions!$D$32+1),IF(X31&lt;=Assumptions!$D$10,IF(X31&gt;=Assumptions!$D$32,TREND(I$68:I$69,$H$68:$H$69,$X31),0),0),0)</f>
        <v>0.20855862659182911</v>
      </c>
      <c r="Z31" s="79">
        <f>IF(X31&gt;=(Assumptions!$D$32+1),IF(X31&lt;=Assumptions!$D$10,IF(X31&gt;=Assumptions!$D$32,TREND(J$68:J$69,$H$68:$H$69,$X31),0),0),0)</f>
        <v>0.22154570640511917</v>
      </c>
      <c r="AA31" s="79">
        <f>IF(X31&gt;=(Assumptions!$D$32+1),IF(X31&lt;=Assumptions!$D$10,IF(X31&gt;=Assumptions!$D$32,TREND(K$68:K$69,$H$68:$H$69,$X31),0),0),0)</f>
        <v>0.33139579239800909</v>
      </c>
      <c r="AB31" s="79">
        <f>IF(X31&gt;=(Assumptions!$D$32+1),IF(X31&lt;=Assumptions!$D$10,IF(X31&gt;=Assumptions!$D$32,TREND(L$68:L$69,$H$68:$H$69,$X31),0),0),0)</f>
        <v>6.9519542197276518E-2</v>
      </c>
      <c r="AC31" s="79">
        <f>IF(X31&gt;=(Assumptions!$D$32+1),IF(X31&lt;=Assumptions!$D$10,IF(X31&gt;=Assumptions!$D$32,TREND(M$68:M$69,$H$68:$H$69,$X31),0),0),0)</f>
        <v>0.80182497428407906</v>
      </c>
      <c r="AD31" s="92">
        <f t="shared" si="4"/>
        <v>2645610.153159189</v>
      </c>
      <c r="AE31" s="81">
        <f>IF(X31&gt;=(Assumptions!$D$32+1),IF(X31&lt;=Assumptions!$D$10,IF(X31&gt;=Assumptions!$D$32,TREND(I$74:I$75,$H$74:$H$75,$X31),0),0),0)</f>
        <v>0</v>
      </c>
      <c r="AF31" s="79">
        <f>IF(X31&gt;=(Assumptions!$D$32+1),IF(X31&lt;=Assumptions!$D$10,IF(X31&gt;=Assumptions!$D$32,TREND(J$74:J$75,$H$74:$H$75,$X31),0),0),0)</f>
        <v>8.353035068332737E-2</v>
      </c>
      <c r="AG31" s="79">
        <f>IF(X31&gt;=(Assumptions!$D$32+1),IF(X31&lt;=Assumptions!$D$10,IF(X31&gt;=Assumptions!$D$32,TREND(K$74:K$75,$H$74:$H$75,$X31),0),0),0)</f>
        <v>8.353035068332737E-2</v>
      </c>
      <c r="AH31" s="79">
        <f>IF(X31&gt;=(Assumptions!$D$32+1),IF(X31&lt;=Assumptions!$D$10,IF(X31&gt;=Assumptions!$D$32,TREND(L$74:L$75,$H$74:$H$75,$X31),0),0),0)</f>
        <v>0</v>
      </c>
      <c r="AI31" s="79">
        <f>IF(X31&gt;=(Assumptions!$D$32+1),IF(X31&lt;=Assumptions!$D$10,IF(X31&gt;=Assumptions!$D$32,TREND(M$74:M$75,$H$74:$H$75,$X31),0),0),0)</f>
        <v>2.5141529881964502</v>
      </c>
      <c r="AJ31" s="92">
        <f t="shared" si="5"/>
        <v>70031.403743414849</v>
      </c>
      <c r="AK31" s="32"/>
      <c r="AL31" s="32"/>
      <c r="AM31" s="32"/>
      <c r="AN31" s="32"/>
      <c r="AO31" s="32"/>
      <c r="AP31" s="32"/>
    </row>
    <row r="32" spans="1:42" ht="15" customHeight="1" x14ac:dyDescent="0.25">
      <c r="A32" s="2"/>
      <c r="B32" s="153">
        <f t="shared" si="3"/>
        <v>2052</v>
      </c>
      <c r="C32" s="264">
        <f t="shared" si="0"/>
        <v>0</v>
      </c>
      <c r="D32" s="264">
        <f t="shared" si="1"/>
        <v>0</v>
      </c>
      <c r="E32" s="265">
        <f t="shared" si="2"/>
        <v>0</v>
      </c>
      <c r="F32" s="266">
        <f>E32*(1+0.07)^-(B32-Assumptions!$D$7)</f>
        <v>0</v>
      </c>
      <c r="G32" s="32"/>
      <c r="H32" s="442" t="s">
        <v>661</v>
      </c>
      <c r="I32" s="442"/>
      <c r="J32" s="442"/>
      <c r="K32" s="442"/>
      <c r="L32" s="442"/>
      <c r="M32" s="442"/>
      <c r="N32" s="442"/>
      <c r="O32" s="442"/>
      <c r="Q32" s="158"/>
      <c r="R32" s="2"/>
      <c r="S32" s="3"/>
      <c r="T32" s="3"/>
      <c r="X32" s="153">
        <v>2038</v>
      </c>
      <c r="Y32" s="81">
        <f>IF(X32&gt;=(Assumptions!$D$32+1),IF(X32&lt;=Assumptions!$D$10,IF(X32&gt;=Assumptions!$D$32,TREND(I$68:I$69,$H$68:$H$69,$X32),0),0),0)</f>
        <v>0.20987031606724926</v>
      </c>
      <c r="Z32" s="79">
        <f>IF(X32&gt;=(Assumptions!$D$32+1),IF(X32&lt;=Assumptions!$D$10,IF(X32&gt;=Assumptions!$D$32,TREND(J$68:J$69,$H$68:$H$69,$X32),0),0),0)</f>
        <v>0.22293907562779314</v>
      </c>
      <c r="AA32" s="79">
        <f>IF(X32&gt;=(Assumptions!$D$32+1),IF(X32&lt;=Assumptions!$D$10,IF(X32&gt;=Assumptions!$D$32,TREND(K$68:K$69,$H$68:$H$69,$X32),0),0),0)</f>
        <v>0.33348004266466358</v>
      </c>
      <c r="AB32" s="79">
        <f>IF(X32&gt;=(Assumptions!$D$32+1),IF(X32&lt;=Assumptions!$D$10,IF(X32&gt;=Assumptions!$D$32,TREND(L$68:L$69,$H$68:$H$69,$X32),0),0),0)</f>
        <v>6.9956772022416569E-2</v>
      </c>
      <c r="AC32" s="79">
        <f>IF(X32&gt;=(Assumptions!$D$32+1),IF(X32&lt;=Assumptions!$D$10,IF(X32&gt;=Assumptions!$D$32,TREND(M$68:M$69,$H$68:$H$69,$X32),0),0),0)</f>
        <v>0.8068678986506459</v>
      </c>
      <c r="AD32" s="92">
        <f t="shared" si="4"/>
        <v>2662249.2107262267</v>
      </c>
      <c r="AE32" s="81">
        <f>IF(X32&gt;=(Assumptions!$D$32+1),IF(X32&lt;=Assumptions!$D$10,IF(X32&gt;=Assumptions!$D$32,TREND(I$74:I$75,$H$74:$H$75,$X32),0),0),0)</f>
        <v>0</v>
      </c>
      <c r="AF32" s="79">
        <f>IF(X32&gt;=(Assumptions!$D$32+1),IF(X32&lt;=Assumptions!$D$10,IF(X32&gt;=Assumptions!$D$32,TREND(J$74:J$75,$H$74:$H$75,$X32),0),0),0)</f>
        <v>8.4055698800832523E-2</v>
      </c>
      <c r="AG32" s="79">
        <f>IF(X32&gt;=(Assumptions!$D$32+1),IF(X32&lt;=Assumptions!$D$10,IF(X32&gt;=Assumptions!$D$32,TREND(K$74:K$75,$H$74:$H$75,$X32),0),0),0)</f>
        <v>8.4055698800832523E-2</v>
      </c>
      <c r="AH32" s="79">
        <f>IF(X32&gt;=(Assumptions!$D$32+1),IF(X32&lt;=Assumptions!$D$10,IF(X32&gt;=Assumptions!$D$32,TREND(L$74:L$75,$H$74:$H$75,$X32),0),0),0)</f>
        <v>0</v>
      </c>
      <c r="AI32" s="79">
        <f>IF(X32&gt;=(Assumptions!$D$32+1),IF(X32&lt;=Assumptions!$D$10,IF(X32&gt;=Assumptions!$D$32,TREND(M$74:M$75,$H$74:$H$75,$X32),0),0),0)</f>
        <v>2.5299652711410801</v>
      </c>
      <c r="AJ32" s="92">
        <f t="shared" si="5"/>
        <v>70471.852823562076</v>
      </c>
      <c r="AK32" s="32"/>
      <c r="AL32" s="32"/>
      <c r="AM32" s="32"/>
      <c r="AN32" s="32"/>
      <c r="AO32" s="32"/>
      <c r="AP32" s="32"/>
    </row>
    <row r="33" spans="1:42" ht="15" customHeight="1" x14ac:dyDescent="0.25">
      <c r="B33" s="153">
        <f t="shared" si="3"/>
        <v>2053</v>
      </c>
      <c r="C33" s="264">
        <f t="shared" si="0"/>
        <v>0</v>
      </c>
      <c r="D33" s="264">
        <f t="shared" si="1"/>
        <v>0</v>
      </c>
      <c r="E33" s="265">
        <f t="shared" si="2"/>
        <v>0</v>
      </c>
      <c r="F33" s="266">
        <f>E33*(1+0.07)^-(B33-Assumptions!$D$7)</f>
        <v>0</v>
      </c>
      <c r="G33" s="32"/>
      <c r="H33" s="415"/>
      <c r="I33" s="415"/>
      <c r="J33" s="415"/>
      <c r="K33" s="415"/>
      <c r="L33" s="415"/>
      <c r="M33" s="415"/>
      <c r="N33" s="415"/>
      <c r="O33" s="415"/>
      <c r="Q33" s="158"/>
      <c r="R33" s="2"/>
      <c r="S33" s="3"/>
      <c r="T33" s="3"/>
      <c r="X33" s="153">
        <v>2039</v>
      </c>
      <c r="Y33" s="81">
        <f>IF(X33&gt;=(Assumptions!$D$32+1),IF(X33&lt;=Assumptions!$D$10,IF(X33&gt;=Assumptions!$D$32,TREND(I$68:I$69,$H$68:$H$69,$X33),0),0),0)</f>
        <v>0.21118200554266986</v>
      </c>
      <c r="Z33" s="79">
        <f>IF(X33&gt;=(Assumptions!$D$32+1),IF(X33&lt;=Assumptions!$D$10,IF(X33&gt;=Assumptions!$D$32,TREND(J$68:J$69,$H$68:$H$69,$X33),0),0),0)</f>
        <v>0.22433244485046666</v>
      </c>
      <c r="AA33" s="79">
        <f>IF(X33&gt;=(Assumptions!$D$32+1),IF(X33&lt;=Assumptions!$D$10,IF(X33&gt;=Assumptions!$D$32,TREND(K$68:K$69,$H$68:$H$69,$X33),0),0),0)</f>
        <v>0.33556429293131718</v>
      </c>
      <c r="AB33" s="79">
        <f>IF(X33&gt;=(Assumptions!$D$32+1),IF(X33&lt;=Assumptions!$D$10,IF(X33&gt;=Assumptions!$D$32,TREND(L$68:L$69,$H$68:$H$69,$X33),0),0),0)</f>
        <v>7.0394001847556731E-2</v>
      </c>
      <c r="AC33" s="79">
        <f>IF(X33&gt;=(Assumptions!$D$32+1),IF(X33&lt;=Assumptions!$D$10,IF(X33&gt;=Assumptions!$D$32,TREND(M$68:M$69,$H$68:$H$69,$X33),0),0),0)</f>
        <v>0.81191082301721273</v>
      </c>
      <c r="AD33" s="92">
        <f t="shared" si="4"/>
        <v>2678888.268293268</v>
      </c>
      <c r="AE33" s="81">
        <f>IF(X33&gt;=(Assumptions!$D$32+1),IF(X33&lt;=Assumptions!$D$10,IF(X33&gt;=Assumptions!$D$32,TREND(I$74:I$75,$H$74:$H$75,$X33),0),0),0)</f>
        <v>0</v>
      </c>
      <c r="AF33" s="79">
        <f>IF(X33&gt;=(Assumptions!$D$32+1),IF(X33&lt;=Assumptions!$D$10,IF(X33&gt;=Assumptions!$D$32,TREND(J$74:J$75,$H$74:$H$75,$X33),0),0),0)</f>
        <v>8.4581046918337677E-2</v>
      </c>
      <c r="AG33" s="79">
        <f>IF(X33&gt;=(Assumptions!$D$32+1),IF(X33&lt;=Assumptions!$D$10,IF(X33&gt;=Assumptions!$D$32,TREND(K$74:K$75,$H$74:$H$75,$X33),0),0),0)</f>
        <v>8.4581046918337677E-2</v>
      </c>
      <c r="AH33" s="79">
        <f>IF(X33&gt;=(Assumptions!$D$32+1),IF(X33&lt;=Assumptions!$D$10,IF(X33&gt;=Assumptions!$D$32,TREND(L$74:L$75,$H$74:$H$75,$X33),0),0),0)</f>
        <v>0</v>
      </c>
      <c r="AI33" s="79">
        <f>IF(X33&gt;=(Assumptions!$D$32+1),IF(X33&lt;=Assumptions!$D$10,IF(X33&gt;=Assumptions!$D$32,TREND(M$74:M$75,$H$74:$H$75,$X33),0),0),0)</f>
        <v>2.545777554085717</v>
      </c>
      <c r="AJ33" s="92">
        <f t="shared" si="5"/>
        <v>70912.301903709318</v>
      </c>
      <c r="AK33" s="32"/>
      <c r="AL33" s="32"/>
      <c r="AM33" s="32"/>
      <c r="AN33" s="32"/>
      <c r="AO33" s="32"/>
      <c r="AP33" s="32"/>
    </row>
    <row r="34" spans="1:42" ht="15" customHeight="1" x14ac:dyDescent="0.25">
      <c r="B34" s="153">
        <f t="shared" si="3"/>
        <v>2054</v>
      </c>
      <c r="C34" s="264">
        <f t="shared" si="0"/>
        <v>0</v>
      </c>
      <c r="D34" s="264">
        <f t="shared" si="1"/>
        <v>0</v>
      </c>
      <c r="E34" s="265">
        <f t="shared" si="2"/>
        <v>0</v>
      </c>
      <c r="F34" s="266">
        <f>E34*(1+0.07)^-(B34-Assumptions!$D$7)</f>
        <v>0</v>
      </c>
      <c r="G34" s="32"/>
      <c r="X34" s="153">
        <v>2040</v>
      </c>
      <c r="Y34" s="81">
        <f>IF(X34&gt;=(Assumptions!$D$32+1),IF(X34&lt;=Assumptions!$D$10,IF(X34&gt;=Assumptions!$D$32,TREND(I$68:I$69,$H$68:$H$69,$X34),0),0),0)</f>
        <v>0.21249369501809001</v>
      </c>
      <c r="Z34" s="79">
        <f>IF(X34&gt;=(Assumptions!$D$32+1),IF(X34&lt;=Assumptions!$D$10,IF(X34&gt;=Assumptions!$D$32,TREND(J$68:J$69,$H$68:$H$69,$X34),0),0),0)</f>
        <v>0.22572581407314063</v>
      </c>
      <c r="AA34" s="79">
        <f>IF(X34&gt;=(Assumptions!$D$32+1),IF(X34&lt;=Assumptions!$D$10,IF(X34&gt;=Assumptions!$D$32,TREND(K$68:K$69,$H$68:$H$69,$X34),0),0),0)</f>
        <v>0.33764854319797166</v>
      </c>
      <c r="AB34" s="79">
        <f>IF(X34&gt;=(Assumptions!$D$32+1),IF(X34&lt;=Assumptions!$D$10,IF(X34&gt;=Assumptions!$D$32,TREND(L$68:L$69,$H$68:$H$69,$X34),0),0),0)</f>
        <v>7.0831231672696782E-2</v>
      </c>
      <c r="AC34" s="79">
        <f>IF(X34&gt;=(Assumptions!$D$32+1),IF(X34&lt;=Assumptions!$D$10,IF(X34&gt;=Assumptions!$D$32,TREND(M$68:M$69,$H$68:$H$69,$X34),0),0),0)</f>
        <v>0.8169537473837778</v>
      </c>
      <c r="AD34" s="92">
        <f t="shared" si="4"/>
        <v>2695527.3258603057</v>
      </c>
      <c r="AE34" s="81">
        <f>IF(X34&gt;=(Assumptions!$D$32+1),IF(X34&lt;=Assumptions!$D$10,IF(X34&gt;=Assumptions!$D$32,TREND(I$74:I$75,$H$74:$H$75,$X34),0),0),0)</f>
        <v>0</v>
      </c>
      <c r="AF34" s="79">
        <f>IF(X34&gt;=(Assumptions!$D$32+1),IF(X34&lt;=Assumptions!$D$10,IF(X34&gt;=Assumptions!$D$32,TREND(J$74:J$75,$H$74:$H$75,$X34),0),0),0)</f>
        <v>8.510639503584283E-2</v>
      </c>
      <c r="AG34" s="79">
        <f>IF(X34&gt;=(Assumptions!$D$32+1),IF(X34&lt;=Assumptions!$D$10,IF(X34&gt;=Assumptions!$D$32,TREND(K$74:K$75,$H$74:$H$75,$X34),0),0),0)</f>
        <v>8.510639503584283E-2</v>
      </c>
      <c r="AH34" s="79">
        <f>IF(X34&gt;=(Assumptions!$D$32+1),IF(X34&lt;=Assumptions!$D$10,IF(X34&gt;=Assumptions!$D$32,TREND(L$74:L$75,$H$74:$H$75,$X34),0),0),0)</f>
        <v>0</v>
      </c>
      <c r="AI34" s="79">
        <f>IF(X34&gt;=(Assumptions!$D$32+1),IF(X34&lt;=Assumptions!$D$10,IF(X34&gt;=Assumptions!$D$32,TREND(M$74:M$75,$H$74:$H$75,$X34),0),0),0)</f>
        <v>2.5615898370303469</v>
      </c>
      <c r="AJ34" s="92">
        <f t="shared" si="5"/>
        <v>71352.750983856531</v>
      </c>
      <c r="AK34" s="32"/>
      <c r="AL34" s="32"/>
      <c r="AM34" s="32"/>
      <c r="AN34" s="32"/>
      <c r="AO34" s="32"/>
      <c r="AP34" s="32"/>
    </row>
    <row r="35" spans="1:42" ht="15" customHeight="1" thickBot="1" x14ac:dyDescent="0.3">
      <c r="B35" s="154">
        <f t="shared" si="3"/>
        <v>2055</v>
      </c>
      <c r="C35" s="267">
        <f t="shared" si="0"/>
        <v>0</v>
      </c>
      <c r="D35" s="267">
        <f t="shared" si="1"/>
        <v>0</v>
      </c>
      <c r="E35" s="268">
        <f t="shared" si="2"/>
        <v>0</v>
      </c>
      <c r="F35" s="269">
        <f>E35*(1+0.07)^-(B35-Assumptions!$D$7)</f>
        <v>0</v>
      </c>
      <c r="G35" s="32"/>
      <c r="H35" s="1" t="s">
        <v>722</v>
      </c>
      <c r="J35" s="3"/>
      <c r="O35" s="83"/>
      <c r="Q35" t="s">
        <v>787</v>
      </c>
      <c r="R35" s="2"/>
      <c r="X35" s="153">
        <v>2041</v>
      </c>
      <c r="Y35" s="81">
        <f>IF(X35&gt;=(Assumptions!$D$32+1),IF(X35&lt;=Assumptions!$D$10,IF(X35&gt;=Assumptions!$D$32,TREND(I$68:I$69,$H$68:$H$69,$X35),0),0),0)</f>
        <v>0.21380538449351061</v>
      </c>
      <c r="Z35" s="79">
        <f>IF(X35&gt;=(Assumptions!$D$32+1),IF(X35&lt;=Assumptions!$D$10,IF(X35&gt;=Assumptions!$D$32,TREND(J$68:J$69,$H$68:$H$69,$X35),0),0),0)</f>
        <v>0.22711918329581415</v>
      </c>
      <c r="AA35" s="79">
        <f>IF(X35&gt;=(Assumptions!$D$32+1),IF(X35&lt;=Assumptions!$D$10,IF(X35&gt;=Assumptions!$D$32,TREND(K$68:K$69,$H$68:$H$69,$X35),0),0),0)</f>
        <v>0.33973279346462615</v>
      </c>
      <c r="AB35" s="79">
        <f>IF(X35&gt;=(Assumptions!$D$32+1),IF(X35&lt;=Assumptions!$D$10,IF(X35&gt;=Assumptions!$D$32,TREND(L$68:L$69,$H$68:$H$69,$X35),0),0),0)</f>
        <v>7.1268461497836944E-2</v>
      </c>
      <c r="AC35" s="79">
        <f>IF(X35&gt;=(Assumptions!$D$32+1),IF(X35&lt;=Assumptions!$D$10,IF(X35&gt;=Assumptions!$D$32,TREND(M$68:M$69,$H$68:$H$69,$X35),0),0),0)</f>
        <v>0.82199667175034463</v>
      </c>
      <c r="AD35" s="92">
        <f t="shared" si="4"/>
        <v>2712166.3834273475</v>
      </c>
      <c r="AE35" s="81">
        <f>IF(X35&gt;=(Assumptions!$D$32+1),IF(X35&lt;=Assumptions!$D$10,IF(X35&gt;=Assumptions!$D$32,TREND(I$74:I$75,$H$74:$H$75,$X35),0),0),0)</f>
        <v>0</v>
      </c>
      <c r="AF35" s="79">
        <f>IF(X35&gt;=(Assumptions!$D$32+1),IF(X35&lt;=Assumptions!$D$10,IF(X35&gt;=Assumptions!$D$32,TREND(J$74:J$75,$H$74:$H$75,$X35),0),0),0)</f>
        <v>8.5631743153347983E-2</v>
      </c>
      <c r="AG35" s="79">
        <f>IF(X35&gt;=(Assumptions!$D$32+1),IF(X35&lt;=Assumptions!$D$10,IF(X35&gt;=Assumptions!$D$32,TREND(K$74:K$75,$H$74:$H$75,$X35),0),0),0)</f>
        <v>8.5631743153347983E-2</v>
      </c>
      <c r="AH35" s="79">
        <f>IF(X35&gt;=(Assumptions!$D$32+1),IF(X35&lt;=Assumptions!$D$10,IF(X35&gt;=Assumptions!$D$32,TREND(L$74:L$75,$H$74:$H$75,$X35),0),0),0)</f>
        <v>0</v>
      </c>
      <c r="AI35" s="79">
        <f>IF(X35&gt;=(Assumptions!$D$32+1),IF(X35&lt;=Assumptions!$D$10,IF(X35&gt;=Assumptions!$D$32,TREND(M$74:M$75,$H$74:$H$75,$X35),0),0),0)</f>
        <v>2.5774021199749768</v>
      </c>
      <c r="AJ35" s="92">
        <f t="shared" si="5"/>
        <v>71793.200064003759</v>
      </c>
      <c r="AK35" s="32"/>
      <c r="AL35" s="32"/>
      <c r="AM35" s="32"/>
      <c r="AN35" s="32"/>
      <c r="AO35" s="32"/>
      <c r="AP35" s="32"/>
    </row>
    <row r="36" spans="1:42" ht="15" customHeight="1" thickBot="1" x14ac:dyDescent="0.3">
      <c r="A36" s="2"/>
      <c r="E36" s="177" t="s">
        <v>2</v>
      </c>
      <c r="F36" s="270">
        <f>SUM(F6:F35)</f>
        <v>20333877.653969832</v>
      </c>
      <c r="G36" s="32"/>
      <c r="H36" s="39" t="s">
        <v>94</v>
      </c>
      <c r="I36" s="39" t="s">
        <v>93</v>
      </c>
      <c r="J36" s="39" t="s">
        <v>711</v>
      </c>
      <c r="K36" s="39" t="s">
        <v>786</v>
      </c>
      <c r="L36" s="39" t="s">
        <v>92</v>
      </c>
      <c r="M36" s="39" t="s">
        <v>91</v>
      </c>
      <c r="N36" s="39" t="s">
        <v>90</v>
      </c>
      <c r="O36" s="39" t="s">
        <v>89</v>
      </c>
      <c r="P36" s="39" t="s">
        <v>88</v>
      </c>
      <c r="Q36" s="39" t="s">
        <v>20</v>
      </c>
      <c r="R36" s="39" t="s">
        <v>21</v>
      </c>
      <c r="S36" s="39" t="s">
        <v>22</v>
      </c>
      <c r="T36" s="39" t="s">
        <v>23</v>
      </c>
      <c r="U36" s="39" t="s">
        <v>83</v>
      </c>
      <c r="X36" s="153">
        <v>2042</v>
      </c>
      <c r="Y36" s="81">
        <f>IF(X36&gt;=(Assumptions!$D$32+1),IF(X36&lt;=Assumptions!$D$10,IF(X36&gt;=Assumptions!$D$32,TREND(I$68:I$69,$H$68:$H$69,$X36),0),0),0)</f>
        <v>0.21511707396893076</v>
      </c>
      <c r="Z36" s="79">
        <f>IF(X36&gt;=(Assumptions!$D$32+1),IF(X36&lt;=Assumptions!$D$10,IF(X36&gt;=Assumptions!$D$32,TREND(J$68:J$69,$H$68:$H$69,$X36),0),0),0)</f>
        <v>0.22851255251848812</v>
      </c>
      <c r="AA36" s="79">
        <f>IF(X36&gt;=(Assumptions!$D$32+1),IF(X36&lt;=Assumptions!$D$10,IF(X36&gt;=Assumptions!$D$32,TREND(K$68:K$69,$H$68:$H$69,$X36),0),0),0)</f>
        <v>0.34181704373127975</v>
      </c>
      <c r="AB36" s="79">
        <f>IF(X36&gt;=(Assumptions!$D$32+1),IF(X36&lt;=Assumptions!$D$10,IF(X36&gt;=Assumptions!$D$32,TREND(L$68:L$69,$H$68:$H$69,$X36),0),0),0)</f>
        <v>7.1705691322976994E-2</v>
      </c>
      <c r="AC36" s="79">
        <f>IF(X36&gt;=(Assumptions!$D$32+1),IF(X36&lt;=Assumptions!$D$10,IF(X36&gt;=Assumptions!$D$32,TREND(M$68:M$69,$H$68:$H$69,$X36),0),0),0)</f>
        <v>0.82703959611691147</v>
      </c>
      <c r="AD36" s="92">
        <f t="shared" si="4"/>
        <v>2728805.4409943847</v>
      </c>
      <c r="AE36" s="81">
        <f>IF(X36&gt;=(Assumptions!$D$32+1),IF(X36&lt;=Assumptions!$D$10,IF(X36&gt;=Assumptions!$D$32,TREND(I$74:I$75,$H$74:$H$75,$X36),0),0),0)</f>
        <v>0</v>
      </c>
      <c r="AF36" s="79">
        <f>IF(X36&gt;=(Assumptions!$D$32+1),IF(X36&lt;=Assumptions!$D$10,IF(X36&gt;=Assumptions!$D$32,TREND(J$74:J$75,$H$74:$H$75,$X36),0),0),0)</f>
        <v>8.6157091270853359E-2</v>
      </c>
      <c r="AG36" s="79">
        <f>IF(X36&gt;=(Assumptions!$D$32+1),IF(X36&lt;=Assumptions!$D$10,IF(X36&gt;=Assumptions!$D$32,TREND(K$74:K$75,$H$74:$H$75,$X36),0),0),0)</f>
        <v>8.6157091270853359E-2</v>
      </c>
      <c r="AH36" s="79">
        <f>IF(X36&gt;=(Assumptions!$D$32+1),IF(X36&lt;=Assumptions!$D$10,IF(X36&gt;=Assumptions!$D$32,TREND(L$74:L$75,$H$74:$H$75,$X36),0),0),0)</f>
        <v>0</v>
      </c>
      <c r="AI36" s="79">
        <f>IF(X36&gt;=(Assumptions!$D$32+1),IF(X36&lt;=Assumptions!$D$10,IF(X36&gt;=Assumptions!$D$32,TREND(M$74:M$75,$H$74:$H$75,$X36),0),0),0)</f>
        <v>2.5932144029196067</v>
      </c>
      <c r="AJ36" s="92">
        <f t="shared" si="5"/>
        <v>72233.649144151132</v>
      </c>
      <c r="AK36" s="32"/>
      <c r="AL36" s="32"/>
      <c r="AM36" s="32"/>
      <c r="AN36" s="32"/>
      <c r="AO36" s="32"/>
      <c r="AP36" s="32"/>
    </row>
    <row r="37" spans="1:42" ht="15" customHeight="1" x14ac:dyDescent="0.25">
      <c r="B37" s="51"/>
      <c r="C37" s="49"/>
      <c r="D37" s="49"/>
      <c r="E37" s="49"/>
      <c r="F37" s="49"/>
      <c r="G37" s="49"/>
      <c r="H37" s="210" t="s">
        <v>152</v>
      </c>
      <c r="I37" s="215" t="s">
        <v>87</v>
      </c>
      <c r="J37" s="217">
        <f>'VMT &amp; Crash Data by Route'!$P$12</f>
        <v>2306202.0359848486</v>
      </c>
      <c r="K37" s="217">
        <f>'VMT &amp; Crash Data by Route'!$P$115</f>
        <v>2561750.4261363633</v>
      </c>
      <c r="L37" s="203">
        <f t="shared" ref="L37:P40" si="7">Q37/(5*$J37)*100000000</f>
        <v>0</v>
      </c>
      <c r="M37" s="203">
        <f t="shared" si="7"/>
        <v>0</v>
      </c>
      <c r="N37" s="203">
        <f t="shared" si="7"/>
        <v>0</v>
      </c>
      <c r="O37" s="203">
        <f t="shared" si="7"/>
        <v>0</v>
      </c>
      <c r="P37" s="203">
        <f t="shared" si="7"/>
        <v>130.08400622276224</v>
      </c>
      <c r="Q37" s="91">
        <v>0</v>
      </c>
      <c r="R37" s="91">
        <v>0</v>
      </c>
      <c r="S37" s="91">
        <v>0</v>
      </c>
      <c r="T37" s="91">
        <v>0</v>
      </c>
      <c r="U37" s="91">
        <v>15</v>
      </c>
      <c r="X37" s="153">
        <v>2043</v>
      </c>
      <c r="Y37" s="81">
        <f>IF(X37&gt;=(Assumptions!$D$32+1),IF(X37&lt;=Assumptions!$D$10,IF(X37&gt;=Assumptions!$D$32,TREND(I$68:I$69,$H$68:$H$69,$X37),0),0),0)</f>
        <v>0.21642876344435091</v>
      </c>
      <c r="Z37" s="79">
        <f>IF(X37&gt;=(Assumptions!$D$32+1),IF(X37&lt;=Assumptions!$D$10,IF(X37&gt;=Assumptions!$D$32,TREND(J$68:J$69,$H$68:$H$69,$X37),0),0),0)</f>
        <v>0.22990592174116165</v>
      </c>
      <c r="AA37" s="79">
        <f>IF(X37&gt;=(Assumptions!$D$32+1),IF(X37&lt;=Assumptions!$D$10,IF(X37&gt;=Assumptions!$D$32,TREND(K$68:K$69,$H$68:$H$69,$X37),0),0),0)</f>
        <v>0.34390129399793423</v>
      </c>
      <c r="AB37" s="79">
        <f>IF(X37&gt;=(Assumptions!$D$32+1),IF(X37&lt;=Assumptions!$D$10,IF(X37&gt;=Assumptions!$D$32,TREND(L$68:L$69,$H$68:$H$69,$X37),0),0),0)</f>
        <v>7.2142921148117156E-2</v>
      </c>
      <c r="AC37" s="79">
        <f>IF(X37&gt;=(Assumptions!$D$32+1),IF(X37&lt;=Assumptions!$D$10,IF(X37&gt;=Assumptions!$D$32,TREND(M$68:M$69,$H$68:$H$69,$X37),0),0),0)</f>
        <v>0.83208252048347831</v>
      </c>
      <c r="AD37" s="92">
        <f t="shared" si="4"/>
        <v>2745444.4985614219</v>
      </c>
      <c r="AE37" s="81">
        <f>IF(X37&gt;=(Assumptions!$D$32+1),IF(X37&lt;=Assumptions!$D$10,IF(X37&gt;=Assumptions!$D$32,TREND(I$74:I$75,$H$74:$H$75,$X37),0),0),0)</f>
        <v>0</v>
      </c>
      <c r="AF37" s="79">
        <f>IF(X37&gt;=(Assumptions!$D$32+1),IF(X37&lt;=Assumptions!$D$10,IF(X37&gt;=Assumptions!$D$32,TREND(J$74:J$75,$H$74:$H$75,$X37),0),0),0)</f>
        <v>8.6682439388358512E-2</v>
      </c>
      <c r="AG37" s="79">
        <f>IF(X37&gt;=(Assumptions!$D$32+1),IF(X37&lt;=Assumptions!$D$10,IF(X37&gt;=Assumptions!$D$32,TREND(K$74:K$75,$H$74:$H$75,$X37),0),0),0)</f>
        <v>8.6682439388358512E-2</v>
      </c>
      <c r="AH37" s="79">
        <f>IF(X37&gt;=(Assumptions!$D$32+1),IF(X37&lt;=Assumptions!$D$10,IF(X37&gt;=Assumptions!$D$32,TREND(L$74:L$75,$H$74:$H$75,$X37),0),0),0)</f>
        <v>0</v>
      </c>
      <c r="AI37" s="79">
        <f>IF(X37&gt;=(Assumptions!$D$32+1),IF(X37&lt;=Assumptions!$D$10,IF(X37&gt;=Assumptions!$D$32,TREND(M$74:M$75,$H$74:$H$75,$X37),0),0),0)</f>
        <v>2.6090266858642437</v>
      </c>
      <c r="AJ37" s="92">
        <f t="shared" si="5"/>
        <v>72674.098224298388</v>
      </c>
      <c r="AK37" s="49"/>
      <c r="AL37" s="49"/>
      <c r="AM37" s="49"/>
      <c r="AN37" s="49"/>
      <c r="AO37" s="49"/>
    </row>
    <row r="38" spans="1:42" x14ac:dyDescent="0.25">
      <c r="A38" s="2"/>
      <c r="H38" s="210" t="s">
        <v>154</v>
      </c>
      <c r="I38" s="215" t="s">
        <v>87</v>
      </c>
      <c r="J38" s="217">
        <f>'VMT &amp; Crash Data by Route'!$P$115</f>
        <v>2561750.4261363633</v>
      </c>
      <c r="K38" s="217">
        <f>'VMT &amp; Crash Data by Route'!$P$163</f>
        <v>6392875.1089015156</v>
      </c>
      <c r="L38" s="203">
        <f t="shared" si="7"/>
        <v>0</v>
      </c>
      <c r="M38" s="203">
        <f t="shared" si="7"/>
        <v>15.614323546860135</v>
      </c>
      <c r="N38" s="203">
        <f t="shared" si="7"/>
        <v>15.614323546860135</v>
      </c>
      <c r="O38" s="203">
        <f t="shared" si="7"/>
        <v>0</v>
      </c>
      <c r="P38" s="203">
        <f t="shared" si="7"/>
        <v>39.035808867150337</v>
      </c>
      <c r="Q38" s="91">
        <v>0</v>
      </c>
      <c r="R38" s="91">
        <v>2</v>
      </c>
      <c r="S38" s="91">
        <v>2</v>
      </c>
      <c r="T38" s="91">
        <v>0</v>
      </c>
      <c r="U38" s="91">
        <v>5</v>
      </c>
      <c r="X38" s="153">
        <v>2044</v>
      </c>
      <c r="Y38" s="81">
        <f>IF(X38&gt;=(Assumptions!$D$32+1),IF(X38&lt;=Assumptions!$D$10,IF(X38&gt;=Assumptions!$D$32,TREND(I$68:I$69,$H$68:$H$69,$X38),0),0),0)</f>
        <v>0.21774045291977151</v>
      </c>
      <c r="Z38" s="79">
        <f>IF(X38&gt;=(Assumptions!$D$32+1),IF(X38&lt;=Assumptions!$D$10,IF(X38&gt;=Assumptions!$D$32,TREND(J$68:J$69,$H$68:$H$69,$X38),0),0),0)</f>
        <v>0.23129929096383517</v>
      </c>
      <c r="AA38" s="79">
        <f>IF(X38&gt;=(Assumptions!$D$32+1),IF(X38&lt;=Assumptions!$D$10,IF(X38&gt;=Assumptions!$D$32,TREND(K$68:K$69,$H$68:$H$69,$X38),0),0),0)</f>
        <v>0.34598554426458872</v>
      </c>
      <c r="AB38" s="79">
        <f>IF(X38&gt;=(Assumptions!$D$32+1),IF(X38&lt;=Assumptions!$D$10,IF(X38&gt;=Assumptions!$D$32,TREND(L$68:L$69,$H$68:$H$69,$X38),0),0),0)</f>
        <v>7.2580150973257207E-2</v>
      </c>
      <c r="AC38" s="79">
        <f>IF(X38&gt;=(Assumptions!$D$32+1),IF(X38&lt;=Assumptions!$D$10,IF(X38&gt;=Assumptions!$D$32,TREND(M$68:M$69,$H$68:$H$69,$X38),0),0),0)</f>
        <v>0.83712544485004514</v>
      </c>
      <c r="AD38" s="92">
        <f t="shared" si="4"/>
        <v>2762083.5561284642</v>
      </c>
      <c r="AE38" s="81">
        <f>IF(X38&gt;=(Assumptions!$D$32+1),IF(X38&lt;=Assumptions!$D$10,IF(X38&gt;=Assumptions!$D$32,TREND(I$74:I$75,$H$74:$H$75,$X38),0),0),0)</f>
        <v>0</v>
      </c>
      <c r="AF38" s="79">
        <f>IF(X38&gt;=(Assumptions!$D$32+1),IF(X38&lt;=Assumptions!$D$10,IF(X38&gt;=Assumptions!$D$32,TREND(J$74:J$75,$H$74:$H$75,$X38),0),0),0)</f>
        <v>8.7207787505863665E-2</v>
      </c>
      <c r="AG38" s="79">
        <f>IF(X38&gt;=(Assumptions!$D$32+1),IF(X38&lt;=Assumptions!$D$10,IF(X38&gt;=Assumptions!$D$32,TREND(K$74:K$75,$H$74:$H$75,$X38),0),0),0)</f>
        <v>8.7207787505863665E-2</v>
      </c>
      <c r="AH38" s="79">
        <f>IF(X38&gt;=(Assumptions!$D$32+1),IF(X38&lt;=Assumptions!$D$10,IF(X38&gt;=Assumptions!$D$32,TREND(L$74:L$75,$H$74:$H$75,$X38),0),0),0)</f>
        <v>0</v>
      </c>
      <c r="AI38" s="79">
        <f>IF(X38&gt;=(Assumptions!$D$32+1),IF(X38&lt;=Assumptions!$D$10,IF(X38&gt;=Assumptions!$D$32,TREND(M$74:M$75,$H$74:$H$75,$X38),0),0),0)</f>
        <v>2.6248389688088736</v>
      </c>
      <c r="AJ38" s="92">
        <f t="shared" si="5"/>
        <v>73114.547304445616</v>
      </c>
    </row>
    <row r="39" spans="1:42" ht="15" customHeight="1" x14ac:dyDescent="0.25">
      <c r="H39" s="212" t="s">
        <v>153</v>
      </c>
      <c r="I39" s="214" t="s">
        <v>86</v>
      </c>
      <c r="J39" s="213">
        <f>'VMT &amp; Crash Data by Route'!$P$12</f>
        <v>2306202.0359848486</v>
      </c>
      <c r="K39" s="213">
        <f>'VMT &amp; Crash Data by Route'!$P$12</f>
        <v>2306202.0359848486</v>
      </c>
      <c r="L39" s="201">
        <f t="shared" si="7"/>
        <v>0</v>
      </c>
      <c r="M39" s="201">
        <f t="shared" si="7"/>
        <v>0</v>
      </c>
      <c r="N39" s="201">
        <f t="shared" si="7"/>
        <v>0</v>
      </c>
      <c r="O39" s="201">
        <f t="shared" si="7"/>
        <v>0</v>
      </c>
      <c r="P39" s="201">
        <f t="shared" si="7"/>
        <v>130.08400622276224</v>
      </c>
      <c r="Q39" s="91">
        <v>0</v>
      </c>
      <c r="R39" s="91">
        <v>0</v>
      </c>
      <c r="S39" s="91">
        <v>0</v>
      </c>
      <c r="T39" s="91">
        <v>0</v>
      </c>
      <c r="U39" s="91">
        <v>15</v>
      </c>
      <c r="X39" s="153">
        <v>2045</v>
      </c>
      <c r="Y39" s="81">
        <f>IF(X39&gt;=(Assumptions!$D$32+1),IF(X39&lt;=Assumptions!$D$10,IF(X39&gt;=Assumptions!$D$32,TREND(I$68:I$69,$H$68:$H$69,$X39),0),0),0)</f>
        <v>0.21905214239519166</v>
      </c>
      <c r="Z39" s="79">
        <f>IF(X39&gt;=(Assumptions!$D$32+1),IF(X39&lt;=Assumptions!$D$10,IF(X39&gt;=Assumptions!$D$32,TREND(J$68:J$69,$H$68:$H$69,$X39),0),0),0)</f>
        <v>0.23269266018650914</v>
      </c>
      <c r="AA39" s="79">
        <f>IF(X39&gt;=(Assumptions!$D$32+1),IF(X39&lt;=Assumptions!$D$10,IF(X39&gt;=Assumptions!$D$32,TREND(K$68:K$69,$H$68:$H$69,$X39),0),0),0)</f>
        <v>0.34806979453124232</v>
      </c>
      <c r="AB39" s="79">
        <f>IF(X39&gt;=(Assumptions!$D$32+1),IF(X39&lt;=Assumptions!$D$10,IF(X39&gt;=Assumptions!$D$32,TREND(L$68:L$69,$H$68:$H$69,$X39),0),0),0)</f>
        <v>7.3017380798397369E-2</v>
      </c>
      <c r="AC39" s="79">
        <f>IF(X39&gt;=(Assumptions!$D$32+1),IF(X39&lt;=Assumptions!$D$10,IF(X39&gt;=Assumptions!$D$32,TREND(M$68:M$69,$H$68:$H$69,$X39),0),0),0)</f>
        <v>0.84216836921661198</v>
      </c>
      <c r="AD39" s="92">
        <f t="shared" si="4"/>
        <v>2778722.6136955009</v>
      </c>
      <c r="AE39" s="81">
        <f>IF(X39&gt;=(Assumptions!$D$32+1),IF(X39&lt;=Assumptions!$D$10,IF(X39&gt;=Assumptions!$D$32,TREND(I$74:I$75,$H$74:$H$75,$X39),0),0),0)</f>
        <v>0</v>
      </c>
      <c r="AF39" s="79">
        <f>IF(X39&gt;=(Assumptions!$D$32+1),IF(X39&lt;=Assumptions!$D$10,IF(X39&gt;=Assumptions!$D$32,TREND(J$74:J$75,$H$74:$H$75,$X39),0),0),0)</f>
        <v>8.7733135623368819E-2</v>
      </c>
      <c r="AG39" s="79">
        <f>IF(X39&gt;=(Assumptions!$D$32+1),IF(X39&lt;=Assumptions!$D$10,IF(X39&gt;=Assumptions!$D$32,TREND(K$74:K$75,$H$74:$H$75,$X39),0),0),0)</f>
        <v>8.7733135623368819E-2</v>
      </c>
      <c r="AH39" s="79">
        <f>IF(X39&gt;=(Assumptions!$D$32+1),IF(X39&lt;=Assumptions!$D$10,IF(X39&gt;=Assumptions!$D$32,TREND(L$74:L$75,$H$74:$H$75,$X39),0),0),0)</f>
        <v>0</v>
      </c>
      <c r="AI39" s="79">
        <f>IF(X39&gt;=(Assumptions!$D$32+1),IF(X39&lt;=Assumptions!$D$10,IF(X39&gt;=Assumptions!$D$32,TREND(M$74:M$75,$H$74:$H$75,$X39),0),0),0)</f>
        <v>2.6406512517535035</v>
      </c>
      <c r="AJ39" s="92">
        <f t="shared" si="5"/>
        <v>73554.996384592829</v>
      </c>
    </row>
    <row r="40" spans="1:42" ht="15" customHeight="1" x14ac:dyDescent="0.25">
      <c r="B40" s="1" t="s">
        <v>3</v>
      </c>
      <c r="C40" s="1"/>
      <c r="D40" s="1"/>
      <c r="H40" s="212" t="s">
        <v>155</v>
      </c>
      <c r="I40" s="214" t="s">
        <v>86</v>
      </c>
      <c r="J40" s="213">
        <f>'VMT &amp; Crash Data by Route'!$P$115</f>
        <v>2561750.4261363633</v>
      </c>
      <c r="K40" s="213">
        <f>'VMT &amp; Crash Data by Route'!$P$60</f>
        <v>11710812.083333334</v>
      </c>
      <c r="L40" s="201">
        <f t="shared" si="7"/>
        <v>0</v>
      </c>
      <c r="M40" s="201">
        <f t="shared" si="7"/>
        <v>15.614323546860135</v>
      </c>
      <c r="N40" s="201">
        <f t="shared" si="7"/>
        <v>15.614323546860135</v>
      </c>
      <c r="O40" s="201">
        <f t="shared" si="7"/>
        <v>0</v>
      </c>
      <c r="P40" s="201">
        <f t="shared" si="7"/>
        <v>39.035808867150337</v>
      </c>
      <c r="Q40" s="91">
        <v>0</v>
      </c>
      <c r="R40" s="91">
        <v>2</v>
      </c>
      <c r="S40" s="91">
        <v>2</v>
      </c>
      <c r="T40" s="91">
        <v>0</v>
      </c>
      <c r="U40" s="91">
        <v>5</v>
      </c>
      <c r="X40" s="153">
        <v>2046</v>
      </c>
      <c r="Y40" s="81">
        <f>IF(X40&gt;=(Assumptions!$D$32+1),IF(X40&lt;=Assumptions!$D$10,IF(X40&gt;=Assumptions!$D$32,TREND(I$68:I$69,$H$68:$H$69,$X40),0),0),0)</f>
        <v>0</v>
      </c>
      <c r="Z40" s="79">
        <f>IF(X40&gt;=(Assumptions!$D$32+1),IF(X40&lt;=Assumptions!$D$10,IF(X40&gt;=Assumptions!$D$32,TREND(J$68:J$69,$H$68:$H$69,$X40),0),0),0)</f>
        <v>0</v>
      </c>
      <c r="AA40" s="79">
        <f>IF(X40&gt;=(Assumptions!$D$32+1),IF(X40&lt;=Assumptions!$D$10,IF(X40&gt;=Assumptions!$D$32,TREND(K$68:K$69,$H$68:$H$69,$X40),0),0),0)</f>
        <v>0</v>
      </c>
      <c r="AB40" s="79">
        <f>IF(X40&gt;=(Assumptions!$D$32+1),IF(X40&lt;=Assumptions!$D$10,IF(X40&gt;=Assumptions!$D$32,TREND(L$68:L$69,$H$68:$H$69,$X40),0),0),0)</f>
        <v>0</v>
      </c>
      <c r="AC40" s="79">
        <f>IF(X40&gt;=(Assumptions!$D$32+1),IF(X40&lt;=Assumptions!$D$10,IF(X40&gt;=Assumptions!$D$32,TREND(M$68:M$69,$H$68:$H$69,$X40),0),0),0)</f>
        <v>0</v>
      </c>
      <c r="AD40" s="92">
        <f t="shared" si="4"/>
        <v>0</v>
      </c>
      <c r="AE40" s="81">
        <f>IF(X40&gt;=(Assumptions!$D$32+1),IF(X40&lt;=Assumptions!$D$10,IF(X40&gt;=Assumptions!$D$32,TREND(I$74:I$75,$H$74:$H$75,$X40),0),0),0)</f>
        <v>0</v>
      </c>
      <c r="AF40" s="79">
        <f>IF(X40&gt;=(Assumptions!$D$32+1),IF(X40&lt;=Assumptions!$D$10,IF(X40&gt;=Assumptions!$D$32,TREND(J$74:J$75,$H$74:$H$75,$X40),0),0),0)</f>
        <v>0</v>
      </c>
      <c r="AG40" s="79">
        <f>IF(X40&gt;=(Assumptions!$D$32+1),IF(X40&lt;=Assumptions!$D$10,IF(X40&gt;=Assumptions!$D$32,TREND(K$74:K$75,$H$74:$H$75,$X40),0),0),0)</f>
        <v>0</v>
      </c>
      <c r="AH40" s="79">
        <f>IF(X40&gt;=(Assumptions!$D$32+1),IF(X40&lt;=Assumptions!$D$10,IF(X40&gt;=Assumptions!$D$32,TREND(L$74:L$75,$H$74:$H$75,$X40),0),0),0)</f>
        <v>0</v>
      </c>
      <c r="AI40" s="79">
        <f>IF(X40&gt;=(Assumptions!$D$32+1),IF(X40&lt;=Assumptions!$D$10,IF(X40&gt;=Assumptions!$D$32,TREND(M$74:M$75,$H$74:$H$75,$X40),0),0),0)</f>
        <v>0</v>
      </c>
      <c r="AJ40" s="92">
        <f t="shared" si="5"/>
        <v>0</v>
      </c>
    </row>
    <row r="41" spans="1:42" ht="15" customHeight="1" x14ac:dyDescent="0.25">
      <c r="A41" s="2" t="s">
        <v>19</v>
      </c>
      <c r="B41" s="388" t="s">
        <v>816</v>
      </c>
      <c r="C41" s="388"/>
      <c r="D41" s="388"/>
      <c r="E41" s="388"/>
      <c r="F41" s="388"/>
      <c r="G41" s="43"/>
      <c r="H41" s="442" t="s">
        <v>710</v>
      </c>
      <c r="I41" s="442"/>
      <c r="J41" s="442"/>
      <c r="K41" s="442"/>
      <c r="L41" s="442"/>
      <c r="M41" s="442"/>
      <c r="N41" s="442"/>
      <c r="O41" s="442"/>
      <c r="X41" s="153">
        <v>2047</v>
      </c>
      <c r="Y41" s="81">
        <f>IF(X41&gt;=(Assumptions!$D$32+1),IF(X41&lt;=Assumptions!$D$10,IF(X41&gt;=Assumptions!$D$32,TREND(I$68:I$69,$H$68:$H$69,$X41),0),0),0)</f>
        <v>0</v>
      </c>
      <c r="Z41" s="79">
        <f>IF(X41&gt;=(Assumptions!$D$32+1),IF(X41&lt;=Assumptions!$D$10,IF(X41&gt;=Assumptions!$D$32,TREND(J$68:J$69,$H$68:$H$69,$X41),0),0),0)</f>
        <v>0</v>
      </c>
      <c r="AA41" s="79">
        <f>IF(X41&gt;=(Assumptions!$D$32+1),IF(X41&lt;=Assumptions!$D$10,IF(X41&gt;=Assumptions!$D$32,TREND(K$68:K$69,$H$68:$H$69,$X41),0),0),0)</f>
        <v>0</v>
      </c>
      <c r="AB41" s="79">
        <f>IF(X41&gt;=(Assumptions!$D$32+1),IF(X41&lt;=Assumptions!$D$10,IF(X41&gt;=Assumptions!$D$32,TREND(L$68:L$69,$H$68:$H$69,$X41),0),0),0)</f>
        <v>0</v>
      </c>
      <c r="AC41" s="79">
        <f>IF(X41&gt;=(Assumptions!$D$32+1),IF(X41&lt;=Assumptions!$D$10,IF(X41&gt;=Assumptions!$D$32,TREND(M$68:M$69,$H$68:$H$69,$X41),0),0),0)</f>
        <v>0</v>
      </c>
      <c r="AD41" s="92">
        <f t="shared" si="4"/>
        <v>0</v>
      </c>
      <c r="AE41" s="81">
        <f>IF(X41&gt;=(Assumptions!$D$32+1),IF(X41&lt;=Assumptions!$D$10,IF(X41&gt;=Assumptions!$D$32,TREND(I$74:I$75,$H$74:$H$75,$X41),0),0),0)</f>
        <v>0</v>
      </c>
      <c r="AF41" s="79">
        <f>IF(X41&gt;=(Assumptions!$D$32+1),IF(X41&lt;=Assumptions!$D$10,IF(X41&gt;=Assumptions!$D$32,TREND(J$74:J$75,$H$74:$H$75,$X41),0),0),0)</f>
        <v>0</v>
      </c>
      <c r="AG41" s="79">
        <f>IF(X41&gt;=(Assumptions!$D$32+1),IF(X41&lt;=Assumptions!$D$10,IF(X41&gt;=Assumptions!$D$32,TREND(K$74:K$75,$H$74:$H$75,$X41),0),0),0)</f>
        <v>0</v>
      </c>
      <c r="AH41" s="79">
        <f>IF(X41&gt;=(Assumptions!$D$32+1),IF(X41&lt;=Assumptions!$D$10,IF(X41&gt;=Assumptions!$D$32,TREND(L$74:L$75,$H$74:$H$75,$X41),0),0),0)</f>
        <v>0</v>
      </c>
      <c r="AI41" s="79">
        <f>IF(X41&gt;=(Assumptions!$D$32+1),IF(X41&lt;=Assumptions!$D$10,IF(X41&gt;=Assumptions!$D$32,TREND(M$74:M$75,$H$74:$H$75,$X41),0),0),0)</f>
        <v>0</v>
      </c>
      <c r="AJ41" s="92">
        <f t="shared" si="5"/>
        <v>0</v>
      </c>
      <c r="AK41" s="43"/>
      <c r="AL41" s="43"/>
      <c r="AM41" s="43"/>
      <c r="AN41" s="43"/>
      <c r="AO41" s="43"/>
      <c r="AP41" s="43"/>
    </row>
    <row r="42" spans="1:42" ht="15" customHeight="1" x14ac:dyDescent="0.25">
      <c r="B42" s="388"/>
      <c r="C42" s="388"/>
      <c r="D42" s="388"/>
      <c r="E42" s="388"/>
      <c r="F42" s="388"/>
      <c r="G42" s="43"/>
      <c r="H42" s="415"/>
      <c r="I42" s="415"/>
      <c r="J42" s="415"/>
      <c r="K42" s="415"/>
      <c r="L42" s="415"/>
      <c r="M42" s="415"/>
      <c r="N42" s="415"/>
      <c r="O42" s="415"/>
      <c r="X42" s="153">
        <v>2048</v>
      </c>
      <c r="Y42" s="81">
        <f>IF(X42&gt;=(Assumptions!$D$32+1),IF(X42&lt;=Assumptions!$D$10,IF(X42&gt;=Assumptions!$D$32,TREND(I$68:I$69,$H$68:$H$69,$X42),0),0),0)</f>
        <v>0</v>
      </c>
      <c r="Z42" s="79">
        <f>IF(X42&gt;=(Assumptions!$D$32+1),IF(X42&lt;=Assumptions!$D$10,IF(X42&gt;=Assumptions!$D$32,TREND(J$68:J$69,$H$68:$H$69,$X42),0),0),0)</f>
        <v>0</v>
      </c>
      <c r="AA42" s="79">
        <f>IF(X42&gt;=(Assumptions!$D$32+1),IF(X42&lt;=Assumptions!$D$10,IF(X42&gt;=Assumptions!$D$32,TREND(K$68:K$69,$H$68:$H$69,$X42),0),0),0)</f>
        <v>0</v>
      </c>
      <c r="AB42" s="79">
        <f>IF(X42&gt;=(Assumptions!$D$32+1),IF(X42&lt;=Assumptions!$D$10,IF(X42&gt;=Assumptions!$D$32,TREND(L$68:L$69,$H$68:$H$69,$X42),0),0),0)</f>
        <v>0</v>
      </c>
      <c r="AC42" s="79">
        <f>IF(X42&gt;=(Assumptions!$D$32+1),IF(X42&lt;=Assumptions!$D$10,IF(X42&gt;=Assumptions!$D$32,TREND(M$68:M$69,$H$68:$H$69,$X42),0),0),0)</f>
        <v>0</v>
      </c>
      <c r="AD42" s="92">
        <f t="shared" si="4"/>
        <v>0</v>
      </c>
      <c r="AE42" s="81">
        <f>IF(X42&gt;=(Assumptions!$D$32+1),IF(X42&lt;=Assumptions!$D$10,IF(X42&gt;=Assumptions!$D$32,TREND(I$74:I$75,$H$74:$H$75,$X42),0),0),0)</f>
        <v>0</v>
      </c>
      <c r="AF42" s="79">
        <f>IF(X42&gt;=(Assumptions!$D$32+1),IF(X42&lt;=Assumptions!$D$10,IF(X42&gt;=Assumptions!$D$32,TREND(J$74:J$75,$H$74:$H$75,$X42),0),0),0)</f>
        <v>0</v>
      </c>
      <c r="AG42" s="79">
        <f>IF(X42&gt;=(Assumptions!$D$32+1),IF(X42&lt;=Assumptions!$D$10,IF(X42&gt;=Assumptions!$D$32,TREND(K$74:K$75,$H$74:$H$75,$X42),0),0),0)</f>
        <v>0</v>
      </c>
      <c r="AH42" s="79">
        <f>IF(X42&gt;=(Assumptions!$D$32+1),IF(X42&lt;=Assumptions!$D$10,IF(X42&gt;=Assumptions!$D$32,TREND(L$74:L$75,$H$74:$H$75,$X42),0),0),0)</f>
        <v>0</v>
      </c>
      <c r="AI42" s="79">
        <f>IF(X42&gt;=(Assumptions!$D$32+1),IF(X42&lt;=Assumptions!$D$10,IF(X42&gt;=Assumptions!$D$32,TREND(M$74:M$75,$H$74:$H$75,$X42),0),0),0)</f>
        <v>0</v>
      </c>
      <c r="AJ42" s="92">
        <f t="shared" si="5"/>
        <v>0</v>
      </c>
      <c r="AK42" s="43"/>
      <c r="AL42" s="43"/>
      <c r="AM42" s="43"/>
      <c r="AN42" s="43"/>
      <c r="AO42" s="43"/>
      <c r="AP42" s="43"/>
    </row>
    <row r="43" spans="1:42" ht="15" customHeight="1" x14ac:dyDescent="0.25">
      <c r="A43" s="2"/>
      <c r="B43" s="388"/>
      <c r="C43" s="388"/>
      <c r="D43" s="388"/>
      <c r="E43" s="388"/>
      <c r="F43" s="388"/>
      <c r="G43" s="43"/>
      <c r="X43" s="153">
        <v>2049</v>
      </c>
      <c r="Y43" s="81">
        <f>IF(X43&gt;=(Assumptions!$D$32+1),IF(X43&lt;=Assumptions!$D$10,IF(X43&gt;=Assumptions!$D$32,TREND(I$68:I$69,$H$68:$H$69,$X43),0),0),0)</f>
        <v>0</v>
      </c>
      <c r="Z43" s="79">
        <f>IF(X43&gt;=(Assumptions!$D$32+1),IF(X43&lt;=Assumptions!$D$10,IF(X43&gt;=Assumptions!$D$32,TREND(J$68:J$69,$H$68:$H$69,$X43),0),0),0)</f>
        <v>0</v>
      </c>
      <c r="AA43" s="79">
        <f>IF(X43&gt;=(Assumptions!$D$32+1),IF(X43&lt;=Assumptions!$D$10,IF(X43&gt;=Assumptions!$D$32,TREND(K$68:K$69,$H$68:$H$69,$X43),0),0),0)</f>
        <v>0</v>
      </c>
      <c r="AB43" s="79">
        <f>IF(X43&gt;=(Assumptions!$D$32+1),IF(X43&lt;=Assumptions!$D$10,IF(X43&gt;=Assumptions!$D$32,TREND(L$68:L$69,$H$68:$H$69,$X43),0),0),0)</f>
        <v>0</v>
      </c>
      <c r="AC43" s="79">
        <f>IF(X43&gt;=(Assumptions!$D$32+1),IF(X43&lt;=Assumptions!$D$10,IF(X43&gt;=Assumptions!$D$32,TREND(M$68:M$69,$H$68:$H$69,$X43),0),0),0)</f>
        <v>0</v>
      </c>
      <c r="AD43" s="92">
        <f t="shared" si="4"/>
        <v>0</v>
      </c>
      <c r="AE43" s="81">
        <f>IF(X43&gt;=(Assumptions!$D$32+1),IF(X43&lt;=Assumptions!$D$10,IF(X43&gt;=Assumptions!$D$32,TREND(I$74:I$75,$H$74:$H$75,$X43),0),0),0)</f>
        <v>0</v>
      </c>
      <c r="AF43" s="79">
        <f>IF(X43&gt;=(Assumptions!$D$32+1),IF(X43&lt;=Assumptions!$D$10,IF(X43&gt;=Assumptions!$D$32,TREND(J$74:J$75,$H$74:$H$75,$X43),0),0),0)</f>
        <v>0</v>
      </c>
      <c r="AG43" s="79">
        <f>IF(X43&gt;=(Assumptions!$D$32+1),IF(X43&lt;=Assumptions!$D$10,IF(X43&gt;=Assumptions!$D$32,TREND(K$74:K$75,$H$74:$H$75,$X43),0),0),0)</f>
        <v>0</v>
      </c>
      <c r="AH43" s="79">
        <f>IF(X43&gt;=(Assumptions!$D$32+1),IF(X43&lt;=Assumptions!$D$10,IF(X43&gt;=Assumptions!$D$32,TREND(L$74:L$75,$H$74:$H$75,$X43),0),0),0)</f>
        <v>0</v>
      </c>
      <c r="AI43" s="79">
        <f>IF(X43&gt;=(Assumptions!$D$32+1),IF(X43&lt;=Assumptions!$D$10,IF(X43&gt;=Assumptions!$D$32,TREND(M$74:M$75,$H$74:$H$75,$X43),0),0),0)</f>
        <v>0</v>
      </c>
      <c r="AJ43" s="92">
        <f t="shared" si="5"/>
        <v>0</v>
      </c>
      <c r="AK43" s="43"/>
      <c r="AL43" s="43"/>
      <c r="AM43" s="43"/>
      <c r="AN43" s="43"/>
      <c r="AO43" s="43"/>
      <c r="AP43" s="43"/>
    </row>
    <row r="44" spans="1:42" ht="15" customHeight="1" x14ac:dyDescent="0.25">
      <c r="B44" s="388"/>
      <c r="C44" s="388"/>
      <c r="D44" s="388"/>
      <c r="E44" s="388"/>
      <c r="F44" s="388"/>
      <c r="G44" s="43"/>
      <c r="H44" s="1" t="s">
        <v>723</v>
      </c>
      <c r="J44" s="3"/>
      <c r="X44" s="153">
        <v>2050</v>
      </c>
      <c r="Y44" s="81">
        <f>IF(X44&gt;=(Assumptions!$D$32+1),IF(X44&lt;=Assumptions!$D$10,IF(X44&gt;=Assumptions!$D$32,TREND(I$68:I$69,$H$68:$H$69,$X44),0),0),0)</f>
        <v>0</v>
      </c>
      <c r="Z44" s="79">
        <f>IF(X44&gt;=(Assumptions!$D$32+1),IF(X44&lt;=Assumptions!$D$10,IF(X44&gt;=Assumptions!$D$32,TREND(J$68:J$69,$H$68:$H$69,$X44),0),0),0)</f>
        <v>0</v>
      </c>
      <c r="AA44" s="79">
        <f>IF(X44&gt;=(Assumptions!$D$32+1),IF(X44&lt;=Assumptions!$D$10,IF(X44&gt;=Assumptions!$D$32,TREND(K$68:K$69,$H$68:$H$69,$X44),0),0),0)</f>
        <v>0</v>
      </c>
      <c r="AB44" s="79">
        <f>IF(X44&gt;=(Assumptions!$D$32+1),IF(X44&lt;=Assumptions!$D$10,IF(X44&gt;=Assumptions!$D$32,TREND(L$68:L$69,$H$68:$H$69,$X44),0),0),0)</f>
        <v>0</v>
      </c>
      <c r="AC44" s="79">
        <f>IF(X44&gt;=(Assumptions!$D$32+1),IF(X44&lt;=Assumptions!$D$10,IF(X44&gt;=Assumptions!$D$32,TREND(M$68:M$69,$H$68:$H$69,$X44),0),0),0)</f>
        <v>0</v>
      </c>
      <c r="AD44" s="92">
        <f t="shared" si="4"/>
        <v>0</v>
      </c>
      <c r="AE44" s="81">
        <f>IF(X44&gt;=(Assumptions!$D$32+1),IF(X44&lt;=Assumptions!$D$10,IF(X44&gt;=Assumptions!$D$32,TREND(I$74:I$75,$H$74:$H$75,$X44),0),0),0)</f>
        <v>0</v>
      </c>
      <c r="AF44" s="79">
        <f>IF(X44&gt;=(Assumptions!$D$32+1),IF(X44&lt;=Assumptions!$D$10,IF(X44&gt;=Assumptions!$D$32,TREND(J$74:J$75,$H$74:$H$75,$X44),0),0),0)</f>
        <v>0</v>
      </c>
      <c r="AG44" s="79">
        <f>IF(X44&gt;=(Assumptions!$D$32+1),IF(X44&lt;=Assumptions!$D$10,IF(X44&gt;=Assumptions!$D$32,TREND(K$74:K$75,$H$74:$H$75,$X44),0),0),0)</f>
        <v>0</v>
      </c>
      <c r="AH44" s="79">
        <f>IF(X44&gt;=(Assumptions!$D$32+1),IF(X44&lt;=Assumptions!$D$10,IF(X44&gt;=Assumptions!$D$32,TREND(L$74:L$75,$H$74:$H$75,$X44),0),0),0)</f>
        <v>0</v>
      </c>
      <c r="AI44" s="79">
        <f>IF(X44&gt;=(Assumptions!$D$32+1),IF(X44&lt;=Assumptions!$D$10,IF(X44&gt;=Assumptions!$D$32,TREND(M$74:M$75,$H$74:$H$75,$X44),0),0),0)</f>
        <v>0</v>
      </c>
      <c r="AJ44" s="92">
        <f t="shared" si="5"/>
        <v>0</v>
      </c>
      <c r="AK44" s="43"/>
      <c r="AL44" s="43"/>
      <c r="AM44" s="43"/>
      <c r="AN44" s="43"/>
      <c r="AO44" s="43"/>
      <c r="AP44" s="43"/>
    </row>
    <row r="45" spans="1:42" ht="15" customHeight="1" x14ac:dyDescent="0.25">
      <c r="B45" s="388"/>
      <c r="C45" s="388"/>
      <c r="D45" s="388"/>
      <c r="E45" s="388"/>
      <c r="F45" s="388"/>
      <c r="G45" s="43"/>
      <c r="H45" s="39" t="s">
        <v>94</v>
      </c>
      <c r="I45" s="39" t="s">
        <v>93</v>
      </c>
      <c r="J45" s="39" t="s">
        <v>266</v>
      </c>
      <c r="K45" s="39" t="s">
        <v>20</v>
      </c>
      <c r="L45" s="39" t="s">
        <v>21</v>
      </c>
      <c r="M45" s="39" t="s">
        <v>22</v>
      </c>
      <c r="N45" s="39" t="s">
        <v>23</v>
      </c>
      <c r="O45" s="39" t="s">
        <v>83</v>
      </c>
      <c r="X45" s="153">
        <v>2051</v>
      </c>
      <c r="Y45" s="81">
        <f>IF(X45&gt;=(Assumptions!$D$32+1),IF(X45&lt;=Assumptions!$D$10,IF(X45&gt;=Assumptions!$D$32,TREND(I$68:I$69,$H$68:$H$69,$X45),0),0),0)</f>
        <v>0</v>
      </c>
      <c r="Z45" s="79">
        <f>IF(X45&gt;=(Assumptions!$D$32+1),IF(X45&lt;=Assumptions!$D$10,IF(X45&gt;=Assumptions!$D$32,TREND(J$68:J$69,$H$68:$H$69,$X45),0),0),0)</f>
        <v>0</v>
      </c>
      <c r="AA45" s="79">
        <f>IF(X45&gt;=(Assumptions!$D$32+1),IF(X45&lt;=Assumptions!$D$10,IF(X45&gt;=Assumptions!$D$32,TREND(K$68:K$69,$H$68:$H$69,$X45),0),0),0)</f>
        <v>0</v>
      </c>
      <c r="AB45" s="79">
        <f>IF(X45&gt;=(Assumptions!$D$32+1),IF(X45&lt;=Assumptions!$D$10,IF(X45&gt;=Assumptions!$D$32,TREND(L$68:L$69,$H$68:$H$69,$X45),0),0),0)</f>
        <v>0</v>
      </c>
      <c r="AC45" s="79">
        <f>IF(X45&gt;=(Assumptions!$D$32+1),IF(X45&lt;=Assumptions!$D$10,IF(X45&gt;=Assumptions!$D$32,TREND(M$68:M$69,$H$68:$H$69,$X45),0),0),0)</f>
        <v>0</v>
      </c>
      <c r="AD45" s="92">
        <f t="shared" si="4"/>
        <v>0</v>
      </c>
      <c r="AE45" s="81">
        <f>IF(X45&gt;=(Assumptions!$D$32+1),IF(X45&lt;=Assumptions!$D$10,IF(X45&gt;=Assumptions!$D$32,TREND(I$74:I$75,$H$74:$H$75,$X45),0),0),0)</f>
        <v>0</v>
      </c>
      <c r="AF45" s="79">
        <f>IF(X45&gt;=(Assumptions!$D$32+1),IF(X45&lt;=Assumptions!$D$10,IF(X45&gt;=Assumptions!$D$32,TREND(J$74:J$75,$H$74:$H$75,$X45),0),0),0)</f>
        <v>0</v>
      </c>
      <c r="AG45" s="79">
        <f>IF(X45&gt;=(Assumptions!$D$32+1),IF(X45&lt;=Assumptions!$D$10,IF(X45&gt;=Assumptions!$D$32,TREND(K$74:K$75,$H$74:$H$75,$X45),0),0),0)</f>
        <v>0</v>
      </c>
      <c r="AH45" s="79">
        <f>IF(X45&gt;=(Assumptions!$D$32+1),IF(X45&lt;=Assumptions!$D$10,IF(X45&gt;=Assumptions!$D$32,TREND(L$74:L$75,$H$74:$H$75,$X45),0),0),0)</f>
        <v>0</v>
      </c>
      <c r="AI45" s="79">
        <f>IF(X45&gt;=(Assumptions!$D$32+1),IF(X45&lt;=Assumptions!$D$10,IF(X45&gt;=Assumptions!$D$32,TREND(M$74:M$75,$H$74:$H$75,$X45),0),0),0)</f>
        <v>0</v>
      </c>
      <c r="AJ45" s="92">
        <f t="shared" si="5"/>
        <v>0</v>
      </c>
      <c r="AK45" s="43"/>
      <c r="AL45" s="43"/>
      <c r="AM45" s="43"/>
      <c r="AN45" s="43"/>
      <c r="AO45" s="43"/>
      <c r="AP45" s="43"/>
    </row>
    <row r="46" spans="1:42" x14ac:dyDescent="0.25">
      <c r="B46" s="388"/>
      <c r="C46" s="388"/>
      <c r="D46" s="388"/>
      <c r="E46" s="388"/>
      <c r="F46" s="388"/>
      <c r="H46" s="210" t="s">
        <v>692</v>
      </c>
      <c r="I46" s="215" t="s">
        <v>87</v>
      </c>
      <c r="J46" s="217">
        <f>'Operations Calculations'!M60</f>
        <v>0</v>
      </c>
      <c r="K46" s="216">
        <f t="shared" ref="K46:O53" si="8">$J46*L24/100000000</f>
        <v>0</v>
      </c>
      <c r="L46" s="216">
        <f t="shared" si="8"/>
        <v>0</v>
      </c>
      <c r="M46" s="216">
        <f t="shared" si="8"/>
        <v>0</v>
      </c>
      <c r="N46" s="216">
        <f t="shared" si="8"/>
        <v>0</v>
      </c>
      <c r="O46" s="216">
        <f t="shared" si="8"/>
        <v>0</v>
      </c>
      <c r="X46" s="153">
        <v>2052</v>
      </c>
      <c r="Y46" s="81">
        <f>IF(X46&gt;=(Assumptions!$D$32+1),IF(X46&lt;=Assumptions!$D$10,IF(X46&gt;=Assumptions!$D$32,TREND(I$68:I$69,$H$68:$H$69,$X46),0),0),0)</f>
        <v>0</v>
      </c>
      <c r="Z46" s="79">
        <f>IF(X46&gt;=(Assumptions!$D$32+1),IF(X46&lt;=Assumptions!$D$10,IF(X46&gt;=Assumptions!$D$32,TREND(J$68:J$69,$H$68:$H$69,$X46),0),0),0)</f>
        <v>0</v>
      </c>
      <c r="AA46" s="79">
        <f>IF(X46&gt;=(Assumptions!$D$32+1),IF(X46&lt;=Assumptions!$D$10,IF(X46&gt;=Assumptions!$D$32,TREND(K$68:K$69,$H$68:$H$69,$X46),0),0),0)</f>
        <v>0</v>
      </c>
      <c r="AB46" s="79">
        <f>IF(X46&gt;=(Assumptions!$D$32+1),IF(X46&lt;=Assumptions!$D$10,IF(X46&gt;=Assumptions!$D$32,TREND(L$68:L$69,$H$68:$H$69,$X46),0),0),0)</f>
        <v>0</v>
      </c>
      <c r="AC46" s="79">
        <f>IF(X46&gt;=(Assumptions!$D$32+1),IF(X46&lt;=Assumptions!$D$10,IF(X46&gt;=Assumptions!$D$32,TREND(M$68:M$69,$H$68:$H$69,$X46),0),0),0)</f>
        <v>0</v>
      </c>
      <c r="AD46" s="92">
        <f t="shared" si="4"/>
        <v>0</v>
      </c>
      <c r="AE46" s="81">
        <f>IF(X46&gt;=(Assumptions!$D$32+1),IF(X46&lt;=Assumptions!$D$10,IF(X46&gt;=Assumptions!$D$32,TREND(I$74:I$75,$H$74:$H$75,$X46),0),0),0)</f>
        <v>0</v>
      </c>
      <c r="AF46" s="79">
        <f>IF(X46&gt;=(Assumptions!$D$32+1),IF(X46&lt;=Assumptions!$D$10,IF(X46&gt;=Assumptions!$D$32,TREND(J$74:J$75,$H$74:$H$75,$X46),0),0),0)</f>
        <v>0</v>
      </c>
      <c r="AG46" s="79">
        <f>IF(X46&gt;=(Assumptions!$D$32+1),IF(X46&lt;=Assumptions!$D$10,IF(X46&gt;=Assumptions!$D$32,TREND(K$74:K$75,$H$74:$H$75,$X46),0),0),0)</f>
        <v>0</v>
      </c>
      <c r="AH46" s="79">
        <f>IF(X46&gt;=(Assumptions!$D$32+1),IF(X46&lt;=Assumptions!$D$10,IF(X46&gt;=Assumptions!$D$32,TREND(L$74:L$75,$H$74:$H$75,$X46),0),0),0)</f>
        <v>0</v>
      </c>
      <c r="AI46" s="79">
        <f>IF(X46&gt;=(Assumptions!$D$32+1),IF(X46&lt;=Assumptions!$D$10,IF(X46&gt;=Assumptions!$D$32,TREND(M$74:M$75,$H$74:$H$75,$X46),0),0),0)</f>
        <v>0</v>
      </c>
      <c r="AJ46" s="92">
        <f t="shared" si="5"/>
        <v>0</v>
      </c>
    </row>
    <row r="47" spans="1:42" ht="15" customHeight="1" x14ac:dyDescent="0.25">
      <c r="A47" s="2"/>
      <c r="B47" s="388"/>
      <c r="C47" s="388"/>
      <c r="D47" s="388"/>
      <c r="E47" s="388"/>
      <c r="F47" s="388"/>
      <c r="H47" s="210" t="s">
        <v>691</v>
      </c>
      <c r="I47" s="215" t="s">
        <v>87</v>
      </c>
      <c r="J47" s="217">
        <f>'Operations Calculations'!M61</f>
        <v>145524.77960526315</v>
      </c>
      <c r="K47" s="216">
        <f t="shared" si="8"/>
        <v>1.4911838246883529E-2</v>
      </c>
      <c r="L47" s="216">
        <f t="shared" si="8"/>
        <v>9.9412254979223524E-3</v>
      </c>
      <c r="M47" s="216">
        <f t="shared" si="8"/>
        <v>1.739714462136412E-2</v>
      </c>
      <c r="N47" s="216">
        <f t="shared" si="8"/>
        <v>4.9706127489611762E-3</v>
      </c>
      <c r="O47" s="216">
        <f t="shared" si="8"/>
        <v>4.2250208366169995E-2</v>
      </c>
      <c r="X47" s="153">
        <v>2053</v>
      </c>
      <c r="Y47" s="81">
        <f>IF(X47&gt;=(Assumptions!$D$32+1),IF(X47&lt;=Assumptions!$D$10,IF(X47&gt;=Assumptions!$D$32,TREND(I$68:I$69,$H$68:$H$69,$X47),0),0),0)</f>
        <v>0</v>
      </c>
      <c r="Z47" s="79">
        <f>IF(X47&gt;=(Assumptions!$D$32+1),IF(X47&lt;=Assumptions!$D$10,IF(X47&gt;=Assumptions!$D$32,TREND(J$68:J$69,$H$68:$H$69,$X47),0),0),0)</f>
        <v>0</v>
      </c>
      <c r="AA47" s="79">
        <f>IF(X47&gt;=(Assumptions!$D$32+1),IF(X47&lt;=Assumptions!$D$10,IF(X47&gt;=Assumptions!$D$32,TREND(K$68:K$69,$H$68:$H$69,$X47),0),0),0)</f>
        <v>0</v>
      </c>
      <c r="AB47" s="79">
        <f>IF(X47&gt;=(Assumptions!$D$32+1),IF(X47&lt;=Assumptions!$D$10,IF(X47&gt;=Assumptions!$D$32,TREND(L$68:L$69,$H$68:$H$69,$X47),0),0),0)</f>
        <v>0</v>
      </c>
      <c r="AC47" s="79">
        <f>IF(X47&gt;=(Assumptions!$D$32+1),IF(X47&lt;=Assumptions!$D$10,IF(X47&gt;=Assumptions!$D$32,TREND(M$68:M$69,$H$68:$H$69,$X47),0),0),0)</f>
        <v>0</v>
      </c>
      <c r="AD47" s="92">
        <f t="shared" si="4"/>
        <v>0</v>
      </c>
      <c r="AE47" s="81">
        <f>IF(X47&gt;=(Assumptions!$D$32+1),IF(X47&lt;=Assumptions!$D$10,IF(X47&gt;=Assumptions!$D$32,TREND(I$74:I$75,$H$74:$H$75,$X47),0),0),0)</f>
        <v>0</v>
      </c>
      <c r="AF47" s="79">
        <f>IF(X47&gt;=(Assumptions!$D$32+1),IF(X47&lt;=Assumptions!$D$10,IF(X47&gt;=Assumptions!$D$32,TREND(J$74:J$75,$H$74:$H$75,$X47),0),0),0)</f>
        <v>0</v>
      </c>
      <c r="AG47" s="79">
        <f>IF(X47&gt;=(Assumptions!$D$32+1),IF(X47&lt;=Assumptions!$D$10,IF(X47&gt;=Assumptions!$D$32,TREND(K$74:K$75,$H$74:$H$75,$X47),0),0),0)</f>
        <v>0</v>
      </c>
      <c r="AH47" s="79">
        <f>IF(X47&gt;=(Assumptions!$D$32+1),IF(X47&lt;=Assumptions!$D$10,IF(X47&gt;=Assumptions!$D$32,TREND(L$74:L$75,$H$74:$H$75,$X47),0),0),0)</f>
        <v>0</v>
      </c>
      <c r="AI47" s="79">
        <f>IF(X47&gt;=(Assumptions!$D$32+1),IF(X47&lt;=Assumptions!$D$10,IF(X47&gt;=Assumptions!$D$32,TREND(M$74:M$75,$H$74:$H$75,$X47),0),0),0)</f>
        <v>0</v>
      </c>
      <c r="AJ47" s="92">
        <f t="shared" si="5"/>
        <v>0</v>
      </c>
      <c r="AP47" s="29"/>
    </row>
    <row r="48" spans="1:42" x14ac:dyDescent="0.25">
      <c r="B48" s="388"/>
      <c r="C48" s="388"/>
      <c r="D48" s="388"/>
      <c r="E48" s="388"/>
      <c r="F48" s="388"/>
      <c r="H48" s="210" t="s">
        <v>690</v>
      </c>
      <c r="I48" s="215" t="s">
        <v>87</v>
      </c>
      <c r="J48" s="217">
        <f>'Operations Calculations'!M62</f>
        <v>0</v>
      </c>
      <c r="K48" s="216">
        <f t="shared" si="8"/>
        <v>0</v>
      </c>
      <c r="L48" s="216">
        <f t="shared" si="8"/>
        <v>0</v>
      </c>
      <c r="M48" s="216">
        <f t="shared" si="8"/>
        <v>0</v>
      </c>
      <c r="N48" s="216">
        <f t="shared" si="8"/>
        <v>0</v>
      </c>
      <c r="O48" s="216">
        <f t="shared" si="8"/>
        <v>0</v>
      </c>
      <c r="X48" s="153">
        <v>2054</v>
      </c>
      <c r="Y48" s="81">
        <f>IF(X48&gt;=(Assumptions!$D$32+1),IF(X48&lt;=Assumptions!$D$10,IF(X48&gt;=Assumptions!$D$32,TREND(I$68:I$69,$H$68:$H$69,$X48),0),0),0)</f>
        <v>0</v>
      </c>
      <c r="Z48" s="79">
        <f>IF(X48&gt;=(Assumptions!$D$32+1),IF(X48&lt;=Assumptions!$D$10,IF(X48&gt;=Assumptions!$D$32,TREND(J$68:J$69,$H$68:$H$69,$X48),0),0),0)</f>
        <v>0</v>
      </c>
      <c r="AA48" s="79">
        <f>IF(X48&gt;=(Assumptions!$D$32+1),IF(X48&lt;=Assumptions!$D$10,IF(X48&gt;=Assumptions!$D$32,TREND(K$68:K$69,$H$68:$H$69,$X48),0),0),0)</f>
        <v>0</v>
      </c>
      <c r="AB48" s="79">
        <f>IF(X48&gt;=(Assumptions!$D$32+1),IF(X48&lt;=Assumptions!$D$10,IF(X48&gt;=Assumptions!$D$32,TREND(L$68:L$69,$H$68:$H$69,$X48),0),0),0)</f>
        <v>0</v>
      </c>
      <c r="AC48" s="79">
        <f>IF(X48&gt;=(Assumptions!$D$32+1),IF(X48&lt;=Assumptions!$D$10,IF(X48&gt;=Assumptions!$D$32,TREND(M$68:M$69,$H$68:$H$69,$X48),0),0),0)</f>
        <v>0</v>
      </c>
      <c r="AD48" s="92">
        <f t="shared" si="4"/>
        <v>0</v>
      </c>
      <c r="AE48" s="81">
        <f>IF(X48&gt;=(Assumptions!$D$32+1),IF(X48&lt;=Assumptions!$D$10,IF(X48&gt;=Assumptions!$D$32,TREND(I$74:I$75,$H$74:$H$75,$X48),0),0),0)</f>
        <v>0</v>
      </c>
      <c r="AF48" s="79">
        <f>IF(X48&gt;=(Assumptions!$D$32+1),IF(X48&lt;=Assumptions!$D$10,IF(X48&gt;=Assumptions!$D$32,TREND(J$74:J$75,$H$74:$H$75,$X48),0),0),0)</f>
        <v>0</v>
      </c>
      <c r="AG48" s="79">
        <f>IF(X48&gt;=(Assumptions!$D$32+1),IF(X48&lt;=Assumptions!$D$10,IF(X48&gt;=Assumptions!$D$32,TREND(K$74:K$75,$H$74:$H$75,$X48),0),0),0)</f>
        <v>0</v>
      </c>
      <c r="AH48" s="79">
        <f>IF(X48&gt;=(Assumptions!$D$32+1),IF(X48&lt;=Assumptions!$D$10,IF(X48&gt;=Assumptions!$D$32,TREND(L$74:L$75,$H$74:$H$75,$X48),0),0),0)</f>
        <v>0</v>
      </c>
      <c r="AI48" s="79">
        <f>IF(X48&gt;=(Assumptions!$D$32+1),IF(X48&lt;=Assumptions!$D$10,IF(X48&gt;=Assumptions!$D$32,TREND(M$74:M$75,$H$74:$H$75,$X48),0),0),0)</f>
        <v>0</v>
      </c>
      <c r="AJ48" s="92">
        <f t="shared" si="5"/>
        <v>0</v>
      </c>
      <c r="AP48" s="29"/>
    </row>
    <row r="49" spans="1:42" x14ac:dyDescent="0.25">
      <c r="B49" s="8"/>
      <c r="C49" s="8"/>
      <c r="D49" s="8"/>
      <c r="E49" s="8"/>
      <c r="F49" s="8"/>
      <c r="H49" s="210" t="s">
        <v>693</v>
      </c>
      <c r="I49" s="215" t="s">
        <v>87</v>
      </c>
      <c r="J49" s="217">
        <f>'Operations Calculations'!M63</f>
        <v>53755.855263157893</v>
      </c>
      <c r="K49" s="216">
        <f t="shared" si="8"/>
        <v>0</v>
      </c>
      <c r="L49" s="216">
        <f t="shared" si="8"/>
        <v>5.0452281029211028E-3</v>
      </c>
      <c r="M49" s="216">
        <f t="shared" si="8"/>
        <v>1.0090456205842206E-2</v>
      </c>
      <c r="N49" s="216">
        <f t="shared" si="8"/>
        <v>0</v>
      </c>
      <c r="O49" s="216">
        <f t="shared" si="8"/>
        <v>1.6817427009737013E-2</v>
      </c>
      <c r="X49" s="153">
        <v>2055</v>
      </c>
      <c r="Y49" s="81">
        <f>IF(X49&gt;=(Assumptions!$D$32+1),IF(X49&lt;=Assumptions!$D$10,IF(X49&gt;=Assumptions!$D$32,TREND(I$68:I$69,$H$68:$H$69,$X49),0),0),0)</f>
        <v>0</v>
      </c>
      <c r="Z49" s="79">
        <f>IF(X49&gt;=(Assumptions!$D$32+1),IF(X49&lt;=Assumptions!$D$10,IF(X49&gt;=Assumptions!$D$32,TREND(J$68:J$69,$H$68:$H$69,$X49),0),0),0)</f>
        <v>0</v>
      </c>
      <c r="AA49" s="79">
        <f>IF(X49&gt;=(Assumptions!$D$32+1),IF(X49&lt;=Assumptions!$D$10,IF(X49&gt;=Assumptions!$D$32,TREND(K$68:K$69,$H$68:$H$69,$X49),0),0),0)</f>
        <v>0</v>
      </c>
      <c r="AB49" s="79">
        <f>IF(X49&gt;=(Assumptions!$D$32+1),IF(X49&lt;=Assumptions!$D$10,IF(X49&gt;=Assumptions!$D$32,TREND(L$68:L$69,$H$68:$H$69,$X49),0),0),0)</f>
        <v>0</v>
      </c>
      <c r="AC49" s="79">
        <f>IF(X49&gt;=(Assumptions!$D$32+1),IF(X49&lt;=Assumptions!$D$10,IF(X49&gt;=Assumptions!$D$32,TREND(M$68:M$69,$H$68:$H$69,$X49),0),0),0)</f>
        <v>0</v>
      </c>
      <c r="AD49" s="92">
        <f t="shared" si="4"/>
        <v>0</v>
      </c>
      <c r="AE49" s="81">
        <f>IF(X49&gt;=(Assumptions!$D$32+1),IF(X49&lt;=Assumptions!$D$10,IF(X49&gt;=Assumptions!$D$32,TREND(I$74:I$75,$H$74:$H$75,$X49),0),0),0)</f>
        <v>0</v>
      </c>
      <c r="AF49" s="79">
        <f>IF(X49&gt;=(Assumptions!$D$32+1),IF(X49&lt;=Assumptions!$D$10,IF(X49&gt;=Assumptions!$D$32,TREND(J$74:J$75,$H$74:$H$75,$X49),0),0),0)</f>
        <v>0</v>
      </c>
      <c r="AG49" s="79">
        <f>IF(X49&gt;=(Assumptions!$D$32+1),IF(X49&lt;=Assumptions!$D$10,IF(X49&gt;=Assumptions!$D$32,TREND(K$74:K$75,$H$74:$H$75,$X49),0),0),0)</f>
        <v>0</v>
      </c>
      <c r="AH49" s="79">
        <f>IF(X49&gt;=(Assumptions!$D$32+1),IF(X49&lt;=Assumptions!$D$10,IF(X49&gt;=Assumptions!$D$32,TREND(L$74:L$75,$H$74:$H$75,$X49),0),0),0)</f>
        <v>0</v>
      </c>
      <c r="AI49" s="79">
        <f>IF(X49&gt;=(Assumptions!$D$32+1),IF(X49&lt;=Assumptions!$D$10,IF(X49&gt;=Assumptions!$D$32,TREND(M$74:M$75,$H$74:$H$75,$X49),0),0),0)</f>
        <v>0</v>
      </c>
      <c r="AJ49" s="92">
        <f t="shared" si="5"/>
        <v>0</v>
      </c>
      <c r="AP49" s="29"/>
    </row>
    <row r="50" spans="1:42" ht="15" customHeight="1" x14ac:dyDescent="0.25">
      <c r="A50" s="2" t="s">
        <v>25</v>
      </c>
      <c r="B50" s="415" t="s">
        <v>843</v>
      </c>
      <c r="C50" s="415"/>
      <c r="D50" s="415"/>
      <c r="E50" s="415"/>
      <c r="F50" s="415"/>
      <c r="H50" s="212" t="s">
        <v>697</v>
      </c>
      <c r="I50" s="214" t="s">
        <v>86</v>
      </c>
      <c r="J50" s="213">
        <f>'Operations Calculations'!M64</f>
        <v>0</v>
      </c>
      <c r="K50" s="200">
        <f t="shared" si="8"/>
        <v>0</v>
      </c>
      <c r="L50" s="200">
        <f t="shared" si="8"/>
        <v>0</v>
      </c>
      <c r="M50" s="200">
        <f t="shared" si="8"/>
        <v>0</v>
      </c>
      <c r="N50" s="200">
        <f t="shared" si="8"/>
        <v>0</v>
      </c>
      <c r="O50" s="200">
        <f t="shared" si="8"/>
        <v>0</v>
      </c>
      <c r="X50" s="153">
        <v>2056</v>
      </c>
      <c r="Y50" s="81">
        <f>IF(X50&gt;=(Assumptions!$D$32+1),IF(X50&lt;=Assumptions!$D$10,IF(X50&gt;=Assumptions!$D$32,TREND(I$68:I$69,$H$68:$H$69,$X50),0),0),0)</f>
        <v>0</v>
      </c>
      <c r="Z50" s="79">
        <f>IF(X50&gt;=(Assumptions!$D$32+1),IF(X50&lt;=Assumptions!$D$10,IF(X50&gt;=Assumptions!$D$32,TREND(J$68:J$69,$H$68:$H$69,$X50),0),0),0)</f>
        <v>0</v>
      </c>
      <c r="AA50" s="79">
        <f>IF(X50&gt;=(Assumptions!$D$32+1),IF(X50&lt;=Assumptions!$D$10,IF(X50&gt;=Assumptions!$D$32,TREND(K$68:K$69,$H$68:$H$69,$X50),0),0),0)</f>
        <v>0</v>
      </c>
      <c r="AB50" s="79">
        <f>IF(X50&gt;=(Assumptions!$D$32+1),IF(X50&lt;=Assumptions!$D$10,IF(X50&gt;=Assumptions!$D$32,TREND(L$68:L$69,$H$68:$H$69,$X50),0),0),0)</f>
        <v>0</v>
      </c>
      <c r="AC50" s="79">
        <f>IF(X50&gt;=(Assumptions!$D$32+1),IF(X50&lt;=Assumptions!$D$10,IF(X50&gt;=Assumptions!$D$32,TREND(M$68:M$69,$H$68:$H$69,$X50),0),0),0)</f>
        <v>0</v>
      </c>
      <c r="AD50" s="92">
        <f t="shared" si="4"/>
        <v>0</v>
      </c>
      <c r="AE50" s="81">
        <f>IF(X50&gt;=(Assumptions!$D$32+1),IF(X50&lt;=Assumptions!$D$10,IF(X50&gt;=Assumptions!$D$32,TREND(I$74:I$75,$H$74:$H$75,$X50),0),0),0)</f>
        <v>0</v>
      </c>
      <c r="AF50" s="79">
        <f>IF(X50&gt;=(Assumptions!$D$32+1),IF(X50&lt;=Assumptions!$D$10,IF(X50&gt;=Assumptions!$D$32,TREND(J$74:J$75,$H$74:$H$75,$X50),0),0),0)</f>
        <v>0</v>
      </c>
      <c r="AG50" s="79">
        <f>IF(X50&gt;=(Assumptions!$D$32+1),IF(X50&lt;=Assumptions!$D$10,IF(X50&gt;=Assumptions!$D$32,TREND(K$74:K$75,$H$74:$H$75,$X50),0),0),0)</f>
        <v>0</v>
      </c>
      <c r="AH50" s="79">
        <f>IF(X50&gt;=(Assumptions!$D$32+1),IF(X50&lt;=Assumptions!$D$10,IF(X50&gt;=Assumptions!$D$32,TREND(L$74:L$75,$H$74:$H$75,$X50),0),0),0)</f>
        <v>0</v>
      </c>
      <c r="AI50" s="79">
        <f>IF(X50&gt;=(Assumptions!$D$32+1),IF(X50&lt;=Assumptions!$D$10,IF(X50&gt;=Assumptions!$D$32,TREND(M$74:M$75,$H$74:$H$75,$X50),0),0),0)</f>
        <v>0</v>
      </c>
      <c r="AJ50" s="92">
        <f t="shared" si="5"/>
        <v>0</v>
      </c>
      <c r="AP50" s="29"/>
    </row>
    <row r="51" spans="1:42" ht="15" customHeight="1" x14ac:dyDescent="0.25">
      <c r="B51" s="415"/>
      <c r="C51" s="415"/>
      <c r="D51" s="415"/>
      <c r="E51" s="415"/>
      <c r="F51" s="415"/>
      <c r="H51" s="212" t="s">
        <v>694</v>
      </c>
      <c r="I51" s="214" t="s">
        <v>86</v>
      </c>
      <c r="J51" s="213">
        <f>'Operations Calculations'!M65</f>
        <v>1697789.0953947369</v>
      </c>
      <c r="K51" s="200">
        <f t="shared" si="8"/>
        <v>0.17397144621364116</v>
      </c>
      <c r="L51" s="200">
        <f t="shared" si="8"/>
        <v>0.11598096414242746</v>
      </c>
      <c r="M51" s="200">
        <f t="shared" si="8"/>
        <v>0.20296668724924807</v>
      </c>
      <c r="N51" s="200">
        <f t="shared" si="8"/>
        <v>5.7990482071213732E-2</v>
      </c>
      <c r="O51" s="200">
        <f t="shared" si="8"/>
        <v>0.49291909760531666</v>
      </c>
      <c r="X51" s="153">
        <v>2057</v>
      </c>
      <c r="Y51" s="81">
        <f>IF(X51&gt;=(Assumptions!$D$32+1),IF(X51&lt;=Assumptions!$D$10,IF(X51&gt;=Assumptions!$D$32,TREND(I$68:I$69,$H$68:$H$69,$X51),0),0),0)</f>
        <v>0</v>
      </c>
      <c r="Z51" s="79">
        <f>IF(X51&gt;=(Assumptions!$D$32+1),IF(X51&lt;=Assumptions!$D$10,IF(X51&gt;=Assumptions!$D$32,TREND(J$68:J$69,$H$68:$H$69,$X51),0),0),0)</f>
        <v>0</v>
      </c>
      <c r="AA51" s="79">
        <f>IF(X51&gt;=(Assumptions!$D$32+1),IF(X51&lt;=Assumptions!$D$10,IF(X51&gt;=Assumptions!$D$32,TREND(K$68:K$69,$H$68:$H$69,$X51),0),0),0)</f>
        <v>0</v>
      </c>
      <c r="AB51" s="79">
        <f>IF(X51&gt;=(Assumptions!$D$32+1),IF(X51&lt;=Assumptions!$D$10,IF(X51&gt;=Assumptions!$D$32,TREND(L$68:L$69,$H$68:$H$69,$X51),0),0),0)</f>
        <v>0</v>
      </c>
      <c r="AC51" s="79">
        <f>IF(X51&gt;=(Assumptions!$D$32+1),IF(X51&lt;=Assumptions!$D$10,IF(X51&gt;=Assumptions!$D$32,TREND(M$68:M$69,$H$68:$H$69,$X51),0),0),0)</f>
        <v>0</v>
      </c>
      <c r="AD51" s="92">
        <f t="shared" si="4"/>
        <v>0</v>
      </c>
      <c r="AE51" s="81">
        <f>IF(X51&gt;=(Assumptions!$D$32+1),IF(X51&lt;=Assumptions!$D$10,IF(X51&gt;=Assumptions!$D$32,TREND(I$74:I$75,$H$74:$H$75,$X51),0),0),0)</f>
        <v>0</v>
      </c>
      <c r="AF51" s="79">
        <f>IF(X51&gt;=(Assumptions!$D$32+1),IF(X51&lt;=Assumptions!$D$10,IF(X51&gt;=Assumptions!$D$32,TREND(J$74:J$75,$H$74:$H$75,$X51),0),0),0)</f>
        <v>0</v>
      </c>
      <c r="AG51" s="79">
        <f>IF(X51&gt;=(Assumptions!$D$32+1),IF(X51&lt;=Assumptions!$D$10,IF(X51&gt;=Assumptions!$D$32,TREND(K$74:K$75,$H$74:$H$75,$X51),0),0),0)</f>
        <v>0</v>
      </c>
      <c r="AH51" s="79">
        <f>IF(X51&gt;=(Assumptions!$D$32+1),IF(X51&lt;=Assumptions!$D$10,IF(X51&gt;=Assumptions!$D$32,TREND(L$74:L$75,$H$74:$H$75,$X51),0),0),0)</f>
        <v>0</v>
      </c>
      <c r="AI51" s="79">
        <f>IF(X51&gt;=(Assumptions!$D$32+1),IF(X51&lt;=Assumptions!$D$10,IF(X51&gt;=Assumptions!$D$32,TREND(M$74:M$75,$H$74:$H$75,$X51),0),0),0)</f>
        <v>0</v>
      </c>
      <c r="AJ51" s="92">
        <f t="shared" si="5"/>
        <v>0</v>
      </c>
      <c r="AP51" s="8"/>
    </row>
    <row r="52" spans="1:42" x14ac:dyDescent="0.25">
      <c r="B52" s="415"/>
      <c r="C52" s="415"/>
      <c r="D52" s="415"/>
      <c r="E52" s="415"/>
      <c r="F52" s="415"/>
      <c r="H52" s="212" t="s">
        <v>695</v>
      </c>
      <c r="I52" s="214" t="s">
        <v>86</v>
      </c>
      <c r="J52" s="213">
        <f>'Operations Calculations'!M66</f>
        <v>446242.51644736849</v>
      </c>
      <c r="K52" s="200">
        <f t="shared" si="8"/>
        <v>0</v>
      </c>
      <c r="L52" s="200">
        <f t="shared" si="8"/>
        <v>6.9677750321742671E-2</v>
      </c>
      <c r="M52" s="200">
        <f t="shared" si="8"/>
        <v>6.9677750321742671E-2</v>
      </c>
      <c r="N52" s="200">
        <f t="shared" si="8"/>
        <v>0</v>
      </c>
      <c r="O52" s="200">
        <f t="shared" si="8"/>
        <v>0.17419437580435668</v>
      </c>
      <c r="X52" s="153">
        <v>2058</v>
      </c>
      <c r="Y52" s="81">
        <f>IF(X52&gt;=(Assumptions!$D$32+1),IF(X52&lt;=Assumptions!$D$10,IF(X52&gt;=Assumptions!$D$32,TREND(I$68:I$69,$H$68:$H$69,$X52),0),0),0)</f>
        <v>0</v>
      </c>
      <c r="Z52" s="79">
        <f>IF(X52&gt;=(Assumptions!$D$32+1),IF(X52&lt;=Assumptions!$D$10,IF(X52&gt;=Assumptions!$D$32,TREND(J$68:J$69,$H$68:$H$69,$X52),0),0),0)</f>
        <v>0</v>
      </c>
      <c r="AA52" s="79">
        <f>IF(X52&gt;=(Assumptions!$D$32+1),IF(X52&lt;=Assumptions!$D$10,IF(X52&gt;=Assumptions!$D$32,TREND(K$68:K$69,$H$68:$H$69,$X52),0),0),0)</f>
        <v>0</v>
      </c>
      <c r="AB52" s="79">
        <f>IF(X52&gt;=(Assumptions!$D$32+1),IF(X52&lt;=Assumptions!$D$10,IF(X52&gt;=Assumptions!$D$32,TREND(L$68:L$69,$H$68:$H$69,$X52),0),0),0)</f>
        <v>0</v>
      </c>
      <c r="AC52" s="79">
        <f>IF(X52&gt;=(Assumptions!$D$32+1),IF(X52&lt;=Assumptions!$D$10,IF(X52&gt;=Assumptions!$D$32,TREND(M$68:M$69,$H$68:$H$69,$X52),0),0),0)</f>
        <v>0</v>
      </c>
      <c r="AD52" s="92">
        <f t="shared" si="4"/>
        <v>0</v>
      </c>
      <c r="AE52" s="81">
        <f>IF(X52&gt;=(Assumptions!$D$32+1),IF(X52&lt;=Assumptions!$D$10,IF(X52&gt;=Assumptions!$D$32,TREND(I$74:I$75,$H$74:$H$75,$X52),0),0),0)</f>
        <v>0</v>
      </c>
      <c r="AF52" s="79">
        <f>IF(X52&gt;=(Assumptions!$D$32+1),IF(X52&lt;=Assumptions!$D$10,IF(X52&gt;=Assumptions!$D$32,TREND(J$74:J$75,$H$74:$H$75,$X52),0),0),0)</f>
        <v>0</v>
      </c>
      <c r="AG52" s="79">
        <f>IF(X52&gt;=(Assumptions!$D$32+1),IF(X52&lt;=Assumptions!$D$10,IF(X52&gt;=Assumptions!$D$32,TREND(K$74:K$75,$H$74:$H$75,$X52),0),0),0)</f>
        <v>0</v>
      </c>
      <c r="AH52" s="79">
        <f>IF(X52&gt;=(Assumptions!$D$32+1),IF(X52&lt;=Assumptions!$D$10,IF(X52&gt;=Assumptions!$D$32,TREND(L$74:L$75,$H$74:$H$75,$X52),0),0),0)</f>
        <v>0</v>
      </c>
      <c r="AI52" s="79">
        <f>IF(X52&gt;=(Assumptions!$D$32+1),IF(X52&lt;=Assumptions!$D$10,IF(X52&gt;=Assumptions!$D$32,TREND(M$74:M$75,$H$74:$H$75,$X52),0),0),0)</f>
        <v>0</v>
      </c>
      <c r="AJ52" s="92">
        <f t="shared" si="5"/>
        <v>0</v>
      </c>
      <c r="AP52" s="46"/>
    </row>
    <row r="53" spans="1:42" ht="15" customHeight="1" x14ac:dyDescent="0.25">
      <c r="B53" s="415"/>
      <c r="C53" s="415"/>
      <c r="D53" s="415"/>
      <c r="E53" s="415"/>
      <c r="F53" s="415"/>
      <c r="H53" s="212" t="s">
        <v>696</v>
      </c>
      <c r="I53" s="214" t="s">
        <v>86</v>
      </c>
      <c r="J53" s="213">
        <f>'Operations Calculations'!M67</f>
        <v>0</v>
      </c>
      <c r="K53" s="200">
        <f t="shared" si="8"/>
        <v>0</v>
      </c>
      <c r="L53" s="200">
        <f t="shared" si="8"/>
        <v>0</v>
      </c>
      <c r="M53" s="200">
        <f t="shared" si="8"/>
        <v>0</v>
      </c>
      <c r="N53" s="200">
        <f t="shared" si="8"/>
        <v>0</v>
      </c>
      <c r="O53" s="200">
        <f t="shared" si="8"/>
        <v>0</v>
      </c>
      <c r="X53" s="153">
        <v>2059</v>
      </c>
      <c r="Y53" s="81">
        <f>IF(X53&gt;=(Assumptions!$D$32+1),IF(X53&lt;=Assumptions!$D$10,IF(X53&gt;=Assumptions!$D$32,TREND(I$68:I$69,$H$68:$H$69,$X53),0),0),0)</f>
        <v>0</v>
      </c>
      <c r="Z53" s="79">
        <f>IF(X53&gt;=(Assumptions!$D$32+1),IF(X53&lt;=Assumptions!$D$10,IF(X53&gt;=Assumptions!$D$32,TREND(J$68:J$69,$H$68:$H$69,$X53),0),0),0)</f>
        <v>0</v>
      </c>
      <c r="AA53" s="79">
        <f>IF(X53&gt;=(Assumptions!$D$32+1),IF(X53&lt;=Assumptions!$D$10,IF(X53&gt;=Assumptions!$D$32,TREND(K$68:K$69,$H$68:$H$69,$X53),0),0),0)</f>
        <v>0</v>
      </c>
      <c r="AB53" s="79">
        <f>IF(X53&gt;=(Assumptions!$D$32+1),IF(X53&lt;=Assumptions!$D$10,IF(X53&gt;=Assumptions!$D$32,TREND(L$68:L$69,$H$68:$H$69,$X53),0),0),0)</f>
        <v>0</v>
      </c>
      <c r="AC53" s="79">
        <f>IF(X53&gt;=(Assumptions!$D$32+1),IF(X53&lt;=Assumptions!$D$10,IF(X53&gt;=Assumptions!$D$32,TREND(M$68:M$69,$H$68:$H$69,$X53),0),0),0)</f>
        <v>0</v>
      </c>
      <c r="AD53" s="92">
        <f t="shared" si="4"/>
        <v>0</v>
      </c>
      <c r="AE53" s="81">
        <f>IF(X53&gt;=(Assumptions!$D$32+1),IF(X53&lt;=Assumptions!$D$10,IF(X53&gt;=Assumptions!$D$32,TREND(I$74:I$75,$H$74:$H$75,$X53),0),0),0)</f>
        <v>0</v>
      </c>
      <c r="AF53" s="79">
        <f>IF(X53&gt;=(Assumptions!$D$32+1),IF(X53&lt;=Assumptions!$D$10,IF(X53&gt;=Assumptions!$D$32,TREND(J$74:J$75,$H$74:$H$75,$X53),0),0),0)</f>
        <v>0</v>
      </c>
      <c r="AG53" s="79">
        <f>IF(X53&gt;=(Assumptions!$D$32+1),IF(X53&lt;=Assumptions!$D$10,IF(X53&gt;=Assumptions!$D$32,TREND(K$74:K$75,$H$74:$H$75,$X53),0),0),0)</f>
        <v>0</v>
      </c>
      <c r="AH53" s="79">
        <f>IF(X53&gt;=(Assumptions!$D$32+1),IF(X53&lt;=Assumptions!$D$10,IF(X53&gt;=Assumptions!$D$32,TREND(L$74:L$75,$H$74:$H$75,$X53),0),0),0)</f>
        <v>0</v>
      </c>
      <c r="AI53" s="79">
        <f>IF(X53&gt;=(Assumptions!$D$32+1),IF(X53&lt;=Assumptions!$D$10,IF(X53&gt;=Assumptions!$D$32,TREND(M$74:M$75,$H$74:$H$75,$X53),0),0),0)</f>
        <v>0</v>
      </c>
      <c r="AJ53" s="92">
        <f t="shared" si="5"/>
        <v>0</v>
      </c>
    </row>
    <row r="54" spans="1:42" ht="15" customHeight="1" thickBot="1" x14ac:dyDescent="0.3">
      <c r="B54" s="415"/>
      <c r="C54" s="415"/>
      <c r="D54" s="415"/>
      <c r="E54" s="415"/>
      <c r="F54" s="415"/>
      <c r="H54" s="87" t="s">
        <v>144</v>
      </c>
      <c r="I54" s="87" t="s">
        <v>73</v>
      </c>
      <c r="J54" s="87" t="s">
        <v>73</v>
      </c>
      <c r="K54" s="94">
        <f>SUM(K46:K53)</f>
        <v>0.18888328446052469</v>
      </c>
      <c r="L54" s="94">
        <f>SUM(L46:L53)</f>
        <v>0.20064516806501359</v>
      </c>
      <c r="M54" s="94">
        <f>SUM(M46:M53)</f>
        <v>0.30013203839819708</v>
      </c>
      <c r="N54" s="94">
        <f>SUM(N46:N53)</f>
        <v>6.2961094820174909E-2</v>
      </c>
      <c r="O54" s="94">
        <f>SUM(O46:O53)</f>
        <v>0.7261811087855804</v>
      </c>
      <c r="X54" s="154">
        <v>2060</v>
      </c>
      <c r="Y54" s="82">
        <f>IF(X54&gt;=(Assumptions!$D$32+1),IF(X54&lt;=Assumptions!$D$10,IF(X54&gt;=Assumptions!$D$32,TREND(I$68:I$69,$H$68:$H$69,$X54),0),0),0)</f>
        <v>0</v>
      </c>
      <c r="Z54" s="80">
        <f>IF(X54&gt;=(Assumptions!$D$32+1),IF(X54&lt;=Assumptions!$D$10,IF(X54&gt;=Assumptions!$D$32,TREND(J$68:J$69,$H$68:$H$69,$X54),0),0),0)</f>
        <v>0</v>
      </c>
      <c r="AA54" s="80">
        <f>IF(X54&gt;=(Assumptions!$D$32+1),IF(X54&lt;=Assumptions!$D$10,IF(X54&gt;=Assumptions!$D$32,TREND(K$68:K$69,$H$68:$H$69,$X54),0),0),0)</f>
        <v>0</v>
      </c>
      <c r="AB54" s="80">
        <f>IF(X54&gt;=(Assumptions!$D$32+1),IF(X54&lt;=Assumptions!$D$10,IF(X54&gt;=Assumptions!$D$32,TREND(L$68:L$69,$H$68:$H$69,$X54),0),0),0)</f>
        <v>0</v>
      </c>
      <c r="AC54" s="80">
        <f>IF(X54&gt;=(Assumptions!$D$32+1),IF(X54&lt;=Assumptions!$D$10,IF(X54&gt;=Assumptions!$D$32,TREND(M$68:M$69,$H$68:$H$69,$X54),0),0),0)</f>
        <v>0</v>
      </c>
      <c r="AD54" s="93">
        <f t="shared" si="4"/>
        <v>0</v>
      </c>
      <c r="AE54" s="82">
        <f>IF(X54&gt;=(Assumptions!$D$32+1),IF(X54&lt;=Assumptions!$D$10,IF(X54&gt;=Assumptions!$D$32,TREND(I$74:I$75,$H$74:$H$75,$X54),0),0),0)</f>
        <v>0</v>
      </c>
      <c r="AF54" s="80">
        <f>IF(X54&gt;=(Assumptions!$D$32+1),IF(X54&lt;=Assumptions!$D$10,IF(X54&gt;=Assumptions!$D$32,TREND(J$74:J$75,$H$74:$H$75,$X54),0),0),0)</f>
        <v>0</v>
      </c>
      <c r="AG54" s="80">
        <f>IF(X54&gt;=(Assumptions!$D$32+1),IF(X54&lt;=Assumptions!$D$10,IF(X54&gt;=Assumptions!$D$32,TREND(K$74:K$75,$H$74:$H$75,$X54),0),0),0)</f>
        <v>0</v>
      </c>
      <c r="AH54" s="80">
        <f>IF(X54&gt;=(Assumptions!$D$32+1),IF(X54&lt;=Assumptions!$D$10,IF(X54&gt;=Assumptions!$D$32,TREND(L$74:L$75,$H$74:$H$75,$X54),0),0),0)</f>
        <v>0</v>
      </c>
      <c r="AI54" s="80">
        <f>IF(X54&gt;=(Assumptions!$D$32+1),IF(X54&lt;=Assumptions!$D$10,IF(X54&gt;=Assumptions!$D$32,TREND(M$74:M$75,$H$74:$H$75,$X54),0),0),0)</f>
        <v>0</v>
      </c>
      <c r="AJ54" s="93">
        <f t="shared" si="5"/>
        <v>0</v>
      </c>
    </row>
    <row r="55" spans="1:42" x14ac:dyDescent="0.25">
      <c r="B55" s="8"/>
      <c r="C55" s="8"/>
      <c r="D55" s="8"/>
      <c r="E55" s="8"/>
      <c r="F55" s="8"/>
      <c r="H55" t="s">
        <v>276</v>
      </c>
    </row>
    <row r="56" spans="1:42" x14ac:dyDescent="0.25">
      <c r="A56" s="2" t="s">
        <v>260</v>
      </c>
      <c r="B56" s="415" t="s">
        <v>729</v>
      </c>
      <c r="C56" s="415"/>
      <c r="D56" s="415"/>
      <c r="E56" s="415"/>
      <c r="F56" s="415"/>
    </row>
    <row r="57" spans="1:42" ht="15" customHeight="1" x14ac:dyDescent="0.25">
      <c r="B57" s="415"/>
      <c r="C57" s="415"/>
      <c r="D57" s="415"/>
      <c r="E57" s="415"/>
      <c r="F57" s="415"/>
      <c r="H57" s="1" t="s">
        <v>724</v>
      </c>
      <c r="J57" s="3"/>
      <c r="O57" s="83"/>
    </row>
    <row r="58" spans="1:42" ht="15" customHeight="1" x14ac:dyDescent="0.25">
      <c r="B58" s="415"/>
      <c r="C58" s="415"/>
      <c r="D58" s="415"/>
      <c r="E58" s="415"/>
      <c r="F58" s="415"/>
      <c r="H58" s="39" t="s">
        <v>94</v>
      </c>
      <c r="I58" s="39" t="s">
        <v>93</v>
      </c>
      <c r="J58" s="39" t="s">
        <v>266</v>
      </c>
      <c r="K58" s="39" t="s">
        <v>20</v>
      </c>
      <c r="L58" s="39" t="s">
        <v>21</v>
      </c>
      <c r="M58" s="39" t="s">
        <v>22</v>
      </c>
      <c r="N58" s="39" t="s">
        <v>23</v>
      </c>
      <c r="O58" s="39" t="s">
        <v>83</v>
      </c>
      <c r="P58" s="83"/>
      <c r="Q58" s="83"/>
      <c r="R58" s="83"/>
    </row>
    <row r="59" spans="1:42" ht="15" customHeight="1" x14ac:dyDescent="0.25">
      <c r="B59" s="415"/>
      <c r="C59" s="415"/>
      <c r="D59" s="415"/>
      <c r="E59" s="415"/>
      <c r="F59" s="415"/>
      <c r="H59" s="210" t="s">
        <v>152</v>
      </c>
      <c r="I59" s="215" t="s">
        <v>87</v>
      </c>
      <c r="J59" s="217">
        <f>'Operations Calculations'!M73</f>
        <v>126710.23026315788</v>
      </c>
      <c r="K59" s="216">
        <f t="shared" ref="K59:O62" si="9">$J59*L37/100000000</f>
        <v>0</v>
      </c>
      <c r="L59" s="216">
        <f t="shared" si="9"/>
        <v>0</v>
      </c>
      <c r="M59" s="216">
        <f t="shared" si="9"/>
        <v>0</v>
      </c>
      <c r="N59" s="216">
        <f t="shared" si="9"/>
        <v>0</v>
      </c>
      <c r="O59" s="216">
        <f t="shared" si="9"/>
        <v>0.16482974382040266</v>
      </c>
    </row>
    <row r="60" spans="1:42" ht="15" customHeight="1" x14ac:dyDescent="0.25">
      <c r="B60" s="415"/>
      <c r="C60" s="415"/>
      <c r="D60" s="415"/>
      <c r="E60" s="415"/>
      <c r="F60" s="415"/>
      <c r="H60" s="210" t="s">
        <v>154</v>
      </c>
      <c r="I60" s="215" t="s">
        <v>87</v>
      </c>
      <c r="J60" s="217">
        <f>'Operations Calculations'!M74</f>
        <v>38249.358552631573</v>
      </c>
      <c r="K60" s="216">
        <f t="shared" si="9"/>
        <v>0</v>
      </c>
      <c r="L60" s="216">
        <f t="shared" si="9"/>
        <v>5.9723785990065123E-3</v>
      </c>
      <c r="M60" s="216">
        <f t="shared" si="9"/>
        <v>5.9723785990065123E-3</v>
      </c>
      <c r="N60" s="216">
        <f t="shared" si="9"/>
        <v>0</v>
      </c>
      <c r="O60" s="216">
        <f t="shared" si="9"/>
        <v>1.493094649751628E-2</v>
      </c>
    </row>
    <row r="61" spans="1:42" x14ac:dyDescent="0.25">
      <c r="B61" s="8"/>
      <c r="C61" s="8"/>
      <c r="D61" s="8"/>
      <c r="E61" s="8"/>
      <c r="F61" s="8"/>
      <c r="H61" s="212" t="s">
        <v>153</v>
      </c>
      <c r="I61" s="214" t="s">
        <v>86</v>
      </c>
      <c r="J61" s="213">
        <f>'Operations Calculations'!M75</f>
        <v>1478286.019736842</v>
      </c>
      <c r="K61" s="200">
        <f t="shared" si="9"/>
        <v>0</v>
      </c>
      <c r="L61" s="200">
        <f t="shared" si="9"/>
        <v>0</v>
      </c>
      <c r="M61" s="200">
        <f t="shared" si="9"/>
        <v>0</v>
      </c>
      <c r="N61" s="200">
        <f t="shared" si="9"/>
        <v>0</v>
      </c>
      <c r="O61" s="200">
        <f t="shared" si="9"/>
        <v>1.923013677904698</v>
      </c>
    </row>
    <row r="62" spans="1:42" x14ac:dyDescent="0.25">
      <c r="A62" s="2" t="s">
        <v>27</v>
      </c>
      <c r="B62" s="415" t="s">
        <v>709</v>
      </c>
      <c r="C62" s="415"/>
      <c r="D62" s="415"/>
      <c r="E62" s="415"/>
      <c r="F62" s="415"/>
      <c r="H62" s="212" t="s">
        <v>155</v>
      </c>
      <c r="I62" s="214" t="s">
        <v>86</v>
      </c>
      <c r="J62" s="213">
        <f>'Operations Calculations'!M76</f>
        <v>446242.51644736849</v>
      </c>
      <c r="K62" s="200">
        <f t="shared" si="9"/>
        <v>0</v>
      </c>
      <c r="L62" s="200">
        <f t="shared" si="9"/>
        <v>6.9677750321742671E-2</v>
      </c>
      <c r="M62" s="200">
        <f t="shared" si="9"/>
        <v>6.9677750321742671E-2</v>
      </c>
      <c r="N62" s="200">
        <f t="shared" si="9"/>
        <v>0</v>
      </c>
      <c r="O62" s="200">
        <f t="shared" si="9"/>
        <v>0.17419437580435668</v>
      </c>
    </row>
    <row r="63" spans="1:42" x14ac:dyDescent="0.25">
      <c r="B63" s="415"/>
      <c r="C63" s="415"/>
      <c r="D63" s="415"/>
      <c r="E63" s="415"/>
      <c r="F63" s="415"/>
      <c r="H63" s="87" t="s">
        <v>144</v>
      </c>
      <c r="I63" s="87" t="s">
        <v>73</v>
      </c>
      <c r="J63" s="87" t="s">
        <v>73</v>
      </c>
      <c r="K63" s="94">
        <f>SUM(K59:K62)</f>
        <v>0</v>
      </c>
      <c r="L63" s="94">
        <f>SUM(L59:L62)</f>
        <v>7.5650128920749182E-2</v>
      </c>
      <c r="M63" s="94">
        <f>SUM(M59:M62)</f>
        <v>7.5650128920749182E-2</v>
      </c>
      <c r="N63" s="94">
        <f>SUM(N59:N62)</f>
        <v>0</v>
      </c>
      <c r="O63" s="94">
        <f>SUM(O59:O62)</f>
        <v>2.2769687440269735</v>
      </c>
    </row>
    <row r="64" spans="1:42" x14ac:dyDescent="0.25">
      <c r="B64" s="415"/>
      <c r="C64" s="415"/>
      <c r="D64" s="415"/>
      <c r="E64" s="415"/>
      <c r="F64" s="415"/>
      <c r="H64" t="s">
        <v>277</v>
      </c>
    </row>
    <row r="65" spans="1:41" x14ac:dyDescent="0.25">
      <c r="G65" s="8"/>
      <c r="V65" s="8"/>
      <c r="W65" s="8"/>
      <c r="X65" s="8"/>
      <c r="Y65" s="8"/>
      <c r="Z65" s="8"/>
      <c r="AA65" s="8"/>
      <c r="AB65" s="8"/>
      <c r="AC65" s="8"/>
      <c r="AD65" s="8"/>
      <c r="AE65" s="8"/>
      <c r="AF65" s="8"/>
      <c r="AG65" s="8"/>
      <c r="AH65" s="8"/>
      <c r="AI65" s="8"/>
      <c r="AJ65" s="8"/>
      <c r="AK65" s="8"/>
      <c r="AL65" s="8"/>
      <c r="AM65" s="8"/>
      <c r="AN65" s="8"/>
      <c r="AO65" s="8"/>
    </row>
    <row r="66" spans="1:41" x14ac:dyDescent="0.25">
      <c r="G66" s="8"/>
      <c r="H66" s="1" t="s">
        <v>725</v>
      </c>
      <c r="V66" s="8"/>
      <c r="W66" s="8"/>
      <c r="X66" s="8"/>
      <c r="Y66" s="8"/>
      <c r="Z66" s="8"/>
      <c r="AA66" s="8"/>
      <c r="AB66" s="8"/>
      <c r="AC66" s="8"/>
      <c r="AD66" s="8"/>
      <c r="AE66" s="8"/>
      <c r="AF66" s="8"/>
      <c r="AG66" s="8"/>
      <c r="AH66" s="8"/>
      <c r="AI66" s="8"/>
      <c r="AJ66" s="8"/>
      <c r="AK66" s="8"/>
      <c r="AL66" s="8"/>
      <c r="AM66" s="8"/>
      <c r="AN66" s="8"/>
      <c r="AO66" s="8"/>
    </row>
    <row r="67" spans="1:41" x14ac:dyDescent="0.25">
      <c r="B67" s="8"/>
      <c r="C67" s="8"/>
      <c r="D67" s="8"/>
      <c r="E67" s="8"/>
      <c r="F67" s="8"/>
      <c r="G67" s="8"/>
      <c r="H67" s="39" t="s">
        <v>33</v>
      </c>
      <c r="I67" s="39" t="s">
        <v>20</v>
      </c>
      <c r="J67" s="39" t="s">
        <v>21</v>
      </c>
      <c r="K67" s="39" t="s">
        <v>22</v>
      </c>
      <c r="L67" s="39" t="s">
        <v>23</v>
      </c>
      <c r="M67" s="39" t="s">
        <v>83</v>
      </c>
    </row>
    <row r="68" spans="1:41" ht="15" customHeight="1" x14ac:dyDescent="0.25">
      <c r="B68" s="8"/>
      <c r="C68" s="8"/>
      <c r="D68" s="8"/>
      <c r="E68" s="8"/>
      <c r="F68" s="8"/>
      <c r="G68" s="8"/>
      <c r="H68" s="114">
        <f>'Operations Calculations'!$C$8</f>
        <v>2022</v>
      </c>
      <c r="I68" s="149">
        <f>K54</f>
        <v>0.18888328446052469</v>
      </c>
      <c r="J68" s="149">
        <f>L54</f>
        <v>0.20064516806501359</v>
      </c>
      <c r="K68" s="149">
        <f>M54</f>
        <v>0.30013203839819708</v>
      </c>
      <c r="L68" s="149">
        <f>N54</f>
        <v>6.2961094820174909E-2</v>
      </c>
      <c r="M68" s="149">
        <f>O54</f>
        <v>0.7261811087855804</v>
      </c>
    </row>
    <row r="69" spans="1:41" x14ac:dyDescent="0.25">
      <c r="B69" s="8"/>
      <c r="C69" s="8"/>
      <c r="D69" s="8"/>
      <c r="E69" s="8"/>
      <c r="F69" s="8"/>
      <c r="G69" s="8"/>
      <c r="H69" s="114">
        <f>'Operations Calculations'!$C$9</f>
        <v>2039</v>
      </c>
      <c r="I69" s="149">
        <f>I68*('Operations Calculations'!$D$9/'Operations Calculations'!$D$8)</f>
        <v>0.21118200554266997</v>
      </c>
      <c r="J69" s="149">
        <f>J68*('Operations Calculations'!$D$9/'Operations Calculations'!$D$8)</f>
        <v>0.22433244485046658</v>
      </c>
      <c r="K69" s="149">
        <f>K68*('Operations Calculations'!$D$9/'Operations Calculations'!$D$8)</f>
        <v>0.33556429293131756</v>
      </c>
      <c r="L69" s="149">
        <f>L68*('Operations Calculations'!$D$9/'Operations Calculations'!$D$8)</f>
        <v>7.0394001847556675E-2</v>
      </c>
      <c r="M69" s="149">
        <f>M68*('Operations Calculations'!$D$9/'Operations Calculations'!$D$8)</f>
        <v>0.8119108230172114</v>
      </c>
    </row>
    <row r="70" spans="1:41" x14ac:dyDescent="0.25">
      <c r="G70" s="8"/>
      <c r="H70" t="s">
        <v>763</v>
      </c>
      <c r="U70" s="8"/>
    </row>
    <row r="71" spans="1:41" x14ac:dyDescent="0.25">
      <c r="G71" s="8"/>
      <c r="U71" s="8"/>
    </row>
    <row r="72" spans="1:41" x14ac:dyDescent="0.25">
      <c r="G72" s="8"/>
      <c r="H72" s="1" t="s">
        <v>726</v>
      </c>
    </row>
    <row r="73" spans="1:41" x14ac:dyDescent="0.25">
      <c r="A73" s="2"/>
      <c r="G73" s="8"/>
      <c r="H73" s="39" t="s">
        <v>33</v>
      </c>
      <c r="I73" s="39" t="s">
        <v>20</v>
      </c>
      <c r="J73" s="39" t="s">
        <v>21</v>
      </c>
      <c r="K73" s="39" t="s">
        <v>22</v>
      </c>
      <c r="L73" s="39" t="s">
        <v>23</v>
      </c>
      <c r="M73" s="39" t="s">
        <v>83</v>
      </c>
    </row>
    <row r="74" spans="1:41" ht="15" customHeight="1" x14ac:dyDescent="0.25">
      <c r="G74" s="8"/>
      <c r="H74" s="114">
        <f>'Operations Calculations'!$C$8</f>
        <v>2022</v>
      </c>
      <c r="I74" s="149">
        <f>K63</f>
        <v>0</v>
      </c>
      <c r="J74" s="149">
        <f>L63</f>
        <v>7.5650128920749182E-2</v>
      </c>
      <c r="K74" s="149">
        <f>M63</f>
        <v>7.5650128920749182E-2</v>
      </c>
      <c r="L74" s="149">
        <f>N63</f>
        <v>0</v>
      </c>
      <c r="M74" s="149">
        <f>O63</f>
        <v>2.2769687440269735</v>
      </c>
    </row>
    <row r="75" spans="1:41" x14ac:dyDescent="0.25">
      <c r="G75" s="8"/>
      <c r="H75" s="114">
        <f>'Operations Calculations'!$C$9</f>
        <v>2039</v>
      </c>
      <c r="I75" s="149">
        <f>I74*('Operations Calculations'!$D$9/'Operations Calculations'!$D$8)</f>
        <v>0</v>
      </c>
      <c r="J75" s="149">
        <f>J74*('Operations Calculations'!$D$9/'Operations Calculations'!$D$8)</f>
        <v>8.4581046918337635E-2</v>
      </c>
      <c r="K75" s="149">
        <f>K74*('Operations Calculations'!$D$9/'Operations Calculations'!$D$8)</f>
        <v>8.4581046918337635E-2</v>
      </c>
      <c r="L75" s="149">
        <f>L74*('Operations Calculations'!$D$9/'Operations Calculations'!$D$8)</f>
        <v>0</v>
      </c>
      <c r="M75" s="149">
        <f>M74*('Operations Calculations'!$D$9/'Operations Calculations'!$D$8)</f>
        <v>2.5457775540857135</v>
      </c>
    </row>
    <row r="76" spans="1:41" x14ac:dyDescent="0.25">
      <c r="G76" s="8"/>
      <c r="H76" t="s">
        <v>727</v>
      </c>
    </row>
    <row r="77" spans="1:41" x14ac:dyDescent="0.25">
      <c r="G77" s="8"/>
      <c r="H77" s="8"/>
      <c r="I77" s="8"/>
      <c r="J77" s="8"/>
      <c r="K77" s="8"/>
      <c r="L77" s="8"/>
      <c r="M77" s="8"/>
      <c r="N77" s="8"/>
    </row>
    <row r="78" spans="1:41" x14ac:dyDescent="0.25">
      <c r="G78" s="8"/>
      <c r="H78" s="8"/>
      <c r="I78" s="8"/>
      <c r="J78" s="8"/>
      <c r="K78" s="8"/>
      <c r="L78" s="8"/>
      <c r="M78" s="8"/>
      <c r="N78" s="8"/>
    </row>
    <row r="79" spans="1:41" x14ac:dyDescent="0.25">
      <c r="G79" s="8"/>
      <c r="H79" s="8"/>
      <c r="I79" s="8"/>
      <c r="J79" s="8"/>
      <c r="K79" s="8"/>
      <c r="L79" s="8"/>
      <c r="M79" s="8"/>
      <c r="N79" s="8"/>
    </row>
    <row r="80" spans="1:41" x14ac:dyDescent="0.25">
      <c r="G80" s="8"/>
      <c r="H80" s="8"/>
      <c r="I80" s="8"/>
      <c r="J80" s="8"/>
      <c r="K80" s="8"/>
      <c r="L80" s="8"/>
      <c r="M80" s="8"/>
      <c r="N80" s="8"/>
    </row>
    <row r="81" spans="7:14" x14ac:dyDescent="0.25">
      <c r="G81" s="8"/>
      <c r="H81" s="8"/>
      <c r="I81" s="8"/>
      <c r="J81" s="8"/>
      <c r="K81" s="8"/>
      <c r="L81" s="8"/>
      <c r="M81" s="8"/>
      <c r="N81" s="8"/>
    </row>
    <row r="82" spans="7:14" x14ac:dyDescent="0.25">
      <c r="G82" s="8"/>
      <c r="H82" s="8"/>
      <c r="I82" s="8"/>
      <c r="J82" s="8"/>
      <c r="K82" s="8"/>
      <c r="L82" s="8"/>
      <c r="M82" s="8"/>
      <c r="N82" s="8"/>
    </row>
    <row r="83" spans="7:14" x14ac:dyDescent="0.25">
      <c r="G83" s="8"/>
      <c r="H83" s="8"/>
      <c r="I83" s="8"/>
      <c r="J83" s="8"/>
      <c r="K83" s="8"/>
      <c r="L83" s="8"/>
      <c r="M83" s="8"/>
      <c r="N83" s="8"/>
    </row>
    <row r="84" spans="7:14" x14ac:dyDescent="0.25">
      <c r="G84" s="8"/>
      <c r="H84" s="8"/>
      <c r="I84" s="8"/>
      <c r="J84" s="8"/>
      <c r="K84" s="8"/>
      <c r="L84" s="8"/>
      <c r="M84" s="8"/>
      <c r="N84" s="8"/>
    </row>
  </sheetData>
  <mergeCells count="14">
    <mergeCell ref="B50:F54"/>
    <mergeCell ref="B62:F64"/>
    <mergeCell ref="Y8:AD8"/>
    <mergeCell ref="AE8:AJ8"/>
    <mergeCell ref="C3:F3"/>
    <mergeCell ref="B4:B5"/>
    <mergeCell ref="C4:C5"/>
    <mergeCell ref="D4:D5"/>
    <mergeCell ref="E4:E5"/>
    <mergeCell ref="F4:F5"/>
    <mergeCell ref="H32:O33"/>
    <mergeCell ref="H41:O42"/>
    <mergeCell ref="B41:F48"/>
    <mergeCell ref="B56:F60"/>
  </mergeCells>
  <pageMargins left="0.25" right="0.25" top="0.75" bottom="0.75" header="0.3" footer="0.3"/>
  <pageSetup paperSize="3" scale="30"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2C6E6E-78C5-4739-9510-112FC149CD1F}">
  <sheetPr>
    <tabColor rgb="FF00B050"/>
    <pageSetUpPr fitToPage="1"/>
  </sheetPr>
  <dimension ref="A1:AG69"/>
  <sheetViews>
    <sheetView view="pageBreakPreview" zoomScale="55" zoomScaleNormal="55" zoomScaleSheetLayoutView="55" workbookViewId="0">
      <selection activeCell="B2" sqref="B2"/>
    </sheetView>
  </sheetViews>
  <sheetFormatPr defaultRowHeight="15" x14ac:dyDescent="0.25"/>
  <cols>
    <col min="2" max="2" width="15.7109375" customWidth="1"/>
    <col min="3" max="11" width="19.7109375" customWidth="1"/>
    <col min="12" max="12" width="23" bestFit="1" customWidth="1"/>
    <col min="13" max="13" width="15.7109375" customWidth="1"/>
    <col min="14" max="15" width="19.7109375" customWidth="1"/>
    <col min="16" max="16" width="15.7109375" customWidth="1"/>
    <col min="17" max="17" width="20.140625" customWidth="1"/>
    <col min="18" max="19" width="29.42578125" customWidth="1"/>
    <col min="20" max="20" width="15.7109375" customWidth="1"/>
    <col min="21" max="25" width="15.42578125" customWidth="1"/>
    <col min="26" max="26" width="21.85546875" customWidth="1"/>
    <col min="27" max="27" width="27.28515625" customWidth="1"/>
    <col min="28" max="28" width="19.5703125" bestFit="1" customWidth="1"/>
    <col min="29" max="29" width="12.28515625" bestFit="1" customWidth="1"/>
    <col min="30" max="30" width="9.7109375" bestFit="1" customWidth="1"/>
    <col min="31" max="31" width="11.28515625" bestFit="1" customWidth="1"/>
    <col min="32" max="32" width="8.7109375" bestFit="1" customWidth="1"/>
    <col min="33" max="33" width="12.140625" bestFit="1" customWidth="1"/>
    <col min="34" max="34" width="13.140625" customWidth="1"/>
  </cols>
  <sheetData>
    <row r="1" spans="2:33" x14ac:dyDescent="0.25">
      <c r="B1" s="54"/>
      <c r="C1" s="54"/>
      <c r="D1" s="54"/>
      <c r="E1" s="54"/>
      <c r="F1" s="54"/>
      <c r="G1" s="54"/>
      <c r="H1" s="54"/>
      <c r="I1" s="54"/>
      <c r="J1" s="54"/>
      <c r="K1" s="54"/>
      <c r="L1" s="54"/>
      <c r="M1" s="54"/>
      <c r="N1" s="54"/>
      <c r="O1" s="54"/>
    </row>
    <row r="2" spans="2:33" ht="15.75" thickBot="1" x14ac:dyDescent="0.3">
      <c r="B2" s="1" t="s">
        <v>105</v>
      </c>
      <c r="C2" s="1"/>
      <c r="D2" s="1"/>
      <c r="E2" s="1"/>
    </row>
    <row r="3" spans="2:33" ht="18.75" thickBot="1" x14ac:dyDescent="0.3">
      <c r="C3" s="450" t="s">
        <v>106</v>
      </c>
      <c r="D3" s="456"/>
      <c r="E3" s="451"/>
      <c r="F3" s="431"/>
      <c r="G3" s="431"/>
      <c r="H3" s="431"/>
      <c r="I3" s="431"/>
      <c r="J3" s="431"/>
      <c r="K3" s="431"/>
      <c r="L3" s="431"/>
      <c r="M3" s="431"/>
      <c r="N3" s="457" t="s">
        <v>107</v>
      </c>
      <c r="O3" s="458"/>
      <c r="Q3" s="38" t="s">
        <v>145</v>
      </c>
      <c r="U3" s="19" t="s">
        <v>146</v>
      </c>
      <c r="V3" s="19"/>
      <c r="W3" s="19"/>
      <c r="X3" s="19"/>
      <c r="Y3" s="19"/>
      <c r="AA3" s="1" t="s">
        <v>148</v>
      </c>
    </row>
    <row r="4" spans="2:33" ht="35.1" customHeight="1" thickBot="1" x14ac:dyDescent="0.3">
      <c r="B4" s="459" t="s">
        <v>0</v>
      </c>
      <c r="C4" s="422" t="s">
        <v>824</v>
      </c>
      <c r="D4" s="422" t="s">
        <v>750</v>
      </c>
      <c r="E4" s="461" t="s">
        <v>108</v>
      </c>
      <c r="F4" s="424" t="s">
        <v>825</v>
      </c>
      <c r="G4" s="445" t="s">
        <v>826</v>
      </c>
      <c r="H4" s="426" t="s">
        <v>827</v>
      </c>
      <c r="I4" s="424" t="s">
        <v>828</v>
      </c>
      <c r="J4" s="445" t="s">
        <v>829</v>
      </c>
      <c r="K4" s="426" t="s">
        <v>830</v>
      </c>
      <c r="L4" s="422" t="s">
        <v>751</v>
      </c>
      <c r="M4" s="448" t="s">
        <v>1</v>
      </c>
      <c r="N4" s="452" t="s">
        <v>109</v>
      </c>
      <c r="O4" s="454" t="s">
        <v>110</v>
      </c>
      <c r="R4" s="450" t="s">
        <v>135</v>
      </c>
      <c r="S4" s="451"/>
      <c r="U4" s="64" t="s">
        <v>111</v>
      </c>
      <c r="V4" s="65" t="s">
        <v>112</v>
      </c>
      <c r="W4" s="65" t="s">
        <v>113</v>
      </c>
      <c r="X4" s="65" t="s">
        <v>114</v>
      </c>
      <c r="Y4" s="65" t="s">
        <v>115</v>
      </c>
      <c r="AA4" s="37" t="s">
        <v>116</v>
      </c>
      <c r="AB4" s="37" t="s">
        <v>117</v>
      </c>
      <c r="AC4" s="37" t="s">
        <v>118</v>
      </c>
      <c r="AD4" s="37" t="s">
        <v>119</v>
      </c>
      <c r="AE4" s="37" t="s">
        <v>120</v>
      </c>
      <c r="AF4" s="37" t="s">
        <v>121</v>
      </c>
      <c r="AG4" s="37" t="s">
        <v>122</v>
      </c>
    </row>
    <row r="5" spans="2:33" ht="35.1" customHeight="1" thickBot="1" x14ac:dyDescent="0.3">
      <c r="B5" s="460"/>
      <c r="C5" s="447"/>
      <c r="D5" s="447"/>
      <c r="E5" s="462"/>
      <c r="F5" s="444"/>
      <c r="G5" s="446"/>
      <c r="H5" s="443"/>
      <c r="I5" s="444"/>
      <c r="J5" s="446"/>
      <c r="K5" s="443"/>
      <c r="L5" s="447"/>
      <c r="M5" s="449"/>
      <c r="N5" s="453"/>
      <c r="O5" s="455"/>
      <c r="Q5" s="346" t="s">
        <v>33</v>
      </c>
      <c r="R5" s="347" t="s">
        <v>133</v>
      </c>
      <c r="S5" s="294" t="s">
        <v>134</v>
      </c>
      <c r="U5" s="64" t="s">
        <v>123</v>
      </c>
      <c r="V5" s="348">
        <f t="shared" ref="V5:Y6" si="0">AB21</f>
        <v>0.22790983982547491</v>
      </c>
      <c r="W5" s="348">
        <f t="shared" si="0"/>
        <v>2.0699004398994176E-3</v>
      </c>
      <c r="X5" s="348">
        <f t="shared" si="0"/>
        <v>5.8180715878192544E-3</v>
      </c>
      <c r="Y5" s="348">
        <f t="shared" si="0"/>
        <v>317.22468262036</v>
      </c>
      <c r="AA5" s="37">
        <v>11</v>
      </c>
      <c r="AB5" s="37" t="s">
        <v>38</v>
      </c>
      <c r="AC5" s="37" t="s">
        <v>124</v>
      </c>
      <c r="AD5" s="348">
        <v>0.73690802096518104</v>
      </c>
      <c r="AE5" s="348">
        <v>2.4081927794970298E-3</v>
      </c>
      <c r="AF5" s="348">
        <v>1.78605259703664E-2</v>
      </c>
      <c r="AG5" s="348">
        <v>362.51238716242</v>
      </c>
    </row>
    <row r="6" spans="2:33" ht="17.25" customHeight="1" x14ac:dyDescent="0.25">
      <c r="B6" s="349">
        <f>Assumptions!$D$9</f>
        <v>2026</v>
      </c>
      <c r="C6" s="350">
        <f>IF(B6&gt;=(Assumptions!$D$32+1),IF(B6&lt;=Assumptions!$D$10,IF(B6&gt;=Assumptions!$D$32,($R6*$Y$5+$S6*$Y$6)/(1*10^6)),0),0)</f>
        <v>115.26153431027466</v>
      </c>
      <c r="D6" s="260">
        <f t="shared" ref="D6:D40" si="1">C6*_xlfn.XLOOKUP($B6,$U$11:$U$49,$Y$11:$Y$49)</f>
        <v>6915.6920586164797</v>
      </c>
      <c r="E6" s="259">
        <f>D6*(1+0.03)^-($B6-Assumptions!$D$7)</f>
        <v>5965.536719858379</v>
      </c>
      <c r="F6" s="351">
        <f>IF(B6&gt;=(Assumptions!$D$32+1),IF(B6&lt;=Assumptions!$D$10,IF(B6&gt;=Assumptions!$D$32,($R6*$V$5+$S6*$V$6)/(1*10^6)),0),0)</f>
        <v>0.1254746141664331</v>
      </c>
      <c r="G6" s="352">
        <f>IF(B6&gt;=(Assumptions!$D$32+1),IF(B6&lt;=Assumptions!$D$10,IF(B6&gt;=Assumptions!$D$32,($R6*$W$5+$S6*$W$6)/(1*10^6)),0),0)</f>
        <v>6.3578669780593288E-4</v>
      </c>
      <c r="H6" s="353">
        <f>IF(B6&gt;=(Assumptions!$D$32+1),IF(B6&lt;=Assumptions!$D$10,IF(B6&gt;=Assumptions!$D$32,($R6*$X$5+$S6*$X$6)/(1*10^6)),0),0)</f>
        <v>2.4591639530562115E-3</v>
      </c>
      <c r="I6" s="258">
        <f t="shared" ref="I6:I40" si="2">F6*_xlfn.XLOOKUP($B6,$U$11:$U$49,$V$11:$V$49)</f>
        <v>2195.8057479125791</v>
      </c>
      <c r="J6" s="296">
        <f t="shared" ref="J6:J40" si="3">F6*_xlfn.XLOOKUP($B6,$U$11:$U$49,$W$11:$W$49)</f>
        <v>5997.6865571555027</v>
      </c>
      <c r="K6" s="259">
        <f t="shared" ref="K6:K40" si="4">G6*_xlfn.XLOOKUP($B6,$U$11:$U$49,$X$11:$X$49)</f>
        <v>541.75384520043542</v>
      </c>
      <c r="L6" s="298">
        <f t="shared" ref="L6:L7" si="5">SUM(I6:K6)</f>
        <v>8735.2461502685164</v>
      </c>
      <c r="M6" s="354">
        <f>L6*(1+0.07)^-(B6-Assumptions!$D$7)</f>
        <v>6228.1097795293717</v>
      </c>
      <c r="N6" s="260">
        <f t="shared" ref="N6:N40" si="6">L6+D6</f>
        <v>15650.938208884996</v>
      </c>
      <c r="O6" s="259">
        <f t="shared" ref="O6:O40" si="7">M6+E6</f>
        <v>12193.646499387751</v>
      </c>
      <c r="Q6" s="76">
        <f>B6</f>
        <v>2026</v>
      </c>
      <c r="R6" s="77">
        <f>_xlfn.XLOOKUP($Q6,'VOC Savings'!$Q$8:$Q$43,'VOC Savings'!$Z$8:$Z$43,0,0,1)</f>
        <v>225600.38331506401</v>
      </c>
      <c r="S6" s="78">
        <f>_xlfn.XLOOKUP($Q6,'VOC Savings'!$Q$8:$Q$43,'VOC Savings'!$AA$8:$AA$43,0,0,1)</f>
        <v>35274.408442982472</v>
      </c>
      <c r="U6" s="64" t="s">
        <v>87</v>
      </c>
      <c r="V6" s="348">
        <f t="shared" si="0"/>
        <v>2.099484306313415</v>
      </c>
      <c r="W6" s="348">
        <f t="shared" si="0"/>
        <v>4.7858028693373951E-3</v>
      </c>
      <c r="X6" s="348">
        <f t="shared" si="0"/>
        <v>3.2505287070740692E-2</v>
      </c>
      <c r="Y6" s="348">
        <f t="shared" si="0"/>
        <v>1238.7315972924489</v>
      </c>
      <c r="AA6" s="37">
        <v>21</v>
      </c>
      <c r="AB6" s="37" t="s">
        <v>125</v>
      </c>
      <c r="AC6" s="37" t="s">
        <v>124</v>
      </c>
      <c r="AD6" s="348">
        <v>3.7528759722247264E-2</v>
      </c>
      <c r="AE6" s="348">
        <v>1.6122938930079201E-3</v>
      </c>
      <c r="AF6" s="348">
        <v>1.1798384221972261E-3</v>
      </c>
      <c r="AG6" s="348">
        <v>243.79125643460799</v>
      </c>
    </row>
    <row r="7" spans="2:33" ht="17.25" customHeight="1" x14ac:dyDescent="0.25">
      <c r="B7" s="153">
        <f>B6+1</f>
        <v>2027</v>
      </c>
      <c r="C7" s="355">
        <f>IF(B7&gt;=(Assumptions!$D$32+1),IF(B7&lt;=Assumptions!$D$10,IF(B7&gt;=Assumptions!$D$32,($R7*$Y$5+$S7*$Y$6)/(1*10^6)),0),0)</f>
        <v>116.04032846101875</v>
      </c>
      <c r="D7" s="356">
        <f t="shared" si="1"/>
        <v>7078.4600361221437</v>
      </c>
      <c r="E7" s="357">
        <f>D7*(1+0.03)^-($B7-Assumptions!$D$7)</f>
        <v>5928.0988418167071</v>
      </c>
      <c r="F7" s="358">
        <f>IF(B7&gt;=(Assumptions!$D$32+1),IF(B7&lt;=Assumptions!$D$10,IF(B7&gt;=Assumptions!$D$32,($R7*$V$5+$S7*$V$6)/(1*10^6)),0),0)</f>
        <v>0.1263224156135028</v>
      </c>
      <c r="G7" s="359">
        <f>IF(B7&gt;=(Assumptions!$D$32+1),IF(B7&lt;=Assumptions!$D$10,IF(B7&gt;=Assumptions!$D$32,($R7*$W$5+$S7*$W$6)/(1*10^6)),0),0)</f>
        <v>6.4008255387218286E-4</v>
      </c>
      <c r="H7" s="360">
        <f>IF(B7&gt;=(Assumptions!$D$32+1),IF(B7&lt;=Assumptions!$D$10,IF(B7&gt;=Assumptions!$D$32,($R7*$X$5+$S7*$X$6)/(1*10^6)),0),0)</f>
        <v>2.4757799257119771E-3</v>
      </c>
      <c r="I7" s="243">
        <f t="shared" si="2"/>
        <v>2261.1712394817</v>
      </c>
      <c r="J7" s="301">
        <f t="shared" si="3"/>
        <v>6151.9016403775859</v>
      </c>
      <c r="K7" s="244">
        <f t="shared" si="4"/>
        <v>554.05545863176144</v>
      </c>
      <c r="L7" s="303">
        <f t="shared" si="5"/>
        <v>8967.1283384910475</v>
      </c>
      <c r="M7" s="361">
        <f>L7*(1+0.07)^-(B7-Assumptions!$D$7)</f>
        <v>5975.176238318194</v>
      </c>
      <c r="N7" s="245">
        <f t="shared" si="6"/>
        <v>16045.588374613191</v>
      </c>
      <c r="O7" s="244">
        <f t="shared" si="7"/>
        <v>11903.275080134901</v>
      </c>
      <c r="Q7" s="74">
        <f t="shared" ref="Q7:Q40" si="8">B7</f>
        <v>2027</v>
      </c>
      <c r="R7" s="71">
        <f>_xlfn.XLOOKUP($Q7,'VOC Savings'!$Q$8:$Q$43,'VOC Savings'!$Z$8:$Z$43,0,0,1)</f>
        <v>227124.71022935212</v>
      </c>
      <c r="S7" s="72">
        <f>_xlfn.XLOOKUP($Q7,'VOC Savings'!$Q$8:$Q$43,'VOC Savings'!$AA$8:$AA$43,0,0,1)</f>
        <v>35512.74904057011</v>
      </c>
      <c r="U7" s="1"/>
      <c r="V7" s="66"/>
      <c r="W7" s="67"/>
      <c r="X7" s="66"/>
      <c r="Y7" s="68"/>
      <c r="AA7" s="37">
        <v>31</v>
      </c>
      <c r="AB7" s="37" t="s">
        <v>125</v>
      </c>
      <c r="AC7" s="37" t="s">
        <v>124</v>
      </c>
      <c r="AD7" s="348">
        <v>5.602001301010253E-2</v>
      </c>
      <c r="AE7" s="348">
        <v>2.0534055761767299E-3</v>
      </c>
      <c r="AF7" s="348">
        <v>1.6834690354423085E-3</v>
      </c>
      <c r="AG7" s="348">
        <v>318.590574637288</v>
      </c>
    </row>
    <row r="8" spans="2:33" ht="17.25" customHeight="1" x14ac:dyDescent="0.25">
      <c r="B8" s="153">
        <f t="shared" ref="B8:B35" si="9">B7+1</f>
        <v>2028</v>
      </c>
      <c r="C8" s="355">
        <f>IF(B8&gt;=(Assumptions!$D$32+1),IF(B8&lt;=Assumptions!$D$10,IF(B8&gt;=Assumptions!$D$32,($R8*$Y$5+$S8*$Y$6)/(1*10^6)),0),0)</f>
        <v>116.81912261176403</v>
      </c>
      <c r="D8" s="356">
        <f t="shared" si="1"/>
        <v>7242.7856019293695</v>
      </c>
      <c r="E8" s="357">
        <f>D8*(1+0.03)^-($B8-Assumptions!$D$7)</f>
        <v>5889.0474914086335</v>
      </c>
      <c r="F8" s="358">
        <f>IF(B8&gt;=(Assumptions!$D$32+1),IF(B8&lt;=Assumptions!$D$10,IF(B8&gt;=Assumptions!$D$32,($R8*$V$5+$S8*$V$6)/(1*10^6)),0),0)</f>
        <v>0.1271702170605733</v>
      </c>
      <c r="G8" s="359">
        <f>IF(B8&gt;=(Assumptions!$D$32+1),IF(B8&lt;=Assumptions!$D$10,IF(B8&gt;=Assumptions!$D$32,($R8*$W$5+$S8*$W$6)/(1*10^6)),0),0)</f>
        <v>6.4437840993844064E-4</v>
      </c>
      <c r="H8" s="360">
        <f>IF(B8&gt;=(Assumptions!$D$32+1),IF(B8&lt;=Assumptions!$D$10,IF(B8&gt;=Assumptions!$D$32,($R8*$X$5+$S8*$X$6)/(1*10^6)),0),0)</f>
        <v>2.4923958983677648E-3</v>
      </c>
      <c r="I8" s="243">
        <f t="shared" si="2"/>
        <v>2314.4979505024339</v>
      </c>
      <c r="J8" s="301">
        <f t="shared" si="3"/>
        <v>6294.9257444983787</v>
      </c>
      <c r="K8" s="244">
        <f t="shared" si="4"/>
        <v>566.66637369986472</v>
      </c>
      <c r="L8" s="303">
        <f t="shared" ref="L8:L35" si="10">SUM(I8:K8)</f>
        <v>9176.0900687006779</v>
      </c>
      <c r="M8" s="361">
        <f>L8*(1+0.07)^-(B8-Assumptions!$D$7)</f>
        <v>5714.4077217931072</v>
      </c>
      <c r="N8" s="245">
        <f t="shared" si="6"/>
        <v>16418.875670630048</v>
      </c>
      <c r="O8" s="244">
        <f t="shared" si="7"/>
        <v>11603.455213201742</v>
      </c>
      <c r="Q8" s="74">
        <f t="shared" si="8"/>
        <v>2028</v>
      </c>
      <c r="R8" s="71">
        <f>_xlfn.XLOOKUP($Q8,'VOC Savings'!$Q$8:$Q$43,'VOC Savings'!$Z$8:$Z$43,0,0,1)</f>
        <v>228649.03714364395</v>
      </c>
      <c r="S8" s="72">
        <f>_xlfn.XLOOKUP($Q8,'VOC Savings'!$Q$8:$Q$43,'VOC Savings'!$AA$8:$AA$43,0,0,1)</f>
        <v>35751.089638157748</v>
      </c>
      <c r="V8" s="3"/>
      <c r="W8" s="3"/>
      <c r="X8" s="3"/>
      <c r="Y8" s="3"/>
      <c r="AA8" s="37">
        <v>32</v>
      </c>
      <c r="AB8" s="37" t="s">
        <v>125</v>
      </c>
      <c r="AC8" s="37" t="s">
        <v>124</v>
      </c>
      <c r="AD8" s="348">
        <v>8.1182565604368817E-2</v>
      </c>
      <c r="AE8" s="348">
        <v>2.2057095109159902E-3</v>
      </c>
      <c r="AF8" s="348">
        <v>2.5484529232710825E-3</v>
      </c>
      <c r="AG8" s="348">
        <v>344.00451224712401</v>
      </c>
    </row>
    <row r="9" spans="2:33" ht="17.25" customHeight="1" x14ac:dyDescent="0.25">
      <c r="B9" s="153">
        <f t="shared" si="9"/>
        <v>2029</v>
      </c>
      <c r="C9" s="355">
        <f>IF(B9&gt;=(Assumptions!$D$32+1),IF(B9&lt;=Assumptions!$D$10,IF(B9&gt;=Assumptions!$D$32,($R9*$Y$5+$S9*$Y$6)/(1*10^6)),0),0)</f>
        <v>117.59791676250985</v>
      </c>
      <c r="D9" s="356">
        <f t="shared" si="1"/>
        <v>7408.6687560381206</v>
      </c>
      <c r="E9" s="357">
        <f>D9*(1+0.03)^-($B9-Assumptions!$D$7)</f>
        <v>5848.4715299896316</v>
      </c>
      <c r="F9" s="358">
        <f>IF(B9&gt;=(Assumptions!$D$32+1),IF(B9&lt;=Assumptions!$D$10,IF(B9&gt;=Assumptions!$D$32,($R9*$V$5+$S9*$V$6)/(1*10^6)),0),0)</f>
        <v>0.12801801850764477</v>
      </c>
      <c r="G9" s="359">
        <f>IF(B9&gt;=(Assumptions!$D$32+1),IF(B9&lt;=Assumptions!$D$10,IF(B9&gt;=Assumptions!$D$32,($R9*$W$5+$S9*$W$6)/(1*10^6)),0),0)</f>
        <v>6.486742660047006E-4</v>
      </c>
      <c r="H9" s="360">
        <f>IF(B9&gt;=(Assumptions!$D$32+1),IF(B9&lt;=Assumptions!$D$10,IF(B9&gt;=Assumptions!$D$32,($R9*$X$5+$S9*$X$6)/(1*10^6)),0),0)</f>
        <v>2.5090118710235673E-3</v>
      </c>
      <c r="I9" s="243">
        <f t="shared" si="2"/>
        <v>2381.1351442421928</v>
      </c>
      <c r="J9" s="301">
        <f t="shared" si="3"/>
        <v>6452.1081327852962</v>
      </c>
      <c r="K9" s="244">
        <f t="shared" si="4"/>
        <v>579.52558924859954</v>
      </c>
      <c r="L9" s="303">
        <f t="shared" si="10"/>
        <v>9412.7688662760902</v>
      </c>
      <c r="M9" s="361">
        <f>L9*(1+0.07)^-(B9-Assumptions!$D$7)</f>
        <v>5478.3171793390193</v>
      </c>
      <c r="N9" s="245">
        <f t="shared" si="6"/>
        <v>16821.43762231421</v>
      </c>
      <c r="O9" s="244">
        <f t="shared" si="7"/>
        <v>11326.788709328652</v>
      </c>
      <c r="Q9" s="74">
        <f t="shared" si="8"/>
        <v>2029</v>
      </c>
      <c r="R9" s="71">
        <f>_xlfn.XLOOKUP($Q9,'VOC Savings'!$Q$8:$Q$43,'VOC Savings'!$Z$8:$Z$43,0,0,1)</f>
        <v>230173.36405793577</v>
      </c>
      <c r="S9" s="72">
        <f>_xlfn.XLOOKUP($Q9,'VOC Savings'!$Q$8:$Q$43,'VOC Savings'!$AA$8:$AA$43,0,0,1)</f>
        <v>35989.430235745851</v>
      </c>
      <c r="U9" s="1" t="s">
        <v>147</v>
      </c>
      <c r="AA9" s="37">
        <v>41</v>
      </c>
      <c r="AB9" s="37" t="s">
        <v>126</v>
      </c>
      <c r="AC9" s="37" t="s">
        <v>127</v>
      </c>
      <c r="AD9" s="348">
        <v>2.237602310868759</v>
      </c>
      <c r="AE9" s="348">
        <v>5.5717265564873301E-3</v>
      </c>
      <c r="AF9" s="348">
        <v>1.658066855283262E-2</v>
      </c>
      <c r="AG9" s="348">
        <v>1406.7823013201701</v>
      </c>
    </row>
    <row r="10" spans="2:33" ht="17.25" customHeight="1" x14ac:dyDescent="0.25">
      <c r="B10" s="153">
        <f t="shared" si="9"/>
        <v>2030</v>
      </c>
      <c r="C10" s="355">
        <f>IF(B10&gt;=(Assumptions!$D$32+1),IF(B10&lt;=Assumptions!$D$10,IF(B10&gt;=Assumptions!$D$32,($R10*$Y$5+$S10*$Y$6)/(1*10^6)),0),0)</f>
        <v>118.37671091325514</v>
      </c>
      <c r="D10" s="356">
        <f t="shared" si="1"/>
        <v>7694.4862093615839</v>
      </c>
      <c r="E10" s="357">
        <f>D10*(1+0.03)^-($B10-Assumptions!$D$7)</f>
        <v>5897.1829776420054</v>
      </c>
      <c r="F10" s="358">
        <f>IF(B10&gt;=(Assumptions!$D$32+1),IF(B10&lt;=Assumptions!$D$10,IF(B10&gt;=Assumptions!$D$32,($R10*$V$5+$S10*$V$6)/(1*10^6)),0),0)</f>
        <v>0.12886581995471533</v>
      </c>
      <c r="G10" s="359">
        <f>IF(B10&gt;=(Assumptions!$D$32+1),IF(B10&lt;=Assumptions!$D$10,IF(B10&gt;=Assumptions!$D$32,($R10*$W$5+$S10*$W$6)/(1*10^6)),0),0)</f>
        <v>6.5297012207095827E-4</v>
      </c>
      <c r="H10" s="360">
        <f>IF(B10&gt;=(Assumptions!$D$32+1),IF(B10&lt;=Assumptions!$D$10,IF(B10&gt;=Assumptions!$D$32,($R10*$X$5+$S10*$X$6)/(1*10^6)),0),0)</f>
        <v>2.525627843679355E-3</v>
      </c>
      <c r="I10" s="243">
        <f t="shared" si="2"/>
        <v>2435.5639971441196</v>
      </c>
      <c r="J10" s="301">
        <f t="shared" si="3"/>
        <v>6610.8165636768963</v>
      </c>
      <c r="K10" s="244">
        <f t="shared" si="4"/>
        <v>592.63568279160177</v>
      </c>
      <c r="L10" s="303">
        <f t="shared" si="10"/>
        <v>9639.0162436126193</v>
      </c>
      <c r="M10" s="361">
        <f>L10*(1+0.07)^-(B10-Assumptions!$D$7)</f>
        <v>5242.9861802176083</v>
      </c>
      <c r="N10" s="245">
        <f t="shared" si="6"/>
        <v>17333.502452974204</v>
      </c>
      <c r="O10" s="244">
        <f t="shared" si="7"/>
        <v>11140.169157859615</v>
      </c>
      <c r="Q10" s="74">
        <f t="shared" si="8"/>
        <v>2030</v>
      </c>
      <c r="R10" s="71">
        <f>_xlfn.XLOOKUP($Q10,'VOC Savings'!$Q$8:$Q$43,'VOC Savings'!$Z$8:$Z$43,0,0,1)</f>
        <v>231697.6909722276</v>
      </c>
      <c r="S10" s="72">
        <f>_xlfn.XLOOKUP($Q10,'VOC Savings'!$Q$8:$Q$43,'VOC Savings'!$AA$8:$AA$43,0,0,1)</f>
        <v>36227.770833333489</v>
      </c>
      <c r="U10" s="39" t="s">
        <v>33</v>
      </c>
      <c r="V10" s="65" t="s">
        <v>112</v>
      </c>
      <c r="W10" s="65" t="s">
        <v>113</v>
      </c>
      <c r="X10" s="65" t="s">
        <v>114</v>
      </c>
      <c r="Y10" s="65" t="s">
        <v>115</v>
      </c>
      <c r="AA10" s="37">
        <v>42</v>
      </c>
      <c r="AB10" s="37" t="s">
        <v>126</v>
      </c>
      <c r="AC10" s="37" t="s">
        <v>127</v>
      </c>
      <c r="AD10" s="348">
        <v>1.9658170115512426</v>
      </c>
      <c r="AE10" s="348">
        <v>5.4889920561794897E-3</v>
      </c>
      <c r="AF10" s="348">
        <v>1.2308421676718551E-2</v>
      </c>
      <c r="AG10" s="348">
        <v>1391.9649569298599</v>
      </c>
    </row>
    <row r="11" spans="2:33" ht="17.25" customHeight="1" x14ac:dyDescent="0.25">
      <c r="B11" s="153">
        <f t="shared" si="9"/>
        <v>2031</v>
      </c>
      <c r="C11" s="355">
        <f>IF(B11&gt;=(Assumptions!$D$32+1),IF(B11&lt;=Assumptions!$D$10,IF(B11&gt;=Assumptions!$D$32,($R11*$Y$5+$S11*$Y$6)/(1*10^6)),0),0)</f>
        <v>119.15550506399921</v>
      </c>
      <c r="D11" s="356">
        <f t="shared" si="1"/>
        <v>7864.2633342239478</v>
      </c>
      <c r="E11" s="357">
        <f>D11*(1+0.03)^-($B11-Assumptions!$D$7)</f>
        <v>5851.7504921414702</v>
      </c>
      <c r="F11" s="358">
        <f>IF(B11&gt;=(Assumptions!$D$32+1),IF(B11&lt;=Assumptions!$D$10,IF(B11&gt;=Assumptions!$D$32,($R11*$V$5+$S11*$V$6)/(1*10^6)),0),0)</f>
        <v>0.12971362140178497</v>
      </c>
      <c r="G11" s="359">
        <f>IF(B11&gt;=(Assumptions!$D$32+1),IF(B11&lt;=Assumptions!$D$10,IF(B11&gt;=Assumptions!$D$32,($R11*$W$5+$S11*$W$6)/(1*10^6)),0),0)</f>
        <v>6.5726597813720825E-4</v>
      </c>
      <c r="H11" s="360">
        <f>IF(B11&gt;=(Assumptions!$D$32+1),IF(B11&lt;=Assumptions!$D$10,IF(B11&gt;=Assumptions!$D$32,($R11*$X$5+$S11*$X$6)/(1*10^6)),0),0)</f>
        <v>2.5422438163351206E-3</v>
      </c>
      <c r="I11" s="243">
        <f t="shared" si="2"/>
        <v>2451.5874444937358</v>
      </c>
      <c r="J11" s="301">
        <f t="shared" si="3"/>
        <v>6654.3087779115685</v>
      </c>
      <c r="K11" s="244">
        <f t="shared" si="4"/>
        <v>596.53460175733017</v>
      </c>
      <c r="L11" s="303">
        <f t="shared" si="10"/>
        <v>9702.430824162635</v>
      </c>
      <c r="M11" s="361">
        <f>L11*(1+0.07)^-(B11-Assumptions!$D$7)</f>
        <v>4932.2238414491421</v>
      </c>
      <c r="N11" s="245">
        <f t="shared" si="6"/>
        <v>17566.694158386585</v>
      </c>
      <c r="O11" s="244">
        <f t="shared" si="7"/>
        <v>10783.974333590613</v>
      </c>
      <c r="Q11" s="74">
        <f t="shared" si="8"/>
        <v>2031</v>
      </c>
      <c r="R11" s="71">
        <f>_xlfn.XLOOKUP($Q11,'VOC Savings'!$Q$8:$Q$43,'VOC Savings'!$Z$8:$Z$43,0,0,1)</f>
        <v>233222.01788651571</v>
      </c>
      <c r="S11" s="72">
        <f>_xlfn.XLOOKUP($Q11,'VOC Savings'!$Q$8:$Q$43,'VOC Savings'!$AA$8:$AA$43,0,0,1)</f>
        <v>36466.111430921126</v>
      </c>
      <c r="U11" s="362">
        <v>2022</v>
      </c>
      <c r="V11" s="363">
        <v>16600</v>
      </c>
      <c r="W11" s="363">
        <v>44300</v>
      </c>
      <c r="X11" s="363">
        <v>796700</v>
      </c>
      <c r="Y11" s="363">
        <v>56</v>
      </c>
      <c r="AA11" s="37">
        <v>43</v>
      </c>
      <c r="AB11" s="37" t="s">
        <v>126</v>
      </c>
      <c r="AC11" s="37" t="s">
        <v>127</v>
      </c>
      <c r="AD11" s="348">
        <v>1.9469017025302577</v>
      </c>
      <c r="AE11" s="348">
        <v>3.66910948950592E-3</v>
      </c>
      <c r="AF11" s="348">
        <v>5.5096995199883071E-2</v>
      </c>
      <c r="AG11" s="348">
        <v>1071.1129065416801</v>
      </c>
    </row>
    <row r="12" spans="2:33" ht="17.25" customHeight="1" x14ac:dyDescent="0.25">
      <c r="B12" s="153">
        <f t="shared" si="9"/>
        <v>2032</v>
      </c>
      <c r="C12" s="355">
        <f>IF(B12&gt;=(Assumptions!$D$32+1),IF(B12&lt;=Assumptions!$D$10,IF(B12&gt;=Assumptions!$D$32,($R12*$Y$5+$S12*$Y$6)/(1*10^6)),0),0)</f>
        <v>119.93429921474508</v>
      </c>
      <c r="D12" s="356">
        <f t="shared" si="1"/>
        <v>8035.5980473879208</v>
      </c>
      <c r="E12" s="357">
        <f>D12*(1+0.03)^-($B12-Assumptions!$D$7)</f>
        <v>5805.0869996285037</v>
      </c>
      <c r="F12" s="358">
        <f>IF(B12&gt;=(Assumptions!$D$32+1),IF(B12&lt;=Assumptions!$D$10,IF(B12&gt;=Assumptions!$D$32,($R12*$V$5+$S12*$V$6)/(1*10^6)),0),0)</f>
        <v>0.1305614228488565</v>
      </c>
      <c r="G12" s="359">
        <f>IF(B12&gt;=(Assumptions!$D$32+1),IF(B12&lt;=Assumptions!$D$10,IF(B12&gt;=Assumptions!$D$32,($R12*$W$5+$S12*$W$6)/(1*10^6)),0),0)</f>
        <v>6.615618342034682E-4</v>
      </c>
      <c r="H12" s="360">
        <f>IF(B12&gt;=(Assumptions!$D$32+1),IF(B12&lt;=Assumptions!$D$10,IF(B12&gt;=Assumptions!$D$32,($R12*$X$5+$S12*$X$6)/(1*10^6)),0),0)</f>
        <v>2.5588597889909235E-3</v>
      </c>
      <c r="I12" s="243">
        <f t="shared" si="2"/>
        <v>2467.6108918433879</v>
      </c>
      <c r="J12" s="301">
        <f t="shared" si="3"/>
        <v>6697.8009921463381</v>
      </c>
      <c r="K12" s="244">
        <f t="shared" si="4"/>
        <v>600.43352072306777</v>
      </c>
      <c r="L12" s="303">
        <f t="shared" si="10"/>
        <v>9765.8454047127925</v>
      </c>
      <c r="M12" s="361">
        <f>L12*(1+0.07)^-(B12-Assumptions!$D$7)</f>
        <v>4639.682802413864</v>
      </c>
      <c r="N12" s="245">
        <f t="shared" si="6"/>
        <v>17801.443452100713</v>
      </c>
      <c r="O12" s="244">
        <f t="shared" si="7"/>
        <v>10444.769802042367</v>
      </c>
      <c r="Q12" s="74">
        <f t="shared" si="8"/>
        <v>2032</v>
      </c>
      <c r="R12" s="71">
        <f>_xlfn.XLOOKUP($Q12,'VOC Savings'!$Q$8:$Q$43,'VOC Savings'!$Z$8:$Z$43,0,0,1)</f>
        <v>234746.34480080754</v>
      </c>
      <c r="S12" s="72">
        <f>_xlfn.XLOOKUP($Q12,'VOC Savings'!$Q$8:$Q$43,'VOC Savings'!$AA$8:$AA$43,0,0,1)</f>
        <v>36704.452028509229</v>
      </c>
      <c r="U12" s="362">
        <v>2023</v>
      </c>
      <c r="V12" s="363">
        <v>16800</v>
      </c>
      <c r="W12" s="363">
        <v>45100</v>
      </c>
      <c r="X12" s="363">
        <v>810500</v>
      </c>
      <c r="Y12" s="363">
        <v>57</v>
      </c>
      <c r="AA12" s="37">
        <v>51</v>
      </c>
      <c r="AB12" s="37" t="s">
        <v>128</v>
      </c>
      <c r="AC12" s="37" t="s">
        <v>127</v>
      </c>
      <c r="AD12" s="348">
        <v>2.48942987946789</v>
      </c>
      <c r="AE12" s="348">
        <v>5.2833773025508703E-3</v>
      </c>
      <c r="AF12" s="348">
        <v>3.4321389281753531E-2</v>
      </c>
      <c r="AG12" s="348">
        <v>1427.83446247497</v>
      </c>
    </row>
    <row r="13" spans="2:33" ht="17.25" customHeight="1" x14ac:dyDescent="0.25">
      <c r="B13" s="153">
        <f t="shared" si="9"/>
        <v>2033</v>
      </c>
      <c r="C13" s="355">
        <f>IF(B13&gt;=(Assumptions!$D$32+1),IF(B13&lt;=Assumptions!$D$10,IF(B13&gt;=Assumptions!$D$32,($R13*$Y$5+$S13*$Y$6)/(1*10^6)),0),0)</f>
        <v>120.71309336549034</v>
      </c>
      <c r="D13" s="356">
        <f t="shared" si="1"/>
        <v>8208.4903488533437</v>
      </c>
      <c r="E13" s="357">
        <f>D13*(1+0.03)^-($B13-Assumptions!$D$7)</f>
        <v>5757.2699774439352</v>
      </c>
      <c r="F13" s="358">
        <f>IF(B13&gt;=(Assumptions!$D$32+1),IF(B13&lt;=Assumptions!$D$10,IF(B13&gt;=Assumptions!$D$32,($R13*$V$5+$S13*$V$6)/(1*10^6)),0),0)</f>
        <v>0.13140922429592697</v>
      </c>
      <c r="G13" s="359">
        <f>IF(B13&gt;=(Assumptions!$D$32+1),IF(B13&lt;=Assumptions!$D$10,IF(B13&gt;=Assumptions!$D$32,($R13*$W$5+$S13*$W$6)/(1*10^6)),0),0)</f>
        <v>6.6585769026972577E-4</v>
      </c>
      <c r="H13" s="360">
        <f>IF(B13&gt;=(Assumptions!$D$32+1),IF(B13&lt;=Assumptions!$D$10,IF(B13&gt;=Assumptions!$D$32,($R13*$X$5+$S13*$X$6)/(1*10^6)),0),0)</f>
        <v>2.5754757616467108E-3</v>
      </c>
      <c r="I13" s="243">
        <f t="shared" si="2"/>
        <v>2483.6343391930195</v>
      </c>
      <c r="J13" s="301">
        <f t="shared" si="3"/>
        <v>6741.2932063810531</v>
      </c>
      <c r="K13" s="244">
        <f t="shared" si="4"/>
        <v>604.33243968880311</v>
      </c>
      <c r="L13" s="303">
        <f t="shared" si="10"/>
        <v>9829.2599852628755</v>
      </c>
      <c r="M13" s="361">
        <f>L13*(1+0.07)^-(B13-Assumptions!$D$7)</f>
        <v>4364.3089839431304</v>
      </c>
      <c r="N13" s="245">
        <f t="shared" si="6"/>
        <v>18037.750334116219</v>
      </c>
      <c r="O13" s="244">
        <f t="shared" si="7"/>
        <v>10121.578961387066</v>
      </c>
      <c r="Q13" s="74">
        <f t="shared" si="8"/>
        <v>2033</v>
      </c>
      <c r="R13" s="71">
        <f>_xlfn.XLOOKUP($Q13,'VOC Savings'!$Q$8:$Q$43,'VOC Savings'!$Z$8:$Z$43,0,0,1)</f>
        <v>236270.67171509936</v>
      </c>
      <c r="S13" s="72">
        <f>_xlfn.XLOOKUP($Q13,'VOC Savings'!$Q$8:$Q$43,'VOC Savings'!$AA$8:$AA$43,0,0,1)</f>
        <v>36942.792626096867</v>
      </c>
      <c r="U13" s="362">
        <v>2024</v>
      </c>
      <c r="V13" s="363">
        <v>17000</v>
      </c>
      <c r="W13" s="363">
        <v>46000</v>
      </c>
      <c r="X13" s="363">
        <v>824500</v>
      </c>
      <c r="Y13" s="363">
        <v>58</v>
      </c>
      <c r="Z13" s="38"/>
      <c r="AA13" s="37">
        <v>52</v>
      </c>
      <c r="AB13" s="37" t="s">
        <v>128</v>
      </c>
      <c r="AC13" s="37" t="s">
        <v>127</v>
      </c>
      <c r="AD13" s="348">
        <v>0.95074648895471525</v>
      </c>
      <c r="AE13" s="348">
        <v>3.5321878667988801E-3</v>
      </c>
      <c r="AF13" s="348">
        <v>1.5158170819293781E-2</v>
      </c>
      <c r="AG13" s="348">
        <v>862.616489254057</v>
      </c>
    </row>
    <row r="14" spans="2:33" ht="17.25" customHeight="1" x14ac:dyDescent="0.25">
      <c r="B14" s="153">
        <f t="shared" si="9"/>
        <v>2034</v>
      </c>
      <c r="C14" s="355">
        <f>IF(B14&gt;=(Assumptions!$D$32+1),IF(B14&lt;=Assumptions!$D$10,IF(B14&gt;=Assumptions!$D$32,($R14*$Y$5+$S14*$Y$6)/(1*10^6)),0),0)</f>
        <v>121.49188751623502</v>
      </c>
      <c r="D14" s="356">
        <f t="shared" si="1"/>
        <v>8382.9402386202164</v>
      </c>
      <c r="E14" s="357">
        <f>D14*(1+0.03)^-($B14-Assumptions!$D$7)</f>
        <v>5708.3743885711674</v>
      </c>
      <c r="F14" s="358">
        <f>IF(B14&gt;=(Assumptions!$D$32+1),IF(B14&lt;=Assumptions!$D$10,IF(B14&gt;=Assumptions!$D$32,($R14*$V$5+$S14*$V$6)/(1*10^6)),0),0)</f>
        <v>0.13225702574299655</v>
      </c>
      <c r="G14" s="359">
        <f>IF(B14&gt;=(Assumptions!$D$32+1),IF(B14&lt;=Assumptions!$D$10,IF(B14&gt;=Assumptions!$D$32,($R14*$W$5+$S14*$W$6)/(1*10^6)),0),0)</f>
        <v>6.7015354633598117E-4</v>
      </c>
      <c r="H14" s="360">
        <f>IF(B14&gt;=(Assumptions!$D$32+1),IF(B14&lt;=Assumptions!$D$10,IF(B14&gt;=Assumptions!$D$32,($R14*$X$5+$S14*$X$6)/(1*10^6)),0),0)</f>
        <v>2.5920917343024833E-3</v>
      </c>
      <c r="I14" s="243">
        <f t="shared" si="2"/>
        <v>2499.6577865426348</v>
      </c>
      <c r="J14" s="301">
        <f t="shared" si="3"/>
        <v>6784.7854206157235</v>
      </c>
      <c r="K14" s="244">
        <f t="shared" si="4"/>
        <v>608.23135865453651</v>
      </c>
      <c r="L14" s="303">
        <f t="shared" si="10"/>
        <v>9892.6745658128948</v>
      </c>
      <c r="M14" s="361">
        <f>L14*(1+0.07)^-(B14-Assumptions!$D$7)</f>
        <v>4105.1082393435263</v>
      </c>
      <c r="N14" s="245">
        <f t="shared" si="6"/>
        <v>18275.614804433113</v>
      </c>
      <c r="O14" s="244">
        <f t="shared" si="7"/>
        <v>9813.4826279146946</v>
      </c>
      <c r="Q14" s="74">
        <f t="shared" si="8"/>
        <v>2034</v>
      </c>
      <c r="R14" s="71">
        <f>_xlfn.XLOOKUP($Q14,'VOC Savings'!$Q$8:$Q$43,'VOC Savings'!$Z$8:$Z$43,0,0,1)</f>
        <v>237794.99862939119</v>
      </c>
      <c r="S14" s="72">
        <f>_xlfn.XLOOKUP($Q14,'VOC Savings'!$Q$8:$Q$43,'VOC Savings'!$AA$8:$AA$43,0,0,1)</f>
        <v>37181.133223684039</v>
      </c>
      <c r="U14" s="362">
        <v>2025</v>
      </c>
      <c r="V14" s="363">
        <v>17200</v>
      </c>
      <c r="W14" s="363">
        <v>46900</v>
      </c>
      <c r="X14" s="363">
        <v>838800</v>
      </c>
      <c r="Y14" s="363">
        <v>59</v>
      </c>
      <c r="AA14" s="37">
        <v>53</v>
      </c>
      <c r="AB14" s="37" t="s">
        <v>128</v>
      </c>
      <c r="AC14" s="37" t="s">
        <v>127</v>
      </c>
      <c r="AD14" s="348">
        <v>0.89067775827536644</v>
      </c>
      <c r="AE14" s="348">
        <v>3.4020765235606102E-3</v>
      </c>
      <c r="AF14" s="348">
        <v>1.349939126139434E-2</v>
      </c>
      <c r="AG14" s="348">
        <v>829.46088804247995</v>
      </c>
    </row>
    <row r="15" spans="2:33" ht="17.25" customHeight="1" x14ac:dyDescent="0.25">
      <c r="B15" s="153">
        <f t="shared" si="9"/>
        <v>2035</v>
      </c>
      <c r="C15" s="355">
        <f>IF(B15&gt;=(Assumptions!$D$32+1),IF(B15&lt;=Assumptions!$D$10,IF(B15&gt;=Assumptions!$D$32,($R15*$Y$5+$S15*$Y$6)/(1*10^6)),0),0)</f>
        <v>122.27068166697912</v>
      </c>
      <c r="D15" s="356">
        <f t="shared" si="1"/>
        <v>8558.9477166885372</v>
      </c>
      <c r="E15" s="357">
        <f>D15*(1+0.03)^-($B15-Assumptions!$D$7)</f>
        <v>5658.4727345734063</v>
      </c>
      <c r="F15" s="358">
        <f>IF(B15&gt;=(Assumptions!$D$32+1),IF(B15&lt;=Assumptions!$D$10,IF(B15&gt;=Assumptions!$D$32,($R15*$V$5+$S15*$V$6)/(1*10^6)),0),0)</f>
        <v>0.13310482719006619</v>
      </c>
      <c r="G15" s="359">
        <f>IF(B15&gt;=(Assumptions!$D$32+1),IF(B15&lt;=Assumptions!$D$10,IF(B15&gt;=Assumptions!$D$32,($R15*$W$5+$S15*$W$6)/(1*10^6)),0),0)</f>
        <v>6.7444940240223125E-4</v>
      </c>
      <c r="H15" s="360">
        <f>IF(B15&gt;=(Assumptions!$D$32+1),IF(B15&lt;=Assumptions!$D$10,IF(B15&gt;=Assumptions!$D$32,($R15*$X$5+$S15*$X$6)/(1*10^6)),0),0)</f>
        <v>2.6087077069582494E-3</v>
      </c>
      <c r="I15" s="243">
        <f t="shared" si="2"/>
        <v>2515.6812338922509</v>
      </c>
      <c r="J15" s="301">
        <f t="shared" si="3"/>
        <v>6828.2776348503958</v>
      </c>
      <c r="K15" s="244">
        <f t="shared" si="4"/>
        <v>612.13027762026513</v>
      </c>
      <c r="L15" s="303">
        <f t="shared" si="10"/>
        <v>9956.0891463629123</v>
      </c>
      <c r="M15" s="361">
        <f>L15*(1+0.07)^-(B15-Assumptions!$D$7)</f>
        <v>3861.1430240649979</v>
      </c>
      <c r="N15" s="245">
        <f t="shared" si="6"/>
        <v>18515.036863051449</v>
      </c>
      <c r="O15" s="244">
        <f t="shared" si="7"/>
        <v>9519.6157586384033</v>
      </c>
      <c r="Q15" s="74">
        <f t="shared" si="8"/>
        <v>2035</v>
      </c>
      <c r="R15" s="71">
        <f>_xlfn.XLOOKUP($Q15,'VOC Savings'!$Q$8:$Q$43,'VOC Savings'!$Z$8:$Z$43,0,0,1)</f>
        <v>239319.3255436793</v>
      </c>
      <c r="S15" s="72">
        <f>_xlfn.XLOOKUP($Q15,'VOC Savings'!$Q$8:$Q$43,'VOC Savings'!$AA$8:$AA$43,0,0,1)</f>
        <v>37419.473821271677</v>
      </c>
      <c r="U15" s="362">
        <v>2026</v>
      </c>
      <c r="V15" s="363">
        <v>17500</v>
      </c>
      <c r="W15" s="363">
        <v>47800</v>
      </c>
      <c r="X15" s="363">
        <v>852100</v>
      </c>
      <c r="Y15" s="363">
        <v>60</v>
      </c>
      <c r="AA15" s="37">
        <v>54</v>
      </c>
      <c r="AB15" s="37" t="s">
        <v>128</v>
      </c>
      <c r="AC15" s="37" t="s">
        <v>127</v>
      </c>
      <c r="AD15" s="348">
        <v>1.6481032166429217</v>
      </c>
      <c r="AE15" s="348">
        <v>6.0326542026046303E-3</v>
      </c>
      <c r="AF15" s="348">
        <v>4.2864875162321965E-2</v>
      </c>
      <c r="AG15" s="348">
        <v>1166.1048437433201</v>
      </c>
    </row>
    <row r="16" spans="2:33" ht="17.25" customHeight="1" x14ac:dyDescent="0.25">
      <c r="B16" s="153">
        <f t="shared" si="9"/>
        <v>2036</v>
      </c>
      <c r="C16" s="355">
        <f>IF(B16&gt;=(Assumptions!$D$32+1),IF(B16&lt;=Assumptions!$D$10,IF(B16&gt;=Assumptions!$D$32,($R16*$Y$5+$S16*$Y$6)/(1*10^6)),0),0)</f>
        <v>123.04947581772497</v>
      </c>
      <c r="D16" s="356">
        <f t="shared" si="1"/>
        <v>8859.562258876198</v>
      </c>
      <c r="E16" s="357">
        <f>D16*(1+0.03)^-($B16-Assumptions!$D$7)</f>
        <v>5686.6158845647396</v>
      </c>
      <c r="F16" s="358">
        <f>IF(B16&gt;=(Assumptions!$D$32+1),IF(B16&lt;=Assumptions!$D$10,IF(B16&gt;=Assumptions!$D$32,($R16*$V$5+$S16*$V$6)/(1*10^6)),0),0)</f>
        <v>0.13395262863713769</v>
      </c>
      <c r="G16" s="359">
        <f>IF(B16&gt;=(Assumptions!$D$32+1),IF(B16&lt;=Assumptions!$D$10,IF(B16&gt;=Assumptions!$D$32,($R16*$W$5+$S16*$W$6)/(1*10^6)),0),0)</f>
        <v>6.787452584684911E-4</v>
      </c>
      <c r="H16" s="360">
        <f>IF(B16&gt;=(Assumptions!$D$32+1),IF(B16&lt;=Assumptions!$D$10,IF(B16&gt;=Assumptions!$D$32,($R16*$X$5+$S16*$X$6)/(1*10^6)),0),0)</f>
        <v>2.6253236796140518E-3</v>
      </c>
      <c r="I16" s="243">
        <f t="shared" si="2"/>
        <v>2531.7046812419026</v>
      </c>
      <c r="J16" s="301">
        <f t="shared" si="3"/>
        <v>6871.7698490851635</v>
      </c>
      <c r="K16" s="244">
        <f t="shared" si="4"/>
        <v>616.02919658600251</v>
      </c>
      <c r="L16" s="303">
        <f t="shared" si="10"/>
        <v>10019.50372691307</v>
      </c>
      <c r="M16" s="361">
        <f>L16*(1+0.07)^-(B16-Assumptions!$D$7)</f>
        <v>3631.5292446114304</v>
      </c>
      <c r="N16" s="245">
        <f t="shared" si="6"/>
        <v>18879.065985789268</v>
      </c>
      <c r="O16" s="244">
        <f t="shared" si="7"/>
        <v>9318.1451291761696</v>
      </c>
      <c r="Q16" s="74">
        <f t="shared" si="8"/>
        <v>2036</v>
      </c>
      <c r="R16" s="71">
        <f>_xlfn.XLOOKUP($Q16,'VOC Savings'!$Q$8:$Q$43,'VOC Savings'!$Z$8:$Z$43,0,0,1)</f>
        <v>240843.65245797113</v>
      </c>
      <c r="S16" s="72">
        <f>_xlfn.XLOOKUP($Q16,'VOC Savings'!$Q$8:$Q$43,'VOC Savings'!$AA$8:$AA$43,0,0,1)</f>
        <v>37657.81441885978</v>
      </c>
      <c r="U16" s="362">
        <v>2027</v>
      </c>
      <c r="V16" s="363">
        <v>17900</v>
      </c>
      <c r="W16" s="363">
        <v>48700</v>
      </c>
      <c r="X16" s="363">
        <v>865600</v>
      </c>
      <c r="Y16" s="363">
        <v>61</v>
      </c>
      <c r="AA16" s="37">
        <v>61</v>
      </c>
      <c r="AB16" s="37" t="s">
        <v>129</v>
      </c>
      <c r="AC16" s="37" t="s">
        <v>127</v>
      </c>
      <c r="AD16" s="348">
        <v>3.0234078113615883</v>
      </c>
      <c r="AE16" s="348">
        <v>4.9760807160904204E-3</v>
      </c>
      <c r="AF16" s="348">
        <v>4.3407648080982714E-2</v>
      </c>
      <c r="AG16" s="348">
        <v>1463.90880302132</v>
      </c>
    </row>
    <row r="17" spans="1:33" ht="17.25" customHeight="1" x14ac:dyDescent="0.25">
      <c r="B17" s="153">
        <f t="shared" si="9"/>
        <v>2037</v>
      </c>
      <c r="C17" s="355">
        <f>IF(B17&gt;=(Assumptions!$D$32+1),IF(B17&lt;=Assumptions!$D$10,IF(B17&gt;=Assumptions!$D$32,($R17*$Y$5+$S17*$Y$6)/(1*10^6)),0),0)</f>
        <v>123.82826996847022</v>
      </c>
      <c r="D17" s="356">
        <f t="shared" si="1"/>
        <v>9039.4637076983272</v>
      </c>
      <c r="E17" s="357">
        <f>D17*(1+0.03)^-($B17-Assumptions!$D$7)</f>
        <v>5633.0949309176731</v>
      </c>
      <c r="F17" s="358">
        <f>IF(B17&gt;=(Assumptions!$D$32+1),IF(B17&lt;=Assumptions!$D$10,IF(B17&gt;=Assumptions!$D$32,($R17*$V$5+$S17*$V$6)/(1*10^6)),0),0)</f>
        <v>0.13480043008420819</v>
      </c>
      <c r="G17" s="359">
        <f>IF(B17&gt;=(Assumptions!$D$32+1),IF(B17&lt;=Assumptions!$D$10,IF(B17&gt;=Assumptions!$D$32,($R17*$W$5+$S17*$W$6)/(1*10^6)),0),0)</f>
        <v>6.8304111453474888E-4</v>
      </c>
      <c r="H17" s="360">
        <f>IF(B17&gt;=(Assumptions!$D$32+1),IF(B17&lt;=Assumptions!$D$10,IF(B17&gt;=Assumptions!$D$32,($R17*$X$5+$S17*$X$6)/(1*10^6)),0),0)</f>
        <v>2.6419396522698395E-3</v>
      </c>
      <c r="I17" s="243">
        <f t="shared" si="2"/>
        <v>2547.7281285915351</v>
      </c>
      <c r="J17" s="301">
        <f t="shared" si="3"/>
        <v>6915.2620633198803</v>
      </c>
      <c r="K17" s="244">
        <f t="shared" si="4"/>
        <v>619.92811555173807</v>
      </c>
      <c r="L17" s="303">
        <f t="shared" si="10"/>
        <v>10082.918307463155</v>
      </c>
      <c r="M17" s="361">
        <f>L17*(1+0.07)^-(B17-Assumptions!$D$7)</f>
        <v>3415.4332774944851</v>
      </c>
      <c r="N17" s="245">
        <f t="shared" si="6"/>
        <v>19122.382015161482</v>
      </c>
      <c r="O17" s="244">
        <f t="shared" si="7"/>
        <v>9048.5282084121573</v>
      </c>
      <c r="Q17" s="74">
        <f t="shared" si="8"/>
        <v>2037</v>
      </c>
      <c r="R17" s="71">
        <f>_xlfn.XLOOKUP($Q17,'VOC Savings'!$Q$8:$Q$43,'VOC Savings'!$Z$8:$Z$43,0,0,1)</f>
        <v>242367.97937226295</v>
      </c>
      <c r="S17" s="72">
        <f>_xlfn.XLOOKUP($Q17,'VOC Savings'!$Q$8:$Q$43,'VOC Savings'!$AA$8:$AA$43,0,0,1)</f>
        <v>37896.155016447417</v>
      </c>
      <c r="U17" s="362">
        <v>2028</v>
      </c>
      <c r="V17" s="363">
        <v>18200</v>
      </c>
      <c r="W17" s="363">
        <v>49500</v>
      </c>
      <c r="X17" s="363">
        <v>879400</v>
      </c>
      <c r="Y17" s="363">
        <v>62</v>
      </c>
      <c r="AA17" s="37">
        <v>62</v>
      </c>
      <c r="AB17" s="37" t="s">
        <v>129</v>
      </c>
      <c r="AC17" s="37" t="s">
        <v>127</v>
      </c>
      <c r="AD17" s="348">
        <v>3.7426725771679936</v>
      </c>
      <c r="AE17" s="348">
        <v>5.1160211102583997E-3</v>
      </c>
      <c r="AF17" s="348">
        <v>5.9310023601485649E-2</v>
      </c>
      <c r="AG17" s="348">
        <v>1528.79872430418</v>
      </c>
    </row>
    <row r="18" spans="1:33" ht="17.25" customHeight="1" x14ac:dyDescent="0.25">
      <c r="B18" s="153">
        <f t="shared" si="9"/>
        <v>2038</v>
      </c>
      <c r="C18" s="355">
        <f>IF(B18&gt;=(Assumptions!$D$32+1),IF(B18&lt;=Assumptions!$D$10,IF(B18&gt;=Assumptions!$D$32,($R18*$Y$5+$S18*$Y$6)/(1*10^6)),0),0)</f>
        <v>124.60706411921551</v>
      </c>
      <c r="D18" s="356">
        <f t="shared" si="1"/>
        <v>9220.9227448219481</v>
      </c>
      <c r="E18" s="357">
        <f>D18*(1+0.03)^-($B18-Assumptions!$D$7)</f>
        <v>5578.8099064813869</v>
      </c>
      <c r="F18" s="358">
        <f>IF(B18&gt;=(Assumptions!$D$32+1),IF(B18&lt;=Assumptions!$D$10,IF(B18&gt;=Assumptions!$D$32,($R18*$V$5+$S18*$V$6)/(1*10^6)),0),0)</f>
        <v>0.13564823153127872</v>
      </c>
      <c r="G18" s="359">
        <f>IF(B18&gt;=(Assumptions!$D$32+1),IF(B18&lt;=Assumptions!$D$10,IF(B18&gt;=Assumptions!$D$32,($R18*$W$5+$S18*$W$6)/(1*10^6)),0),0)</f>
        <v>6.8733697060100656E-4</v>
      </c>
      <c r="H18" s="360">
        <f>IF(B18&gt;=(Assumptions!$D$32+1),IF(B18&lt;=Assumptions!$D$10,IF(B18&gt;=Assumptions!$D$32,($R18*$X$5+$S18*$X$6)/(1*10^6)),0),0)</f>
        <v>2.6585556249256268E-3</v>
      </c>
      <c r="I18" s="243">
        <f t="shared" si="2"/>
        <v>2563.7515759411681</v>
      </c>
      <c r="J18" s="301">
        <f t="shared" si="3"/>
        <v>6958.754277554599</v>
      </c>
      <c r="K18" s="244">
        <f t="shared" si="4"/>
        <v>623.82703451747352</v>
      </c>
      <c r="L18" s="303">
        <f t="shared" si="10"/>
        <v>10146.332888013241</v>
      </c>
      <c r="M18" s="361">
        <f>L18*(1+0.07)^-(B18-Assumptions!$D$7)</f>
        <v>3212.0691494687467</v>
      </c>
      <c r="N18" s="245">
        <f t="shared" si="6"/>
        <v>19367.255632835189</v>
      </c>
      <c r="O18" s="244">
        <f t="shared" si="7"/>
        <v>8790.879055950134</v>
      </c>
      <c r="Q18" s="74">
        <f t="shared" si="8"/>
        <v>2038</v>
      </c>
      <c r="R18" s="71">
        <f>_xlfn.XLOOKUP($Q18,'VOC Savings'!$Q$8:$Q$43,'VOC Savings'!$Z$8:$Z$43,0,0,1)</f>
        <v>243892.30628655478</v>
      </c>
      <c r="S18" s="72">
        <f>_xlfn.XLOOKUP($Q18,'VOC Savings'!$Q$8:$Q$43,'VOC Savings'!$AA$8:$AA$43,0,0,1)</f>
        <v>38134.495614035055</v>
      </c>
      <c r="U18" s="362">
        <v>2029</v>
      </c>
      <c r="V18" s="363">
        <v>18600</v>
      </c>
      <c r="W18" s="363">
        <v>50400</v>
      </c>
      <c r="X18" s="363">
        <v>893400</v>
      </c>
      <c r="Y18" s="363">
        <v>63</v>
      </c>
    </row>
    <row r="19" spans="1:33" ht="17.25" customHeight="1" x14ac:dyDescent="0.25">
      <c r="B19" s="153">
        <f t="shared" si="9"/>
        <v>2039</v>
      </c>
      <c r="C19" s="355">
        <f>IF(B19&gt;=(Assumptions!$D$32+1),IF(B19&lt;=Assumptions!$D$10,IF(B19&gt;=Assumptions!$D$32,($R19*$Y$5+$S19*$Y$6)/(1*10^6)),0),0)</f>
        <v>125.38585826995958</v>
      </c>
      <c r="D19" s="356">
        <f t="shared" si="1"/>
        <v>9403.9393702469697</v>
      </c>
      <c r="E19" s="357">
        <f>D19*(1+0.03)^-($B19-Assumptions!$D$7)</f>
        <v>5523.8232764335316</v>
      </c>
      <c r="F19" s="358">
        <f>IF(B19&gt;=(Assumptions!$D$32+1),IF(B19&lt;=Assumptions!$D$10,IF(B19&gt;=Assumptions!$D$32,($R19*$V$5+$S19*$V$6)/(1*10^6)),0),0)</f>
        <v>0.13649603297834839</v>
      </c>
      <c r="G19" s="359">
        <f>IF(B19&gt;=(Assumptions!$D$32+1),IF(B19&lt;=Assumptions!$D$10,IF(B19&gt;=Assumptions!$D$32,($R19*$W$5+$S19*$W$6)/(1*10^6)),0),0)</f>
        <v>6.9163282666725653E-4</v>
      </c>
      <c r="H19" s="360">
        <f>IF(B19&gt;=(Assumptions!$D$32+1),IF(B19&lt;=Assumptions!$D$10,IF(B19&gt;=Assumptions!$D$32,($R19*$X$5+$S19*$X$6)/(1*10^6)),0),0)</f>
        <v>2.6751715975813933E-3</v>
      </c>
      <c r="I19" s="243">
        <f t="shared" si="2"/>
        <v>2579.7750232907847</v>
      </c>
      <c r="J19" s="301">
        <f t="shared" si="3"/>
        <v>7002.2464917892721</v>
      </c>
      <c r="K19" s="244">
        <f t="shared" si="4"/>
        <v>627.72595348320203</v>
      </c>
      <c r="L19" s="303">
        <f t="shared" si="10"/>
        <v>10209.747468563261</v>
      </c>
      <c r="M19" s="361">
        <f>L19*(1+0.07)^-(B19-Assumptions!$D$7)</f>
        <v>3020.6958707036501</v>
      </c>
      <c r="N19" s="245">
        <f t="shared" si="6"/>
        <v>19613.68683881023</v>
      </c>
      <c r="O19" s="244">
        <f t="shared" si="7"/>
        <v>8544.5191471371818</v>
      </c>
      <c r="Q19" s="74">
        <f t="shared" si="8"/>
        <v>2039</v>
      </c>
      <c r="R19" s="71">
        <f>_xlfn.XLOOKUP($Q19,'VOC Savings'!$Q$8:$Q$43,'VOC Savings'!$Z$8:$Z$43,0,0,1)</f>
        <v>245416.63320084289</v>
      </c>
      <c r="S19" s="72">
        <f>_xlfn.XLOOKUP($Q19,'VOC Savings'!$Q$8:$Q$43,'VOC Savings'!$AA$8:$AA$43,0,0,1)</f>
        <v>38372.836211622693</v>
      </c>
      <c r="U19" s="362">
        <v>2030</v>
      </c>
      <c r="V19" s="363">
        <v>18900</v>
      </c>
      <c r="W19" s="363">
        <v>51300</v>
      </c>
      <c r="X19" s="363">
        <v>907600</v>
      </c>
      <c r="Y19" s="363">
        <v>65</v>
      </c>
      <c r="AA19" s="1" t="s">
        <v>149</v>
      </c>
    </row>
    <row r="20" spans="1:33" ht="17.25" customHeight="1" x14ac:dyDescent="0.25">
      <c r="B20" s="153">
        <f t="shared" si="9"/>
        <v>2040</v>
      </c>
      <c r="C20" s="355">
        <f>IF(B20&gt;=(Assumptions!$D$32+1),IF(B20&lt;=Assumptions!$D$10,IF(B20&gt;=Assumptions!$D$32,($R20*$Y$5+$S20*$Y$6)/(1*10^6)),0),0)</f>
        <v>126.16465242070544</v>
      </c>
      <c r="D20" s="356">
        <f t="shared" si="1"/>
        <v>9588.513583973614</v>
      </c>
      <c r="E20" s="357">
        <f>D20*(1+0.03)^-($B20-Assumptions!$D$7)</f>
        <v>5468.1953148364837</v>
      </c>
      <c r="F20" s="358">
        <f>IF(B20&gt;=(Assumptions!$D$32+1),IF(B20&lt;=Assumptions!$D$10,IF(B20&gt;=Assumptions!$D$32,($R20*$V$5+$S20*$V$6)/(1*10^6)),0),0)</f>
        <v>0.13734383442541989</v>
      </c>
      <c r="G20" s="359">
        <f>IF(B20&gt;=(Assumptions!$D$32+1),IF(B20&lt;=Assumptions!$D$10,IF(B20&gt;=Assumptions!$D$32,($R20*$W$5+$S20*$W$6)/(1*10^6)),0),0)</f>
        <v>6.9592868273351638E-4</v>
      </c>
      <c r="H20" s="360">
        <f>IF(B20&gt;=(Assumptions!$D$32+1),IF(B20&lt;=Assumptions!$D$10,IF(B20&gt;=Assumptions!$D$32,($R20*$X$5+$S20*$X$6)/(1*10^6)),0),0)</f>
        <v>2.6917875702371957E-3</v>
      </c>
      <c r="I20" s="243">
        <f t="shared" si="2"/>
        <v>2595.7984706404359</v>
      </c>
      <c r="J20" s="301">
        <f t="shared" si="3"/>
        <v>7045.7387060240408</v>
      </c>
      <c r="K20" s="244">
        <f t="shared" si="4"/>
        <v>631.62487244893941</v>
      </c>
      <c r="L20" s="303">
        <f t="shared" si="10"/>
        <v>10273.162049113416</v>
      </c>
      <c r="M20" s="361">
        <f>L20*(1+0.07)^-(B20-Assumptions!$D$7)</f>
        <v>2840.6149129505707</v>
      </c>
      <c r="N20" s="245">
        <f t="shared" si="6"/>
        <v>19861.67563308703</v>
      </c>
      <c r="O20" s="244">
        <f t="shared" si="7"/>
        <v>8308.8102277870548</v>
      </c>
      <c r="Q20" s="74">
        <f t="shared" si="8"/>
        <v>2040</v>
      </c>
      <c r="R20" s="71">
        <f>_xlfn.XLOOKUP($Q20,'VOC Savings'!$Q$8:$Q$43,'VOC Savings'!$Z$8:$Z$43,0,0,1)</f>
        <v>246940.96011513472</v>
      </c>
      <c r="S20" s="72">
        <f>_xlfn.XLOOKUP($Q20,'VOC Savings'!$Q$8:$Q$43,'VOC Savings'!$AA$8:$AA$43,0,0,1)</f>
        <v>38611.176809210796</v>
      </c>
      <c r="U20" s="362">
        <v>2031</v>
      </c>
      <c r="V20" s="363">
        <v>18900</v>
      </c>
      <c r="W20" s="363">
        <v>51300</v>
      </c>
      <c r="X20" s="363">
        <v>907600</v>
      </c>
      <c r="Y20" s="363">
        <v>66</v>
      </c>
      <c r="AA20" s="64" t="s">
        <v>111</v>
      </c>
      <c r="AB20" s="65" t="s">
        <v>119</v>
      </c>
      <c r="AC20" s="65" t="s">
        <v>120</v>
      </c>
      <c r="AD20" s="65" t="s">
        <v>121</v>
      </c>
      <c r="AE20" s="65" t="s">
        <v>122</v>
      </c>
    </row>
    <row r="21" spans="1:33" ht="17.25" customHeight="1" x14ac:dyDescent="0.25">
      <c r="B21" s="153">
        <f t="shared" si="9"/>
        <v>2041</v>
      </c>
      <c r="C21" s="355">
        <f>IF(B21&gt;=(Assumptions!$D$32+1),IF(B21&lt;=Assumptions!$D$10,IF(B21&gt;=Assumptions!$D$32,($R21*$Y$5+$S21*$Y$6)/(1*10^6)),0),0)</f>
        <v>126.94344657145071</v>
      </c>
      <c r="D21" s="356">
        <f t="shared" si="1"/>
        <v>9901.5888325731557</v>
      </c>
      <c r="E21" s="357">
        <f>D21*(1+0.03)^-($B21-Assumptions!$D$7)</f>
        <v>5482.269664517934</v>
      </c>
      <c r="F21" s="358">
        <f>IF(B21&gt;=(Assumptions!$D$32+1),IF(B21&lt;=Assumptions!$D$10,IF(B21&gt;=Assumptions!$D$32,($R21*$V$5+$S21*$V$6)/(1*10^6)),0),0)</f>
        <v>0.13819163587249042</v>
      </c>
      <c r="G21" s="359">
        <f>IF(B21&gt;=(Assumptions!$D$32+1),IF(B21&lt;=Assumptions!$D$10,IF(B21&gt;=Assumptions!$D$32,($R21*$W$5+$S21*$W$6)/(1*10^6)),0),0)</f>
        <v>7.0022453879977416E-4</v>
      </c>
      <c r="H21" s="360">
        <f>IF(B21&gt;=(Assumptions!$D$32+1),IF(B21&lt;=Assumptions!$D$10,IF(B21&gt;=Assumptions!$D$32,($R21*$X$5+$S21*$X$6)/(1*10^6)),0),0)</f>
        <v>2.708403542892983E-3</v>
      </c>
      <c r="I21" s="243">
        <f t="shared" si="2"/>
        <v>2611.8219179900689</v>
      </c>
      <c r="J21" s="301">
        <f t="shared" si="3"/>
        <v>7089.2309202587585</v>
      </c>
      <c r="K21" s="244">
        <f t="shared" si="4"/>
        <v>635.52379141467497</v>
      </c>
      <c r="L21" s="303">
        <f t="shared" si="10"/>
        <v>10336.576629663501</v>
      </c>
      <c r="M21" s="361">
        <f>L21*(1+0.07)^-(B21-Assumptions!$D$7)</f>
        <v>2671.167825146782</v>
      </c>
      <c r="N21" s="245">
        <f t="shared" si="6"/>
        <v>20238.165462236655</v>
      </c>
      <c r="O21" s="244">
        <f t="shared" si="7"/>
        <v>8153.4374896647159</v>
      </c>
      <c r="Q21" s="74">
        <f t="shared" si="8"/>
        <v>2041</v>
      </c>
      <c r="R21" s="71">
        <f>_xlfn.XLOOKUP($Q21,'VOC Savings'!$Q$8:$Q$43,'VOC Savings'!$Z$8:$Z$43,0,0,1)</f>
        <v>248465.28702942654</v>
      </c>
      <c r="S21" s="72">
        <f>_xlfn.XLOOKUP($Q21,'VOC Savings'!$Q$8:$Q$43,'VOC Savings'!$AA$8:$AA$43,0,0,1)</f>
        <v>38849.517406798434</v>
      </c>
      <c r="U21" s="362">
        <v>2032</v>
      </c>
      <c r="V21" s="363">
        <v>18900</v>
      </c>
      <c r="W21" s="363">
        <v>51300</v>
      </c>
      <c r="X21" s="363">
        <v>907600</v>
      </c>
      <c r="Y21" s="363">
        <v>67</v>
      </c>
      <c r="AA21" s="25" t="s">
        <v>123</v>
      </c>
      <c r="AB21" s="348">
        <f>AVERAGE(AD5:AD8)</f>
        <v>0.22790983982547491</v>
      </c>
      <c r="AC21" s="348">
        <f>AVERAGE(AE5:AE8)</f>
        <v>2.0699004398994176E-3</v>
      </c>
      <c r="AD21" s="348">
        <f>AVERAGE(AF5:AF8)</f>
        <v>5.8180715878192544E-3</v>
      </c>
      <c r="AE21" s="348">
        <f>AVERAGE(AG5:AG8)</f>
        <v>317.22468262036</v>
      </c>
    </row>
    <row r="22" spans="1:33" ht="17.25" customHeight="1" x14ac:dyDescent="0.25">
      <c r="B22" s="153">
        <f t="shared" si="9"/>
        <v>2042</v>
      </c>
      <c r="C22" s="355">
        <f>IF(B22&gt;=(Assumptions!$D$32+1),IF(B22&lt;=Assumptions!$D$10,IF(B22&gt;=Assumptions!$D$32,($R22*$Y$5+$S22*$Y$6)/(1*10^6)),0),0)</f>
        <v>127.72224072219598</v>
      </c>
      <c r="D22" s="356">
        <f t="shared" si="1"/>
        <v>10090.057017053483</v>
      </c>
      <c r="E22" s="357">
        <f>D22*(1+0.03)^-($B22-Assumptions!$D$7)</f>
        <v>5423.9028433982612</v>
      </c>
      <c r="F22" s="358">
        <f>IF(B22&gt;=(Assumptions!$D$32+1),IF(B22&lt;=Assumptions!$D$10,IF(B22&gt;=Assumptions!$D$32,($R22*$V$5+$S22*$V$6)/(1*10^6)),0),0)</f>
        <v>0.13903943731956092</v>
      </c>
      <c r="G22" s="359">
        <f>IF(B22&gt;=(Assumptions!$D$32+1),IF(B22&lt;=Assumptions!$D$10,IF(B22&gt;=Assumptions!$D$32,($R22*$W$5+$S22*$W$6)/(1*10^6)),0),0)</f>
        <v>7.0452039486603173E-4</v>
      </c>
      <c r="H22" s="360">
        <f>IF(B22&gt;=(Assumptions!$D$32+1),IF(B22&lt;=Assumptions!$D$10,IF(B22&gt;=Assumptions!$D$32,($R22*$X$5+$S22*$X$6)/(1*10^6)),0),0)</f>
        <v>2.7250195155487707E-3</v>
      </c>
      <c r="I22" s="243">
        <f t="shared" si="2"/>
        <v>2627.8453653397014</v>
      </c>
      <c r="J22" s="301">
        <f t="shared" si="3"/>
        <v>7132.7231344934753</v>
      </c>
      <c r="K22" s="244">
        <f t="shared" si="4"/>
        <v>639.42271038041042</v>
      </c>
      <c r="L22" s="303">
        <f t="shared" si="10"/>
        <v>10399.991210213586</v>
      </c>
      <c r="M22" s="361">
        <f>L22*(1+0.07)^-(B22-Assumptions!$D$7)</f>
        <v>2511.7339792676585</v>
      </c>
      <c r="N22" s="245">
        <f t="shared" si="6"/>
        <v>20490.048227267071</v>
      </c>
      <c r="O22" s="244">
        <f t="shared" si="7"/>
        <v>7935.6368226659197</v>
      </c>
      <c r="Q22" s="74">
        <f t="shared" si="8"/>
        <v>2042</v>
      </c>
      <c r="R22" s="71">
        <f>_xlfn.XLOOKUP($Q22,'VOC Savings'!$Q$8:$Q$43,'VOC Savings'!$Z$8:$Z$43,0,0,1)</f>
        <v>249989.61394371837</v>
      </c>
      <c r="S22" s="72">
        <f>_xlfn.XLOOKUP($Q22,'VOC Savings'!$Q$8:$Q$43,'VOC Savings'!$AA$8:$AA$43,0,0,1)</f>
        <v>39087.858004386071</v>
      </c>
      <c r="U22" s="362">
        <v>2033</v>
      </c>
      <c r="V22" s="363">
        <v>18900</v>
      </c>
      <c r="W22" s="363">
        <v>51300</v>
      </c>
      <c r="X22" s="363">
        <v>907600</v>
      </c>
      <c r="Y22" s="363">
        <v>68</v>
      </c>
      <c r="AA22" s="25" t="s">
        <v>87</v>
      </c>
      <c r="AB22" s="348">
        <f>AVERAGE(AD9:AD17)</f>
        <v>2.099484306313415</v>
      </c>
      <c r="AC22" s="348">
        <f>AVERAGE(AE9:AE17)</f>
        <v>4.7858028693373951E-3</v>
      </c>
      <c r="AD22" s="348">
        <f>AVERAGE(AF9:AF17)</f>
        <v>3.2505287070740692E-2</v>
      </c>
      <c r="AE22" s="348">
        <f>AVERAGE(AG9:AG17)</f>
        <v>1238.7315972924489</v>
      </c>
    </row>
    <row r="23" spans="1:33" ht="17.25" customHeight="1" x14ac:dyDescent="0.25">
      <c r="B23" s="153">
        <f t="shared" si="9"/>
        <v>2043</v>
      </c>
      <c r="C23" s="355">
        <f>IF(B23&gt;=(Assumptions!$D$32+1),IF(B23&lt;=Assumptions!$D$10,IF(B23&gt;=Assumptions!$D$32,($R23*$Y$5+$S23*$Y$6)/(1*10^6)),0),0)</f>
        <v>128.50103487294064</v>
      </c>
      <c r="D23" s="356">
        <f t="shared" si="1"/>
        <v>10280.082789835251</v>
      </c>
      <c r="E23" s="357">
        <f>D23*(1+0.03)^-($B23-Assumptions!$D$7)</f>
        <v>5365.0981164671457</v>
      </c>
      <c r="F23" s="358">
        <f>IF(B23&gt;=(Assumptions!$D$32+1),IF(B23&lt;=Assumptions!$D$10,IF(B23&gt;=Assumptions!$D$32,($R23*$V$5+$S23*$V$6)/(1*10^6)),0),0)</f>
        <v>0.13988723876663159</v>
      </c>
      <c r="G23" s="359">
        <f>IF(B23&gt;=(Assumptions!$D$32+1),IF(B23&lt;=Assumptions!$D$10,IF(B23&gt;=Assumptions!$D$32,($R23*$W$5+$S23*$W$6)/(1*10^6)),0),0)</f>
        <v>7.0881625093228398E-4</v>
      </c>
      <c r="H23" s="360">
        <f>IF(B23&gt;=(Assumptions!$D$32+1),IF(B23&lt;=Assumptions!$D$10,IF(B23&gt;=Assumptions!$D$32,($R23*$X$5+$S23*$X$6)/(1*10^6)),0),0)</f>
        <v>2.7416354882045515E-3</v>
      </c>
      <c r="I23" s="243">
        <f t="shared" si="2"/>
        <v>2643.8688126893371</v>
      </c>
      <c r="J23" s="301">
        <f t="shared" si="3"/>
        <v>7176.2153487282003</v>
      </c>
      <c r="K23" s="244">
        <f t="shared" si="4"/>
        <v>643.32162934614098</v>
      </c>
      <c r="L23" s="303">
        <f t="shared" si="10"/>
        <v>10463.405790763678</v>
      </c>
      <c r="M23" s="361">
        <f>L23*(1+0.07)^-(B23-Assumptions!$D$7)</f>
        <v>2361.7284395894917</v>
      </c>
      <c r="N23" s="245">
        <f t="shared" si="6"/>
        <v>20743.488580598929</v>
      </c>
      <c r="O23" s="244">
        <f t="shared" si="7"/>
        <v>7726.8265560566379</v>
      </c>
      <c r="Q23" s="74">
        <f t="shared" si="8"/>
        <v>2043</v>
      </c>
      <c r="R23" s="71">
        <f>_xlfn.XLOOKUP($Q23,'VOC Savings'!$Q$8:$Q$43,'VOC Savings'!$Z$8:$Z$43,0,0,1)</f>
        <v>251513.94085800648</v>
      </c>
      <c r="S23" s="72">
        <f>_xlfn.XLOOKUP($Q23,'VOC Savings'!$Q$8:$Q$43,'VOC Savings'!$AA$8:$AA$43,0,0,1)</f>
        <v>39326.198601974174</v>
      </c>
      <c r="U23" s="362">
        <v>2034</v>
      </c>
      <c r="V23" s="363">
        <v>18900</v>
      </c>
      <c r="W23" s="363">
        <v>51300</v>
      </c>
      <c r="X23" s="363">
        <v>907600</v>
      </c>
      <c r="Y23" s="363">
        <v>69</v>
      </c>
    </row>
    <row r="24" spans="1:33" ht="17.25" customHeight="1" x14ac:dyDescent="0.25">
      <c r="B24" s="153">
        <f t="shared" si="9"/>
        <v>2044</v>
      </c>
      <c r="C24" s="355">
        <f>IF(B24&gt;=(Assumptions!$D$32+1),IF(B24&lt;=Assumptions!$D$10,IF(B24&gt;=Assumptions!$D$32,($R24*$Y$5+$S24*$Y$6)/(1*10^6)),0),0)</f>
        <v>129.27982902368532</v>
      </c>
      <c r="D24" s="356">
        <f t="shared" si="1"/>
        <v>10471.666150918511</v>
      </c>
      <c r="E24" s="357">
        <f>D24*(1+0.03)^-($B24-Assumptions!$D$7)</f>
        <v>5305.9068309809509</v>
      </c>
      <c r="F24" s="358">
        <f>IF(B24&gt;=(Assumptions!$D$32+1),IF(B24&lt;=Assumptions!$D$10,IF(B24&gt;=Assumptions!$D$32,($R24*$V$5+$S24*$V$6)/(1*10^6)),0),0)</f>
        <v>0.14073504021370112</v>
      </c>
      <c r="G24" s="359">
        <f>IF(B24&gt;=(Assumptions!$D$32+1),IF(B24&lt;=Assumptions!$D$10,IF(B24&gt;=Assumptions!$D$32,($R24*$W$5+$S24*$W$6)/(1*10^6)),0),0)</f>
        <v>7.1311210699853949E-4</v>
      </c>
      <c r="H24" s="360">
        <f>IF(B24&gt;=(Assumptions!$D$32+1),IF(B24&lt;=Assumptions!$D$10,IF(B24&gt;=Assumptions!$D$32,($R24*$X$5+$S24*$X$6)/(1*10^6)),0),0)</f>
        <v>2.7582514608603241E-3</v>
      </c>
      <c r="I24" s="243">
        <f t="shared" si="2"/>
        <v>2659.892260038951</v>
      </c>
      <c r="J24" s="301">
        <f t="shared" si="3"/>
        <v>7219.7075629628671</v>
      </c>
      <c r="K24" s="244">
        <f t="shared" si="4"/>
        <v>647.2205483118745</v>
      </c>
      <c r="L24" s="303">
        <f t="shared" si="10"/>
        <v>10526.820371313692</v>
      </c>
      <c r="M24" s="361">
        <f>L24*(1+0.07)^-(B24-Assumptions!$D$7)</f>
        <v>2220.5999488635116</v>
      </c>
      <c r="N24" s="245">
        <f t="shared" si="6"/>
        <v>20998.486522232204</v>
      </c>
      <c r="O24" s="244">
        <f t="shared" si="7"/>
        <v>7526.5067798444625</v>
      </c>
      <c r="Q24" s="74">
        <f t="shared" si="8"/>
        <v>2044</v>
      </c>
      <c r="R24" s="71">
        <f>_xlfn.XLOOKUP($Q24,'VOC Savings'!$Q$8:$Q$43,'VOC Savings'!$Z$8:$Z$43,0,0,1)</f>
        <v>253038.26777229831</v>
      </c>
      <c r="S24" s="72">
        <f>_xlfn.XLOOKUP($Q24,'VOC Savings'!$Q$8:$Q$43,'VOC Savings'!$AA$8:$AA$43,0,0,1)</f>
        <v>39564.539199561346</v>
      </c>
      <c r="U24" s="362">
        <v>2035</v>
      </c>
      <c r="V24" s="363">
        <v>18900</v>
      </c>
      <c r="W24" s="363">
        <v>51300</v>
      </c>
      <c r="X24" s="363">
        <v>907600</v>
      </c>
      <c r="Y24" s="363">
        <v>70</v>
      </c>
    </row>
    <row r="25" spans="1:33" ht="17.25" customHeight="1" x14ac:dyDescent="0.25">
      <c r="B25" s="153">
        <f t="shared" si="9"/>
        <v>2045</v>
      </c>
      <c r="C25" s="355">
        <f>IF(B25&gt;=(Assumptions!$D$32+1),IF(B25&lt;=Assumptions!$D$10,IF(B25&gt;=Assumptions!$D$32,($R25*$Y$5+$S25*$Y$6)/(1*10^6)),0),0)</f>
        <v>130.05862317443061</v>
      </c>
      <c r="D25" s="356">
        <f t="shared" si="1"/>
        <v>10664.807100303309</v>
      </c>
      <c r="E25" s="357">
        <f>D25*(1+0.03)^-($B25-Assumptions!$D$7)</f>
        <v>5246.3784041923363</v>
      </c>
      <c r="F25" s="358">
        <f>IF(B25&gt;=(Assumptions!$D$32+1),IF(B25&lt;=Assumptions!$D$10,IF(B25&gt;=Assumptions!$D$32,($R25*$V$5+$S25*$V$6)/(1*10^6)),0),0)</f>
        <v>0.14158284166077165</v>
      </c>
      <c r="G25" s="359">
        <f>IF(B25&gt;=(Assumptions!$D$32+1),IF(B25&lt;=Assumptions!$D$10,IF(B25&gt;=Assumptions!$D$32,($R25*$W$5+$S25*$W$6)/(1*10^6)),0),0)</f>
        <v>7.1740796306479706E-4</v>
      </c>
      <c r="H25" s="360">
        <f>IF(B25&gt;=(Assumptions!$D$32+1),IF(B25&lt;=Assumptions!$D$10,IF(B25&gt;=Assumptions!$D$32,($R25*$X$5+$S25*$X$6)/(1*10^6)),0),0)</f>
        <v>2.7748674335161113E-3</v>
      </c>
      <c r="I25" s="243">
        <f t="shared" si="2"/>
        <v>2675.915707388584</v>
      </c>
      <c r="J25" s="301">
        <f t="shared" si="3"/>
        <v>7263.1997771975857</v>
      </c>
      <c r="K25" s="244">
        <f t="shared" si="4"/>
        <v>651.11946727760983</v>
      </c>
      <c r="L25" s="303">
        <f t="shared" si="10"/>
        <v>10590.234951863778</v>
      </c>
      <c r="M25" s="361">
        <f>L25*(1+0.07)^-(B25-Assumptions!$D$7)</f>
        <v>2087.8290252235483</v>
      </c>
      <c r="N25" s="245">
        <f t="shared" si="6"/>
        <v>21255.042052167089</v>
      </c>
      <c r="O25" s="244">
        <f t="shared" si="7"/>
        <v>7334.2074294158847</v>
      </c>
      <c r="Q25" s="74">
        <f t="shared" si="8"/>
        <v>2045</v>
      </c>
      <c r="R25" s="71">
        <f>_xlfn.XLOOKUP($Q25,'VOC Savings'!$Q$8:$Q$43,'VOC Savings'!$Z$8:$Z$43,0,0,1)</f>
        <v>254562.59468659014</v>
      </c>
      <c r="S25" s="72">
        <f>_xlfn.XLOOKUP($Q25,'VOC Savings'!$Q$8:$Q$43,'VOC Savings'!$AA$8:$AA$43,0,0,1)</f>
        <v>39802.879797148984</v>
      </c>
      <c r="U25" s="362">
        <v>2036</v>
      </c>
      <c r="V25" s="363">
        <v>18900</v>
      </c>
      <c r="W25" s="363">
        <v>51300</v>
      </c>
      <c r="X25" s="363">
        <v>907600</v>
      </c>
      <c r="Y25" s="363">
        <v>72</v>
      </c>
    </row>
    <row r="26" spans="1:33" ht="17.25" customHeight="1" x14ac:dyDescent="0.25">
      <c r="B26" s="153">
        <f t="shared" si="9"/>
        <v>2046</v>
      </c>
      <c r="C26" s="355">
        <f>IF(B26&gt;=(Assumptions!$D$32+1),IF(B26&lt;=Assumptions!$D$10,IF(B26&gt;=Assumptions!$D$32,($R26*$Y$5+$S26*$Y$6)/(1*10^6)),0),0)</f>
        <v>0</v>
      </c>
      <c r="D26" s="356">
        <f t="shared" si="1"/>
        <v>0</v>
      </c>
      <c r="E26" s="357">
        <f>D26*(1+0.03)^-($B26-Assumptions!$D$7)</f>
        <v>0</v>
      </c>
      <c r="F26" s="358">
        <f>IF(B26&gt;=(Assumptions!$D$32+1),IF(B26&lt;=Assumptions!$D$10,IF(B26&gt;=Assumptions!$D$32,($R26*$V$5+$S26*$V$6)/(1*10^6)),0),0)</f>
        <v>0</v>
      </c>
      <c r="G26" s="359">
        <f>IF(B26&gt;=(Assumptions!$D$32+1),IF(B26&lt;=Assumptions!$D$10,IF(B26&gt;=Assumptions!$D$32,($R26*$W$5+$S26*$W$6)/(1*10^6)),0),0)</f>
        <v>0</v>
      </c>
      <c r="H26" s="360">
        <f>IF(B26&gt;=(Assumptions!$D$32+1),IF(B26&lt;=Assumptions!$D$10,IF(B26&gt;=Assumptions!$D$32,($R26*$X$5+$S26*$X$6)/(1*10^6)),0),0)</f>
        <v>0</v>
      </c>
      <c r="I26" s="243">
        <f t="shared" si="2"/>
        <v>0</v>
      </c>
      <c r="J26" s="301">
        <f t="shared" si="3"/>
        <v>0</v>
      </c>
      <c r="K26" s="244">
        <f t="shared" si="4"/>
        <v>0</v>
      </c>
      <c r="L26" s="303">
        <f t="shared" si="10"/>
        <v>0</v>
      </c>
      <c r="M26" s="361">
        <f>L26*(1+0.07)^-(B26-Assumptions!$D$7)</f>
        <v>0</v>
      </c>
      <c r="N26" s="245">
        <f t="shared" si="6"/>
        <v>0</v>
      </c>
      <c r="O26" s="244">
        <f t="shared" si="7"/>
        <v>0</v>
      </c>
      <c r="Q26" s="74">
        <f t="shared" si="8"/>
        <v>2046</v>
      </c>
      <c r="R26" s="71">
        <f>_xlfn.XLOOKUP($Q26,'VOC Savings'!$Q$8:$Q$43,'VOC Savings'!$Z$8:$Z$43,0,0,1)</f>
        <v>0</v>
      </c>
      <c r="S26" s="72">
        <f>_xlfn.XLOOKUP($Q26,'VOC Savings'!$Q$8:$Q$43,'VOC Savings'!$AA$8:$AA$43,0,0,1)</f>
        <v>0</v>
      </c>
      <c r="U26" s="362">
        <v>2037</v>
      </c>
      <c r="V26" s="363">
        <v>18900</v>
      </c>
      <c r="W26" s="363">
        <v>51300</v>
      </c>
      <c r="X26" s="363">
        <v>907600</v>
      </c>
      <c r="Y26" s="363">
        <v>73</v>
      </c>
    </row>
    <row r="27" spans="1:33" ht="17.25" customHeight="1" x14ac:dyDescent="0.25">
      <c r="A27" s="2"/>
      <c r="B27" s="153">
        <f t="shared" si="9"/>
        <v>2047</v>
      </c>
      <c r="C27" s="355">
        <f>IF(B27&gt;=(Assumptions!$D$32+1),IF(B27&lt;=Assumptions!$D$10,IF(B27&gt;=Assumptions!$D$32,($R27*$Y$5+$S27*$Y$6)/(1*10^6)),0),0)</f>
        <v>0</v>
      </c>
      <c r="D27" s="356">
        <f t="shared" si="1"/>
        <v>0</v>
      </c>
      <c r="E27" s="357">
        <f>D27*(1+0.03)^-($B27-Assumptions!$D$7)</f>
        <v>0</v>
      </c>
      <c r="F27" s="358">
        <f>IF(B27&gt;=(Assumptions!$D$32+1),IF(B27&lt;=Assumptions!$D$10,IF(B27&gt;=Assumptions!$D$32,($R27*$V$5+$S27*$V$6)/(1*10^6)),0),0)</f>
        <v>0</v>
      </c>
      <c r="G27" s="359">
        <f>IF(B27&gt;=(Assumptions!$D$32+1),IF(B27&lt;=Assumptions!$D$10,IF(B27&gt;=Assumptions!$D$32,($R27*$W$5+$S27*$W$6)/(1*10^6)),0),0)</f>
        <v>0</v>
      </c>
      <c r="H27" s="360">
        <f>IF(B27&gt;=(Assumptions!$D$32+1),IF(B27&lt;=Assumptions!$D$10,IF(B27&gt;=Assumptions!$D$32,($R27*$X$5+$S27*$X$6)/(1*10^6)),0),0)</f>
        <v>0</v>
      </c>
      <c r="I27" s="243">
        <f t="shared" si="2"/>
        <v>0</v>
      </c>
      <c r="J27" s="301">
        <f t="shared" si="3"/>
        <v>0</v>
      </c>
      <c r="K27" s="244">
        <f t="shared" si="4"/>
        <v>0</v>
      </c>
      <c r="L27" s="303">
        <f t="shared" si="10"/>
        <v>0</v>
      </c>
      <c r="M27" s="361">
        <f>L27*(1+0.07)^-(B27-Assumptions!$D$7)</f>
        <v>0</v>
      </c>
      <c r="N27" s="245">
        <f t="shared" si="6"/>
        <v>0</v>
      </c>
      <c r="O27" s="244">
        <f t="shared" si="7"/>
        <v>0</v>
      </c>
      <c r="Q27" s="74">
        <f t="shared" si="8"/>
        <v>2047</v>
      </c>
      <c r="R27" s="71">
        <f>_xlfn.XLOOKUP($Q27,'VOC Savings'!$Q$8:$Q$43,'VOC Savings'!$Z$8:$Z$43,0,0,1)</f>
        <v>0</v>
      </c>
      <c r="S27" s="72">
        <f>_xlfn.XLOOKUP($Q27,'VOC Savings'!$Q$8:$Q$43,'VOC Savings'!$AA$8:$AA$43,0,0,1)</f>
        <v>0</v>
      </c>
      <c r="U27" s="362">
        <v>2038</v>
      </c>
      <c r="V27" s="363">
        <v>18900</v>
      </c>
      <c r="W27" s="363">
        <v>51300</v>
      </c>
      <c r="X27" s="363">
        <v>907600</v>
      </c>
      <c r="Y27" s="363">
        <v>74</v>
      </c>
    </row>
    <row r="28" spans="1:33" ht="17.25" customHeight="1" x14ac:dyDescent="0.25">
      <c r="A28" s="2"/>
      <c r="B28" s="153">
        <f t="shared" si="9"/>
        <v>2048</v>
      </c>
      <c r="C28" s="355">
        <f>IF(B28&gt;=(Assumptions!$D$32+1),IF(B28&lt;=Assumptions!$D$10,IF(B28&gt;=Assumptions!$D$32,($R28*$Y$5+$S28*$Y$6)/(1*10^6)),0),0)</f>
        <v>0</v>
      </c>
      <c r="D28" s="356">
        <f t="shared" si="1"/>
        <v>0</v>
      </c>
      <c r="E28" s="357">
        <f>D28*(1+0.03)^-($B28-Assumptions!$D$7)</f>
        <v>0</v>
      </c>
      <c r="F28" s="358">
        <f>IF(B28&gt;=(Assumptions!$D$32+1),IF(B28&lt;=Assumptions!$D$10,IF(B28&gt;=Assumptions!$D$32,($R28*$V$5+$S28*$V$6)/(1*10^6)),0),0)</f>
        <v>0</v>
      </c>
      <c r="G28" s="359">
        <f>IF(B28&gt;=(Assumptions!$D$32+1),IF(B28&lt;=Assumptions!$D$10,IF(B28&gt;=Assumptions!$D$32,($R28*$W$5+$S28*$W$6)/(1*10^6)),0),0)</f>
        <v>0</v>
      </c>
      <c r="H28" s="360">
        <f>IF(B28&gt;=(Assumptions!$D$32+1),IF(B28&lt;=Assumptions!$D$10,IF(B28&gt;=Assumptions!$D$32,($R28*$X$5+$S28*$X$6)/(1*10^6)),0),0)</f>
        <v>0</v>
      </c>
      <c r="I28" s="243">
        <f t="shared" si="2"/>
        <v>0</v>
      </c>
      <c r="J28" s="301">
        <f t="shared" si="3"/>
        <v>0</v>
      </c>
      <c r="K28" s="244">
        <f t="shared" si="4"/>
        <v>0</v>
      </c>
      <c r="L28" s="303">
        <f t="shared" si="10"/>
        <v>0</v>
      </c>
      <c r="M28" s="361">
        <f>L28*(1+0.07)^-(B28-Assumptions!$D$7)</f>
        <v>0</v>
      </c>
      <c r="N28" s="245">
        <f t="shared" si="6"/>
        <v>0</v>
      </c>
      <c r="O28" s="244">
        <f t="shared" si="7"/>
        <v>0</v>
      </c>
      <c r="Q28" s="74">
        <f t="shared" si="8"/>
        <v>2048</v>
      </c>
      <c r="R28" s="71">
        <f>_xlfn.XLOOKUP($Q28,'VOC Savings'!$Q$8:$Q$43,'VOC Savings'!$Z$8:$Z$43,0,0,1)</f>
        <v>0</v>
      </c>
      <c r="S28" s="72">
        <f>_xlfn.XLOOKUP($Q28,'VOC Savings'!$Q$8:$Q$43,'VOC Savings'!$AA$8:$AA$43,0,0,1)</f>
        <v>0</v>
      </c>
      <c r="U28" s="362">
        <v>2039</v>
      </c>
      <c r="V28" s="363">
        <v>18900</v>
      </c>
      <c r="W28" s="363">
        <v>51300</v>
      </c>
      <c r="X28" s="363">
        <v>907600</v>
      </c>
      <c r="Y28" s="363">
        <v>75</v>
      </c>
    </row>
    <row r="29" spans="1:33" ht="17.25" customHeight="1" x14ac:dyDescent="0.25">
      <c r="B29" s="153">
        <f t="shared" si="9"/>
        <v>2049</v>
      </c>
      <c r="C29" s="355">
        <f>IF(B29&gt;=(Assumptions!$D$32+1),IF(B29&lt;=Assumptions!$D$10,IF(B29&gt;=Assumptions!$D$32,($R29*$Y$5+$S29*$Y$6)/(1*10^6)),0),0)</f>
        <v>0</v>
      </c>
      <c r="D29" s="356">
        <f t="shared" si="1"/>
        <v>0</v>
      </c>
      <c r="E29" s="357">
        <f>D29*(1+0.03)^-($B29-Assumptions!$D$7)</f>
        <v>0</v>
      </c>
      <c r="F29" s="358">
        <f>IF(B29&gt;=(Assumptions!$D$32+1),IF(B29&lt;=Assumptions!$D$10,IF(B29&gt;=Assumptions!$D$32,($R29*$V$5+$S29*$V$6)/(1*10^6)),0),0)</f>
        <v>0</v>
      </c>
      <c r="G29" s="359">
        <f>IF(B29&gt;=(Assumptions!$D$32+1),IF(B29&lt;=Assumptions!$D$10,IF(B29&gt;=Assumptions!$D$32,($R29*$W$5+$S29*$W$6)/(1*10^6)),0),0)</f>
        <v>0</v>
      </c>
      <c r="H29" s="360">
        <f>IF(B29&gt;=(Assumptions!$D$32+1),IF(B29&lt;=Assumptions!$D$10,IF(B29&gt;=Assumptions!$D$32,($R29*$X$5+$S29*$X$6)/(1*10^6)),0),0)</f>
        <v>0</v>
      </c>
      <c r="I29" s="243">
        <f t="shared" si="2"/>
        <v>0</v>
      </c>
      <c r="J29" s="301">
        <f t="shared" si="3"/>
        <v>0</v>
      </c>
      <c r="K29" s="244">
        <f t="shared" si="4"/>
        <v>0</v>
      </c>
      <c r="L29" s="303">
        <f t="shared" si="10"/>
        <v>0</v>
      </c>
      <c r="M29" s="361">
        <f>L29*(1+0.07)^-(B29-Assumptions!$D$7)</f>
        <v>0</v>
      </c>
      <c r="N29" s="245">
        <f t="shared" si="6"/>
        <v>0</v>
      </c>
      <c r="O29" s="244">
        <f t="shared" si="7"/>
        <v>0</v>
      </c>
      <c r="Q29" s="74">
        <f t="shared" si="8"/>
        <v>2049</v>
      </c>
      <c r="R29" s="71">
        <f>_xlfn.XLOOKUP($Q29,'VOC Savings'!$Q$8:$Q$43,'VOC Savings'!$Z$8:$Z$43,0,0,1)</f>
        <v>0</v>
      </c>
      <c r="S29" s="72">
        <f>_xlfn.XLOOKUP($Q29,'VOC Savings'!$Q$8:$Q$43,'VOC Savings'!$AA$8:$AA$43,0,0,1)</f>
        <v>0</v>
      </c>
      <c r="U29" s="362">
        <v>2040</v>
      </c>
      <c r="V29" s="363">
        <v>18900</v>
      </c>
      <c r="W29" s="363">
        <v>51300</v>
      </c>
      <c r="X29" s="363">
        <v>907600</v>
      </c>
      <c r="Y29" s="363">
        <v>76</v>
      </c>
    </row>
    <row r="30" spans="1:33" ht="17.25" customHeight="1" x14ac:dyDescent="0.25">
      <c r="A30" s="2"/>
      <c r="B30" s="153">
        <f t="shared" si="9"/>
        <v>2050</v>
      </c>
      <c r="C30" s="355">
        <f>IF(B30&gt;=(Assumptions!$D$32+1),IF(B30&lt;=Assumptions!$D$10,IF(B30&gt;=Assumptions!$D$32,($R30*$Y$5+$S30*$Y$6)/(1*10^6)),0),0)</f>
        <v>0</v>
      </c>
      <c r="D30" s="356">
        <f t="shared" si="1"/>
        <v>0</v>
      </c>
      <c r="E30" s="357">
        <f>D30*(1+0.03)^-($B30-Assumptions!$D$7)</f>
        <v>0</v>
      </c>
      <c r="F30" s="358">
        <f>IF(B30&gt;=(Assumptions!$D$32+1),IF(B30&lt;=Assumptions!$D$10,IF(B30&gt;=Assumptions!$D$32,($R30*$V$5+$S30*$V$6)/(1*10^6)),0),0)</f>
        <v>0</v>
      </c>
      <c r="G30" s="359">
        <f>IF(B30&gt;=(Assumptions!$D$32+1),IF(B30&lt;=Assumptions!$D$10,IF(B30&gt;=Assumptions!$D$32,($R30*$W$5+$S30*$W$6)/(1*10^6)),0),0)</f>
        <v>0</v>
      </c>
      <c r="H30" s="360">
        <f>IF(B30&gt;=(Assumptions!$D$32+1),IF(B30&lt;=Assumptions!$D$10,IF(B30&gt;=Assumptions!$D$32,($R30*$X$5+$S30*$X$6)/(1*10^6)),0),0)</f>
        <v>0</v>
      </c>
      <c r="I30" s="243">
        <f t="shared" si="2"/>
        <v>0</v>
      </c>
      <c r="J30" s="301">
        <f t="shared" si="3"/>
        <v>0</v>
      </c>
      <c r="K30" s="244">
        <f t="shared" si="4"/>
        <v>0</v>
      </c>
      <c r="L30" s="303">
        <f t="shared" si="10"/>
        <v>0</v>
      </c>
      <c r="M30" s="361">
        <f>L30*(1+0.07)^-(B30-Assumptions!$D$7)</f>
        <v>0</v>
      </c>
      <c r="N30" s="245">
        <f t="shared" si="6"/>
        <v>0</v>
      </c>
      <c r="O30" s="244">
        <f t="shared" si="7"/>
        <v>0</v>
      </c>
      <c r="Q30" s="74">
        <f t="shared" si="8"/>
        <v>2050</v>
      </c>
      <c r="R30" s="71">
        <f>_xlfn.XLOOKUP($Q30,'VOC Savings'!$Q$8:$Q$43,'VOC Savings'!$Z$8:$Z$43,0,0,1)</f>
        <v>0</v>
      </c>
      <c r="S30" s="72">
        <f>_xlfn.XLOOKUP($Q30,'VOC Savings'!$Q$8:$Q$43,'VOC Savings'!$AA$8:$AA$43,0,0,1)</f>
        <v>0</v>
      </c>
      <c r="U30" s="362">
        <v>2041</v>
      </c>
      <c r="V30" s="363">
        <v>18900</v>
      </c>
      <c r="W30" s="363">
        <v>51300</v>
      </c>
      <c r="X30" s="363">
        <v>907600</v>
      </c>
      <c r="Y30" s="363">
        <v>78</v>
      </c>
    </row>
    <row r="31" spans="1:33" ht="17.25" customHeight="1" x14ac:dyDescent="0.25">
      <c r="A31" s="2"/>
      <c r="B31" s="153">
        <f t="shared" si="9"/>
        <v>2051</v>
      </c>
      <c r="C31" s="355">
        <f>IF(B31&gt;=(Assumptions!$D$32+1),IF(B31&lt;=Assumptions!$D$10,IF(B31&gt;=Assumptions!$D$32,($R31*$Y$5+$S31*$Y$6)/(1*10^6)),0),0)</f>
        <v>0</v>
      </c>
      <c r="D31" s="356">
        <f t="shared" si="1"/>
        <v>0</v>
      </c>
      <c r="E31" s="357">
        <f>D31*(1+0.03)^-($B31-Assumptions!$D$7)</f>
        <v>0</v>
      </c>
      <c r="F31" s="358">
        <f>IF(B31&gt;=(Assumptions!$D$32+1),IF(B31&lt;=Assumptions!$D$10,IF(B31&gt;=Assumptions!$D$32,($R31*$V$5+$S31*$V$6)/(1*10^6)),0),0)</f>
        <v>0</v>
      </c>
      <c r="G31" s="359">
        <f>IF(B31&gt;=(Assumptions!$D$32+1),IF(B31&lt;=Assumptions!$D$10,IF(B31&gt;=Assumptions!$D$32,($R31*$W$5+$S31*$W$6)/(1*10^6)),0),0)</f>
        <v>0</v>
      </c>
      <c r="H31" s="360">
        <f>IF(B31&gt;=(Assumptions!$D$32+1),IF(B31&lt;=Assumptions!$D$10,IF(B31&gt;=Assumptions!$D$32,($R31*$X$5+$S31*$X$6)/(1*10^6)),0),0)</f>
        <v>0</v>
      </c>
      <c r="I31" s="243">
        <f t="shared" si="2"/>
        <v>0</v>
      </c>
      <c r="J31" s="301">
        <f t="shared" si="3"/>
        <v>0</v>
      </c>
      <c r="K31" s="244">
        <f t="shared" si="4"/>
        <v>0</v>
      </c>
      <c r="L31" s="303">
        <f t="shared" si="10"/>
        <v>0</v>
      </c>
      <c r="M31" s="361">
        <f>L31*(1+0.07)^-(B31-Assumptions!$D$7)</f>
        <v>0</v>
      </c>
      <c r="N31" s="245">
        <f t="shared" si="6"/>
        <v>0</v>
      </c>
      <c r="O31" s="244">
        <f t="shared" si="7"/>
        <v>0</v>
      </c>
      <c r="Q31" s="74">
        <f t="shared" si="8"/>
        <v>2051</v>
      </c>
      <c r="R31" s="71">
        <f>_xlfn.XLOOKUP($Q31,'VOC Savings'!$Q$8:$Q$43,'VOC Savings'!$Z$8:$Z$43,0,0,1)</f>
        <v>0</v>
      </c>
      <c r="S31" s="72">
        <f>_xlfn.XLOOKUP($Q31,'VOC Savings'!$Q$8:$Q$43,'VOC Savings'!$AA$8:$AA$43,0,0,1)</f>
        <v>0</v>
      </c>
      <c r="U31" s="362">
        <v>2042</v>
      </c>
      <c r="V31" s="363">
        <v>18900</v>
      </c>
      <c r="W31" s="363">
        <v>51300</v>
      </c>
      <c r="X31" s="363">
        <v>907600</v>
      </c>
      <c r="Y31" s="363">
        <v>79</v>
      </c>
    </row>
    <row r="32" spans="1:33" ht="17.25" customHeight="1" x14ac:dyDescent="0.25">
      <c r="A32" s="2"/>
      <c r="B32" s="153">
        <f t="shared" si="9"/>
        <v>2052</v>
      </c>
      <c r="C32" s="355">
        <f>IF(B32&gt;=(Assumptions!$D$32+1),IF(B32&lt;=Assumptions!$D$10,IF(B32&gt;=Assumptions!$D$32,($R32*$Y$5+$S32*$Y$6)/(1*10^6)),0),0)</f>
        <v>0</v>
      </c>
      <c r="D32" s="356">
        <f t="shared" si="1"/>
        <v>0</v>
      </c>
      <c r="E32" s="357">
        <f>D32*(1+0.03)^-($B32-Assumptions!$D$7)</f>
        <v>0</v>
      </c>
      <c r="F32" s="358">
        <f>IF(B32&gt;=(Assumptions!$D$32+1),IF(B32&lt;=Assumptions!$D$10,IF(B32&gt;=Assumptions!$D$32,($R32*$V$5+$S32*$V$6)/(1*10^6)),0),0)</f>
        <v>0</v>
      </c>
      <c r="G32" s="359">
        <f>IF(B32&gt;=(Assumptions!$D$32+1),IF(B32&lt;=Assumptions!$D$10,IF(B32&gt;=Assumptions!$D$32,($R32*$W$5+$S32*$W$6)/(1*10^6)),0),0)</f>
        <v>0</v>
      </c>
      <c r="H32" s="360">
        <f>IF(B32&gt;=(Assumptions!$D$32+1),IF(B32&lt;=Assumptions!$D$10,IF(B32&gt;=Assumptions!$D$32,($R32*$X$5+$S32*$X$6)/(1*10^6)),0),0)</f>
        <v>0</v>
      </c>
      <c r="I32" s="243">
        <f t="shared" si="2"/>
        <v>0</v>
      </c>
      <c r="J32" s="301">
        <f t="shared" si="3"/>
        <v>0</v>
      </c>
      <c r="K32" s="244">
        <f t="shared" si="4"/>
        <v>0</v>
      </c>
      <c r="L32" s="303">
        <f t="shared" si="10"/>
        <v>0</v>
      </c>
      <c r="M32" s="361">
        <f>L32*(1+0.07)^-(B32-Assumptions!$D$7)</f>
        <v>0</v>
      </c>
      <c r="N32" s="245">
        <f t="shared" si="6"/>
        <v>0</v>
      </c>
      <c r="O32" s="244">
        <f t="shared" si="7"/>
        <v>0</v>
      </c>
      <c r="Q32" s="74">
        <f t="shared" si="8"/>
        <v>2052</v>
      </c>
      <c r="R32" s="71">
        <f>_xlfn.XLOOKUP($Q32,'VOC Savings'!$Q$8:$Q$43,'VOC Savings'!$Z$8:$Z$43,0,0,1)</f>
        <v>0</v>
      </c>
      <c r="S32" s="72">
        <f>_xlfn.XLOOKUP($Q32,'VOC Savings'!$Q$8:$Q$43,'VOC Savings'!$AA$8:$AA$43,0,0,1)</f>
        <v>0</v>
      </c>
      <c r="U32" s="362">
        <v>2043</v>
      </c>
      <c r="V32" s="363">
        <v>18900</v>
      </c>
      <c r="W32" s="363">
        <v>51300</v>
      </c>
      <c r="X32" s="363">
        <v>907600</v>
      </c>
      <c r="Y32" s="363">
        <v>80</v>
      </c>
    </row>
    <row r="33" spans="1:27" ht="17.25" customHeight="1" x14ac:dyDescent="0.25">
      <c r="A33" s="2"/>
      <c r="B33" s="153">
        <f t="shared" si="9"/>
        <v>2053</v>
      </c>
      <c r="C33" s="355">
        <f>IF(B33&gt;=(Assumptions!$D$32+1),IF(B33&lt;=Assumptions!$D$10,IF(B33&gt;=Assumptions!$D$32,($R33*$Y$5+$S33*$Y$6)/(1*10^6)),0),0)</f>
        <v>0</v>
      </c>
      <c r="D33" s="356">
        <f t="shared" si="1"/>
        <v>0</v>
      </c>
      <c r="E33" s="357">
        <f>D33*(1+0.03)^-($B33-Assumptions!$D$7)</f>
        <v>0</v>
      </c>
      <c r="F33" s="358">
        <f>IF(B33&gt;=(Assumptions!$D$32+1),IF(B33&lt;=Assumptions!$D$10,IF(B33&gt;=Assumptions!$D$32,($R33*$V$5+$S33*$V$6)/(1*10^6)),0),0)</f>
        <v>0</v>
      </c>
      <c r="G33" s="359">
        <f>IF(B33&gt;=(Assumptions!$D$32+1),IF(B33&lt;=Assumptions!$D$10,IF(B33&gt;=Assumptions!$D$32,($R33*$W$5+$S33*$W$6)/(1*10^6)),0),0)</f>
        <v>0</v>
      </c>
      <c r="H33" s="360">
        <f>IF(B33&gt;=(Assumptions!$D$32+1),IF(B33&lt;=Assumptions!$D$10,IF(B33&gt;=Assumptions!$D$32,($R33*$X$5+$S33*$X$6)/(1*10^6)),0),0)</f>
        <v>0</v>
      </c>
      <c r="I33" s="243">
        <f t="shared" si="2"/>
        <v>0</v>
      </c>
      <c r="J33" s="301">
        <f t="shared" si="3"/>
        <v>0</v>
      </c>
      <c r="K33" s="244">
        <f t="shared" si="4"/>
        <v>0</v>
      </c>
      <c r="L33" s="303">
        <f t="shared" si="10"/>
        <v>0</v>
      </c>
      <c r="M33" s="361">
        <f>L33*(1+0.07)^-(B33-Assumptions!$D$7)</f>
        <v>0</v>
      </c>
      <c r="N33" s="245">
        <f t="shared" si="6"/>
        <v>0</v>
      </c>
      <c r="O33" s="244">
        <f t="shared" si="7"/>
        <v>0</v>
      </c>
      <c r="Q33" s="74">
        <f t="shared" si="8"/>
        <v>2053</v>
      </c>
      <c r="R33" s="71">
        <f>_xlfn.XLOOKUP($Q33,'VOC Savings'!$Q$8:$Q$43,'VOC Savings'!$Z$8:$Z$43,0,0,1)</f>
        <v>0</v>
      </c>
      <c r="S33" s="72">
        <f>_xlfn.XLOOKUP($Q33,'VOC Savings'!$Q$8:$Q$43,'VOC Savings'!$AA$8:$AA$43,0,0,1)</f>
        <v>0</v>
      </c>
      <c r="U33" s="362">
        <v>2044</v>
      </c>
      <c r="V33" s="363">
        <v>18900</v>
      </c>
      <c r="W33" s="363">
        <v>51300</v>
      </c>
      <c r="X33" s="363">
        <v>907600</v>
      </c>
      <c r="Y33" s="363">
        <v>81</v>
      </c>
    </row>
    <row r="34" spans="1:27" ht="17.25" customHeight="1" x14ac:dyDescent="0.25">
      <c r="A34" s="2"/>
      <c r="B34" s="153">
        <f t="shared" si="9"/>
        <v>2054</v>
      </c>
      <c r="C34" s="355">
        <f>IF(B34&gt;=(Assumptions!$D$32+1),IF(B34&lt;=Assumptions!$D$10,IF(B34&gt;=Assumptions!$D$32,($R34*$Y$5+$S34*$Y$6)/(1*10^6)),0),0)</f>
        <v>0</v>
      </c>
      <c r="D34" s="356">
        <f t="shared" si="1"/>
        <v>0</v>
      </c>
      <c r="E34" s="357">
        <f>D34*(1+0.03)^-($B34-Assumptions!$D$7)</f>
        <v>0</v>
      </c>
      <c r="F34" s="358">
        <f>IF(B34&gt;=(Assumptions!$D$32+1),IF(B34&lt;=Assumptions!$D$10,IF(B34&gt;=Assumptions!$D$32,($R34*$V$5+$S34*$V$6)/(1*10^6)),0),0)</f>
        <v>0</v>
      </c>
      <c r="G34" s="359">
        <f>IF(B34&gt;=(Assumptions!$D$32+1),IF(B34&lt;=Assumptions!$D$10,IF(B34&gt;=Assumptions!$D$32,($R34*$W$5+$S34*$W$6)/(1*10^6)),0),0)</f>
        <v>0</v>
      </c>
      <c r="H34" s="360">
        <f>IF(B34&gt;=(Assumptions!$D$32+1),IF(B34&lt;=Assumptions!$D$10,IF(B34&gt;=Assumptions!$D$32,($R34*$X$5+$S34*$X$6)/(1*10^6)),0),0)</f>
        <v>0</v>
      </c>
      <c r="I34" s="243">
        <f t="shared" si="2"/>
        <v>0</v>
      </c>
      <c r="J34" s="301">
        <f t="shared" si="3"/>
        <v>0</v>
      </c>
      <c r="K34" s="244">
        <f t="shared" si="4"/>
        <v>0</v>
      </c>
      <c r="L34" s="303">
        <f t="shared" si="10"/>
        <v>0</v>
      </c>
      <c r="M34" s="361">
        <f>L34*(1+0.07)^-(B34-Assumptions!$D$7)</f>
        <v>0</v>
      </c>
      <c r="N34" s="245">
        <f t="shared" si="6"/>
        <v>0</v>
      </c>
      <c r="O34" s="244">
        <f t="shared" si="7"/>
        <v>0</v>
      </c>
      <c r="Q34" s="74">
        <f t="shared" si="8"/>
        <v>2054</v>
      </c>
      <c r="R34" s="71">
        <f>_xlfn.XLOOKUP($Q34,'VOC Savings'!$Q$8:$Q$43,'VOC Savings'!$Z$8:$Z$43,0,0,1)</f>
        <v>0</v>
      </c>
      <c r="S34" s="72">
        <f>_xlfn.XLOOKUP($Q34,'VOC Savings'!$Q$8:$Q$43,'VOC Savings'!$AA$8:$AA$43,0,0,1)</f>
        <v>0</v>
      </c>
      <c r="U34" s="362">
        <v>2045</v>
      </c>
      <c r="V34" s="363">
        <v>18900</v>
      </c>
      <c r="W34" s="363">
        <v>51300</v>
      </c>
      <c r="X34" s="363">
        <v>907600</v>
      </c>
      <c r="Y34" s="363">
        <v>82</v>
      </c>
    </row>
    <row r="35" spans="1:27" ht="17.25" customHeight="1" x14ac:dyDescent="0.25">
      <c r="B35" s="153">
        <f t="shared" si="9"/>
        <v>2055</v>
      </c>
      <c r="C35" s="355">
        <f>IF(B35&gt;=(Assumptions!$D$32+1),IF(B35&lt;=Assumptions!$D$10,IF(B35&gt;=Assumptions!$D$32,($R35*$Y$5+$S35*$Y$6)/(1*10^6)),0),0)</f>
        <v>0</v>
      </c>
      <c r="D35" s="356">
        <f t="shared" si="1"/>
        <v>0</v>
      </c>
      <c r="E35" s="357">
        <f>D35*(1+0.03)^-($B35-Assumptions!$D$7)</f>
        <v>0</v>
      </c>
      <c r="F35" s="358">
        <f>IF(B35&gt;=(Assumptions!$D$32+1),IF(B35&lt;=Assumptions!$D$10,IF(B35&gt;=Assumptions!$D$32,($R35*$V$5+$S35*$V$6)/(1*10^6)),0),0)</f>
        <v>0</v>
      </c>
      <c r="G35" s="359">
        <f>IF(B35&gt;=(Assumptions!$D$32+1),IF(B35&lt;=Assumptions!$D$10,IF(B35&gt;=Assumptions!$D$32,($R35*$W$5+$S35*$W$6)/(1*10^6)),0),0)</f>
        <v>0</v>
      </c>
      <c r="H35" s="360">
        <f>IF(B35&gt;=(Assumptions!$D$32+1),IF(B35&lt;=Assumptions!$D$10,IF(B35&gt;=Assumptions!$D$32,($R35*$X$5+$S35*$X$6)/(1*10^6)),0),0)</f>
        <v>0</v>
      </c>
      <c r="I35" s="243">
        <f t="shared" si="2"/>
        <v>0</v>
      </c>
      <c r="J35" s="301">
        <f t="shared" si="3"/>
        <v>0</v>
      </c>
      <c r="K35" s="244">
        <f t="shared" si="4"/>
        <v>0</v>
      </c>
      <c r="L35" s="303">
        <f t="shared" si="10"/>
        <v>0</v>
      </c>
      <c r="M35" s="361">
        <f>L35*(1+0.07)^-(B35-Assumptions!$D$7)</f>
        <v>0</v>
      </c>
      <c r="N35" s="245">
        <f t="shared" si="6"/>
        <v>0</v>
      </c>
      <c r="O35" s="244">
        <f t="shared" si="7"/>
        <v>0</v>
      </c>
      <c r="Q35" s="74">
        <f t="shared" si="8"/>
        <v>2055</v>
      </c>
      <c r="R35" s="71">
        <f>_xlfn.XLOOKUP($Q35,'VOC Savings'!$Q$8:$Q$43,'VOC Savings'!$Z$8:$Z$43,0,0,1)</f>
        <v>0</v>
      </c>
      <c r="S35" s="72">
        <f>_xlfn.XLOOKUP($Q35,'VOC Savings'!$Q$8:$Q$43,'VOC Savings'!$AA$8:$AA$43,0,0,1)</f>
        <v>0</v>
      </c>
      <c r="U35" s="362">
        <v>2046</v>
      </c>
      <c r="V35" s="363">
        <v>18900</v>
      </c>
      <c r="W35" s="363">
        <v>51300</v>
      </c>
      <c r="X35" s="363">
        <v>907600</v>
      </c>
      <c r="Y35" s="363">
        <v>84</v>
      </c>
    </row>
    <row r="36" spans="1:27" ht="17.25" customHeight="1" x14ac:dyDescent="0.25">
      <c r="A36" s="2"/>
      <c r="B36" s="153">
        <f t="shared" ref="B36:B40" si="11">B35+1</f>
        <v>2056</v>
      </c>
      <c r="C36" s="355">
        <f>IF(B36&gt;=(Assumptions!$D$32+1),IF(B36&lt;=Assumptions!$D$10,IF(B36&gt;=Assumptions!$D$32,($R36*$Y$5+$S36*$Y$6)/(1*10^6)),0),0)</f>
        <v>0</v>
      </c>
      <c r="D36" s="356">
        <f t="shared" si="1"/>
        <v>0</v>
      </c>
      <c r="E36" s="357">
        <f>D36*(1+0.03)^-($B36-Assumptions!$D$7)</f>
        <v>0</v>
      </c>
      <c r="F36" s="358">
        <f>IF(B36&gt;=(Assumptions!$D$32+1),IF(B36&lt;=Assumptions!$D$10,IF(B36&gt;=Assumptions!$D$32,($R36*$V$5+$S36*$V$6)/(1*10^6)),0),0)</f>
        <v>0</v>
      </c>
      <c r="G36" s="359">
        <f>IF(B36&gt;=(Assumptions!$D$32+1),IF(B36&lt;=Assumptions!$D$10,IF(B36&gt;=Assumptions!$D$32,($R36*$W$5+$S36*$W$6)/(1*10^6)),0),0)</f>
        <v>0</v>
      </c>
      <c r="H36" s="360">
        <f>IF(B36&gt;=(Assumptions!$D$32+1),IF(B36&lt;=Assumptions!$D$10,IF(B36&gt;=Assumptions!$D$32,($R36*$X$5+$S36*$X$6)/(1*10^6)),0),0)</f>
        <v>0</v>
      </c>
      <c r="I36" s="243">
        <f t="shared" si="2"/>
        <v>0</v>
      </c>
      <c r="J36" s="301">
        <f t="shared" si="3"/>
        <v>0</v>
      </c>
      <c r="K36" s="244">
        <f t="shared" si="4"/>
        <v>0</v>
      </c>
      <c r="L36" s="303">
        <f t="shared" ref="L36:L39" si="12">SUM(I36:K36)</f>
        <v>0</v>
      </c>
      <c r="M36" s="361">
        <f>L36*(1+0.07)^-(B36-Assumptions!$D$7)</f>
        <v>0</v>
      </c>
      <c r="N36" s="245">
        <f t="shared" si="6"/>
        <v>0</v>
      </c>
      <c r="O36" s="244">
        <f t="shared" si="7"/>
        <v>0</v>
      </c>
      <c r="Q36" s="74">
        <f t="shared" si="8"/>
        <v>2056</v>
      </c>
      <c r="R36" s="71">
        <f>_xlfn.XLOOKUP($Q36,'VOC Savings'!$Q$8:$Q$43,'VOC Savings'!$Z$8:$Z$43,0,0,1)</f>
        <v>0</v>
      </c>
      <c r="S36" s="72">
        <f>_xlfn.XLOOKUP($Q36,'VOC Savings'!$Q$8:$Q$43,'VOC Savings'!$AA$8:$AA$43,0,0,1)</f>
        <v>0</v>
      </c>
      <c r="U36" s="362">
        <v>2047</v>
      </c>
      <c r="V36" s="363">
        <v>18900</v>
      </c>
      <c r="W36" s="363">
        <v>51300</v>
      </c>
      <c r="X36" s="363">
        <v>907600</v>
      </c>
      <c r="Y36" s="363">
        <v>85</v>
      </c>
    </row>
    <row r="37" spans="1:27" ht="17.25" customHeight="1" x14ac:dyDescent="0.25">
      <c r="A37" s="2"/>
      <c r="B37" s="153">
        <f t="shared" si="11"/>
        <v>2057</v>
      </c>
      <c r="C37" s="355">
        <f>IF(B37&gt;=(Assumptions!$D$32+1),IF(B37&lt;=Assumptions!$D$10,IF(B37&gt;=Assumptions!$D$32,($R37*$Y$5+$S37*$Y$6)/(1*10^6)),0),0)</f>
        <v>0</v>
      </c>
      <c r="D37" s="356">
        <f t="shared" si="1"/>
        <v>0</v>
      </c>
      <c r="E37" s="357">
        <f>D37*(1+0.03)^-($B37-Assumptions!$D$7)</f>
        <v>0</v>
      </c>
      <c r="F37" s="358">
        <f>IF(B37&gt;=(Assumptions!$D$32+1),IF(B37&lt;=Assumptions!$D$10,IF(B37&gt;=Assumptions!$D$32,($R37*$V$5+$S37*$V$6)/(1*10^6)),0),0)</f>
        <v>0</v>
      </c>
      <c r="G37" s="359">
        <f>IF(B37&gt;=(Assumptions!$D$32+1),IF(B37&lt;=Assumptions!$D$10,IF(B37&gt;=Assumptions!$D$32,($R37*$W$5+$S37*$W$6)/(1*10^6)),0),0)</f>
        <v>0</v>
      </c>
      <c r="H37" s="360">
        <f>IF(B37&gt;=(Assumptions!$D$32+1),IF(B37&lt;=Assumptions!$D$10,IF(B37&gt;=Assumptions!$D$32,($R37*$X$5+$S37*$X$6)/(1*10^6)),0),0)</f>
        <v>0</v>
      </c>
      <c r="I37" s="243">
        <f t="shared" si="2"/>
        <v>0</v>
      </c>
      <c r="J37" s="301">
        <f t="shared" si="3"/>
        <v>0</v>
      </c>
      <c r="K37" s="244">
        <f t="shared" si="4"/>
        <v>0</v>
      </c>
      <c r="L37" s="303">
        <f t="shared" si="12"/>
        <v>0</v>
      </c>
      <c r="M37" s="361">
        <f>L37*(1+0.07)^-(B37-Assumptions!$D$7)</f>
        <v>0</v>
      </c>
      <c r="N37" s="245">
        <f t="shared" si="6"/>
        <v>0</v>
      </c>
      <c r="O37" s="244">
        <f t="shared" si="7"/>
        <v>0</v>
      </c>
      <c r="P37" s="18"/>
      <c r="Q37" s="74">
        <f t="shared" si="8"/>
        <v>2057</v>
      </c>
      <c r="R37" s="71">
        <f>_xlfn.XLOOKUP($Q37,'VOC Savings'!$Q$8:$Q$43,'VOC Savings'!$Z$8:$Z$43,0,0,1)</f>
        <v>0</v>
      </c>
      <c r="S37" s="72">
        <f>_xlfn.XLOOKUP($Q37,'VOC Savings'!$Q$8:$Q$43,'VOC Savings'!$AA$8:$AA$43,0,0,1)</f>
        <v>0</v>
      </c>
      <c r="T37" s="18"/>
      <c r="U37" s="362">
        <v>2048</v>
      </c>
      <c r="V37" s="363">
        <v>18900</v>
      </c>
      <c r="W37" s="363">
        <v>51300</v>
      </c>
      <c r="X37" s="363">
        <v>907600</v>
      </c>
      <c r="Y37" s="363">
        <v>86</v>
      </c>
    </row>
    <row r="38" spans="1:27" ht="17.25" customHeight="1" x14ac:dyDescent="0.25">
      <c r="B38" s="153">
        <f t="shared" si="11"/>
        <v>2058</v>
      </c>
      <c r="C38" s="355">
        <f>IF(B38&gt;=(Assumptions!$D$32+1),IF(B38&lt;=Assumptions!$D$10,IF(B38&gt;=Assumptions!$D$32,($R38*$Y$5+$S38*$Y$6)/(1*10^6)),0),0)</f>
        <v>0</v>
      </c>
      <c r="D38" s="356">
        <f t="shared" si="1"/>
        <v>0</v>
      </c>
      <c r="E38" s="357">
        <f>D38*(1+0.03)^-($B38-Assumptions!$D$7)</f>
        <v>0</v>
      </c>
      <c r="F38" s="358">
        <f>IF(B38&gt;=(Assumptions!$D$32+1),IF(B38&lt;=Assumptions!$D$10,IF(B38&gt;=Assumptions!$D$32,($R38*$V$5+$S38*$V$6)/(1*10^6)),0),0)</f>
        <v>0</v>
      </c>
      <c r="G38" s="359">
        <f>IF(B38&gt;=(Assumptions!$D$32+1),IF(B38&lt;=Assumptions!$D$10,IF(B38&gt;=Assumptions!$D$32,($R38*$W$5+$S38*$W$6)/(1*10^6)),0),0)</f>
        <v>0</v>
      </c>
      <c r="H38" s="360">
        <f>IF(B38&gt;=(Assumptions!$D$32+1),IF(B38&lt;=Assumptions!$D$10,IF(B38&gt;=Assumptions!$D$32,($R38*$X$5+$S38*$X$6)/(1*10^6)),0),0)</f>
        <v>0</v>
      </c>
      <c r="I38" s="243">
        <f t="shared" si="2"/>
        <v>0</v>
      </c>
      <c r="J38" s="301">
        <f t="shared" si="3"/>
        <v>0</v>
      </c>
      <c r="K38" s="244">
        <f t="shared" si="4"/>
        <v>0</v>
      </c>
      <c r="L38" s="303">
        <f t="shared" si="12"/>
        <v>0</v>
      </c>
      <c r="M38" s="361">
        <f>L38*(1+0.07)^-(B38-Assumptions!$D$7)</f>
        <v>0</v>
      </c>
      <c r="N38" s="245">
        <f t="shared" si="6"/>
        <v>0</v>
      </c>
      <c r="O38" s="244">
        <f t="shared" si="7"/>
        <v>0</v>
      </c>
      <c r="P38" s="18"/>
      <c r="Q38" s="74">
        <f t="shared" si="8"/>
        <v>2058</v>
      </c>
      <c r="R38" s="71">
        <f>_xlfn.XLOOKUP($Q38,'VOC Savings'!$Q$8:$Q$43,'VOC Savings'!$Z$8:$Z$43,0,0,1)</f>
        <v>0</v>
      </c>
      <c r="S38" s="72">
        <f>_xlfn.XLOOKUP($Q38,'VOC Savings'!$Q$8:$Q$43,'VOC Savings'!$AA$8:$AA$43,0,0,1)</f>
        <v>0</v>
      </c>
      <c r="T38" s="18"/>
      <c r="U38" s="362">
        <v>2049</v>
      </c>
      <c r="V38" s="363">
        <v>18900</v>
      </c>
      <c r="W38" s="363">
        <v>51300</v>
      </c>
      <c r="X38" s="363">
        <v>907600</v>
      </c>
      <c r="Y38" s="363">
        <v>87</v>
      </c>
    </row>
    <row r="39" spans="1:27" ht="17.25" customHeight="1" x14ac:dyDescent="0.25">
      <c r="B39" s="153">
        <f t="shared" si="11"/>
        <v>2059</v>
      </c>
      <c r="C39" s="355">
        <f>IF(B39&gt;=(Assumptions!$D$32+1),IF(B39&lt;=Assumptions!$D$10,IF(B39&gt;=Assumptions!$D$32,($R39*$Y$5+$S39*$Y$6)/(1*10^6)),0),0)</f>
        <v>0</v>
      </c>
      <c r="D39" s="356">
        <f t="shared" si="1"/>
        <v>0</v>
      </c>
      <c r="E39" s="357">
        <f>D39*(1+0.03)^-($B39-Assumptions!$D$7)</f>
        <v>0</v>
      </c>
      <c r="F39" s="358">
        <f>IF(B39&gt;=(Assumptions!$D$32+1),IF(B39&lt;=Assumptions!$D$10,IF(B39&gt;=Assumptions!$D$32,($R39*$V$5+$S39*$V$6)/(1*10^6)),0),0)</f>
        <v>0</v>
      </c>
      <c r="G39" s="359">
        <f>IF(B39&gt;=(Assumptions!$D$32+1),IF(B39&lt;=Assumptions!$D$10,IF(B39&gt;=Assumptions!$D$32,($R39*$W$5+$S39*$W$6)/(1*10^6)),0),0)</f>
        <v>0</v>
      </c>
      <c r="H39" s="360">
        <f>IF(B39&gt;=(Assumptions!$D$32+1),IF(B39&lt;=Assumptions!$D$10,IF(B39&gt;=Assumptions!$D$32,($R39*$X$5+$S39*$X$6)/(1*10^6)),0),0)</f>
        <v>0</v>
      </c>
      <c r="I39" s="243">
        <f t="shared" si="2"/>
        <v>0</v>
      </c>
      <c r="J39" s="301">
        <f t="shared" si="3"/>
        <v>0</v>
      </c>
      <c r="K39" s="244">
        <f t="shared" si="4"/>
        <v>0</v>
      </c>
      <c r="L39" s="303">
        <f t="shared" si="12"/>
        <v>0</v>
      </c>
      <c r="M39" s="361">
        <f>L39*(1+0.07)^-(B39-Assumptions!$D$7)</f>
        <v>0</v>
      </c>
      <c r="N39" s="245">
        <f t="shared" si="6"/>
        <v>0</v>
      </c>
      <c r="O39" s="244">
        <f t="shared" si="7"/>
        <v>0</v>
      </c>
      <c r="Q39" s="74">
        <f t="shared" si="8"/>
        <v>2059</v>
      </c>
      <c r="R39" s="71">
        <f>_xlfn.XLOOKUP($Q39,'VOC Savings'!$Q$8:$Q$43,'VOC Savings'!$Z$8:$Z$43,0,0,1)</f>
        <v>0</v>
      </c>
      <c r="S39" s="72">
        <f>_xlfn.XLOOKUP($Q39,'VOC Savings'!$Q$8:$Q$43,'VOC Savings'!$AA$8:$AA$43,0,0,1)</f>
        <v>0</v>
      </c>
      <c r="U39" s="364">
        <v>2050</v>
      </c>
      <c r="V39" s="365">
        <v>18900</v>
      </c>
      <c r="W39" s="365">
        <v>51300</v>
      </c>
      <c r="X39" s="365">
        <v>907600</v>
      </c>
      <c r="Y39" s="365">
        <v>88</v>
      </c>
    </row>
    <row r="40" spans="1:27" ht="17.25" customHeight="1" thickBot="1" x14ac:dyDescent="0.3">
      <c r="B40" s="154">
        <f t="shared" si="11"/>
        <v>2060</v>
      </c>
      <c r="C40" s="366">
        <f>IF(B40&gt;=(Assumptions!$D$32+1),IF(B40&lt;=Assumptions!$D$10,IF(B40&gt;=Assumptions!$D$32,($R40*$Y$5+$S40*$Y$6)/(1*10^6)),0),0)</f>
        <v>0</v>
      </c>
      <c r="D40" s="367">
        <f t="shared" si="1"/>
        <v>0</v>
      </c>
      <c r="E40" s="368">
        <f>D40*(1+0.03)^-($B40-Assumptions!$D$7)</f>
        <v>0</v>
      </c>
      <c r="F40" s="369">
        <f>IF(B40&gt;=(Assumptions!$D$32+1),IF(B40&lt;=Assumptions!$D$10,IF(B40&gt;=Assumptions!$D$32,($R40*$V$5+$S40*$V$6)/(1*10^6)),0),0)</f>
        <v>0</v>
      </c>
      <c r="G40" s="370">
        <f>IF(B40&gt;=(Assumptions!$D$32+1),IF(B40&lt;=Assumptions!$D$10,IF(B40&gt;=Assumptions!$D$32,($R40*$W$5+$S40*$W$6)/(1*10^6)),0),0)</f>
        <v>0</v>
      </c>
      <c r="H40" s="371">
        <f>IF(B40&gt;=(Assumptions!$D$32+1),IF(B40&lt;=Assumptions!$D$10,IF(B40&gt;=Assumptions!$D$32,($R40*$X$5+$S40*$X$6)/(1*10^6)),0),0)</f>
        <v>0</v>
      </c>
      <c r="I40" s="246">
        <f t="shared" si="2"/>
        <v>0</v>
      </c>
      <c r="J40" s="305">
        <f t="shared" si="3"/>
        <v>0</v>
      </c>
      <c r="K40" s="247">
        <f t="shared" si="4"/>
        <v>0</v>
      </c>
      <c r="L40" s="307">
        <f t="shared" ref="L40" si="13">SUM(I40:K40)</f>
        <v>0</v>
      </c>
      <c r="M40" s="372">
        <f>L40*(1+0.07)^-(B40-Assumptions!$D$7)</f>
        <v>0</v>
      </c>
      <c r="N40" s="248">
        <f t="shared" si="6"/>
        <v>0</v>
      </c>
      <c r="O40" s="247">
        <f t="shared" si="7"/>
        <v>0</v>
      </c>
      <c r="Q40" s="75">
        <f t="shared" si="8"/>
        <v>2060</v>
      </c>
      <c r="R40" s="73">
        <f>_xlfn.XLOOKUP($Q40,'VOC Savings'!$Q$8:$Q$43,'VOC Savings'!$Z$8:$Z$43,0,0,1)</f>
        <v>0</v>
      </c>
      <c r="S40" s="208">
        <f>_xlfn.XLOOKUP($Q40,'VOC Savings'!$Q$8:$Q$43,'VOC Savings'!$AA$8:$AA$43,0,0,1)</f>
        <v>0</v>
      </c>
      <c r="U40" s="364">
        <v>2051</v>
      </c>
      <c r="V40" s="365">
        <v>18900</v>
      </c>
      <c r="W40" s="365">
        <v>51300</v>
      </c>
      <c r="X40" s="365">
        <v>907600</v>
      </c>
      <c r="Y40" s="365">
        <v>88</v>
      </c>
    </row>
    <row r="41" spans="1:27" ht="15.75" thickBot="1" x14ac:dyDescent="0.3">
      <c r="L41" s="177" t="s">
        <v>2</v>
      </c>
      <c r="M41" s="373">
        <f>SUM(M6:M40)</f>
        <v>78514.865663731849</v>
      </c>
      <c r="N41" s="177" t="s">
        <v>2</v>
      </c>
      <c r="O41" s="374">
        <f>SUM(O5:O40)</f>
        <v>191538.25298959616</v>
      </c>
      <c r="U41" s="364">
        <v>2052</v>
      </c>
      <c r="V41" s="365">
        <v>18900</v>
      </c>
      <c r="W41" s="365">
        <v>51300</v>
      </c>
      <c r="X41" s="365">
        <v>907600</v>
      </c>
      <c r="Y41" s="365">
        <v>88</v>
      </c>
    </row>
    <row r="42" spans="1:27" x14ac:dyDescent="0.25">
      <c r="L42" s="177"/>
      <c r="M42" s="373"/>
      <c r="N42" s="177"/>
      <c r="O42" s="375"/>
      <c r="U42" s="364">
        <v>2053</v>
      </c>
      <c r="V42" s="365">
        <v>18900</v>
      </c>
      <c r="W42" s="365">
        <v>51300</v>
      </c>
      <c r="X42" s="365">
        <v>907600</v>
      </c>
      <c r="Y42" s="365">
        <v>88</v>
      </c>
    </row>
    <row r="43" spans="1:27" x14ac:dyDescent="0.25">
      <c r="A43" s="2"/>
      <c r="B43" s="51"/>
      <c r="C43" s="376"/>
      <c r="D43" s="53"/>
      <c r="E43" s="53"/>
      <c r="F43" s="376"/>
      <c r="G43" s="376"/>
      <c r="H43" s="376"/>
      <c r="I43" s="53"/>
      <c r="J43" s="53"/>
      <c r="K43" s="53"/>
      <c r="L43" s="53"/>
      <c r="M43" s="53"/>
      <c r="N43" s="53"/>
      <c r="O43" s="53"/>
      <c r="U43" s="364">
        <v>2054</v>
      </c>
      <c r="V43" s="365">
        <v>18900</v>
      </c>
      <c r="W43" s="365">
        <v>51300</v>
      </c>
      <c r="X43" s="365">
        <v>907600</v>
      </c>
      <c r="Y43" s="365">
        <v>88</v>
      </c>
    </row>
    <row r="44" spans="1:27" ht="15" customHeight="1" x14ac:dyDescent="0.25">
      <c r="U44" s="364">
        <v>2055</v>
      </c>
      <c r="V44" s="365">
        <v>18900</v>
      </c>
      <c r="W44" s="365">
        <v>51300</v>
      </c>
      <c r="X44" s="365">
        <v>907600</v>
      </c>
      <c r="Y44" s="365">
        <v>88</v>
      </c>
    </row>
    <row r="45" spans="1:27" ht="15.75" customHeight="1" x14ac:dyDescent="0.25">
      <c r="B45" s="29"/>
      <c r="C45" s="29"/>
      <c r="D45" s="29"/>
      <c r="E45" s="29"/>
      <c r="F45" s="29"/>
      <c r="G45" s="29"/>
      <c r="H45" s="29"/>
      <c r="U45" s="364">
        <v>2056</v>
      </c>
      <c r="V45" s="365">
        <v>18900</v>
      </c>
      <c r="W45" s="365">
        <v>51300</v>
      </c>
      <c r="X45" s="365">
        <v>907600</v>
      </c>
      <c r="Y45" s="365">
        <v>88</v>
      </c>
    </row>
    <row r="46" spans="1:27" ht="15" customHeight="1" x14ac:dyDescent="0.25">
      <c r="B46" s="1" t="s">
        <v>3</v>
      </c>
      <c r="C46" s="1"/>
      <c r="D46" s="1"/>
      <c r="E46" s="1"/>
      <c r="U46" s="364">
        <v>2057</v>
      </c>
      <c r="V46" s="365">
        <v>18900</v>
      </c>
      <c r="W46" s="365">
        <v>51300</v>
      </c>
      <c r="X46" s="365">
        <v>907600</v>
      </c>
      <c r="Y46" s="365">
        <v>88</v>
      </c>
      <c r="Z46" s="377"/>
      <c r="AA46" s="8"/>
    </row>
    <row r="47" spans="1:27" ht="15" customHeight="1" x14ac:dyDescent="0.25">
      <c r="A47" s="2" t="s">
        <v>19</v>
      </c>
      <c r="B47" s="388" t="s">
        <v>730</v>
      </c>
      <c r="C47" s="388"/>
      <c r="D47" s="388"/>
      <c r="E47" s="388"/>
      <c r="F47" s="388"/>
      <c r="G47" s="388"/>
      <c r="H47" s="388"/>
      <c r="I47" s="388"/>
      <c r="J47" s="388"/>
      <c r="K47" s="388"/>
      <c r="L47" s="388"/>
      <c r="U47" s="364">
        <v>2058</v>
      </c>
      <c r="V47" s="365">
        <v>18900</v>
      </c>
      <c r="W47" s="365">
        <v>51300</v>
      </c>
      <c r="X47" s="365">
        <v>907600</v>
      </c>
      <c r="Y47" s="365">
        <v>88</v>
      </c>
      <c r="Z47" s="377"/>
      <c r="AA47" s="8"/>
    </row>
    <row r="48" spans="1:27" x14ac:dyDescent="0.25">
      <c r="B48" s="388"/>
      <c r="C48" s="388"/>
      <c r="D48" s="388"/>
      <c r="E48" s="388"/>
      <c r="F48" s="388"/>
      <c r="G48" s="388"/>
      <c r="H48" s="388"/>
      <c r="I48" s="388"/>
      <c r="J48" s="388"/>
      <c r="K48" s="388"/>
      <c r="L48" s="388"/>
      <c r="U48" s="364">
        <v>2059</v>
      </c>
      <c r="V48" s="365">
        <v>18900</v>
      </c>
      <c r="W48" s="365">
        <v>51300</v>
      </c>
      <c r="X48" s="365">
        <v>907600</v>
      </c>
      <c r="Y48" s="365">
        <v>88</v>
      </c>
      <c r="Z48" s="377"/>
      <c r="AA48" s="8"/>
    </row>
    <row r="49" spans="1:27" x14ac:dyDescent="0.25">
      <c r="B49" s="388"/>
      <c r="C49" s="388"/>
      <c r="D49" s="388"/>
      <c r="E49" s="388"/>
      <c r="F49" s="388"/>
      <c r="G49" s="388"/>
      <c r="H49" s="388"/>
      <c r="I49" s="388"/>
      <c r="J49" s="388"/>
      <c r="K49" s="388"/>
      <c r="L49" s="388"/>
      <c r="M49" s="69"/>
      <c r="U49" s="364">
        <v>2060</v>
      </c>
      <c r="V49" s="365">
        <v>18900</v>
      </c>
      <c r="W49" s="365">
        <v>51300</v>
      </c>
      <c r="X49" s="365">
        <v>907600</v>
      </c>
      <c r="Y49" s="365">
        <v>88</v>
      </c>
      <c r="Z49" s="377"/>
      <c r="AA49" s="8"/>
    </row>
    <row r="50" spans="1:27" x14ac:dyDescent="0.25">
      <c r="B50" s="70"/>
      <c r="C50" s="70"/>
      <c r="D50" s="70"/>
      <c r="E50" s="70"/>
      <c r="F50" s="56"/>
      <c r="G50" s="56"/>
      <c r="H50" s="56"/>
      <c r="I50" s="56"/>
      <c r="J50" s="56"/>
      <c r="K50" s="56"/>
      <c r="L50" s="56"/>
      <c r="M50" s="69"/>
      <c r="U50" s="442" t="s">
        <v>130</v>
      </c>
      <c r="V50" s="442"/>
      <c r="W50" s="442"/>
      <c r="X50" s="442"/>
      <c r="Y50" s="442"/>
      <c r="AA50" s="8"/>
    </row>
    <row r="51" spans="1:27" ht="15" customHeight="1" x14ac:dyDescent="0.25">
      <c r="A51" s="2" t="s">
        <v>25</v>
      </c>
      <c r="B51" s="415" t="s">
        <v>842</v>
      </c>
      <c r="C51" s="415"/>
      <c r="D51" s="415"/>
      <c r="E51" s="415"/>
      <c r="F51" s="415"/>
      <c r="G51" s="415"/>
      <c r="H51" s="415"/>
      <c r="I51" s="415"/>
      <c r="J51" s="415"/>
      <c r="K51" s="415"/>
      <c r="L51" s="415"/>
      <c r="M51" s="69"/>
      <c r="U51" s="415"/>
      <c r="V51" s="415"/>
      <c r="W51" s="415"/>
      <c r="X51" s="415"/>
      <c r="Y51" s="415"/>
    </row>
    <row r="52" spans="1:27" x14ac:dyDescent="0.25">
      <c r="B52" s="415"/>
      <c r="C52" s="415"/>
      <c r="D52" s="415"/>
      <c r="E52" s="415"/>
      <c r="F52" s="415"/>
      <c r="G52" s="415"/>
      <c r="H52" s="415"/>
      <c r="I52" s="415"/>
      <c r="J52" s="415"/>
      <c r="K52" s="415"/>
      <c r="L52" s="415"/>
    </row>
    <row r="53" spans="1:27" x14ac:dyDescent="0.25">
      <c r="B53" s="378"/>
      <c r="C53" s="378"/>
      <c r="D53" s="378"/>
      <c r="E53" s="378"/>
      <c r="F53" s="8"/>
      <c r="G53" s="8"/>
      <c r="H53" s="8"/>
      <c r="I53" s="8"/>
      <c r="J53" s="8"/>
      <c r="U53" s="379"/>
    </row>
    <row r="54" spans="1:27" ht="15" customHeight="1" x14ac:dyDescent="0.25">
      <c r="B54" s="378"/>
      <c r="C54" s="378"/>
      <c r="D54" s="378"/>
      <c r="E54" s="378"/>
      <c r="F54" s="8"/>
      <c r="G54" s="8"/>
      <c r="H54" s="8"/>
      <c r="I54" s="8"/>
      <c r="J54" s="8"/>
    </row>
    <row r="56" spans="1:27" ht="15" customHeight="1" x14ac:dyDescent="0.25"/>
    <row r="58" spans="1:27" ht="15" customHeight="1" x14ac:dyDescent="0.25"/>
    <row r="61" spans="1:27" x14ac:dyDescent="0.25">
      <c r="B61" s="8"/>
      <c r="C61" s="8"/>
      <c r="D61" s="8"/>
      <c r="E61" s="8"/>
      <c r="F61" s="8"/>
      <c r="G61" s="8"/>
      <c r="I61" s="8"/>
      <c r="J61" s="8"/>
    </row>
    <row r="62" spans="1:27" x14ac:dyDescent="0.25">
      <c r="A62" s="2"/>
      <c r="I62" s="8"/>
      <c r="J62" s="8"/>
    </row>
    <row r="63" spans="1:27" x14ac:dyDescent="0.25">
      <c r="I63" s="8"/>
      <c r="J63" s="8"/>
    </row>
    <row r="64" spans="1:27" x14ac:dyDescent="0.25">
      <c r="I64" s="8"/>
      <c r="J64" s="8"/>
    </row>
    <row r="65" spans="1:11" x14ac:dyDescent="0.25">
      <c r="A65" s="2"/>
    </row>
    <row r="66" spans="1:11" x14ac:dyDescent="0.25">
      <c r="I66" s="18"/>
    </row>
    <row r="67" spans="1:11" x14ac:dyDescent="0.25">
      <c r="I67" s="18"/>
      <c r="K67" s="8"/>
    </row>
    <row r="69" spans="1:11" x14ac:dyDescent="0.25">
      <c r="I69" s="8"/>
      <c r="J69" s="8"/>
    </row>
  </sheetData>
  <mergeCells count="21">
    <mergeCell ref="C3:E3"/>
    <mergeCell ref="F3:M3"/>
    <mergeCell ref="N3:O3"/>
    <mergeCell ref="B4:B5"/>
    <mergeCell ref="C4:C5"/>
    <mergeCell ref="D4:D5"/>
    <mergeCell ref="E4:E5"/>
    <mergeCell ref="F4:F5"/>
    <mergeCell ref="G4:G5"/>
    <mergeCell ref="B47:L49"/>
    <mergeCell ref="B51:L52"/>
    <mergeCell ref="U50:Y51"/>
    <mergeCell ref="H4:H5"/>
    <mergeCell ref="I4:I5"/>
    <mergeCell ref="J4:J5"/>
    <mergeCell ref="K4:K5"/>
    <mergeCell ref="L4:L5"/>
    <mergeCell ref="M4:M5"/>
    <mergeCell ref="R4:S4"/>
    <mergeCell ref="N4:N5"/>
    <mergeCell ref="O4:O5"/>
  </mergeCells>
  <pageMargins left="0.25" right="0.25" top="0.75" bottom="0.75" header="0.3" footer="0.3"/>
  <pageSetup paperSize="3" scale="35" orientation="landscape"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C28724-2C57-497F-8483-C6658D255511}">
  <sheetPr>
    <tabColor rgb="FF00B050"/>
    <pageSetUpPr fitToPage="1"/>
  </sheetPr>
  <dimension ref="A1:AK74"/>
  <sheetViews>
    <sheetView view="pageBreakPreview" zoomScale="55" zoomScaleNormal="40" zoomScaleSheetLayoutView="55" zoomScalePageLayoutView="55" workbookViewId="0">
      <selection activeCell="B2" sqref="B2"/>
    </sheetView>
  </sheetViews>
  <sheetFormatPr defaultRowHeight="15" x14ac:dyDescent="0.25"/>
  <cols>
    <col min="1" max="1" width="3.7109375" customWidth="1"/>
    <col min="2" max="8" width="20.7109375" customWidth="1"/>
    <col min="9" max="9" width="5.7109375" customWidth="1"/>
    <col min="10" max="10" width="3" customWidth="1"/>
    <col min="11" max="11" width="39.140625" customWidth="1"/>
    <col min="12" max="12" width="29.28515625" bestFit="1" customWidth="1"/>
    <col min="13" max="13" width="39.140625" customWidth="1"/>
    <col min="14" max="14" width="29.28515625" bestFit="1" customWidth="1"/>
    <col min="15" max="16" width="10.7109375" customWidth="1"/>
    <col min="17" max="20" width="17.5703125" customWidth="1"/>
    <col min="21" max="21" width="29.28515625" bestFit="1" customWidth="1"/>
    <col min="22" max="24" width="17.5703125" customWidth="1"/>
    <col min="25" max="25" width="29.28515625" bestFit="1" customWidth="1"/>
    <col min="26" max="28" width="17.5703125" customWidth="1"/>
    <col min="29" max="29" width="34.85546875" bestFit="1" customWidth="1"/>
    <col min="30" max="37" width="10.7109375" customWidth="1"/>
  </cols>
  <sheetData>
    <row r="1" spans="2:29" ht="14.25" customHeight="1" x14ac:dyDescent="0.25">
      <c r="B1" s="54"/>
      <c r="C1" s="54"/>
      <c r="D1" s="54"/>
      <c r="E1" s="54"/>
      <c r="F1" s="54"/>
      <c r="G1" s="54"/>
      <c r="H1" s="54"/>
    </row>
    <row r="2" spans="2:29" x14ac:dyDescent="0.25">
      <c r="B2" s="1" t="s">
        <v>268</v>
      </c>
      <c r="C2" s="1"/>
    </row>
    <row r="3" spans="2:29" ht="15.75" customHeight="1" thickBot="1" x14ac:dyDescent="0.3">
      <c r="K3" s="15"/>
    </row>
    <row r="4" spans="2:29" ht="35.1" customHeight="1" x14ac:dyDescent="0.25">
      <c r="B4" s="422" t="s">
        <v>0</v>
      </c>
      <c r="C4" s="424" t="s">
        <v>775</v>
      </c>
      <c r="D4" s="426" t="s">
        <v>774</v>
      </c>
      <c r="E4" s="424" t="s">
        <v>776</v>
      </c>
      <c r="F4" s="426" t="s">
        <v>777</v>
      </c>
      <c r="G4" s="428" t="s">
        <v>778</v>
      </c>
      <c r="H4" s="419" t="s">
        <v>1</v>
      </c>
      <c r="K4" s="63"/>
    </row>
    <row r="5" spans="2:29" ht="43.5" customHeight="1" thickBot="1" x14ac:dyDescent="0.3">
      <c r="B5" s="423"/>
      <c r="C5" s="425"/>
      <c r="D5" s="427"/>
      <c r="E5" s="425"/>
      <c r="F5" s="427"/>
      <c r="G5" s="429"/>
      <c r="H5" s="420"/>
      <c r="K5" s="421" t="s">
        <v>69</v>
      </c>
      <c r="L5" s="421"/>
      <c r="M5" s="33"/>
      <c r="Q5" s="1" t="s">
        <v>222</v>
      </c>
      <c r="R5" s="1"/>
      <c r="V5" s="1"/>
      <c r="Z5" s="1"/>
    </row>
    <row r="6" spans="2:29" ht="15" customHeight="1" thickBot="1" x14ac:dyDescent="0.3">
      <c r="B6" s="170">
        <f>Assumptions!$D$9</f>
        <v>2026</v>
      </c>
      <c r="C6" s="191">
        <f>IFERROR(_xlfn.XLOOKUP($B6,$Q$8:$Q$43,$T$8:$T$43,0,0,1),0)</f>
        <v>458638.14190423954</v>
      </c>
      <c r="D6" s="190">
        <f>IFERROR(_xlfn.XLOOKUP($B6,$Q$8:$Q$43,$U$8:$U$43,0,0,1),0)</f>
        <v>49930.405715308196</v>
      </c>
      <c r="E6" s="191">
        <f>IFERROR(_xlfn.XLOOKUP($B6,$Q$8:$Q$43,$X$8:$X$43,0,0,1),0)</f>
        <v>0</v>
      </c>
      <c r="F6" s="190">
        <f>IFERROR(_xlfn.XLOOKUP($B6,$Q$8:$Q$43,$Y$8:$Y$43,0,0,1),0)</f>
        <v>0</v>
      </c>
      <c r="G6" s="189">
        <f>D6-F6</f>
        <v>49930.405715308196</v>
      </c>
      <c r="H6" s="188">
        <f>G6*(1+0.07)^-(B6-Assumptions!$D$7)</f>
        <v>35599.689211027107</v>
      </c>
      <c r="K6" s="27" t="s">
        <v>215</v>
      </c>
      <c r="L6" s="22">
        <f>'Gravel Road VOC Citation'!$R$47</f>
        <v>0.10886666666666663</v>
      </c>
      <c r="M6" t="s">
        <v>217</v>
      </c>
      <c r="R6" s="416" t="s">
        <v>36</v>
      </c>
      <c r="S6" s="417"/>
      <c r="T6" s="417"/>
      <c r="U6" s="418"/>
      <c r="V6" s="416" t="s">
        <v>14</v>
      </c>
      <c r="W6" s="417"/>
      <c r="X6" s="417"/>
      <c r="Y6" s="418"/>
      <c r="Z6" s="416" t="s">
        <v>135</v>
      </c>
      <c r="AA6" s="417"/>
      <c r="AB6" s="417"/>
      <c r="AC6" s="418"/>
    </row>
    <row r="7" spans="2:29" ht="15.75" thickBot="1" x14ac:dyDescent="0.3">
      <c r="B7" s="187">
        <f t="shared" ref="B7:B41" si="0">B6+1</f>
        <v>2027</v>
      </c>
      <c r="C7" s="186">
        <f t="shared" ref="C7:C41" si="1">IFERROR(_xlfn.XLOOKUP($B7,$Q$8:$Q$43,$T$8:$T$43,0,0,1),0)</f>
        <v>461737.04826845694</v>
      </c>
      <c r="D7" s="190">
        <f t="shared" ref="D7:D41" si="2">IFERROR(_xlfn.XLOOKUP($B7,$Q$8:$Q$43,$U$8:$U$43,0,0,1),0)</f>
        <v>50267.773321492663</v>
      </c>
      <c r="E7" s="186">
        <f t="shared" ref="E7:E41" si="3">IFERROR(_xlfn.XLOOKUP($B7,$Q$8:$Q$43,$X$8:$X$43,0,0,1),0)</f>
        <v>0</v>
      </c>
      <c r="F7" s="185">
        <f t="shared" ref="F7:F41" si="4">IFERROR(_xlfn.XLOOKUP($B7,$Q$8:$Q$43,$Y$8:$Y$43,0,0,1),0)</f>
        <v>0</v>
      </c>
      <c r="G7" s="184">
        <f t="shared" ref="G7:G41" si="5">D7-F7</f>
        <v>50267.773321492663</v>
      </c>
      <c r="H7" s="183">
        <f>G7*(1+0.07)^-(B7-Assumptions!$D$7)</f>
        <v>33495.539861347781</v>
      </c>
      <c r="K7" s="27" t="s">
        <v>216</v>
      </c>
      <c r="L7" s="22">
        <f>'Gravel Road VOC Citation'!$R$48</f>
        <v>0.17674999999999982</v>
      </c>
      <c r="M7" t="s">
        <v>217</v>
      </c>
      <c r="Q7" s="111" t="s">
        <v>33</v>
      </c>
      <c r="R7" s="112" t="s">
        <v>131</v>
      </c>
      <c r="S7" s="108" t="s">
        <v>132</v>
      </c>
      <c r="T7" s="98" t="s">
        <v>189</v>
      </c>
      <c r="U7" s="113" t="s">
        <v>782</v>
      </c>
      <c r="V7" s="112" t="s">
        <v>131</v>
      </c>
      <c r="W7" s="108" t="s">
        <v>132</v>
      </c>
      <c r="X7" s="98" t="s">
        <v>189</v>
      </c>
      <c r="Y7" s="113" t="s">
        <v>782</v>
      </c>
      <c r="Z7" s="112" t="s">
        <v>133</v>
      </c>
      <c r="AA7" s="108" t="s">
        <v>134</v>
      </c>
      <c r="AB7" s="98" t="s">
        <v>185</v>
      </c>
      <c r="AC7" s="113" t="s">
        <v>783</v>
      </c>
    </row>
    <row r="8" spans="2:29" x14ac:dyDescent="0.25">
      <c r="B8" s="187">
        <f t="shared" si="0"/>
        <v>2028</v>
      </c>
      <c r="C8" s="186">
        <f t="shared" si="1"/>
        <v>464835.95463267528</v>
      </c>
      <c r="D8" s="190">
        <f t="shared" si="2"/>
        <v>50605.140927677232</v>
      </c>
      <c r="E8" s="186">
        <f t="shared" si="3"/>
        <v>0</v>
      </c>
      <c r="F8" s="185">
        <f t="shared" si="4"/>
        <v>0</v>
      </c>
      <c r="G8" s="184">
        <f t="shared" si="5"/>
        <v>50605.140927677232</v>
      </c>
      <c r="H8" s="183">
        <f>G8*(1+0.07)^-(B8-Assumptions!$D$7)</f>
        <v>31514.338450744352</v>
      </c>
      <c r="J8" s="16"/>
      <c r="Q8" s="76">
        <v>2025</v>
      </c>
      <c r="R8" s="77">
        <f>IF(Q8&gt;=(Assumptions!$D$32+1),IF(Q8&lt;=Assumptions!$D$10,IF(Q8&gt;=Assumptions!$D$32,TREND($L$16:$L$17,$K$16:$K$17,Q8),0),0),0)</f>
        <v>0</v>
      </c>
      <c r="S8" s="107">
        <f>IF(Q8&gt;=(Assumptions!$D$32+1),IF(Q8&lt;=Assumptions!$D$10,IF(Q8&gt;=Assumptions!$D$32,TREND($L$23:$L$24,$K$23:$K$24,Q8),0),0),0)</f>
        <v>0</v>
      </c>
      <c r="T8" s="97">
        <f>SUM(R8:S8)</f>
        <v>0</v>
      </c>
      <c r="U8" s="106">
        <f>($L$6*R8)+($L$7*S8)</f>
        <v>0</v>
      </c>
      <c r="V8" s="77">
        <f>IF(Q8&gt;=(Assumptions!$D$32+1),IF(Q8&lt;=Assumptions!$D$10,IF(Q8&gt;=Assumptions!$D$32,TREND($N$16:$N$17,$M$16:$M$17,Q8),0),0),0)</f>
        <v>0</v>
      </c>
      <c r="W8" s="107">
        <f>IF(Q8&gt;=(Assumptions!$D$32+1),IF(Q8&lt;=Assumptions!$D$10,IF(Q8&gt;=Assumptions!$D$32,TREND($N$23:$N$24,$M$23:$M$24,Q8),0),0),0)</f>
        <v>0</v>
      </c>
      <c r="X8" s="97">
        <f>SUM(V8:W8)</f>
        <v>0</v>
      </c>
      <c r="Y8" s="106">
        <f>($L$6*V8)+($L$7*W8)</f>
        <v>0</v>
      </c>
      <c r="Z8" s="77">
        <f>R8-V8</f>
        <v>0</v>
      </c>
      <c r="AA8" s="107">
        <f>S8-W8</f>
        <v>0</v>
      </c>
      <c r="AB8" s="97">
        <f>SUM(Z8:AA8)</f>
        <v>0</v>
      </c>
      <c r="AC8" s="106">
        <f>U8-Y8</f>
        <v>0</v>
      </c>
    </row>
    <row r="9" spans="2:29" ht="15" customHeight="1" x14ac:dyDescent="0.25">
      <c r="B9" s="187">
        <f t="shared" si="0"/>
        <v>2029</v>
      </c>
      <c r="C9" s="186">
        <f t="shared" si="1"/>
        <v>467934.86099689268</v>
      </c>
      <c r="D9" s="190">
        <f t="shared" si="2"/>
        <v>50942.508533861699</v>
      </c>
      <c r="E9" s="186">
        <f t="shared" si="3"/>
        <v>0</v>
      </c>
      <c r="F9" s="185">
        <f t="shared" si="4"/>
        <v>0</v>
      </c>
      <c r="G9" s="184">
        <f t="shared" si="5"/>
        <v>50942.508533861699</v>
      </c>
      <c r="H9" s="183">
        <f>G9*(1+0.07)^-(B9-Assumptions!$D$7)</f>
        <v>29649.003776089674</v>
      </c>
      <c r="K9" s="19" t="s">
        <v>65</v>
      </c>
      <c r="L9" s="19"/>
      <c r="Q9" s="74">
        <v>2026</v>
      </c>
      <c r="R9" s="71">
        <f>IF(Q9&gt;=(Assumptions!$D$32+1),IF(Q9&lt;=Assumptions!$D$10,IF(Q9&gt;=Assumptions!$D$32,TREND($L$16:$L$17,$K$16:$K$17,Q9),0),0),0)</f>
        <v>458638.14190423954</v>
      </c>
      <c r="S9" s="104">
        <f>IF(Q9&gt;=(Assumptions!$D$32+1),IF(Q9&lt;=Assumptions!$D$10,IF(Q9&gt;=Assumptions!$D$32,TREND($L$23:$L$24,$K$23:$K$24,Q9),0),0),0)</f>
        <v>0</v>
      </c>
      <c r="T9" s="110">
        <f t="shared" ref="T9:T43" si="6">SUM(R9:S9)</f>
        <v>458638.14190423954</v>
      </c>
      <c r="U9" s="103">
        <f t="shared" ref="U9:U43" si="7">($L$6*R9)+($L$7*S9)</f>
        <v>49930.405715308196</v>
      </c>
      <c r="V9" s="71">
        <f>IF(Q9&gt;=(Assumptions!$D$32+1),IF(Q9&lt;=Assumptions!$D$10,IF(Q9&gt;=Assumptions!$D$32,TREND($N$16:$N$17,$M$16:$M$17,Q9),0),0),0)</f>
        <v>0</v>
      </c>
      <c r="W9" s="104">
        <f>IF(Q9&gt;=(Assumptions!$D$32+1),IF(Q9&lt;=Assumptions!$D$10,IF(Q9&gt;=Assumptions!$D$32,TREND($N$23:$N$24,$M$23:$M$24,Q9),0),0),0)</f>
        <v>0</v>
      </c>
      <c r="X9" s="110">
        <f t="shared" ref="X9:X43" si="8">SUM(V9:W9)</f>
        <v>0</v>
      </c>
      <c r="Y9" s="103">
        <f t="shared" ref="Y9:Y43" si="9">($L$6*V9)+($L$7*W9)</f>
        <v>0</v>
      </c>
      <c r="Z9" s="71">
        <f t="shared" ref="Z9:Z43" si="10">R9-V9</f>
        <v>458638.14190423954</v>
      </c>
      <c r="AA9" s="104">
        <f t="shared" ref="AA9:AA43" si="11">S9-W9</f>
        <v>0</v>
      </c>
      <c r="AB9" s="110">
        <f t="shared" ref="AB9:AB43" si="12">SUM(Z9:AA9)</f>
        <v>458638.14190423954</v>
      </c>
      <c r="AC9" s="103">
        <f t="shared" ref="AC9:AC43" si="13">U9-Y9</f>
        <v>49930.405715308196</v>
      </c>
    </row>
    <row r="10" spans="2:29" x14ac:dyDescent="0.25">
      <c r="B10" s="187">
        <f t="shared" si="0"/>
        <v>2030</v>
      </c>
      <c r="C10" s="186">
        <f t="shared" si="1"/>
        <v>471033.76736111101</v>
      </c>
      <c r="D10" s="190">
        <f t="shared" si="2"/>
        <v>51279.876140046268</v>
      </c>
      <c r="E10" s="186">
        <f t="shared" si="3"/>
        <v>0</v>
      </c>
      <c r="F10" s="185">
        <f t="shared" si="4"/>
        <v>0</v>
      </c>
      <c r="G10" s="184">
        <f t="shared" si="5"/>
        <v>51279.876140046268</v>
      </c>
      <c r="H10" s="183">
        <f>G10*(1+0.07)^-(B10-Assumptions!$D$7)</f>
        <v>27892.854948106924</v>
      </c>
      <c r="K10" s="27" t="s">
        <v>62</v>
      </c>
      <c r="L10" s="34">
        <f>Assumptions!$D$14</f>
        <v>0.92105263157894735</v>
      </c>
      <c r="Q10" s="74">
        <v>2027</v>
      </c>
      <c r="R10" s="71">
        <f>IF(Q10&gt;=(Assumptions!$D$32+1),IF(Q10&lt;=Assumptions!$D$10,IF(Q10&gt;=Assumptions!$D$32,TREND($L$16:$L$17,$K$16:$K$17,Q10),0),0),0)</f>
        <v>461737.04826845694</v>
      </c>
      <c r="S10" s="104">
        <f>IF(Q10&gt;=(Assumptions!$D$32+1),IF(Q10&lt;=Assumptions!$D$10,IF(Q10&gt;=Assumptions!$D$32,TREND($L$23:$L$24,$K$23:$K$24,Q10),0),0),0)</f>
        <v>0</v>
      </c>
      <c r="T10" s="110">
        <f t="shared" si="6"/>
        <v>461737.04826845694</v>
      </c>
      <c r="U10" s="103">
        <f t="shared" si="7"/>
        <v>50267.773321492663</v>
      </c>
      <c r="V10" s="71">
        <f>IF(Q10&gt;=(Assumptions!$D$32+1),IF(Q10&lt;=Assumptions!$D$10,IF(Q10&gt;=Assumptions!$D$32,TREND($N$16:$N$17,$M$16:$M$17,Q10),0),0),0)</f>
        <v>0</v>
      </c>
      <c r="W10" s="104">
        <f>IF(Q10&gt;=(Assumptions!$D$32+1),IF(Q10&lt;=Assumptions!$D$10,IF(Q10&gt;=Assumptions!$D$32,TREND($N$23:$N$24,$M$23:$M$24,Q10),0),0),0)</f>
        <v>0</v>
      </c>
      <c r="X10" s="110">
        <f t="shared" si="8"/>
        <v>0</v>
      </c>
      <c r="Y10" s="103">
        <f t="shared" si="9"/>
        <v>0</v>
      </c>
      <c r="Z10" s="71">
        <f t="shared" si="10"/>
        <v>461737.04826845694</v>
      </c>
      <c r="AA10" s="104">
        <f t="shared" si="11"/>
        <v>0</v>
      </c>
      <c r="AB10" s="110">
        <f t="shared" si="12"/>
        <v>461737.04826845694</v>
      </c>
      <c r="AC10" s="103">
        <f t="shared" si="13"/>
        <v>50267.773321492663</v>
      </c>
    </row>
    <row r="11" spans="2:29" x14ac:dyDescent="0.25">
      <c r="B11" s="187">
        <f t="shared" si="0"/>
        <v>2031</v>
      </c>
      <c r="C11" s="186">
        <f t="shared" si="1"/>
        <v>474132.67372532841</v>
      </c>
      <c r="D11" s="190">
        <f t="shared" si="2"/>
        <v>51617.243746230735</v>
      </c>
      <c r="E11" s="186">
        <f t="shared" si="3"/>
        <v>0</v>
      </c>
      <c r="F11" s="185">
        <f t="shared" si="4"/>
        <v>0</v>
      </c>
      <c r="G11" s="184">
        <f t="shared" si="5"/>
        <v>51617.243746230735</v>
      </c>
      <c r="H11" s="183">
        <f>G11*(1+0.07)^-(B11-Assumptions!$D$7)</f>
        <v>26239.589320341584</v>
      </c>
      <c r="K11" s="27" t="s">
        <v>57</v>
      </c>
      <c r="L11" s="34">
        <f>Assumptions!$D$15</f>
        <v>7.8947368421052627E-2</v>
      </c>
      <c r="Q11" s="74">
        <v>2028</v>
      </c>
      <c r="R11" s="71">
        <f>IF(Q11&gt;=(Assumptions!$D$32+1),IF(Q11&lt;=Assumptions!$D$10,IF(Q11&gt;=Assumptions!$D$32,TREND($L$16:$L$17,$K$16:$K$17,Q11),0),0),0)</f>
        <v>464835.95463267528</v>
      </c>
      <c r="S11" s="104">
        <f>IF(Q11&gt;=(Assumptions!$D$32+1),IF(Q11&lt;=Assumptions!$D$10,IF(Q11&gt;=Assumptions!$D$32,TREND($L$23:$L$24,$K$23:$K$24,Q11),0),0),0)</f>
        <v>0</v>
      </c>
      <c r="T11" s="110">
        <f t="shared" si="6"/>
        <v>464835.95463267528</v>
      </c>
      <c r="U11" s="103">
        <f t="shared" si="7"/>
        <v>50605.140927677232</v>
      </c>
      <c r="V11" s="71">
        <f>IF(Q11&gt;=(Assumptions!$D$32+1),IF(Q11&lt;=Assumptions!$D$10,IF(Q11&gt;=Assumptions!$D$32,TREND($N$16:$N$17,$M$16:$M$17,Q11),0),0),0)</f>
        <v>0</v>
      </c>
      <c r="W11" s="104">
        <f>IF(Q11&gt;=(Assumptions!$D$32+1),IF(Q11&lt;=Assumptions!$D$10,IF(Q11&gt;=Assumptions!$D$32,TREND($N$23:$N$24,$M$23:$M$24,Q11),0),0),0)</f>
        <v>0</v>
      </c>
      <c r="X11" s="110">
        <f t="shared" si="8"/>
        <v>0</v>
      </c>
      <c r="Y11" s="103">
        <f t="shared" si="9"/>
        <v>0</v>
      </c>
      <c r="Z11" s="71">
        <f t="shared" si="10"/>
        <v>464835.95463267528</v>
      </c>
      <c r="AA11" s="104">
        <f t="shared" si="11"/>
        <v>0</v>
      </c>
      <c r="AB11" s="110">
        <f t="shared" si="12"/>
        <v>464835.95463267528</v>
      </c>
      <c r="AC11" s="103">
        <f t="shared" si="13"/>
        <v>50605.140927677232</v>
      </c>
    </row>
    <row r="12" spans="2:29" x14ac:dyDescent="0.25">
      <c r="B12" s="187">
        <f t="shared" si="0"/>
        <v>2032</v>
      </c>
      <c r="C12" s="186">
        <f t="shared" si="1"/>
        <v>477231.58008954674</v>
      </c>
      <c r="D12" s="190">
        <f t="shared" si="2"/>
        <v>51954.611352415304</v>
      </c>
      <c r="E12" s="186">
        <f t="shared" si="3"/>
        <v>0</v>
      </c>
      <c r="F12" s="185">
        <f t="shared" si="4"/>
        <v>0</v>
      </c>
      <c r="G12" s="184">
        <f t="shared" si="5"/>
        <v>51954.611352415304</v>
      </c>
      <c r="H12" s="183">
        <f>G12*(1+0.07)^-(B12-Assumptions!$D$7)</f>
        <v>24683.261592649244</v>
      </c>
      <c r="Q12" s="74">
        <v>2029</v>
      </c>
      <c r="R12" s="71">
        <f>IF(Q12&gt;=(Assumptions!$D$32+1),IF(Q12&lt;=Assumptions!$D$10,IF(Q12&gt;=Assumptions!$D$32,TREND($L$16:$L$17,$K$16:$K$17,Q12),0),0),0)</f>
        <v>467934.86099689268</v>
      </c>
      <c r="S12" s="104">
        <f>IF(Q12&gt;=(Assumptions!$D$32+1),IF(Q12&lt;=Assumptions!$D$10,IF(Q12&gt;=Assumptions!$D$32,TREND($L$23:$L$24,$K$23:$K$24,Q12),0),0),0)</f>
        <v>0</v>
      </c>
      <c r="T12" s="110">
        <f t="shared" si="6"/>
        <v>467934.86099689268</v>
      </c>
      <c r="U12" s="103">
        <f t="shared" si="7"/>
        <v>50942.508533861699</v>
      </c>
      <c r="V12" s="71">
        <f>IF(Q12&gt;=(Assumptions!$D$32+1),IF(Q12&lt;=Assumptions!$D$10,IF(Q12&gt;=Assumptions!$D$32,TREND($N$16:$N$17,$M$16:$M$17,Q12),0),0),0)</f>
        <v>0</v>
      </c>
      <c r="W12" s="104">
        <f>IF(Q12&gt;=(Assumptions!$D$32+1),IF(Q12&lt;=Assumptions!$D$10,IF(Q12&gt;=Assumptions!$D$32,TREND($N$23:$N$24,$M$23:$M$24,Q12),0),0),0)</f>
        <v>0</v>
      </c>
      <c r="X12" s="110">
        <f t="shared" si="8"/>
        <v>0</v>
      </c>
      <c r="Y12" s="103">
        <f t="shared" si="9"/>
        <v>0</v>
      </c>
      <c r="Z12" s="71">
        <f t="shared" si="10"/>
        <v>467934.86099689268</v>
      </c>
      <c r="AA12" s="104">
        <f t="shared" si="11"/>
        <v>0</v>
      </c>
      <c r="AB12" s="110">
        <f t="shared" si="12"/>
        <v>467934.86099689268</v>
      </c>
      <c r="AC12" s="103">
        <f t="shared" si="13"/>
        <v>50942.508533861699</v>
      </c>
    </row>
    <row r="13" spans="2:29" ht="15" customHeight="1" x14ac:dyDescent="0.25">
      <c r="B13" s="187">
        <f t="shared" si="0"/>
        <v>2033</v>
      </c>
      <c r="C13" s="186">
        <f t="shared" si="1"/>
        <v>480330.48645376414</v>
      </c>
      <c r="D13" s="190">
        <f t="shared" si="2"/>
        <v>52291.978958599771</v>
      </c>
      <c r="E13" s="186">
        <f t="shared" si="3"/>
        <v>0</v>
      </c>
      <c r="F13" s="185">
        <f t="shared" si="4"/>
        <v>0</v>
      </c>
      <c r="G13" s="184">
        <f t="shared" si="5"/>
        <v>52291.978958599771</v>
      </c>
      <c r="H13" s="183">
        <f>G13*(1+0.07)^-(B13-Assumptions!$D$7)</f>
        <v>23218.264029983187</v>
      </c>
      <c r="K13" s="38" t="s">
        <v>670</v>
      </c>
      <c r="Q13" s="74">
        <v>2030</v>
      </c>
      <c r="R13" s="71">
        <f>IF(Q13&gt;=(Assumptions!$D$32+1),IF(Q13&lt;=Assumptions!$D$10,IF(Q13&gt;=Assumptions!$D$32,TREND($L$16:$L$17,$K$16:$K$17,Q13),0),0),0)</f>
        <v>471033.76736111101</v>
      </c>
      <c r="S13" s="104">
        <f>IF(Q13&gt;=(Assumptions!$D$32+1),IF(Q13&lt;=Assumptions!$D$10,IF(Q13&gt;=Assumptions!$D$32,TREND($L$23:$L$24,$K$23:$K$24,Q13),0),0),0)</f>
        <v>0</v>
      </c>
      <c r="T13" s="110">
        <f t="shared" si="6"/>
        <v>471033.76736111101</v>
      </c>
      <c r="U13" s="103">
        <f t="shared" si="7"/>
        <v>51279.876140046268</v>
      </c>
      <c r="V13" s="71">
        <f>IF(Q13&gt;=(Assumptions!$D$32+1),IF(Q13&lt;=Assumptions!$D$10,IF(Q13&gt;=Assumptions!$D$32,TREND($N$16:$N$17,$M$16:$M$17,Q13),0),0),0)</f>
        <v>0</v>
      </c>
      <c r="W13" s="104">
        <f>IF(Q13&gt;=(Assumptions!$D$32+1),IF(Q13&lt;=Assumptions!$D$10,IF(Q13&gt;=Assumptions!$D$32,TREND($N$23:$N$24,$M$23:$M$24,Q13),0),0),0)</f>
        <v>0</v>
      </c>
      <c r="X13" s="110">
        <f t="shared" si="8"/>
        <v>0</v>
      </c>
      <c r="Y13" s="103">
        <f t="shared" si="9"/>
        <v>0</v>
      </c>
      <c r="Z13" s="71">
        <f t="shared" si="10"/>
        <v>471033.76736111101</v>
      </c>
      <c r="AA13" s="104">
        <f t="shared" si="11"/>
        <v>0</v>
      </c>
      <c r="AB13" s="110">
        <f t="shared" si="12"/>
        <v>471033.76736111101</v>
      </c>
      <c r="AC13" s="103">
        <f t="shared" si="13"/>
        <v>51279.876140046268</v>
      </c>
    </row>
    <row r="14" spans="2:29" x14ac:dyDescent="0.25">
      <c r="B14" s="187">
        <f t="shared" si="0"/>
        <v>2034</v>
      </c>
      <c r="C14" s="186">
        <f t="shared" si="1"/>
        <v>483429.39281798247</v>
      </c>
      <c r="D14" s="190">
        <f t="shared" si="2"/>
        <v>52629.34656478434</v>
      </c>
      <c r="E14" s="186">
        <f t="shared" si="3"/>
        <v>0</v>
      </c>
      <c r="F14" s="185">
        <f t="shared" si="4"/>
        <v>0</v>
      </c>
      <c r="G14" s="184">
        <f t="shared" si="5"/>
        <v>52629.34656478434</v>
      </c>
      <c r="H14" s="183">
        <f>G14*(1+0.07)^-(B14-Assumptions!$D$7)</f>
        <v>21839.307739990236</v>
      </c>
      <c r="K14" s="42" t="s">
        <v>58</v>
      </c>
      <c r="L14" s="44"/>
      <c r="M14" s="42" t="s">
        <v>59</v>
      </c>
      <c r="N14" s="44"/>
      <c r="Q14" s="74">
        <v>2031</v>
      </c>
      <c r="R14" s="71">
        <f>IF(Q14&gt;=(Assumptions!$D$32+1),IF(Q14&lt;=Assumptions!$D$10,IF(Q14&gt;=Assumptions!$D$32,TREND($L$16:$L$17,$K$16:$K$17,Q14),0),0),0)</f>
        <v>474132.67372532841</v>
      </c>
      <c r="S14" s="104">
        <f>IF(Q14&gt;=(Assumptions!$D$32+1),IF(Q14&lt;=Assumptions!$D$10,IF(Q14&gt;=Assumptions!$D$32,TREND($L$23:$L$24,$K$23:$K$24,Q14),0),0),0)</f>
        <v>0</v>
      </c>
      <c r="T14" s="110">
        <f t="shared" si="6"/>
        <v>474132.67372532841</v>
      </c>
      <c r="U14" s="103">
        <f t="shared" si="7"/>
        <v>51617.243746230735</v>
      </c>
      <c r="V14" s="71">
        <f>IF(Q14&gt;=(Assumptions!$D$32+1),IF(Q14&lt;=Assumptions!$D$10,IF(Q14&gt;=Assumptions!$D$32,TREND($N$16:$N$17,$M$16:$M$17,Q14),0),0),0)</f>
        <v>0</v>
      </c>
      <c r="W14" s="104">
        <f>IF(Q14&gt;=(Assumptions!$D$32+1),IF(Q14&lt;=Assumptions!$D$10,IF(Q14&gt;=Assumptions!$D$32,TREND($N$23:$N$24,$M$23:$M$24,Q14),0),0),0)</f>
        <v>0</v>
      </c>
      <c r="X14" s="110">
        <f t="shared" si="8"/>
        <v>0</v>
      </c>
      <c r="Y14" s="103">
        <f t="shared" si="9"/>
        <v>0</v>
      </c>
      <c r="Z14" s="71">
        <f t="shared" si="10"/>
        <v>474132.67372532841</v>
      </c>
      <c r="AA14" s="104">
        <f t="shared" si="11"/>
        <v>0</v>
      </c>
      <c r="AB14" s="110">
        <f t="shared" si="12"/>
        <v>474132.67372532841</v>
      </c>
      <c r="AC14" s="103">
        <f t="shared" si="13"/>
        <v>51617.243746230735</v>
      </c>
    </row>
    <row r="15" spans="2:29" x14ac:dyDescent="0.25">
      <c r="B15" s="187">
        <f t="shared" si="0"/>
        <v>2035</v>
      </c>
      <c r="C15" s="186">
        <f t="shared" si="1"/>
        <v>486528.29918219987</v>
      </c>
      <c r="D15" s="190">
        <f t="shared" si="2"/>
        <v>52966.714170968808</v>
      </c>
      <c r="E15" s="186">
        <f t="shared" si="3"/>
        <v>0</v>
      </c>
      <c r="F15" s="185">
        <f t="shared" si="4"/>
        <v>0</v>
      </c>
      <c r="G15" s="184">
        <f t="shared" si="5"/>
        <v>52966.714170968808</v>
      </c>
      <c r="H15" s="183">
        <f>G15*(1+0.07)^-(B15-Assumptions!$D$7)</f>
        <v>20541.404955538368</v>
      </c>
      <c r="K15" s="26" t="s">
        <v>33</v>
      </c>
      <c r="L15" s="25" t="s">
        <v>76</v>
      </c>
      <c r="M15" s="26" t="s">
        <v>33</v>
      </c>
      <c r="N15" s="25" t="s">
        <v>76</v>
      </c>
      <c r="Q15" s="74">
        <v>2032</v>
      </c>
      <c r="R15" s="71">
        <f>IF(Q15&gt;=(Assumptions!$D$32+1),IF(Q15&lt;=Assumptions!$D$10,IF(Q15&gt;=Assumptions!$D$32,TREND($L$16:$L$17,$K$16:$K$17,Q15),0),0),0)</f>
        <v>477231.58008954674</v>
      </c>
      <c r="S15" s="104">
        <f>IF(Q15&gt;=(Assumptions!$D$32+1),IF(Q15&lt;=Assumptions!$D$10,IF(Q15&gt;=Assumptions!$D$32,TREND($L$23:$L$24,$K$23:$K$24,Q15),0),0),0)</f>
        <v>0</v>
      </c>
      <c r="T15" s="110">
        <f t="shared" si="6"/>
        <v>477231.58008954674</v>
      </c>
      <c r="U15" s="103">
        <f t="shared" si="7"/>
        <v>51954.611352415304</v>
      </c>
      <c r="V15" s="71">
        <f>IF(Q15&gt;=(Assumptions!$D$32+1),IF(Q15&lt;=Assumptions!$D$10,IF(Q15&gt;=Assumptions!$D$32,TREND($N$16:$N$17,$M$16:$M$17,Q15),0),0),0)</f>
        <v>0</v>
      </c>
      <c r="W15" s="104">
        <f>IF(Q15&gt;=(Assumptions!$D$32+1),IF(Q15&lt;=Assumptions!$D$10,IF(Q15&gt;=Assumptions!$D$32,TREND($N$23:$N$24,$M$23:$M$24,Q15),0),0),0)</f>
        <v>0</v>
      </c>
      <c r="X15" s="110">
        <f t="shared" si="8"/>
        <v>0</v>
      </c>
      <c r="Y15" s="103">
        <f t="shared" si="9"/>
        <v>0</v>
      </c>
      <c r="Z15" s="71">
        <f t="shared" si="10"/>
        <v>477231.58008954674</v>
      </c>
      <c r="AA15" s="104">
        <f t="shared" si="11"/>
        <v>0</v>
      </c>
      <c r="AB15" s="110">
        <f t="shared" si="12"/>
        <v>477231.58008954674</v>
      </c>
      <c r="AC15" s="103">
        <f t="shared" si="13"/>
        <v>51954.611352415304</v>
      </c>
    </row>
    <row r="16" spans="2:29" x14ac:dyDescent="0.25">
      <c r="B16" s="187">
        <f t="shared" si="0"/>
        <v>2036</v>
      </c>
      <c r="C16" s="186">
        <f t="shared" si="1"/>
        <v>489627.20554641727</v>
      </c>
      <c r="D16" s="190">
        <f t="shared" si="2"/>
        <v>53304.081777153275</v>
      </c>
      <c r="E16" s="186">
        <f t="shared" si="3"/>
        <v>0</v>
      </c>
      <c r="F16" s="185">
        <f t="shared" si="4"/>
        <v>0</v>
      </c>
      <c r="G16" s="184">
        <f t="shared" si="5"/>
        <v>53304.081777153275</v>
      </c>
      <c r="H16" s="183">
        <f>G16*(1+0.07)^-(B16-Assumptions!$D$7)</f>
        <v>19319.852270820043</v>
      </c>
      <c r="K16" s="26">
        <f>Assumptions!$C$33</f>
        <v>2022</v>
      </c>
      <c r="L16" s="28">
        <f>'Operations Calculations'!$P$68</f>
        <v>446242.51644736849</v>
      </c>
      <c r="M16" s="26">
        <f>Assumptions!$C$33</f>
        <v>2022</v>
      </c>
      <c r="N16" s="28">
        <v>0</v>
      </c>
      <c r="Q16" s="74">
        <v>2033</v>
      </c>
      <c r="R16" s="71">
        <f>IF(Q16&gt;=(Assumptions!$D$32+1),IF(Q16&lt;=Assumptions!$D$10,IF(Q16&gt;=Assumptions!$D$32,TREND($L$16:$L$17,$K$16:$K$17,Q16),0),0),0)</f>
        <v>480330.48645376414</v>
      </c>
      <c r="S16" s="104">
        <f>IF(Q16&gt;=(Assumptions!$D$32+1),IF(Q16&lt;=Assumptions!$D$10,IF(Q16&gt;=Assumptions!$D$32,TREND($L$23:$L$24,$K$23:$K$24,Q16),0),0),0)</f>
        <v>0</v>
      </c>
      <c r="T16" s="110">
        <f t="shared" si="6"/>
        <v>480330.48645376414</v>
      </c>
      <c r="U16" s="103">
        <f t="shared" si="7"/>
        <v>52291.978958599771</v>
      </c>
      <c r="V16" s="71">
        <f>IF(Q16&gt;=(Assumptions!$D$32+1),IF(Q16&lt;=Assumptions!$D$10,IF(Q16&gt;=Assumptions!$D$32,TREND($N$16:$N$17,$M$16:$M$17,Q16),0),0),0)</f>
        <v>0</v>
      </c>
      <c r="W16" s="104">
        <f>IF(Q16&gt;=(Assumptions!$D$32+1),IF(Q16&lt;=Assumptions!$D$10,IF(Q16&gt;=Assumptions!$D$32,TREND($N$23:$N$24,$M$23:$M$24,Q16),0),0),0)</f>
        <v>0</v>
      </c>
      <c r="X16" s="110">
        <f t="shared" si="8"/>
        <v>0</v>
      </c>
      <c r="Y16" s="103">
        <f t="shared" si="9"/>
        <v>0</v>
      </c>
      <c r="Z16" s="71">
        <f t="shared" si="10"/>
        <v>480330.48645376414</v>
      </c>
      <c r="AA16" s="104">
        <f t="shared" si="11"/>
        <v>0</v>
      </c>
      <c r="AB16" s="110">
        <f t="shared" si="12"/>
        <v>480330.48645376414</v>
      </c>
      <c r="AC16" s="103">
        <f t="shared" si="13"/>
        <v>52291.978958599771</v>
      </c>
    </row>
    <row r="17" spans="1:29" x14ac:dyDescent="0.25">
      <c r="B17" s="187">
        <f t="shared" si="0"/>
        <v>2037</v>
      </c>
      <c r="C17" s="186">
        <f t="shared" si="1"/>
        <v>492726.11191063561</v>
      </c>
      <c r="D17" s="190">
        <f t="shared" si="2"/>
        <v>53641.449383337844</v>
      </c>
      <c r="E17" s="186">
        <f t="shared" si="3"/>
        <v>0</v>
      </c>
      <c r="F17" s="185">
        <f t="shared" si="4"/>
        <v>0</v>
      </c>
      <c r="G17" s="184">
        <f t="shared" si="5"/>
        <v>53641.449383337844</v>
      </c>
      <c r="H17" s="183">
        <f>G17*(1+0.07)^-(B17-Assumptions!$D$7)</f>
        <v>18170.214782091509</v>
      </c>
      <c r="K17" s="26">
        <f>Assumptions!$C$34</f>
        <v>2039</v>
      </c>
      <c r="L17" s="28">
        <f>'Operations Calculations'!$Q$68</f>
        <v>498923.92463907157</v>
      </c>
      <c r="M17" s="26">
        <f>Assumptions!$C$34</f>
        <v>2039</v>
      </c>
      <c r="N17" s="28">
        <v>0</v>
      </c>
      <c r="Q17" s="74">
        <v>2034</v>
      </c>
      <c r="R17" s="71">
        <f>IF(Q17&gt;=(Assumptions!$D$32+1),IF(Q17&lt;=Assumptions!$D$10,IF(Q17&gt;=Assumptions!$D$32,TREND($L$16:$L$17,$K$16:$K$17,Q17),0),0),0)</f>
        <v>483429.39281798247</v>
      </c>
      <c r="S17" s="104">
        <f>IF(Q17&gt;=(Assumptions!$D$32+1),IF(Q17&lt;=Assumptions!$D$10,IF(Q17&gt;=Assumptions!$D$32,TREND($L$23:$L$24,$K$23:$K$24,Q17),0),0),0)</f>
        <v>0</v>
      </c>
      <c r="T17" s="110">
        <f t="shared" si="6"/>
        <v>483429.39281798247</v>
      </c>
      <c r="U17" s="103">
        <f t="shared" si="7"/>
        <v>52629.34656478434</v>
      </c>
      <c r="V17" s="71">
        <f>IF(Q17&gt;=(Assumptions!$D$32+1),IF(Q17&lt;=Assumptions!$D$10,IF(Q17&gt;=Assumptions!$D$32,TREND($N$16:$N$17,$M$16:$M$17,Q17),0),0),0)</f>
        <v>0</v>
      </c>
      <c r="W17" s="104">
        <f>IF(Q17&gt;=(Assumptions!$D$32+1),IF(Q17&lt;=Assumptions!$D$10,IF(Q17&gt;=Assumptions!$D$32,TREND($N$23:$N$24,$M$23:$M$24,Q17),0),0),0)</f>
        <v>0</v>
      </c>
      <c r="X17" s="110">
        <f t="shared" si="8"/>
        <v>0</v>
      </c>
      <c r="Y17" s="103">
        <f t="shared" si="9"/>
        <v>0</v>
      </c>
      <c r="Z17" s="71">
        <f t="shared" si="10"/>
        <v>483429.39281798247</v>
      </c>
      <c r="AA17" s="104">
        <f t="shared" si="11"/>
        <v>0</v>
      </c>
      <c r="AB17" s="110">
        <f t="shared" si="12"/>
        <v>483429.39281798247</v>
      </c>
      <c r="AC17" s="103">
        <f t="shared" si="13"/>
        <v>52629.34656478434</v>
      </c>
    </row>
    <row r="18" spans="1:29" x14ac:dyDescent="0.25">
      <c r="B18" s="187">
        <f t="shared" si="0"/>
        <v>2038</v>
      </c>
      <c r="C18" s="186">
        <f t="shared" si="1"/>
        <v>495825.01827485301</v>
      </c>
      <c r="D18" s="190">
        <f t="shared" si="2"/>
        <v>53978.816989522311</v>
      </c>
      <c r="E18" s="186">
        <f t="shared" si="3"/>
        <v>0</v>
      </c>
      <c r="F18" s="185">
        <f t="shared" si="4"/>
        <v>0</v>
      </c>
      <c r="G18" s="184">
        <f t="shared" si="5"/>
        <v>53978.816989522311</v>
      </c>
      <c r="H18" s="183">
        <f>G18*(1+0.07)^-(B18-Assumptions!$D$7)</f>
        <v>17088.311086431779</v>
      </c>
      <c r="K18" s="15" t="s">
        <v>780</v>
      </c>
      <c r="L18" s="3"/>
      <c r="M18" s="3"/>
      <c r="N18" s="3"/>
      <c r="Q18" s="74">
        <v>2035</v>
      </c>
      <c r="R18" s="71">
        <f>IF(Q18&gt;=(Assumptions!$D$32+1),IF(Q18&lt;=Assumptions!$D$10,IF(Q18&gt;=Assumptions!$D$32,TREND($L$16:$L$17,$K$16:$K$17,Q18),0),0),0)</f>
        <v>486528.29918219987</v>
      </c>
      <c r="S18" s="104">
        <f>IF(Q18&gt;=(Assumptions!$D$32+1),IF(Q18&lt;=Assumptions!$D$10,IF(Q18&gt;=Assumptions!$D$32,TREND($L$23:$L$24,$K$23:$K$24,Q18),0),0),0)</f>
        <v>0</v>
      </c>
      <c r="T18" s="110">
        <f t="shared" si="6"/>
        <v>486528.29918219987</v>
      </c>
      <c r="U18" s="103">
        <f t="shared" si="7"/>
        <v>52966.714170968808</v>
      </c>
      <c r="V18" s="71">
        <f>IF(Q18&gt;=(Assumptions!$D$32+1),IF(Q18&lt;=Assumptions!$D$10,IF(Q18&gt;=Assumptions!$D$32,TREND($N$16:$N$17,$M$16:$M$17,Q18),0),0),0)</f>
        <v>0</v>
      </c>
      <c r="W18" s="104">
        <f>IF(Q18&gt;=(Assumptions!$D$32+1),IF(Q18&lt;=Assumptions!$D$10,IF(Q18&gt;=Assumptions!$D$32,TREND($N$23:$N$24,$M$23:$M$24,Q18),0),0),0)</f>
        <v>0</v>
      </c>
      <c r="X18" s="110">
        <f t="shared" si="8"/>
        <v>0</v>
      </c>
      <c r="Y18" s="103">
        <f t="shared" si="9"/>
        <v>0</v>
      </c>
      <c r="Z18" s="71">
        <f t="shared" si="10"/>
        <v>486528.29918219987</v>
      </c>
      <c r="AA18" s="104">
        <f t="shared" si="11"/>
        <v>0</v>
      </c>
      <c r="AB18" s="110">
        <f t="shared" si="12"/>
        <v>486528.29918219987</v>
      </c>
      <c r="AC18" s="103">
        <f t="shared" si="13"/>
        <v>52966.714170968808</v>
      </c>
    </row>
    <row r="19" spans="1:29" x14ac:dyDescent="0.25">
      <c r="B19" s="187">
        <f t="shared" si="0"/>
        <v>2039</v>
      </c>
      <c r="C19" s="186">
        <f t="shared" si="1"/>
        <v>498923.92463907134</v>
      </c>
      <c r="D19" s="190">
        <f t="shared" si="2"/>
        <v>54316.18459570688</v>
      </c>
      <c r="E19" s="186">
        <f t="shared" si="3"/>
        <v>0</v>
      </c>
      <c r="F19" s="185">
        <f t="shared" si="4"/>
        <v>0</v>
      </c>
      <c r="G19" s="184">
        <f t="shared" si="5"/>
        <v>54316.18459570688</v>
      </c>
      <c r="H19" s="183">
        <f>G19*(1+0.07)^-(B19-Assumptions!$D$7)</f>
        <v>16070.199094132704</v>
      </c>
      <c r="Q19" s="74">
        <v>2036</v>
      </c>
      <c r="R19" s="71">
        <f>IF(Q19&gt;=(Assumptions!$D$32+1),IF(Q19&lt;=Assumptions!$D$10,IF(Q19&gt;=Assumptions!$D$32,TREND($L$16:$L$17,$K$16:$K$17,Q19),0),0),0)</f>
        <v>489627.20554641727</v>
      </c>
      <c r="S19" s="104">
        <f>IF(Q19&gt;=(Assumptions!$D$32+1),IF(Q19&lt;=Assumptions!$D$10,IF(Q19&gt;=Assumptions!$D$32,TREND($L$23:$L$24,$K$23:$K$24,Q19),0),0),0)</f>
        <v>0</v>
      </c>
      <c r="T19" s="110">
        <f t="shared" si="6"/>
        <v>489627.20554641727</v>
      </c>
      <c r="U19" s="103">
        <f t="shared" si="7"/>
        <v>53304.081777153275</v>
      </c>
      <c r="V19" s="71">
        <f>IF(Q19&gt;=(Assumptions!$D$32+1),IF(Q19&lt;=Assumptions!$D$10,IF(Q19&gt;=Assumptions!$D$32,TREND($N$16:$N$17,$M$16:$M$17,Q19),0),0),0)</f>
        <v>0</v>
      </c>
      <c r="W19" s="104">
        <f>IF(Q19&gt;=(Assumptions!$D$32+1),IF(Q19&lt;=Assumptions!$D$10,IF(Q19&gt;=Assumptions!$D$32,TREND($N$23:$N$24,$M$23:$M$24,Q19),0),0),0)</f>
        <v>0</v>
      </c>
      <c r="X19" s="110">
        <f t="shared" si="8"/>
        <v>0</v>
      </c>
      <c r="Y19" s="103">
        <f t="shared" si="9"/>
        <v>0</v>
      </c>
      <c r="Z19" s="71">
        <f t="shared" si="10"/>
        <v>489627.20554641727</v>
      </c>
      <c r="AA19" s="104">
        <f t="shared" si="11"/>
        <v>0</v>
      </c>
      <c r="AB19" s="110">
        <f t="shared" si="12"/>
        <v>489627.20554641727</v>
      </c>
      <c r="AC19" s="103">
        <f t="shared" si="13"/>
        <v>53304.081777153275</v>
      </c>
    </row>
    <row r="20" spans="1:29" ht="14.25" customHeight="1" x14ac:dyDescent="0.25">
      <c r="B20" s="187">
        <f t="shared" si="0"/>
        <v>2040</v>
      </c>
      <c r="C20" s="186">
        <f t="shared" si="1"/>
        <v>502022.83100328874</v>
      </c>
      <c r="D20" s="190">
        <f t="shared" si="2"/>
        <v>54653.552201891347</v>
      </c>
      <c r="E20" s="186">
        <f t="shared" si="3"/>
        <v>0</v>
      </c>
      <c r="F20" s="185">
        <f t="shared" si="4"/>
        <v>0</v>
      </c>
      <c r="G20" s="184">
        <f t="shared" si="5"/>
        <v>54653.552201891347</v>
      </c>
      <c r="H20" s="183">
        <f>G20*(1+0.07)^-(B20-Assumptions!$D$7)</f>
        <v>15112.162612465872</v>
      </c>
      <c r="K20" s="38" t="s">
        <v>671</v>
      </c>
      <c r="Q20" s="74">
        <v>2037</v>
      </c>
      <c r="R20" s="71">
        <f>IF(Q20&gt;=(Assumptions!$D$32+1),IF(Q20&lt;=Assumptions!$D$10,IF(Q20&gt;=Assumptions!$D$32,TREND($L$16:$L$17,$K$16:$K$17,Q20),0),0),0)</f>
        <v>492726.11191063561</v>
      </c>
      <c r="S20" s="104">
        <f>IF(Q20&gt;=(Assumptions!$D$32+1),IF(Q20&lt;=Assumptions!$D$10,IF(Q20&gt;=Assumptions!$D$32,TREND($L$23:$L$24,$K$23:$K$24,Q20),0),0),0)</f>
        <v>0</v>
      </c>
      <c r="T20" s="110">
        <f t="shared" si="6"/>
        <v>492726.11191063561</v>
      </c>
      <c r="U20" s="103">
        <f t="shared" si="7"/>
        <v>53641.449383337844</v>
      </c>
      <c r="V20" s="71">
        <f>IF(Q20&gt;=(Assumptions!$D$32+1),IF(Q20&lt;=Assumptions!$D$10,IF(Q20&gt;=Assumptions!$D$32,TREND($N$16:$N$17,$M$16:$M$17,Q20),0),0),0)</f>
        <v>0</v>
      </c>
      <c r="W20" s="104">
        <f>IF(Q20&gt;=(Assumptions!$D$32+1),IF(Q20&lt;=Assumptions!$D$10,IF(Q20&gt;=Assumptions!$D$32,TREND($N$23:$N$24,$M$23:$M$24,Q20),0),0),0)</f>
        <v>0</v>
      </c>
      <c r="X20" s="110">
        <f t="shared" si="8"/>
        <v>0</v>
      </c>
      <c r="Y20" s="103">
        <f t="shared" si="9"/>
        <v>0</v>
      </c>
      <c r="Z20" s="71">
        <f t="shared" si="10"/>
        <v>492726.11191063561</v>
      </c>
      <c r="AA20" s="104">
        <f t="shared" si="11"/>
        <v>0</v>
      </c>
      <c r="AB20" s="110">
        <f t="shared" si="12"/>
        <v>492726.11191063561</v>
      </c>
      <c r="AC20" s="103">
        <f t="shared" si="13"/>
        <v>53641.449383337844</v>
      </c>
    </row>
    <row r="21" spans="1:29" ht="15" customHeight="1" x14ac:dyDescent="0.25">
      <c r="B21" s="187">
        <f t="shared" si="0"/>
        <v>2041</v>
      </c>
      <c r="C21" s="186">
        <f t="shared" si="1"/>
        <v>505121.73736750707</v>
      </c>
      <c r="D21" s="190">
        <f t="shared" si="2"/>
        <v>54990.919808075916</v>
      </c>
      <c r="E21" s="186">
        <f t="shared" si="3"/>
        <v>0</v>
      </c>
      <c r="F21" s="185">
        <f t="shared" si="4"/>
        <v>0</v>
      </c>
      <c r="G21" s="184">
        <f t="shared" si="5"/>
        <v>54990.919808075916</v>
      </c>
      <c r="H21" s="183">
        <f>G21*(1+0.07)^-(B21-Assumptions!$D$7)</f>
        <v>14210.698660620399</v>
      </c>
      <c r="K21" s="42" t="s">
        <v>58</v>
      </c>
      <c r="L21" s="44"/>
      <c r="M21" s="42" t="s">
        <v>59</v>
      </c>
      <c r="N21" s="44"/>
      <c r="Q21" s="74">
        <v>2038</v>
      </c>
      <c r="R21" s="71">
        <f>IF(Q21&gt;=(Assumptions!$D$32+1),IF(Q21&lt;=Assumptions!$D$10,IF(Q21&gt;=Assumptions!$D$32,TREND($L$16:$L$17,$K$16:$K$17,Q21),0),0),0)</f>
        <v>495825.01827485301</v>
      </c>
      <c r="S21" s="104">
        <f>IF(Q21&gt;=(Assumptions!$D$32+1),IF(Q21&lt;=Assumptions!$D$10,IF(Q21&gt;=Assumptions!$D$32,TREND($L$23:$L$24,$K$23:$K$24,Q21),0),0),0)</f>
        <v>0</v>
      </c>
      <c r="T21" s="110">
        <f t="shared" si="6"/>
        <v>495825.01827485301</v>
      </c>
      <c r="U21" s="103">
        <f t="shared" si="7"/>
        <v>53978.816989522311</v>
      </c>
      <c r="V21" s="71">
        <f>IF(Q21&gt;=(Assumptions!$D$32+1),IF(Q21&lt;=Assumptions!$D$10,IF(Q21&gt;=Assumptions!$D$32,TREND($N$16:$N$17,$M$16:$M$17,Q21),0),0),0)</f>
        <v>0</v>
      </c>
      <c r="W21" s="104">
        <f>IF(Q21&gt;=(Assumptions!$D$32+1),IF(Q21&lt;=Assumptions!$D$10,IF(Q21&gt;=Assumptions!$D$32,TREND($N$23:$N$24,$M$23:$M$24,Q21),0),0),0)</f>
        <v>0</v>
      </c>
      <c r="X21" s="110">
        <f t="shared" si="8"/>
        <v>0</v>
      </c>
      <c r="Y21" s="103">
        <f t="shared" si="9"/>
        <v>0</v>
      </c>
      <c r="Z21" s="71">
        <f t="shared" si="10"/>
        <v>495825.01827485301</v>
      </c>
      <c r="AA21" s="104">
        <f t="shared" si="11"/>
        <v>0</v>
      </c>
      <c r="AB21" s="110">
        <f t="shared" si="12"/>
        <v>495825.01827485301</v>
      </c>
      <c r="AC21" s="103">
        <f t="shared" si="13"/>
        <v>53978.816989522311</v>
      </c>
    </row>
    <row r="22" spans="1:29" x14ac:dyDescent="0.25">
      <c r="B22" s="187">
        <f t="shared" si="0"/>
        <v>2042</v>
      </c>
      <c r="C22" s="186">
        <f t="shared" si="1"/>
        <v>508220.64373172447</v>
      </c>
      <c r="D22" s="190">
        <f t="shared" si="2"/>
        <v>55328.287414260383</v>
      </c>
      <c r="E22" s="186">
        <f t="shared" si="3"/>
        <v>0</v>
      </c>
      <c r="F22" s="185">
        <f t="shared" si="4"/>
        <v>0</v>
      </c>
      <c r="G22" s="184">
        <f t="shared" si="5"/>
        <v>55328.287414260383</v>
      </c>
      <c r="H22" s="183">
        <f>G22*(1+0.07)^-(B22-Assumptions!$D$7)</f>
        <v>13362.505477562889</v>
      </c>
      <c r="K22" s="26" t="s">
        <v>33</v>
      </c>
      <c r="L22" s="25" t="s">
        <v>76</v>
      </c>
      <c r="M22" s="26" t="s">
        <v>33</v>
      </c>
      <c r="N22" s="25" t="s">
        <v>76</v>
      </c>
      <c r="Q22" s="74">
        <v>2039</v>
      </c>
      <c r="R22" s="71">
        <f>IF(Q22&gt;=(Assumptions!$D$32+1),IF(Q22&lt;=Assumptions!$D$10,IF(Q22&gt;=Assumptions!$D$32,TREND($L$16:$L$17,$K$16:$K$17,Q22),0),0),0)</f>
        <v>498923.92463907134</v>
      </c>
      <c r="S22" s="104">
        <f>IF(Q22&gt;=(Assumptions!$D$32+1),IF(Q22&lt;=Assumptions!$D$10,IF(Q22&gt;=Assumptions!$D$32,TREND($L$23:$L$24,$K$23:$K$24,Q22),0),0),0)</f>
        <v>0</v>
      </c>
      <c r="T22" s="110">
        <f t="shared" si="6"/>
        <v>498923.92463907134</v>
      </c>
      <c r="U22" s="103">
        <f t="shared" si="7"/>
        <v>54316.18459570688</v>
      </c>
      <c r="V22" s="71">
        <f>IF(Q22&gt;=(Assumptions!$D$32+1),IF(Q22&lt;=Assumptions!$D$10,IF(Q22&gt;=Assumptions!$D$32,TREND($N$16:$N$17,$M$16:$M$17,Q22),0),0),0)</f>
        <v>0</v>
      </c>
      <c r="W22" s="104">
        <f>IF(Q22&gt;=(Assumptions!$D$32+1),IF(Q22&lt;=Assumptions!$D$10,IF(Q22&gt;=Assumptions!$D$32,TREND($N$23:$N$24,$M$23:$M$24,Q22),0),0),0)</f>
        <v>0</v>
      </c>
      <c r="X22" s="110">
        <f t="shared" si="8"/>
        <v>0</v>
      </c>
      <c r="Y22" s="103">
        <f t="shared" si="9"/>
        <v>0</v>
      </c>
      <c r="Z22" s="71">
        <f t="shared" si="10"/>
        <v>498923.92463907134</v>
      </c>
      <c r="AA22" s="104">
        <f t="shared" si="11"/>
        <v>0</v>
      </c>
      <c r="AB22" s="110">
        <f t="shared" si="12"/>
        <v>498923.92463907134</v>
      </c>
      <c r="AC22" s="103">
        <f t="shared" si="13"/>
        <v>54316.18459570688</v>
      </c>
    </row>
    <row r="23" spans="1:29" x14ac:dyDescent="0.25">
      <c r="B23" s="187">
        <f t="shared" si="0"/>
        <v>2043</v>
      </c>
      <c r="C23" s="186">
        <f t="shared" si="1"/>
        <v>511319.5500959428</v>
      </c>
      <c r="D23" s="190">
        <f t="shared" si="2"/>
        <v>55665.655020444952</v>
      </c>
      <c r="E23" s="186">
        <f t="shared" si="3"/>
        <v>0</v>
      </c>
      <c r="F23" s="185">
        <f t="shared" si="4"/>
        <v>0</v>
      </c>
      <c r="G23" s="184">
        <f t="shared" si="5"/>
        <v>55665.655020444952</v>
      </c>
      <c r="H23" s="183">
        <f>G23*(1+0.07)^-(B23-Assumptions!$D$7)</f>
        <v>12564.471186447907</v>
      </c>
      <c r="K23" s="26">
        <f>Assumptions!$C$33</f>
        <v>2022</v>
      </c>
      <c r="L23" s="28">
        <f>'Operations Calculations'!$R$68</f>
        <v>0</v>
      </c>
      <c r="M23" s="26">
        <f>Assumptions!$C$33</f>
        <v>2022</v>
      </c>
      <c r="N23" s="28">
        <v>0</v>
      </c>
      <c r="Q23" s="74">
        <v>2040</v>
      </c>
      <c r="R23" s="71">
        <f>IF(Q23&gt;=(Assumptions!$D$32+1),IF(Q23&lt;=Assumptions!$D$10,IF(Q23&gt;=Assumptions!$D$32,TREND($L$16:$L$17,$K$16:$K$17,Q23),0),0),0)</f>
        <v>502022.83100328874</v>
      </c>
      <c r="S23" s="104">
        <f>IF(Q23&gt;=(Assumptions!$D$32+1),IF(Q23&lt;=Assumptions!$D$10,IF(Q23&gt;=Assumptions!$D$32,TREND($L$23:$L$24,$K$23:$K$24,Q23),0),0),0)</f>
        <v>0</v>
      </c>
      <c r="T23" s="110">
        <f t="shared" si="6"/>
        <v>502022.83100328874</v>
      </c>
      <c r="U23" s="103">
        <f t="shared" si="7"/>
        <v>54653.552201891347</v>
      </c>
      <c r="V23" s="71">
        <f>IF(Q23&gt;=(Assumptions!$D$32+1),IF(Q23&lt;=Assumptions!$D$10,IF(Q23&gt;=Assumptions!$D$32,TREND($N$16:$N$17,$M$16:$M$17,Q23),0),0),0)</f>
        <v>0</v>
      </c>
      <c r="W23" s="104">
        <f>IF(Q23&gt;=(Assumptions!$D$32+1),IF(Q23&lt;=Assumptions!$D$10,IF(Q23&gt;=Assumptions!$D$32,TREND($N$23:$N$24,$M$23:$M$24,Q23),0),0),0)</f>
        <v>0</v>
      </c>
      <c r="X23" s="110">
        <f t="shared" si="8"/>
        <v>0</v>
      </c>
      <c r="Y23" s="103">
        <f t="shared" si="9"/>
        <v>0</v>
      </c>
      <c r="Z23" s="71">
        <f t="shared" si="10"/>
        <v>502022.83100328874</v>
      </c>
      <c r="AA23" s="104">
        <f t="shared" si="11"/>
        <v>0</v>
      </c>
      <c r="AB23" s="110">
        <f t="shared" si="12"/>
        <v>502022.83100328874</v>
      </c>
      <c r="AC23" s="103">
        <f t="shared" si="13"/>
        <v>54653.552201891347</v>
      </c>
    </row>
    <row r="24" spans="1:29" x14ac:dyDescent="0.25">
      <c r="B24" s="187">
        <f t="shared" si="0"/>
        <v>2044</v>
      </c>
      <c r="C24" s="186">
        <f t="shared" si="1"/>
        <v>514418.4564601602</v>
      </c>
      <c r="D24" s="190">
        <f t="shared" si="2"/>
        <v>56003.022626629419</v>
      </c>
      <c r="E24" s="186">
        <f t="shared" si="3"/>
        <v>0</v>
      </c>
      <c r="F24" s="185">
        <f t="shared" si="4"/>
        <v>0</v>
      </c>
      <c r="G24" s="184">
        <f t="shared" si="5"/>
        <v>56003.022626629419</v>
      </c>
      <c r="H24" s="183">
        <f>G24*(1+0.07)^-(B24-Assumptions!$D$7)</f>
        <v>11813.663080998871</v>
      </c>
      <c r="K24" s="26">
        <f>Assumptions!$C$34</f>
        <v>2039</v>
      </c>
      <c r="L24" s="28">
        <f>'Operations Calculations'!$S$68</f>
        <v>0</v>
      </c>
      <c r="M24" s="26">
        <f>Assumptions!$C$34</f>
        <v>2039</v>
      </c>
      <c r="N24" s="28">
        <v>0</v>
      </c>
      <c r="Q24" s="74">
        <v>2041</v>
      </c>
      <c r="R24" s="71">
        <f>IF(Q24&gt;=(Assumptions!$D$32+1),IF(Q24&lt;=Assumptions!$D$10,IF(Q24&gt;=Assumptions!$D$32,TREND($L$16:$L$17,$K$16:$K$17,Q24),0),0),0)</f>
        <v>505121.73736750707</v>
      </c>
      <c r="S24" s="104">
        <f>IF(Q24&gt;=(Assumptions!$D$32+1),IF(Q24&lt;=Assumptions!$D$10,IF(Q24&gt;=Assumptions!$D$32,TREND($L$23:$L$24,$K$23:$K$24,Q24),0),0),0)</f>
        <v>0</v>
      </c>
      <c r="T24" s="110">
        <f t="shared" si="6"/>
        <v>505121.73736750707</v>
      </c>
      <c r="U24" s="103">
        <f t="shared" si="7"/>
        <v>54990.919808075916</v>
      </c>
      <c r="V24" s="71">
        <f>IF(Q24&gt;=(Assumptions!$D$32+1),IF(Q24&lt;=Assumptions!$D$10,IF(Q24&gt;=Assumptions!$D$32,TREND($N$16:$N$17,$M$16:$M$17,Q24),0),0),0)</f>
        <v>0</v>
      </c>
      <c r="W24" s="104">
        <f>IF(Q24&gt;=(Assumptions!$D$32+1),IF(Q24&lt;=Assumptions!$D$10,IF(Q24&gt;=Assumptions!$D$32,TREND($N$23:$N$24,$M$23:$M$24,Q24),0),0),0)</f>
        <v>0</v>
      </c>
      <c r="X24" s="110">
        <f t="shared" si="8"/>
        <v>0</v>
      </c>
      <c r="Y24" s="103">
        <f t="shared" si="9"/>
        <v>0</v>
      </c>
      <c r="Z24" s="71">
        <f t="shared" si="10"/>
        <v>505121.73736750707</v>
      </c>
      <c r="AA24" s="104">
        <f t="shared" si="11"/>
        <v>0</v>
      </c>
      <c r="AB24" s="110">
        <f t="shared" si="12"/>
        <v>505121.73736750707</v>
      </c>
      <c r="AC24" s="103">
        <f t="shared" si="13"/>
        <v>54990.919808075916</v>
      </c>
    </row>
    <row r="25" spans="1:29" ht="15" customHeight="1" x14ac:dyDescent="0.25">
      <c r="B25" s="187">
        <f t="shared" si="0"/>
        <v>2045</v>
      </c>
      <c r="C25" s="186">
        <f t="shared" si="1"/>
        <v>517517.36282437854</v>
      </c>
      <c r="D25" s="190">
        <f t="shared" si="2"/>
        <v>56340.390232813988</v>
      </c>
      <c r="E25" s="186">
        <f t="shared" si="3"/>
        <v>0</v>
      </c>
      <c r="F25" s="185">
        <f t="shared" si="4"/>
        <v>0</v>
      </c>
      <c r="G25" s="184">
        <f t="shared" si="5"/>
        <v>56340.390232813988</v>
      </c>
      <c r="H25" s="183">
        <f>G25*(1+0.07)^-(B25-Assumptions!$D$7)</f>
        <v>11107.317500995458</v>
      </c>
      <c r="K25" t="s">
        <v>780</v>
      </c>
      <c r="Q25" s="74">
        <v>2042</v>
      </c>
      <c r="R25" s="71">
        <f>IF(Q25&gt;=(Assumptions!$D$32+1),IF(Q25&lt;=Assumptions!$D$10,IF(Q25&gt;=Assumptions!$D$32,TREND($L$16:$L$17,$K$16:$K$17,Q25),0),0),0)</f>
        <v>508220.64373172447</v>
      </c>
      <c r="S25" s="104">
        <f>IF(Q25&gt;=(Assumptions!$D$32+1),IF(Q25&lt;=Assumptions!$D$10,IF(Q25&gt;=Assumptions!$D$32,TREND($L$23:$L$24,$K$23:$K$24,Q25),0),0),0)</f>
        <v>0</v>
      </c>
      <c r="T25" s="110">
        <f t="shared" si="6"/>
        <v>508220.64373172447</v>
      </c>
      <c r="U25" s="103">
        <f t="shared" si="7"/>
        <v>55328.287414260383</v>
      </c>
      <c r="V25" s="71">
        <f>IF(Q25&gt;=(Assumptions!$D$32+1),IF(Q25&lt;=Assumptions!$D$10,IF(Q25&gt;=Assumptions!$D$32,TREND($N$16:$N$17,$M$16:$M$17,Q25),0),0),0)</f>
        <v>0</v>
      </c>
      <c r="W25" s="104">
        <f>IF(Q25&gt;=(Assumptions!$D$32+1),IF(Q25&lt;=Assumptions!$D$10,IF(Q25&gt;=Assumptions!$D$32,TREND($N$23:$N$24,$M$23:$M$24,Q25),0),0),0)</f>
        <v>0</v>
      </c>
      <c r="X25" s="110">
        <f t="shared" si="8"/>
        <v>0</v>
      </c>
      <c r="Y25" s="103">
        <f t="shared" si="9"/>
        <v>0</v>
      </c>
      <c r="Z25" s="71">
        <f t="shared" si="10"/>
        <v>508220.64373172447</v>
      </c>
      <c r="AA25" s="104">
        <f t="shared" si="11"/>
        <v>0</v>
      </c>
      <c r="AB25" s="110">
        <f t="shared" si="12"/>
        <v>508220.64373172447</v>
      </c>
      <c r="AC25" s="103">
        <f t="shared" si="13"/>
        <v>55328.287414260383</v>
      </c>
    </row>
    <row r="26" spans="1:29" ht="15" customHeight="1" x14ac:dyDescent="0.25">
      <c r="B26" s="187">
        <f t="shared" si="0"/>
        <v>2046</v>
      </c>
      <c r="C26" s="186">
        <f t="shared" si="1"/>
        <v>0</v>
      </c>
      <c r="D26" s="190">
        <f t="shared" si="2"/>
        <v>0</v>
      </c>
      <c r="E26" s="186">
        <f t="shared" si="3"/>
        <v>0</v>
      </c>
      <c r="F26" s="185">
        <f t="shared" si="4"/>
        <v>0</v>
      </c>
      <c r="G26" s="184">
        <f t="shared" si="5"/>
        <v>0</v>
      </c>
      <c r="H26" s="183">
        <f>G26*(1+0.07)^-(B26-Assumptions!$D$7)</f>
        <v>0</v>
      </c>
      <c r="Q26" s="74">
        <v>2043</v>
      </c>
      <c r="R26" s="71">
        <f>IF(Q26&gt;=(Assumptions!$D$32+1),IF(Q26&lt;=Assumptions!$D$10,IF(Q26&gt;=Assumptions!$D$32,TREND($L$16:$L$17,$K$16:$K$17,Q26),0),0),0)</f>
        <v>511319.5500959428</v>
      </c>
      <c r="S26" s="104">
        <f>IF(Q26&gt;=(Assumptions!$D$32+1),IF(Q26&lt;=Assumptions!$D$10,IF(Q26&gt;=Assumptions!$D$32,TREND($L$23:$L$24,$K$23:$K$24,Q26),0),0),0)</f>
        <v>0</v>
      </c>
      <c r="T26" s="110">
        <f t="shared" si="6"/>
        <v>511319.5500959428</v>
      </c>
      <c r="U26" s="103">
        <f t="shared" si="7"/>
        <v>55665.655020444952</v>
      </c>
      <c r="V26" s="71">
        <f>IF(Q26&gt;=(Assumptions!$D$32+1),IF(Q26&lt;=Assumptions!$D$10,IF(Q26&gt;=Assumptions!$D$32,TREND($N$16:$N$17,$M$16:$M$17,Q26),0),0),0)</f>
        <v>0</v>
      </c>
      <c r="W26" s="104">
        <f>IF(Q26&gt;=(Assumptions!$D$32+1),IF(Q26&lt;=Assumptions!$D$10,IF(Q26&gt;=Assumptions!$D$32,TREND($N$23:$N$24,$M$23:$M$24,Q26),0),0),0)</f>
        <v>0</v>
      </c>
      <c r="X26" s="110">
        <f t="shared" si="8"/>
        <v>0</v>
      </c>
      <c r="Y26" s="103">
        <f t="shared" si="9"/>
        <v>0</v>
      </c>
      <c r="Z26" s="71">
        <f t="shared" si="10"/>
        <v>511319.5500959428</v>
      </c>
      <c r="AA26" s="104">
        <f t="shared" si="11"/>
        <v>0</v>
      </c>
      <c r="AB26" s="110">
        <f t="shared" si="12"/>
        <v>511319.5500959428</v>
      </c>
      <c r="AC26" s="103">
        <f t="shared" si="13"/>
        <v>55665.655020444952</v>
      </c>
    </row>
    <row r="27" spans="1:29" ht="15" customHeight="1" x14ac:dyDescent="0.25">
      <c r="B27" s="187">
        <f t="shared" si="0"/>
        <v>2047</v>
      </c>
      <c r="C27" s="186">
        <f t="shared" si="1"/>
        <v>0</v>
      </c>
      <c r="D27" s="190">
        <f t="shared" si="2"/>
        <v>0</v>
      </c>
      <c r="E27" s="186">
        <f t="shared" si="3"/>
        <v>0</v>
      </c>
      <c r="F27" s="185">
        <f t="shared" si="4"/>
        <v>0</v>
      </c>
      <c r="G27" s="184">
        <f t="shared" si="5"/>
        <v>0</v>
      </c>
      <c r="H27" s="183">
        <f>G27*(1+0.07)^-(B27-Assumptions!$D$7)</f>
        <v>0</v>
      </c>
      <c r="I27" s="3"/>
      <c r="K27" s="38" t="s">
        <v>779</v>
      </c>
      <c r="Q27" s="74">
        <v>2044</v>
      </c>
      <c r="R27" s="71">
        <f>IF(Q27&gt;=(Assumptions!$D$32+1),IF(Q27&lt;=Assumptions!$D$10,IF(Q27&gt;=Assumptions!$D$32,TREND($L$16:$L$17,$K$16:$K$17,Q27),0),0),0)</f>
        <v>514418.4564601602</v>
      </c>
      <c r="S27" s="104">
        <f>IF(Q27&gt;=(Assumptions!$D$32+1),IF(Q27&lt;=Assumptions!$D$10,IF(Q27&gt;=Assumptions!$D$32,TREND($L$23:$L$24,$K$23:$K$24,Q27),0),0),0)</f>
        <v>0</v>
      </c>
      <c r="T27" s="110">
        <f t="shared" si="6"/>
        <v>514418.4564601602</v>
      </c>
      <c r="U27" s="103">
        <f t="shared" si="7"/>
        <v>56003.022626629419</v>
      </c>
      <c r="V27" s="71">
        <f>IF(Q27&gt;=(Assumptions!$D$32+1),IF(Q27&lt;=Assumptions!$D$10,IF(Q27&gt;=Assumptions!$D$32,TREND($N$16:$N$17,$M$16:$M$17,Q27),0),0),0)</f>
        <v>0</v>
      </c>
      <c r="W27" s="104">
        <f>IF(Q27&gt;=(Assumptions!$D$32+1),IF(Q27&lt;=Assumptions!$D$10,IF(Q27&gt;=Assumptions!$D$32,TREND($N$23:$N$24,$M$23:$M$24,Q27),0),0),0)</f>
        <v>0</v>
      </c>
      <c r="X27" s="110">
        <f t="shared" si="8"/>
        <v>0</v>
      </c>
      <c r="Y27" s="103">
        <f t="shared" si="9"/>
        <v>0</v>
      </c>
      <c r="Z27" s="71">
        <f t="shared" si="10"/>
        <v>514418.4564601602</v>
      </c>
      <c r="AA27" s="104">
        <f t="shared" si="11"/>
        <v>0</v>
      </c>
      <c r="AB27" s="110">
        <f t="shared" si="12"/>
        <v>514418.4564601602</v>
      </c>
      <c r="AC27" s="103">
        <f t="shared" si="13"/>
        <v>56003.022626629419</v>
      </c>
    </row>
    <row r="28" spans="1:29" ht="15" customHeight="1" x14ac:dyDescent="0.25">
      <c r="A28" s="2"/>
      <c r="B28" s="187">
        <f t="shared" si="0"/>
        <v>2048</v>
      </c>
      <c r="C28" s="186">
        <f t="shared" si="1"/>
        <v>0</v>
      </c>
      <c r="D28" s="190">
        <f t="shared" si="2"/>
        <v>0</v>
      </c>
      <c r="E28" s="186">
        <f t="shared" si="3"/>
        <v>0</v>
      </c>
      <c r="F28" s="185">
        <f t="shared" si="4"/>
        <v>0</v>
      </c>
      <c r="G28" s="184">
        <f t="shared" si="5"/>
        <v>0</v>
      </c>
      <c r="H28" s="183">
        <f>G28*(1+0.07)^-(B28-Assumptions!$D$7)</f>
        <v>0</v>
      </c>
      <c r="K28" s="42" t="s">
        <v>58</v>
      </c>
      <c r="L28" s="44"/>
      <c r="M28" s="42" t="s">
        <v>59</v>
      </c>
      <c r="N28" s="44"/>
      <c r="Q28" s="74">
        <v>2045</v>
      </c>
      <c r="R28" s="71">
        <f>IF(Q28&gt;=(Assumptions!$D$32+1),IF(Q28&lt;=Assumptions!$D$10,IF(Q28&gt;=Assumptions!$D$32,TREND($L$16:$L$17,$K$16:$K$17,Q28),0),0),0)</f>
        <v>517517.36282437854</v>
      </c>
      <c r="S28" s="104">
        <f>IF(Q28&gt;=(Assumptions!$D$32+1),IF(Q28&lt;=Assumptions!$D$10,IF(Q28&gt;=Assumptions!$D$32,TREND($L$23:$L$24,$K$23:$K$24,Q28),0),0),0)</f>
        <v>0</v>
      </c>
      <c r="T28" s="110">
        <f t="shared" si="6"/>
        <v>517517.36282437854</v>
      </c>
      <c r="U28" s="103">
        <f t="shared" si="7"/>
        <v>56340.390232813988</v>
      </c>
      <c r="V28" s="71">
        <f>IF(Q28&gt;=(Assumptions!$D$32+1),IF(Q28&lt;=Assumptions!$D$10,IF(Q28&gt;=Assumptions!$D$32,TREND($N$16:$N$17,$M$16:$M$17,Q28),0),0),0)</f>
        <v>0</v>
      </c>
      <c r="W28" s="104">
        <f>IF(Q28&gt;=(Assumptions!$D$32+1),IF(Q28&lt;=Assumptions!$D$10,IF(Q28&gt;=Assumptions!$D$32,TREND($N$23:$N$24,$M$23:$M$24,Q28),0),0),0)</f>
        <v>0</v>
      </c>
      <c r="X28" s="110">
        <f t="shared" si="8"/>
        <v>0</v>
      </c>
      <c r="Y28" s="103">
        <f t="shared" si="9"/>
        <v>0</v>
      </c>
      <c r="Z28" s="71">
        <f t="shared" si="10"/>
        <v>517517.36282437854</v>
      </c>
      <c r="AA28" s="104">
        <f t="shared" si="11"/>
        <v>0</v>
      </c>
      <c r="AB28" s="110">
        <f t="shared" si="12"/>
        <v>517517.36282437854</v>
      </c>
      <c r="AC28" s="103">
        <f t="shared" si="13"/>
        <v>56340.390232813988</v>
      </c>
    </row>
    <row r="29" spans="1:29" ht="15" customHeight="1" x14ac:dyDescent="0.25">
      <c r="B29" s="187">
        <f t="shared" si="0"/>
        <v>2049</v>
      </c>
      <c r="C29" s="186">
        <f t="shared" si="1"/>
        <v>0</v>
      </c>
      <c r="D29" s="190">
        <f t="shared" si="2"/>
        <v>0</v>
      </c>
      <c r="E29" s="186">
        <f t="shared" si="3"/>
        <v>0</v>
      </c>
      <c r="F29" s="185">
        <f t="shared" si="4"/>
        <v>0</v>
      </c>
      <c r="G29" s="184">
        <f t="shared" si="5"/>
        <v>0</v>
      </c>
      <c r="H29" s="183">
        <f>G29*(1+0.07)^-(B29-Assumptions!$D$7)</f>
        <v>0</v>
      </c>
      <c r="K29" s="26" t="s">
        <v>33</v>
      </c>
      <c r="L29" s="25" t="s">
        <v>76</v>
      </c>
      <c r="M29" s="26" t="s">
        <v>33</v>
      </c>
      <c r="N29" s="25" t="s">
        <v>76</v>
      </c>
      <c r="Q29" s="74">
        <v>2046</v>
      </c>
      <c r="R29" s="71">
        <f>IF(Q29&gt;=(Assumptions!$D$32+1),IF(Q29&lt;=Assumptions!$D$10,IF(Q29&gt;=Assumptions!$D$32,TREND($L$16:$L$17,$K$16:$K$17,Q29),0),0),0)</f>
        <v>0</v>
      </c>
      <c r="S29" s="104">
        <f>IF(Q29&gt;=(Assumptions!$D$32+1),IF(Q29&lt;=Assumptions!$D$10,IF(Q29&gt;=Assumptions!$D$32,TREND($L$23:$L$24,$K$23:$K$24,Q29),0),0),0)</f>
        <v>0</v>
      </c>
      <c r="T29" s="110">
        <f t="shared" si="6"/>
        <v>0</v>
      </c>
      <c r="U29" s="103">
        <f t="shared" si="7"/>
        <v>0</v>
      </c>
      <c r="V29" s="71">
        <f>IF(Q29&gt;=(Assumptions!$D$32+1),IF(Q29&lt;=Assumptions!$D$10,IF(Q29&gt;=Assumptions!$D$32,TREND($N$16:$N$17,$M$16:$M$17,Q29),0),0),0)</f>
        <v>0</v>
      </c>
      <c r="W29" s="104">
        <f>IF(Q29&gt;=(Assumptions!$D$32+1),IF(Q29&lt;=Assumptions!$D$10,IF(Q29&gt;=Assumptions!$D$32,TREND($N$23:$N$24,$M$23:$M$24,Q29),0),0),0)</f>
        <v>0</v>
      </c>
      <c r="X29" s="110">
        <f t="shared" si="8"/>
        <v>0</v>
      </c>
      <c r="Y29" s="103">
        <f t="shared" si="9"/>
        <v>0</v>
      </c>
      <c r="Z29" s="71">
        <f t="shared" si="10"/>
        <v>0</v>
      </c>
      <c r="AA29" s="104">
        <f t="shared" si="11"/>
        <v>0</v>
      </c>
      <c r="AB29" s="110">
        <f t="shared" si="12"/>
        <v>0</v>
      </c>
      <c r="AC29" s="103">
        <f t="shared" si="13"/>
        <v>0</v>
      </c>
    </row>
    <row r="30" spans="1:29" ht="15" customHeight="1" x14ac:dyDescent="0.25">
      <c r="B30" s="187">
        <f t="shared" si="0"/>
        <v>2050</v>
      </c>
      <c r="C30" s="186">
        <f t="shared" si="1"/>
        <v>0</v>
      </c>
      <c r="D30" s="190">
        <f t="shared" si="2"/>
        <v>0</v>
      </c>
      <c r="E30" s="186">
        <f t="shared" si="3"/>
        <v>0</v>
      </c>
      <c r="F30" s="185">
        <f t="shared" si="4"/>
        <v>0</v>
      </c>
      <c r="G30" s="184">
        <f t="shared" si="5"/>
        <v>0</v>
      </c>
      <c r="H30" s="183">
        <f>G30*(1+0.07)^-(B30-Assumptions!$D$7)</f>
        <v>0</v>
      </c>
      <c r="K30" s="26">
        <f>Assumptions!$C$33</f>
        <v>2022</v>
      </c>
      <c r="L30" s="28">
        <f>SUM(L16,L23)</f>
        <v>446242.51644736849</v>
      </c>
      <c r="M30" s="26">
        <f>Assumptions!$C$33</f>
        <v>2022</v>
      </c>
      <c r="N30" s="28">
        <f>SUM(N16,N23)</f>
        <v>0</v>
      </c>
      <c r="Q30" s="74">
        <v>2047</v>
      </c>
      <c r="R30" s="71">
        <f>IF(Q30&gt;=(Assumptions!$D$32+1),IF(Q30&lt;=Assumptions!$D$10,IF(Q30&gt;=Assumptions!$D$32,TREND($L$16:$L$17,$K$16:$K$17,Q30),0),0),0)</f>
        <v>0</v>
      </c>
      <c r="S30" s="104">
        <f>IF(Q30&gt;=(Assumptions!$D$32+1),IF(Q30&lt;=Assumptions!$D$10,IF(Q30&gt;=Assumptions!$D$32,TREND($L$23:$L$24,$K$23:$K$24,Q30),0),0),0)</f>
        <v>0</v>
      </c>
      <c r="T30" s="110">
        <f t="shared" si="6"/>
        <v>0</v>
      </c>
      <c r="U30" s="103">
        <f t="shared" si="7"/>
        <v>0</v>
      </c>
      <c r="V30" s="71">
        <f>IF(Q30&gt;=(Assumptions!$D$32+1),IF(Q30&lt;=Assumptions!$D$10,IF(Q30&gt;=Assumptions!$D$32,TREND($N$16:$N$17,$M$16:$M$17,Q30),0),0),0)</f>
        <v>0</v>
      </c>
      <c r="W30" s="104">
        <f>IF(Q30&gt;=(Assumptions!$D$32+1),IF(Q30&lt;=Assumptions!$D$10,IF(Q30&gt;=Assumptions!$D$32,TREND($N$23:$N$24,$M$23:$M$24,Q30),0),0),0)</f>
        <v>0</v>
      </c>
      <c r="X30" s="110">
        <f t="shared" si="8"/>
        <v>0</v>
      </c>
      <c r="Y30" s="103">
        <f t="shared" si="9"/>
        <v>0</v>
      </c>
      <c r="Z30" s="71">
        <f t="shared" si="10"/>
        <v>0</v>
      </c>
      <c r="AA30" s="104">
        <f t="shared" si="11"/>
        <v>0</v>
      </c>
      <c r="AB30" s="110">
        <f t="shared" si="12"/>
        <v>0</v>
      </c>
      <c r="AC30" s="103">
        <f t="shared" si="13"/>
        <v>0</v>
      </c>
    </row>
    <row r="31" spans="1:29" ht="15" customHeight="1" x14ac:dyDescent="0.25">
      <c r="B31" s="187">
        <f t="shared" si="0"/>
        <v>2051</v>
      </c>
      <c r="C31" s="186">
        <f t="shared" si="1"/>
        <v>0</v>
      </c>
      <c r="D31" s="190">
        <f t="shared" si="2"/>
        <v>0</v>
      </c>
      <c r="E31" s="186">
        <f t="shared" si="3"/>
        <v>0</v>
      </c>
      <c r="F31" s="185">
        <f t="shared" si="4"/>
        <v>0</v>
      </c>
      <c r="G31" s="184">
        <f t="shared" si="5"/>
        <v>0</v>
      </c>
      <c r="H31" s="183">
        <f>G31*(1+0.07)^-(B31-Assumptions!$D$7)</f>
        <v>0</v>
      </c>
      <c r="K31" s="26">
        <f>Assumptions!$C$34</f>
        <v>2039</v>
      </c>
      <c r="L31" s="28">
        <f>SUM(L17,L24)</f>
        <v>498923.92463907157</v>
      </c>
      <c r="M31" s="26">
        <f>Assumptions!$C$34</f>
        <v>2039</v>
      </c>
      <c r="N31" s="28">
        <f>SUM(N17,N24)</f>
        <v>0</v>
      </c>
      <c r="Q31" s="74">
        <v>2048</v>
      </c>
      <c r="R31" s="71">
        <f>IF(Q31&gt;=(Assumptions!$D$32+1),IF(Q31&lt;=Assumptions!$D$10,IF(Q31&gt;=Assumptions!$D$32,TREND($L$16:$L$17,$K$16:$K$17,Q31),0),0),0)</f>
        <v>0</v>
      </c>
      <c r="S31" s="104">
        <f>IF(Q31&gt;=(Assumptions!$D$32+1),IF(Q31&lt;=Assumptions!$D$10,IF(Q31&gt;=Assumptions!$D$32,TREND($L$23:$L$24,$K$23:$K$24,Q31),0),0),0)</f>
        <v>0</v>
      </c>
      <c r="T31" s="110">
        <f t="shared" si="6"/>
        <v>0</v>
      </c>
      <c r="U31" s="103">
        <f t="shared" si="7"/>
        <v>0</v>
      </c>
      <c r="V31" s="71">
        <f>IF(Q31&gt;=(Assumptions!$D$32+1),IF(Q31&lt;=Assumptions!$D$10,IF(Q31&gt;=Assumptions!$D$32,TREND($N$16:$N$17,$M$16:$M$17,Q31),0),0),0)</f>
        <v>0</v>
      </c>
      <c r="W31" s="104">
        <f>IF(Q31&gt;=(Assumptions!$D$32+1),IF(Q31&lt;=Assumptions!$D$10,IF(Q31&gt;=Assumptions!$D$32,TREND($N$23:$N$24,$M$23:$M$24,Q31),0),0),0)</f>
        <v>0</v>
      </c>
      <c r="X31" s="110">
        <f t="shared" si="8"/>
        <v>0</v>
      </c>
      <c r="Y31" s="103">
        <f t="shared" si="9"/>
        <v>0</v>
      </c>
      <c r="Z31" s="71">
        <f t="shared" si="10"/>
        <v>0</v>
      </c>
      <c r="AA31" s="104">
        <f t="shared" si="11"/>
        <v>0</v>
      </c>
      <c r="AB31" s="110">
        <f t="shared" si="12"/>
        <v>0</v>
      </c>
      <c r="AC31" s="103">
        <f t="shared" si="13"/>
        <v>0</v>
      </c>
    </row>
    <row r="32" spans="1:29" ht="15" customHeight="1" x14ac:dyDescent="0.25">
      <c r="B32" s="187">
        <f t="shared" si="0"/>
        <v>2052</v>
      </c>
      <c r="C32" s="186">
        <f t="shared" si="1"/>
        <v>0</v>
      </c>
      <c r="D32" s="190">
        <f t="shared" si="2"/>
        <v>0</v>
      </c>
      <c r="E32" s="186">
        <f t="shared" si="3"/>
        <v>0</v>
      </c>
      <c r="F32" s="185">
        <f t="shared" si="4"/>
        <v>0</v>
      </c>
      <c r="G32" s="184">
        <f t="shared" si="5"/>
        <v>0</v>
      </c>
      <c r="H32" s="183">
        <f>G32*(1+0.07)^-(B32-Assumptions!$D$7)</f>
        <v>0</v>
      </c>
      <c r="K32" s="1" t="s">
        <v>780</v>
      </c>
      <c r="L32" s="1"/>
      <c r="M32" s="1"/>
      <c r="N32" s="1"/>
      <c r="Q32" s="74">
        <v>2049</v>
      </c>
      <c r="R32" s="71">
        <f>IF(Q32&gt;=(Assumptions!$D$32+1),IF(Q32&lt;=Assumptions!$D$10,IF(Q32&gt;=Assumptions!$D$32,TREND($L$16:$L$17,$K$16:$K$17,Q32),0),0),0)</f>
        <v>0</v>
      </c>
      <c r="S32" s="104">
        <f>IF(Q32&gt;=(Assumptions!$D$32+1),IF(Q32&lt;=Assumptions!$D$10,IF(Q32&gt;=Assumptions!$D$32,TREND($L$23:$L$24,$K$23:$K$24,Q32),0),0),0)</f>
        <v>0</v>
      </c>
      <c r="T32" s="110">
        <f t="shared" si="6"/>
        <v>0</v>
      </c>
      <c r="U32" s="103">
        <f t="shared" si="7"/>
        <v>0</v>
      </c>
      <c r="V32" s="71">
        <f>IF(Q32&gt;=(Assumptions!$D$32+1),IF(Q32&lt;=Assumptions!$D$10,IF(Q32&gt;=Assumptions!$D$32,TREND($N$16:$N$17,$M$16:$M$17,Q32),0),0),0)</f>
        <v>0</v>
      </c>
      <c r="W32" s="104">
        <f>IF(Q32&gt;=(Assumptions!$D$32+1),IF(Q32&lt;=Assumptions!$D$10,IF(Q32&gt;=Assumptions!$D$32,TREND($N$23:$N$24,$M$23:$M$24,Q32),0),0),0)</f>
        <v>0</v>
      </c>
      <c r="X32" s="110">
        <f t="shared" si="8"/>
        <v>0</v>
      </c>
      <c r="Y32" s="103">
        <f t="shared" si="9"/>
        <v>0</v>
      </c>
      <c r="Z32" s="71">
        <f t="shared" si="10"/>
        <v>0</v>
      </c>
      <c r="AA32" s="104">
        <f t="shared" si="11"/>
        <v>0</v>
      </c>
      <c r="AB32" s="110">
        <f t="shared" si="12"/>
        <v>0</v>
      </c>
      <c r="AC32" s="103">
        <f t="shared" si="13"/>
        <v>0</v>
      </c>
    </row>
    <row r="33" spans="1:37" ht="15" customHeight="1" x14ac:dyDescent="0.25">
      <c r="B33" s="187">
        <f t="shared" si="0"/>
        <v>2053</v>
      </c>
      <c r="C33" s="186">
        <f t="shared" si="1"/>
        <v>0</v>
      </c>
      <c r="D33" s="190">
        <f t="shared" si="2"/>
        <v>0</v>
      </c>
      <c r="E33" s="186">
        <f t="shared" si="3"/>
        <v>0</v>
      </c>
      <c r="F33" s="185">
        <f t="shared" si="4"/>
        <v>0</v>
      </c>
      <c r="G33" s="184">
        <f t="shared" si="5"/>
        <v>0</v>
      </c>
      <c r="H33" s="183">
        <f>G33*(1+0.07)^-(B33-Assumptions!$D$7)</f>
        <v>0</v>
      </c>
      <c r="K33" s="1"/>
      <c r="L33" s="1"/>
      <c r="M33" s="1"/>
      <c r="N33" s="1"/>
      <c r="Q33" s="74">
        <v>2050</v>
      </c>
      <c r="R33" s="71">
        <f>IF(Q33&gt;=(Assumptions!$D$32+1),IF(Q33&lt;=Assumptions!$D$10,IF(Q33&gt;=Assumptions!$D$32,TREND($L$16:$L$17,$K$16:$K$17,Q33),0),0),0)</f>
        <v>0</v>
      </c>
      <c r="S33" s="104">
        <f>IF(Q33&gt;=(Assumptions!$D$32+1),IF(Q33&lt;=Assumptions!$D$10,IF(Q33&gt;=Assumptions!$D$32,TREND($L$23:$L$24,$K$23:$K$24,Q33),0),0),0)</f>
        <v>0</v>
      </c>
      <c r="T33" s="110">
        <f t="shared" si="6"/>
        <v>0</v>
      </c>
      <c r="U33" s="103">
        <f t="shared" si="7"/>
        <v>0</v>
      </c>
      <c r="V33" s="71">
        <f>IF(Q33&gt;=(Assumptions!$D$32+1),IF(Q33&lt;=Assumptions!$D$10,IF(Q33&gt;=Assumptions!$D$32,TREND($N$16:$N$17,$M$16:$M$17,Q33),0),0),0)</f>
        <v>0</v>
      </c>
      <c r="W33" s="104">
        <f>IF(Q33&gt;=(Assumptions!$D$32+1),IF(Q33&lt;=Assumptions!$D$10,IF(Q33&gt;=Assumptions!$D$32,TREND($N$23:$N$24,$M$23:$M$24,Q33),0),0),0)</f>
        <v>0</v>
      </c>
      <c r="X33" s="110">
        <f t="shared" si="8"/>
        <v>0</v>
      </c>
      <c r="Y33" s="103">
        <f t="shared" si="9"/>
        <v>0</v>
      </c>
      <c r="Z33" s="71">
        <f t="shared" si="10"/>
        <v>0</v>
      </c>
      <c r="AA33" s="104">
        <f t="shared" si="11"/>
        <v>0</v>
      </c>
      <c r="AB33" s="110">
        <f t="shared" si="12"/>
        <v>0</v>
      </c>
      <c r="AC33" s="103">
        <f t="shared" si="13"/>
        <v>0</v>
      </c>
    </row>
    <row r="34" spans="1:37" ht="15" customHeight="1" x14ac:dyDescent="0.25">
      <c r="B34" s="187">
        <f t="shared" si="0"/>
        <v>2054</v>
      </c>
      <c r="C34" s="186">
        <f t="shared" si="1"/>
        <v>0</v>
      </c>
      <c r="D34" s="190">
        <f t="shared" si="2"/>
        <v>0</v>
      </c>
      <c r="E34" s="186">
        <f t="shared" si="3"/>
        <v>0</v>
      </c>
      <c r="F34" s="185">
        <f t="shared" si="4"/>
        <v>0</v>
      </c>
      <c r="G34" s="184">
        <f t="shared" si="5"/>
        <v>0</v>
      </c>
      <c r="H34" s="183">
        <f>G34*(1+0.07)^-(B34-Assumptions!$D$7)</f>
        <v>0</v>
      </c>
      <c r="Q34" s="74">
        <v>2051</v>
      </c>
      <c r="R34" s="71">
        <f>IF(Q34&gt;=(Assumptions!$D$32+1),IF(Q34&lt;=Assumptions!$D$10,IF(Q34&gt;=Assumptions!$D$32,TREND($L$16:$L$17,$K$16:$K$17,Q34),0),0),0)</f>
        <v>0</v>
      </c>
      <c r="S34" s="104">
        <f>IF(Q34&gt;=(Assumptions!$D$32+1),IF(Q34&lt;=Assumptions!$D$10,IF(Q34&gt;=Assumptions!$D$32,TREND($L$23:$L$24,$K$23:$K$24,Q34),0),0),0)</f>
        <v>0</v>
      </c>
      <c r="T34" s="110">
        <f t="shared" si="6"/>
        <v>0</v>
      </c>
      <c r="U34" s="103">
        <f t="shared" si="7"/>
        <v>0</v>
      </c>
      <c r="V34" s="71">
        <f>IF(Q34&gt;=(Assumptions!$D$32+1),IF(Q34&lt;=Assumptions!$D$10,IF(Q34&gt;=Assumptions!$D$32,TREND($N$16:$N$17,$M$16:$M$17,Q34),0),0),0)</f>
        <v>0</v>
      </c>
      <c r="W34" s="104">
        <f>IF(Q34&gt;=(Assumptions!$D$32+1),IF(Q34&lt;=Assumptions!$D$10,IF(Q34&gt;=Assumptions!$D$32,TREND($N$23:$N$24,$M$23:$M$24,Q34),0),0),0)</f>
        <v>0</v>
      </c>
      <c r="X34" s="110">
        <f t="shared" si="8"/>
        <v>0</v>
      </c>
      <c r="Y34" s="103">
        <f t="shared" si="9"/>
        <v>0</v>
      </c>
      <c r="Z34" s="71">
        <f t="shared" si="10"/>
        <v>0</v>
      </c>
      <c r="AA34" s="104">
        <f t="shared" si="11"/>
        <v>0</v>
      </c>
      <c r="AB34" s="110">
        <f t="shared" si="12"/>
        <v>0</v>
      </c>
      <c r="AC34" s="103">
        <f t="shared" si="13"/>
        <v>0</v>
      </c>
    </row>
    <row r="35" spans="1:37" ht="15" customHeight="1" x14ac:dyDescent="0.25">
      <c r="B35" s="187">
        <f t="shared" si="0"/>
        <v>2055</v>
      </c>
      <c r="C35" s="186">
        <f t="shared" si="1"/>
        <v>0</v>
      </c>
      <c r="D35" s="190">
        <f t="shared" si="2"/>
        <v>0</v>
      </c>
      <c r="E35" s="186">
        <f t="shared" si="3"/>
        <v>0</v>
      </c>
      <c r="F35" s="185">
        <f t="shared" si="4"/>
        <v>0</v>
      </c>
      <c r="G35" s="184">
        <f t="shared" si="5"/>
        <v>0</v>
      </c>
      <c r="H35" s="183">
        <f>G35*(1+0.07)^-(B35-Assumptions!$D$7)</f>
        <v>0</v>
      </c>
      <c r="K35" s="1" t="s">
        <v>784</v>
      </c>
      <c r="L35" s="1"/>
      <c r="M35" s="1"/>
      <c r="Q35" s="74">
        <v>2052</v>
      </c>
      <c r="R35" s="71">
        <f>IF(Q35&gt;=(Assumptions!$D$32+1),IF(Q35&lt;=Assumptions!$D$10,IF(Q35&gt;=Assumptions!$D$32,TREND($L$16:$L$17,$K$16:$K$17,Q35),0),0),0)</f>
        <v>0</v>
      </c>
      <c r="S35" s="104">
        <f>IF(Q35&gt;=(Assumptions!$D$32+1),IF(Q35&lt;=Assumptions!$D$10,IF(Q35&gt;=Assumptions!$D$32,TREND($L$23:$L$24,$K$23:$K$24,Q35),0),0),0)</f>
        <v>0</v>
      </c>
      <c r="T35" s="110">
        <f t="shared" si="6"/>
        <v>0</v>
      </c>
      <c r="U35" s="103">
        <f t="shared" si="7"/>
        <v>0</v>
      </c>
      <c r="V35" s="71">
        <f>IF(Q35&gt;=(Assumptions!$D$32+1),IF(Q35&lt;=Assumptions!$D$10,IF(Q35&gt;=Assumptions!$D$32,TREND($N$16:$N$17,$M$16:$M$17,Q35),0),0),0)</f>
        <v>0</v>
      </c>
      <c r="W35" s="104">
        <f>IF(Q35&gt;=(Assumptions!$D$32+1),IF(Q35&lt;=Assumptions!$D$10,IF(Q35&gt;=Assumptions!$D$32,TREND($N$23:$N$24,$M$23:$M$24,Q35),0),0),0)</f>
        <v>0</v>
      </c>
      <c r="X35" s="110">
        <f t="shared" si="8"/>
        <v>0</v>
      </c>
      <c r="Y35" s="103">
        <f t="shared" si="9"/>
        <v>0</v>
      </c>
      <c r="Z35" s="71">
        <f t="shared" si="10"/>
        <v>0</v>
      </c>
      <c r="AA35" s="104">
        <f t="shared" si="11"/>
        <v>0</v>
      </c>
      <c r="AB35" s="110">
        <f t="shared" si="12"/>
        <v>0</v>
      </c>
      <c r="AC35" s="103">
        <f t="shared" si="13"/>
        <v>0</v>
      </c>
    </row>
    <row r="36" spans="1:37" ht="15" customHeight="1" x14ac:dyDescent="0.25">
      <c r="B36" s="187">
        <f t="shared" si="0"/>
        <v>2056</v>
      </c>
      <c r="C36" s="186">
        <f t="shared" si="1"/>
        <v>0</v>
      </c>
      <c r="D36" s="190">
        <f t="shared" si="2"/>
        <v>0</v>
      </c>
      <c r="E36" s="186">
        <f t="shared" si="3"/>
        <v>0</v>
      </c>
      <c r="F36" s="185">
        <f t="shared" si="4"/>
        <v>0</v>
      </c>
      <c r="G36" s="184">
        <f t="shared" si="5"/>
        <v>0</v>
      </c>
      <c r="H36" s="183">
        <f>G36*(1+0.07)^-(B36-Assumptions!$D$7)</f>
        <v>0</v>
      </c>
      <c r="K36" s="1"/>
      <c r="L36" s="1"/>
      <c r="M36" s="1"/>
      <c r="Q36" s="74">
        <v>2053</v>
      </c>
      <c r="R36" s="71">
        <f>IF(Q36&gt;=(Assumptions!$D$32+1),IF(Q36&lt;=Assumptions!$D$10,IF(Q36&gt;=Assumptions!$D$32,TREND($L$16:$L$17,$K$16:$K$17,Q36),0),0),0)</f>
        <v>0</v>
      </c>
      <c r="S36" s="104">
        <f>IF(Q36&gt;=(Assumptions!$D$32+1),IF(Q36&lt;=Assumptions!$D$10,IF(Q36&gt;=Assumptions!$D$32,TREND($L$23:$L$24,$K$23:$K$24,Q36),0),0),0)</f>
        <v>0</v>
      </c>
      <c r="T36" s="110">
        <f t="shared" si="6"/>
        <v>0</v>
      </c>
      <c r="U36" s="103">
        <f t="shared" si="7"/>
        <v>0</v>
      </c>
      <c r="V36" s="71">
        <f>IF(Q36&gt;=(Assumptions!$D$32+1),IF(Q36&lt;=Assumptions!$D$10,IF(Q36&gt;=Assumptions!$D$32,TREND($N$16:$N$17,$M$16:$M$17,Q36),0),0),0)</f>
        <v>0</v>
      </c>
      <c r="W36" s="104">
        <f>IF(Q36&gt;=(Assumptions!$D$32+1),IF(Q36&lt;=Assumptions!$D$10,IF(Q36&gt;=Assumptions!$D$32,TREND($N$23:$N$24,$M$23:$M$24,Q36),0),0),0)</f>
        <v>0</v>
      </c>
      <c r="X36" s="110">
        <f t="shared" si="8"/>
        <v>0</v>
      </c>
      <c r="Y36" s="103">
        <f t="shared" si="9"/>
        <v>0</v>
      </c>
      <c r="Z36" s="71">
        <f t="shared" si="10"/>
        <v>0</v>
      </c>
      <c r="AA36" s="104">
        <f t="shared" si="11"/>
        <v>0</v>
      </c>
      <c r="AB36" s="110">
        <f t="shared" si="12"/>
        <v>0</v>
      </c>
      <c r="AC36" s="103">
        <f t="shared" si="13"/>
        <v>0</v>
      </c>
    </row>
    <row r="37" spans="1:37" ht="15" customHeight="1" x14ac:dyDescent="0.25">
      <c r="B37" s="187">
        <f t="shared" si="0"/>
        <v>2057</v>
      </c>
      <c r="C37" s="186">
        <f t="shared" si="1"/>
        <v>0</v>
      </c>
      <c r="D37" s="190">
        <f t="shared" si="2"/>
        <v>0</v>
      </c>
      <c r="E37" s="186">
        <f t="shared" si="3"/>
        <v>0</v>
      </c>
      <c r="F37" s="185">
        <f t="shared" si="4"/>
        <v>0</v>
      </c>
      <c r="G37" s="184">
        <f t="shared" si="5"/>
        <v>0</v>
      </c>
      <c r="H37" s="183">
        <f>G37*(1+0.07)^-(B37-Assumptions!$D$7)</f>
        <v>0</v>
      </c>
      <c r="K37" s="1"/>
      <c r="L37" s="1"/>
      <c r="M37" s="1"/>
      <c r="N37" s="35"/>
      <c r="Q37" s="74">
        <v>2054</v>
      </c>
      <c r="R37" s="71">
        <f>IF(Q37&gt;=(Assumptions!$D$32+1),IF(Q37&lt;=Assumptions!$D$10,IF(Q37&gt;=Assumptions!$D$32,TREND($L$16:$L$17,$K$16:$K$17,Q37),0),0),0)</f>
        <v>0</v>
      </c>
      <c r="S37" s="104">
        <f>IF(Q37&gt;=(Assumptions!$D$32+1),IF(Q37&lt;=Assumptions!$D$10,IF(Q37&gt;=Assumptions!$D$32,TREND($L$23:$L$24,$K$23:$K$24,Q37),0),0),0)</f>
        <v>0</v>
      </c>
      <c r="T37" s="110">
        <f t="shared" si="6"/>
        <v>0</v>
      </c>
      <c r="U37" s="103">
        <f t="shared" si="7"/>
        <v>0</v>
      </c>
      <c r="V37" s="71">
        <f>IF(Q37&gt;=(Assumptions!$D$32+1),IF(Q37&lt;=Assumptions!$D$10,IF(Q37&gt;=Assumptions!$D$32,TREND($N$16:$N$17,$M$16:$M$17,Q37),0),0),0)</f>
        <v>0</v>
      </c>
      <c r="W37" s="104">
        <f>IF(Q37&gt;=(Assumptions!$D$32+1),IF(Q37&lt;=Assumptions!$D$10,IF(Q37&gt;=Assumptions!$D$32,TREND($N$23:$N$24,$M$23:$M$24,Q37),0),0),0)</f>
        <v>0</v>
      </c>
      <c r="X37" s="110">
        <f t="shared" si="8"/>
        <v>0</v>
      </c>
      <c r="Y37" s="103">
        <f t="shared" si="9"/>
        <v>0</v>
      </c>
      <c r="Z37" s="71">
        <f t="shared" si="10"/>
        <v>0</v>
      </c>
      <c r="AA37" s="104">
        <f t="shared" si="11"/>
        <v>0</v>
      </c>
      <c r="AB37" s="110">
        <f t="shared" si="12"/>
        <v>0</v>
      </c>
      <c r="AC37" s="103">
        <f t="shared" si="13"/>
        <v>0</v>
      </c>
    </row>
    <row r="38" spans="1:37" ht="15" customHeight="1" x14ac:dyDescent="0.25">
      <c r="B38" s="187">
        <f t="shared" si="0"/>
        <v>2058</v>
      </c>
      <c r="C38" s="186">
        <f t="shared" si="1"/>
        <v>0</v>
      </c>
      <c r="D38" s="190">
        <f t="shared" si="2"/>
        <v>0</v>
      </c>
      <c r="E38" s="186">
        <f t="shared" si="3"/>
        <v>0</v>
      </c>
      <c r="F38" s="185">
        <f t="shared" si="4"/>
        <v>0</v>
      </c>
      <c r="G38" s="184">
        <f t="shared" si="5"/>
        <v>0</v>
      </c>
      <c r="H38" s="183">
        <f>G38*(1+0.07)^-(B38-Assumptions!$D$7)</f>
        <v>0</v>
      </c>
      <c r="Q38" s="74">
        <v>2055</v>
      </c>
      <c r="R38" s="71">
        <f>IF(Q38&gt;=(Assumptions!$D$32+1),IF(Q38&lt;=Assumptions!$D$10,IF(Q38&gt;=Assumptions!$D$32,TREND($L$16:$L$17,$K$16:$K$17,Q38),0),0),0)</f>
        <v>0</v>
      </c>
      <c r="S38" s="104">
        <f>IF(Q38&gt;=(Assumptions!$D$32+1),IF(Q38&lt;=Assumptions!$D$10,IF(Q38&gt;=Assumptions!$D$32,TREND($L$23:$L$24,$K$23:$K$24,Q38),0),0),0)</f>
        <v>0</v>
      </c>
      <c r="T38" s="110">
        <f t="shared" si="6"/>
        <v>0</v>
      </c>
      <c r="U38" s="103">
        <f t="shared" si="7"/>
        <v>0</v>
      </c>
      <c r="V38" s="71">
        <f>IF(Q38&gt;=(Assumptions!$D$32+1),IF(Q38&lt;=Assumptions!$D$10,IF(Q38&gt;=Assumptions!$D$32,TREND($N$16:$N$17,$M$16:$M$17,Q38),0),0),0)</f>
        <v>0</v>
      </c>
      <c r="W38" s="104">
        <f>IF(Q38&gt;=(Assumptions!$D$32+1),IF(Q38&lt;=Assumptions!$D$10,IF(Q38&gt;=Assumptions!$D$32,TREND($N$23:$N$24,$M$23:$M$24,Q38),0),0),0)</f>
        <v>0</v>
      </c>
      <c r="X38" s="110">
        <f t="shared" si="8"/>
        <v>0</v>
      </c>
      <c r="Y38" s="103">
        <f t="shared" si="9"/>
        <v>0</v>
      </c>
      <c r="Z38" s="71">
        <f t="shared" si="10"/>
        <v>0</v>
      </c>
      <c r="AA38" s="104">
        <f t="shared" si="11"/>
        <v>0</v>
      </c>
      <c r="AB38" s="110">
        <f t="shared" si="12"/>
        <v>0</v>
      </c>
      <c r="AC38" s="103">
        <f t="shared" si="13"/>
        <v>0</v>
      </c>
    </row>
    <row r="39" spans="1:37" ht="15" customHeight="1" x14ac:dyDescent="0.25">
      <c r="B39" s="187">
        <f t="shared" si="0"/>
        <v>2059</v>
      </c>
      <c r="C39" s="186">
        <f t="shared" si="1"/>
        <v>0</v>
      </c>
      <c r="D39" s="190">
        <f t="shared" si="2"/>
        <v>0</v>
      </c>
      <c r="E39" s="186">
        <f t="shared" si="3"/>
        <v>0</v>
      </c>
      <c r="F39" s="185">
        <f t="shared" si="4"/>
        <v>0</v>
      </c>
      <c r="G39" s="184">
        <f t="shared" si="5"/>
        <v>0</v>
      </c>
      <c r="H39" s="183">
        <f>G39*(1+0.07)^-(B39-Assumptions!$D$7)</f>
        <v>0</v>
      </c>
      <c r="K39" s="1"/>
      <c r="L39" s="1"/>
      <c r="M39" s="1"/>
      <c r="Q39" s="74">
        <v>2056</v>
      </c>
      <c r="R39" s="71">
        <f>IF(Q39&gt;=(Assumptions!$D$32+1),IF(Q39&lt;=Assumptions!$D$10,IF(Q39&gt;=Assumptions!$D$32,TREND($L$16:$L$17,$K$16:$K$17,Q39),0),0),0)</f>
        <v>0</v>
      </c>
      <c r="S39" s="104">
        <f>IF(Q39&gt;=(Assumptions!$D$32+1),IF(Q39&lt;=Assumptions!$D$10,IF(Q39&gt;=Assumptions!$D$32,TREND($L$23:$L$24,$K$23:$K$24,Q39),0),0),0)</f>
        <v>0</v>
      </c>
      <c r="T39" s="110">
        <f t="shared" si="6"/>
        <v>0</v>
      </c>
      <c r="U39" s="103">
        <f t="shared" si="7"/>
        <v>0</v>
      </c>
      <c r="V39" s="71">
        <f>IF(Q39&gt;=(Assumptions!$D$32+1),IF(Q39&lt;=Assumptions!$D$10,IF(Q39&gt;=Assumptions!$D$32,TREND($N$16:$N$17,$M$16:$M$17,Q39),0),0),0)</f>
        <v>0</v>
      </c>
      <c r="W39" s="104">
        <f>IF(Q39&gt;=(Assumptions!$D$32+1),IF(Q39&lt;=Assumptions!$D$10,IF(Q39&gt;=Assumptions!$D$32,TREND($N$23:$N$24,$M$23:$M$24,Q39),0),0),0)</f>
        <v>0</v>
      </c>
      <c r="X39" s="110">
        <f t="shared" si="8"/>
        <v>0</v>
      </c>
      <c r="Y39" s="103">
        <f t="shared" si="9"/>
        <v>0</v>
      </c>
      <c r="Z39" s="71">
        <f t="shared" si="10"/>
        <v>0</v>
      </c>
      <c r="AA39" s="104">
        <f t="shared" si="11"/>
        <v>0</v>
      </c>
      <c r="AB39" s="110">
        <f t="shared" si="12"/>
        <v>0</v>
      </c>
      <c r="AC39" s="103">
        <f t="shared" si="13"/>
        <v>0</v>
      </c>
    </row>
    <row r="40" spans="1:37" ht="15" customHeight="1" x14ac:dyDescent="0.25">
      <c r="B40" s="187">
        <f t="shared" si="0"/>
        <v>2060</v>
      </c>
      <c r="C40" s="186">
        <f t="shared" si="1"/>
        <v>0</v>
      </c>
      <c r="D40" s="190">
        <f t="shared" si="2"/>
        <v>0</v>
      </c>
      <c r="E40" s="186">
        <f t="shared" si="3"/>
        <v>0</v>
      </c>
      <c r="F40" s="185">
        <f t="shared" si="4"/>
        <v>0</v>
      </c>
      <c r="G40" s="184">
        <f t="shared" si="5"/>
        <v>0</v>
      </c>
      <c r="H40" s="183">
        <f>G40*(1+0.07)^-(B40-Assumptions!$D$7)</f>
        <v>0</v>
      </c>
      <c r="K40" s="1"/>
      <c r="L40" s="1"/>
      <c r="M40" s="1"/>
      <c r="Q40" s="74">
        <v>2057</v>
      </c>
      <c r="R40" s="71">
        <f>IF(Q40&gt;=(Assumptions!$D$32+1),IF(Q40&lt;=Assumptions!$D$10,IF(Q40&gt;=Assumptions!$D$32,TREND($L$16:$L$17,$K$16:$K$17,Q40),0),0),0)</f>
        <v>0</v>
      </c>
      <c r="S40" s="104">
        <f>IF(Q40&gt;=(Assumptions!$D$32+1),IF(Q40&lt;=Assumptions!$D$10,IF(Q40&gt;=Assumptions!$D$32,TREND($L$23:$L$24,$K$23:$K$24,Q40),0),0),0)</f>
        <v>0</v>
      </c>
      <c r="T40" s="110">
        <f t="shared" si="6"/>
        <v>0</v>
      </c>
      <c r="U40" s="103">
        <f t="shared" si="7"/>
        <v>0</v>
      </c>
      <c r="V40" s="71">
        <f>IF(Q40&gt;=(Assumptions!$D$32+1),IF(Q40&lt;=Assumptions!$D$10,IF(Q40&gt;=Assumptions!$D$32,TREND($N$16:$N$17,$M$16:$M$17,Q40),0),0),0)</f>
        <v>0</v>
      </c>
      <c r="W40" s="104">
        <f>IF(Q40&gt;=(Assumptions!$D$32+1),IF(Q40&lt;=Assumptions!$D$10,IF(Q40&gt;=Assumptions!$D$32,TREND($N$23:$N$24,$M$23:$M$24,Q40),0),0),0)</f>
        <v>0</v>
      </c>
      <c r="X40" s="110">
        <f t="shared" si="8"/>
        <v>0</v>
      </c>
      <c r="Y40" s="103">
        <f t="shared" si="9"/>
        <v>0</v>
      </c>
      <c r="Z40" s="71">
        <f t="shared" si="10"/>
        <v>0</v>
      </c>
      <c r="AA40" s="104">
        <f t="shared" si="11"/>
        <v>0</v>
      </c>
      <c r="AB40" s="110">
        <f t="shared" si="12"/>
        <v>0</v>
      </c>
      <c r="AC40" s="103">
        <f t="shared" si="13"/>
        <v>0</v>
      </c>
    </row>
    <row r="41" spans="1:37" ht="15" customHeight="1" thickBot="1" x14ac:dyDescent="0.3">
      <c r="B41" s="169">
        <f t="shared" si="0"/>
        <v>2061</v>
      </c>
      <c r="C41" s="182">
        <f t="shared" si="1"/>
        <v>0</v>
      </c>
      <c r="D41" s="181">
        <f t="shared" si="2"/>
        <v>0</v>
      </c>
      <c r="E41" s="182">
        <f t="shared" si="3"/>
        <v>0</v>
      </c>
      <c r="F41" s="180">
        <f t="shared" si="4"/>
        <v>0</v>
      </c>
      <c r="G41" s="179">
        <f t="shared" si="5"/>
        <v>0</v>
      </c>
      <c r="H41" s="178">
        <f>G41*(1+0.07)^-(B41-Assumptions!$D$7)</f>
        <v>0</v>
      </c>
      <c r="I41" s="33"/>
      <c r="Q41" s="74">
        <v>2058</v>
      </c>
      <c r="R41" s="71">
        <f>IF(Q41&gt;=(Assumptions!$D$32+1),IF(Q41&lt;=Assumptions!$D$10,IF(Q41&gt;=Assumptions!$D$32,TREND($L$16:$L$17,$K$16:$K$17,Q41),0),0),0)</f>
        <v>0</v>
      </c>
      <c r="S41" s="104">
        <f>IF(Q41&gt;=(Assumptions!$D$32+1),IF(Q41&lt;=Assumptions!$D$10,IF(Q41&gt;=Assumptions!$D$32,TREND($L$23:$L$24,$K$23:$K$24,Q41),0),0),0)</f>
        <v>0</v>
      </c>
      <c r="T41" s="110">
        <f t="shared" si="6"/>
        <v>0</v>
      </c>
      <c r="U41" s="103">
        <f t="shared" si="7"/>
        <v>0</v>
      </c>
      <c r="V41" s="71">
        <f>IF(Q41&gt;=(Assumptions!$D$32+1),IF(Q41&lt;=Assumptions!$D$10,IF(Q41&gt;=Assumptions!$D$32,TREND($N$16:$N$17,$M$16:$M$17,Q41),0),0),0)</f>
        <v>0</v>
      </c>
      <c r="W41" s="104">
        <f>IF(Q41&gt;=(Assumptions!$D$32+1),IF(Q41&lt;=Assumptions!$D$10,IF(Q41&gt;=Assumptions!$D$32,TREND($N$23:$N$24,$M$23:$M$24,Q41),0),0),0)</f>
        <v>0</v>
      </c>
      <c r="X41" s="110">
        <f t="shared" si="8"/>
        <v>0</v>
      </c>
      <c r="Y41" s="103">
        <f t="shared" si="9"/>
        <v>0</v>
      </c>
      <c r="Z41" s="71">
        <f t="shared" si="10"/>
        <v>0</v>
      </c>
      <c r="AA41" s="104">
        <f t="shared" si="11"/>
        <v>0</v>
      </c>
      <c r="AB41" s="110">
        <f t="shared" si="12"/>
        <v>0</v>
      </c>
      <c r="AC41" s="103">
        <f t="shared" si="13"/>
        <v>0</v>
      </c>
    </row>
    <row r="42" spans="1:37" ht="15" customHeight="1" thickBot="1" x14ac:dyDescent="0.3">
      <c r="C42" s="2"/>
      <c r="D42" s="2"/>
      <c r="E42" s="2"/>
      <c r="F42" s="2"/>
      <c r="G42" s="286" t="s">
        <v>2</v>
      </c>
      <c r="H42" s="176">
        <f>SUM(H6:H41)</f>
        <v>423492.64963838586</v>
      </c>
      <c r="I42" s="36"/>
      <c r="L42" s="3"/>
      <c r="M42" s="3"/>
      <c r="N42" s="3"/>
      <c r="Q42" s="74">
        <v>2059</v>
      </c>
      <c r="R42" s="71">
        <f>IF(Q42&gt;=(Assumptions!$D$32+1),IF(Q42&lt;=Assumptions!$D$10,IF(Q42&gt;=Assumptions!$D$32,TREND($L$16:$L$17,$K$16:$K$17,Q42),0),0),0)</f>
        <v>0</v>
      </c>
      <c r="S42" s="104">
        <f>IF(Q42&gt;=(Assumptions!$D$32+1),IF(Q42&lt;=Assumptions!$D$10,IF(Q42&gt;=Assumptions!$D$32,TREND($L$23:$L$24,$K$23:$K$24,Q42),0),0),0)</f>
        <v>0</v>
      </c>
      <c r="T42" s="110">
        <f t="shared" si="6"/>
        <v>0</v>
      </c>
      <c r="U42" s="103">
        <f t="shared" si="7"/>
        <v>0</v>
      </c>
      <c r="V42" s="71">
        <f>IF(Q42&gt;=(Assumptions!$D$32+1),IF(Q42&lt;=Assumptions!$D$10,IF(Q42&gt;=Assumptions!$D$32,TREND($N$16:$N$17,$M$16:$M$17,Q42),0),0),0)</f>
        <v>0</v>
      </c>
      <c r="W42" s="104">
        <f>IF(Q42&gt;=(Assumptions!$D$32+1),IF(Q42&lt;=Assumptions!$D$10,IF(Q42&gt;=Assumptions!$D$32,TREND($N$23:$N$24,$M$23:$M$24,Q42),0),0),0)</f>
        <v>0</v>
      </c>
      <c r="X42" s="110">
        <f t="shared" si="8"/>
        <v>0</v>
      </c>
      <c r="Y42" s="103">
        <f t="shared" si="9"/>
        <v>0</v>
      </c>
      <c r="Z42" s="71">
        <f t="shared" si="10"/>
        <v>0</v>
      </c>
      <c r="AA42" s="104">
        <f t="shared" si="11"/>
        <v>0</v>
      </c>
      <c r="AB42" s="110">
        <f t="shared" si="12"/>
        <v>0</v>
      </c>
      <c r="AC42" s="103">
        <f t="shared" si="13"/>
        <v>0</v>
      </c>
    </row>
    <row r="43" spans="1:37" ht="15.75" thickBot="1" x14ac:dyDescent="0.3">
      <c r="B43" s="51"/>
      <c r="C43" s="52"/>
      <c r="D43" s="49"/>
      <c r="E43" s="49"/>
      <c r="F43" s="49"/>
      <c r="G43" s="49"/>
      <c r="H43" s="49"/>
      <c r="K43" s="1"/>
      <c r="L43" s="1"/>
      <c r="M43" s="1"/>
      <c r="N43" s="1"/>
      <c r="Q43" s="75">
        <v>2060</v>
      </c>
      <c r="R43" s="73">
        <f>IF(Q43&gt;=(Assumptions!$D$32+1),IF(Q43&lt;=Assumptions!$D$10,IF(Q43&gt;=Assumptions!$D$32,TREND($L$16:$L$17,$K$16:$K$17,Q43),0),0),0)</f>
        <v>0</v>
      </c>
      <c r="S43" s="101">
        <f>IF(Q43&gt;=(Assumptions!$D$32+1),IF(Q43&lt;=Assumptions!$D$10,IF(Q43&gt;=Assumptions!$D$32,TREND($L$23:$L$24,$K$23:$K$24,Q43),0),0),0)</f>
        <v>0</v>
      </c>
      <c r="T43" s="96">
        <f t="shared" si="6"/>
        <v>0</v>
      </c>
      <c r="U43" s="100">
        <f t="shared" si="7"/>
        <v>0</v>
      </c>
      <c r="V43" s="73">
        <f>IF(Q43&gt;=(Assumptions!$D$32+1),IF(Q43&lt;=Assumptions!$D$10,IF(Q43&gt;=Assumptions!$D$32,TREND($N$16:$N$17,$M$16:$M$17,Q43),0),0),0)</f>
        <v>0</v>
      </c>
      <c r="W43" s="101">
        <f>IF(Q43&gt;=(Assumptions!$D$32+1),IF(Q43&lt;=Assumptions!$D$10,IF(Q43&gt;=Assumptions!$D$32,TREND($N$23:$N$24,$M$23:$M$24,Q43),0),0),0)</f>
        <v>0</v>
      </c>
      <c r="X43" s="96">
        <f t="shared" si="8"/>
        <v>0</v>
      </c>
      <c r="Y43" s="100">
        <f t="shared" si="9"/>
        <v>0</v>
      </c>
      <c r="Z43" s="73">
        <f t="shared" si="10"/>
        <v>0</v>
      </c>
      <c r="AA43" s="101">
        <f t="shared" si="11"/>
        <v>0</v>
      </c>
      <c r="AB43" s="96">
        <f t="shared" si="12"/>
        <v>0</v>
      </c>
      <c r="AC43" s="100">
        <f t="shared" si="13"/>
        <v>0</v>
      </c>
    </row>
    <row r="44" spans="1:37" x14ac:dyDescent="0.25">
      <c r="K44" s="1"/>
      <c r="L44" s="1"/>
      <c r="M44" s="1"/>
      <c r="N44" s="1"/>
    </row>
    <row r="45" spans="1:37" ht="15" customHeight="1" x14ac:dyDescent="0.25">
      <c r="K45" s="1"/>
      <c r="L45" s="1"/>
      <c r="M45" s="1"/>
      <c r="N45" s="1"/>
    </row>
    <row r="46" spans="1:37" ht="15" customHeight="1" x14ac:dyDescent="0.25">
      <c r="A46" s="2"/>
      <c r="B46" s="1" t="s">
        <v>3</v>
      </c>
      <c r="C46" s="1"/>
      <c r="K46" s="1"/>
      <c r="L46" s="1"/>
      <c r="M46" s="1"/>
      <c r="N46" s="1"/>
      <c r="AD46" s="1"/>
      <c r="AE46" s="1"/>
      <c r="AF46" s="1"/>
      <c r="AG46" s="1"/>
      <c r="AH46" s="1"/>
      <c r="AI46" s="1"/>
      <c r="AJ46" s="1"/>
      <c r="AK46" s="1"/>
    </row>
    <row r="47" spans="1:37" ht="15" customHeight="1" x14ac:dyDescent="0.25">
      <c r="A47" s="2" t="s">
        <v>19</v>
      </c>
      <c r="B47" s="415" t="s">
        <v>773</v>
      </c>
      <c r="C47" s="415"/>
      <c r="D47" s="415"/>
      <c r="E47" s="415"/>
      <c r="F47" s="415"/>
      <c r="G47" s="415"/>
      <c r="K47" s="1"/>
      <c r="L47" s="1"/>
      <c r="M47" s="1"/>
      <c r="N47" s="1"/>
      <c r="AD47" s="1"/>
      <c r="AE47" s="1"/>
      <c r="AF47" s="1"/>
      <c r="AG47" s="1"/>
      <c r="AH47" s="1"/>
      <c r="AI47" s="1"/>
      <c r="AJ47" s="1"/>
      <c r="AK47" s="1"/>
    </row>
    <row r="48" spans="1:37" ht="15" customHeight="1" x14ac:dyDescent="0.25">
      <c r="A48" s="2"/>
      <c r="B48" s="415"/>
      <c r="C48" s="415"/>
      <c r="D48" s="415"/>
      <c r="E48" s="415"/>
      <c r="F48" s="415"/>
      <c r="G48" s="415"/>
      <c r="H48" s="20"/>
      <c r="K48" s="1"/>
      <c r="L48" s="1"/>
      <c r="M48" s="1"/>
      <c r="N48" s="1"/>
      <c r="AD48" s="1"/>
      <c r="AE48" s="1"/>
      <c r="AF48" s="1"/>
      <c r="AG48" s="1"/>
      <c r="AH48" s="1"/>
      <c r="AI48" s="1"/>
      <c r="AJ48" s="1"/>
      <c r="AK48" s="1"/>
    </row>
    <row r="49" spans="1:37" ht="15" customHeight="1" x14ac:dyDescent="0.25">
      <c r="A49" s="2"/>
      <c r="B49" s="415"/>
      <c r="C49" s="415"/>
      <c r="D49" s="415"/>
      <c r="E49" s="415"/>
      <c r="F49" s="415"/>
      <c r="G49" s="415"/>
      <c r="K49" s="1"/>
      <c r="L49" s="1"/>
      <c r="M49" s="1"/>
      <c r="N49" s="1"/>
      <c r="Q49" s="1"/>
      <c r="R49" s="1"/>
      <c r="S49" s="1"/>
      <c r="T49" s="1"/>
      <c r="U49" s="1"/>
      <c r="V49" s="1"/>
      <c r="W49" s="1"/>
      <c r="X49" s="1"/>
      <c r="Y49" s="1"/>
      <c r="Z49" s="1"/>
      <c r="AA49" s="1"/>
      <c r="AB49" s="1"/>
      <c r="AC49" s="1"/>
      <c r="AD49" s="1"/>
      <c r="AE49" s="1"/>
      <c r="AF49" s="1"/>
      <c r="AG49" s="1"/>
      <c r="AH49" s="1"/>
      <c r="AI49" s="1"/>
      <c r="AJ49" s="1"/>
      <c r="AK49" s="1"/>
    </row>
    <row r="50" spans="1:37" ht="15" customHeight="1" x14ac:dyDescent="0.25">
      <c r="A50" s="2"/>
      <c r="B50" s="415"/>
      <c r="C50" s="415"/>
      <c r="D50" s="415"/>
      <c r="E50" s="415"/>
      <c r="F50" s="415"/>
      <c r="G50" s="415"/>
    </row>
    <row r="51" spans="1:37" x14ac:dyDescent="0.25">
      <c r="A51" s="2"/>
      <c r="B51" s="8"/>
      <c r="C51" s="8"/>
      <c r="D51" s="8"/>
      <c r="E51" s="8"/>
      <c r="F51" s="8"/>
      <c r="G51" s="8"/>
    </row>
    <row r="52" spans="1:37" ht="15" customHeight="1" x14ac:dyDescent="0.25">
      <c r="A52" s="2" t="s">
        <v>25</v>
      </c>
      <c r="B52" s="415" t="s">
        <v>210</v>
      </c>
      <c r="C52" s="415"/>
      <c r="D52" s="415"/>
      <c r="E52" s="415"/>
      <c r="F52" s="415"/>
      <c r="G52" s="415"/>
    </row>
    <row r="53" spans="1:37" ht="15" customHeight="1" x14ac:dyDescent="0.25">
      <c r="A53" s="2"/>
      <c r="B53" s="415"/>
      <c r="C53" s="415"/>
      <c r="D53" s="415"/>
      <c r="E53" s="415"/>
      <c r="F53" s="415"/>
      <c r="G53" s="415"/>
    </row>
    <row r="54" spans="1:37" ht="15" customHeight="1" x14ac:dyDescent="0.25">
      <c r="A54" s="2"/>
      <c r="B54" s="415"/>
      <c r="C54" s="415"/>
      <c r="D54" s="415"/>
      <c r="E54" s="415"/>
      <c r="F54" s="415"/>
      <c r="G54" s="415"/>
    </row>
    <row r="55" spans="1:37" ht="15" customHeight="1" x14ac:dyDescent="0.25">
      <c r="A55" s="2"/>
      <c r="B55" s="415"/>
      <c r="C55" s="415"/>
      <c r="D55" s="415"/>
      <c r="E55" s="415"/>
      <c r="F55" s="415"/>
      <c r="G55" s="415"/>
    </row>
    <row r="56" spans="1:37" ht="15" customHeight="1" x14ac:dyDescent="0.25">
      <c r="A56" s="2"/>
      <c r="B56" s="415"/>
      <c r="C56" s="415"/>
      <c r="D56" s="415"/>
      <c r="E56" s="415"/>
      <c r="F56" s="415"/>
      <c r="G56" s="415"/>
    </row>
    <row r="57" spans="1:37" ht="15" customHeight="1" x14ac:dyDescent="0.25">
      <c r="A57" s="2"/>
      <c r="B57" s="415"/>
      <c r="C57" s="415"/>
      <c r="D57" s="415"/>
      <c r="E57" s="415"/>
      <c r="F57" s="415"/>
      <c r="G57" s="415"/>
    </row>
    <row r="58" spans="1:37" x14ac:dyDescent="0.25">
      <c r="A58" s="2"/>
      <c r="B58" s="8"/>
      <c r="C58" s="8"/>
      <c r="D58" s="8"/>
      <c r="E58" s="8"/>
      <c r="F58" s="8"/>
      <c r="G58" s="8"/>
    </row>
    <row r="59" spans="1:37" ht="15" customHeight="1" x14ac:dyDescent="0.25"/>
    <row r="60" spans="1:37" ht="15" customHeight="1" x14ac:dyDescent="0.25"/>
    <row r="61" spans="1:37" x14ac:dyDescent="0.25">
      <c r="A61" s="2"/>
      <c r="B61" s="8"/>
      <c r="C61" s="8"/>
      <c r="D61" s="8"/>
      <c r="E61" s="8"/>
      <c r="F61" s="8"/>
      <c r="G61" s="8"/>
    </row>
    <row r="62" spans="1:37" x14ac:dyDescent="0.25">
      <c r="A62" s="2"/>
      <c r="B62" s="8"/>
      <c r="C62" s="8"/>
      <c r="D62" s="8"/>
      <c r="E62" s="8"/>
      <c r="F62" s="8"/>
    </row>
    <row r="63" spans="1:37" ht="15" customHeight="1" x14ac:dyDescent="0.25">
      <c r="A63" s="2"/>
      <c r="B63" s="8"/>
      <c r="C63" s="8"/>
      <c r="D63" s="8"/>
      <c r="E63" s="8"/>
      <c r="F63" s="8"/>
    </row>
    <row r="64" spans="1:37" ht="15" customHeight="1" x14ac:dyDescent="0.25"/>
    <row r="66" spans="1:7" ht="15" customHeight="1" x14ac:dyDescent="0.25"/>
    <row r="69" spans="1:7" ht="15" customHeight="1" x14ac:dyDescent="0.25"/>
    <row r="71" spans="1:7" ht="15" customHeight="1" x14ac:dyDescent="0.25"/>
    <row r="72" spans="1:7" ht="21" customHeight="1" x14ac:dyDescent="0.25">
      <c r="A72" s="2"/>
      <c r="B72" s="8"/>
      <c r="C72" s="8"/>
      <c r="D72" s="8"/>
      <c r="E72" s="8"/>
      <c r="F72" s="8"/>
      <c r="G72" s="8"/>
    </row>
    <row r="73" spans="1:7" x14ac:dyDescent="0.25">
      <c r="A73" s="2"/>
      <c r="B73" s="8"/>
      <c r="C73" s="8"/>
      <c r="D73" s="8"/>
      <c r="E73" s="8"/>
      <c r="F73" s="8"/>
    </row>
    <row r="74" spans="1:7" x14ac:dyDescent="0.25">
      <c r="A74" s="2"/>
    </row>
  </sheetData>
  <mergeCells count="13">
    <mergeCell ref="B52:G57"/>
    <mergeCell ref="R6:U6"/>
    <mergeCell ref="V6:Y6"/>
    <mergeCell ref="Z6:AC6"/>
    <mergeCell ref="K5:L5"/>
    <mergeCell ref="H4:H5"/>
    <mergeCell ref="B47:G50"/>
    <mergeCell ref="B4:B5"/>
    <mergeCell ref="C4:C5"/>
    <mergeCell ref="D4:D5"/>
    <mergeCell ref="E4:E5"/>
    <mergeCell ref="F4:F5"/>
    <mergeCell ref="G4:G5"/>
  </mergeCells>
  <pageMargins left="0.25" right="0.25" top="0.75" bottom="0.75" header="0.3" footer="0.3"/>
  <pageSetup scale="22" orientation="landscape" r:id="rId1"/>
  <drawing r:id="rId2"/>
  <legacy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3C919-FC08-4229-BE93-BC682A1261F6}">
  <sheetPr>
    <tabColor rgb="FFC00000"/>
    <pageSetUpPr fitToPage="1"/>
  </sheetPr>
  <dimension ref="A1:AF74"/>
  <sheetViews>
    <sheetView view="pageBreakPreview" zoomScale="85" zoomScaleNormal="40" zoomScaleSheetLayoutView="85" zoomScalePageLayoutView="55" workbookViewId="0">
      <selection activeCell="B3" sqref="B3"/>
    </sheetView>
  </sheetViews>
  <sheetFormatPr defaultRowHeight="15" x14ac:dyDescent="0.25"/>
  <cols>
    <col min="1" max="1" width="3.7109375" customWidth="1"/>
    <col min="2" max="8" width="20.7109375" customWidth="1"/>
    <col min="9" max="9" width="5.7109375" customWidth="1"/>
    <col min="10" max="10" width="3" customWidth="1"/>
    <col min="11" max="11" width="39.140625" customWidth="1"/>
    <col min="12" max="12" width="31.28515625" bestFit="1" customWidth="1"/>
    <col min="13" max="13" width="29.140625" bestFit="1" customWidth="1"/>
    <col min="14" max="14" width="31.28515625" bestFit="1" customWidth="1"/>
    <col min="15" max="15" width="24.140625" bestFit="1" customWidth="1"/>
    <col min="16" max="16" width="15.85546875" bestFit="1" customWidth="1"/>
    <col min="17" max="17" width="13" bestFit="1" customWidth="1"/>
    <col min="18" max="18" width="11.28515625" bestFit="1" customWidth="1"/>
    <col min="19" max="19" width="16.28515625" bestFit="1" customWidth="1"/>
    <col min="20" max="20" width="15.5703125" bestFit="1" customWidth="1"/>
    <col min="21" max="21" width="17.7109375" bestFit="1" customWidth="1"/>
    <col min="22" max="22" width="17" bestFit="1" customWidth="1"/>
    <col min="23" max="23" width="16.28515625" bestFit="1" customWidth="1"/>
    <col min="24" max="30" width="21" customWidth="1"/>
    <col min="31" max="33" width="23.28515625" customWidth="1"/>
    <col min="34" max="34" width="29.28515625" bestFit="1" customWidth="1"/>
    <col min="35" max="35" width="23.28515625" customWidth="1"/>
    <col min="36" max="37" width="29.28515625" bestFit="1" customWidth="1"/>
    <col min="38" max="40" width="10.7109375" customWidth="1"/>
  </cols>
  <sheetData>
    <row r="1" spans="2:32" ht="14.25" customHeight="1" x14ac:dyDescent="0.25">
      <c r="B1" s="54"/>
      <c r="C1" s="54"/>
      <c r="D1" s="54"/>
      <c r="E1" s="54"/>
      <c r="F1" s="54"/>
      <c r="G1" s="54"/>
      <c r="H1" s="54"/>
    </row>
    <row r="2" spans="2:32" x14ac:dyDescent="0.25">
      <c r="B2" s="1" t="s">
        <v>844</v>
      </c>
      <c r="C2" s="1"/>
    </row>
    <row r="3" spans="2:32" ht="15.75" thickBot="1" x14ac:dyDescent="0.3">
      <c r="K3" s="15"/>
    </row>
    <row r="4" spans="2:32" ht="35.1" customHeight="1" x14ac:dyDescent="0.25">
      <c r="B4" s="422" t="s">
        <v>0</v>
      </c>
      <c r="C4" s="424" t="s">
        <v>67</v>
      </c>
      <c r="D4" s="426" t="s">
        <v>54</v>
      </c>
      <c r="E4" s="424" t="s">
        <v>68</v>
      </c>
      <c r="F4" s="426" t="s">
        <v>55</v>
      </c>
      <c r="G4" s="428" t="s">
        <v>30</v>
      </c>
      <c r="H4" s="419" t="s">
        <v>1</v>
      </c>
      <c r="K4" s="63"/>
    </row>
    <row r="5" spans="2:32" ht="43.5" customHeight="1" thickBot="1" x14ac:dyDescent="0.3">
      <c r="B5" s="423"/>
      <c r="C5" s="425"/>
      <c r="D5" s="427"/>
      <c r="E5" s="425"/>
      <c r="F5" s="427"/>
      <c r="G5" s="429"/>
      <c r="H5" s="420"/>
      <c r="K5" s="421" t="s">
        <v>64</v>
      </c>
      <c r="L5" s="421"/>
      <c r="M5" s="33"/>
    </row>
    <row r="6" spans="2:32" ht="15" customHeight="1" x14ac:dyDescent="0.25">
      <c r="B6" s="170">
        <v>2024</v>
      </c>
      <c r="C6" s="191">
        <f>IFERROR(VLOOKUP(B6,$K$31:$S$32,4,FALSE),0)</f>
        <v>17367.074358974354</v>
      </c>
      <c r="D6" s="190">
        <f>IFERROR(VLOOKUP(B6,$K$31:$S$32,5,FALSE),0)</f>
        <v>548826.97143994586</v>
      </c>
      <c r="E6" s="191">
        <f>IFERROR(VLOOKUP(B6,$K$31:$S$32,8,FALSE),0)</f>
        <v>22577.196666666663</v>
      </c>
      <c r="F6" s="190">
        <f>IFERROR(VLOOKUP(B6,$K$31:$S$32,9,FALSE),0)</f>
        <v>713475.06287192972</v>
      </c>
      <c r="G6" s="189">
        <f>D6-F6</f>
        <v>-164648.09143198386</v>
      </c>
      <c r="H6" s="188">
        <f>G6*(1+0.07)^-(B6-Assumptions!$D$7)</f>
        <v>-134401.88747005927</v>
      </c>
      <c r="K6" s="27" t="s">
        <v>61</v>
      </c>
      <c r="L6" s="22">
        <f>Assumptions!$D$21</f>
        <v>18.8</v>
      </c>
      <c r="AF6" s="1"/>
    </row>
    <row r="7" spans="2:32" x14ac:dyDescent="0.25">
      <c r="B7" s="187">
        <f>B6+1</f>
        <v>2025</v>
      </c>
      <c r="C7" s="186">
        <f t="shared" ref="C7:C41" si="0">IFERROR(VLOOKUP(B7,$K$31:$S$32,4,FALSE),0)</f>
        <v>15887.841666666642</v>
      </c>
      <c r="D7" s="190">
        <f t="shared" ref="D7:D41" si="1">IFERROR(VLOOKUP(B7,$K$31:$S$32,5,FALSE),0)</f>
        <v>502080.88273245533</v>
      </c>
      <c r="E7" s="186">
        <f t="shared" ref="E7:E41" si="2">IFERROR(VLOOKUP(B7,$K$31:$S$32,8,FALSE),0)</f>
        <v>20654.194166666635</v>
      </c>
      <c r="F7" s="185">
        <f t="shared" ref="F7:F41" si="3">IFERROR(VLOOKUP(B7,$K$31:$S$32,9,FALSE),0)</f>
        <v>652705.14755219198</v>
      </c>
      <c r="G7" s="184">
        <f t="shared" ref="G7:G41" si="4">D7-F7</f>
        <v>-150624.26481973665</v>
      </c>
      <c r="H7" s="183">
        <f>G7*(1+0.07)^-(B7-Assumptions!$D$7)</f>
        <v>-114910.53044915559</v>
      </c>
      <c r="K7" s="27" t="s">
        <v>56</v>
      </c>
      <c r="L7" s="22">
        <f>Assumptions!D$22</f>
        <v>34</v>
      </c>
    </row>
    <row r="8" spans="2:32" x14ac:dyDescent="0.25">
      <c r="B8" s="187">
        <f t="shared" ref="B8:B41" si="5">B7+1</f>
        <v>2026</v>
      </c>
      <c r="C8" s="186">
        <f t="shared" si="0"/>
        <v>0</v>
      </c>
      <c r="D8" s="190">
        <f t="shared" si="1"/>
        <v>0</v>
      </c>
      <c r="E8" s="186">
        <f t="shared" si="2"/>
        <v>0</v>
      </c>
      <c r="F8" s="185">
        <f t="shared" si="3"/>
        <v>0</v>
      </c>
      <c r="G8" s="184">
        <f t="shared" si="4"/>
        <v>0</v>
      </c>
      <c r="H8" s="183">
        <f>G8*(1+0.07)^-(B8-Assumptions!$D$7)</f>
        <v>0</v>
      </c>
      <c r="J8" s="16"/>
    </row>
    <row r="9" spans="2:32" ht="15" customHeight="1" x14ac:dyDescent="0.25">
      <c r="B9" s="187">
        <f t="shared" si="5"/>
        <v>2027</v>
      </c>
      <c r="C9" s="186">
        <f t="shared" si="0"/>
        <v>0</v>
      </c>
      <c r="D9" s="190">
        <f t="shared" si="1"/>
        <v>0</v>
      </c>
      <c r="E9" s="186">
        <f t="shared" si="2"/>
        <v>0</v>
      </c>
      <c r="F9" s="185">
        <f t="shared" si="3"/>
        <v>0</v>
      </c>
      <c r="G9" s="184">
        <f t="shared" si="4"/>
        <v>0</v>
      </c>
      <c r="H9" s="183">
        <f>G9*(1+0.07)^-(B9-Assumptions!$D$7)</f>
        <v>0</v>
      </c>
      <c r="K9" s="19" t="s">
        <v>65</v>
      </c>
      <c r="L9" s="19"/>
    </row>
    <row r="10" spans="2:32" x14ac:dyDescent="0.25">
      <c r="B10" s="187">
        <f t="shared" si="5"/>
        <v>2028</v>
      </c>
      <c r="C10" s="186">
        <f t="shared" si="0"/>
        <v>0</v>
      </c>
      <c r="D10" s="190">
        <f t="shared" si="1"/>
        <v>0</v>
      </c>
      <c r="E10" s="186">
        <f t="shared" si="2"/>
        <v>0</v>
      </c>
      <c r="F10" s="185">
        <f t="shared" si="3"/>
        <v>0</v>
      </c>
      <c r="G10" s="184">
        <f t="shared" si="4"/>
        <v>0</v>
      </c>
      <c r="H10" s="183">
        <f>G10*(1+0.07)^-(B10-Assumptions!$D$7)</f>
        <v>0</v>
      </c>
      <c r="K10" s="27" t="s">
        <v>62</v>
      </c>
      <c r="L10" s="34">
        <f>Assumptions!$D$14</f>
        <v>0.92105263157894735</v>
      </c>
    </row>
    <row r="11" spans="2:32" x14ac:dyDescent="0.25">
      <c r="B11" s="187">
        <f t="shared" si="5"/>
        <v>2029</v>
      </c>
      <c r="C11" s="186">
        <f t="shared" si="0"/>
        <v>0</v>
      </c>
      <c r="D11" s="190">
        <f t="shared" si="1"/>
        <v>0</v>
      </c>
      <c r="E11" s="186">
        <f t="shared" si="2"/>
        <v>0</v>
      </c>
      <c r="F11" s="185">
        <f t="shared" si="3"/>
        <v>0</v>
      </c>
      <c r="G11" s="184">
        <f t="shared" si="4"/>
        <v>0</v>
      </c>
      <c r="H11" s="183">
        <f>G11*(1+0.07)^-(B11-Assumptions!$D$7)</f>
        <v>0</v>
      </c>
      <c r="K11" s="27" t="s">
        <v>57</v>
      </c>
      <c r="L11" s="34">
        <f>Assumptions!$D$15</f>
        <v>7.8947368421052627E-2</v>
      </c>
    </row>
    <row r="12" spans="2:32" x14ac:dyDescent="0.25">
      <c r="B12" s="187">
        <f t="shared" si="5"/>
        <v>2030</v>
      </c>
      <c r="C12" s="186">
        <f t="shared" si="0"/>
        <v>0</v>
      </c>
      <c r="D12" s="190">
        <f t="shared" si="1"/>
        <v>0</v>
      </c>
      <c r="E12" s="186">
        <f t="shared" si="2"/>
        <v>0</v>
      </c>
      <c r="F12" s="185">
        <f t="shared" si="3"/>
        <v>0</v>
      </c>
      <c r="G12" s="184">
        <f t="shared" si="4"/>
        <v>0</v>
      </c>
      <c r="H12" s="183">
        <f>G12*(1+0.07)^-(B12-Assumptions!$D$7)</f>
        <v>0</v>
      </c>
    </row>
    <row r="13" spans="2:32" ht="15" customHeight="1" x14ac:dyDescent="0.25">
      <c r="B13" s="187">
        <f t="shared" si="5"/>
        <v>2031</v>
      </c>
      <c r="C13" s="186">
        <f t="shared" si="0"/>
        <v>0</v>
      </c>
      <c r="D13" s="190">
        <f t="shared" si="1"/>
        <v>0</v>
      </c>
      <c r="E13" s="186">
        <f t="shared" si="2"/>
        <v>0</v>
      </c>
      <c r="F13" s="185">
        <f t="shared" si="3"/>
        <v>0</v>
      </c>
      <c r="G13" s="184">
        <f t="shared" si="4"/>
        <v>0</v>
      </c>
      <c r="H13" s="183">
        <f>G13*(1+0.07)^-(B13-Assumptions!$D$7)</f>
        <v>0</v>
      </c>
      <c r="K13" s="19" t="s">
        <v>66</v>
      </c>
      <c r="L13" s="19"/>
    </row>
    <row r="14" spans="2:32" x14ac:dyDescent="0.25">
      <c r="B14" s="187">
        <f t="shared" si="5"/>
        <v>2032</v>
      </c>
      <c r="C14" s="186">
        <f t="shared" si="0"/>
        <v>0</v>
      </c>
      <c r="D14" s="190">
        <f t="shared" si="1"/>
        <v>0</v>
      </c>
      <c r="E14" s="186">
        <f t="shared" si="2"/>
        <v>0</v>
      </c>
      <c r="F14" s="185">
        <f t="shared" si="3"/>
        <v>0</v>
      </c>
      <c r="G14" s="184">
        <f t="shared" si="4"/>
        <v>0</v>
      </c>
      <c r="H14" s="183">
        <f>G14*(1+0.07)^-(B14-Assumptions!$D$7)</f>
        <v>0</v>
      </c>
      <c r="K14" s="27" t="s">
        <v>63</v>
      </c>
      <c r="L14" s="21">
        <v>1.67</v>
      </c>
    </row>
    <row r="15" spans="2:32" x14ac:dyDescent="0.25">
      <c r="B15" s="187">
        <f t="shared" si="5"/>
        <v>2033</v>
      </c>
      <c r="C15" s="186">
        <f t="shared" si="0"/>
        <v>0</v>
      </c>
      <c r="D15" s="190">
        <f t="shared" si="1"/>
        <v>0</v>
      </c>
      <c r="E15" s="186">
        <f t="shared" si="2"/>
        <v>0</v>
      </c>
      <c r="F15" s="185">
        <f t="shared" si="3"/>
        <v>0</v>
      </c>
      <c r="G15" s="184">
        <f t="shared" si="4"/>
        <v>0</v>
      </c>
      <c r="H15" s="183">
        <f>G15*(1+0.07)^-(B15-Assumptions!$D$7)</f>
        <v>0</v>
      </c>
      <c r="K15" s="27" t="s">
        <v>29</v>
      </c>
      <c r="L15" s="21">
        <f>Assumptions!D17</f>
        <v>1</v>
      </c>
    </row>
    <row r="16" spans="2:32" x14ac:dyDescent="0.25">
      <c r="B16" s="187">
        <f t="shared" si="5"/>
        <v>2034</v>
      </c>
      <c r="C16" s="186">
        <f t="shared" si="0"/>
        <v>0</v>
      </c>
      <c r="D16" s="190">
        <f t="shared" si="1"/>
        <v>0</v>
      </c>
      <c r="E16" s="186">
        <f t="shared" si="2"/>
        <v>0</v>
      </c>
      <c r="F16" s="185">
        <f t="shared" si="3"/>
        <v>0</v>
      </c>
      <c r="G16" s="184">
        <f t="shared" si="4"/>
        <v>0</v>
      </c>
      <c r="H16" s="183">
        <f>G16*(1+0.07)^-(B16-Assumptions!$D$7)</f>
        <v>0</v>
      </c>
    </row>
    <row r="17" spans="1:23" x14ac:dyDescent="0.25">
      <c r="B17" s="187">
        <f t="shared" si="5"/>
        <v>2035</v>
      </c>
      <c r="C17" s="186">
        <f t="shared" si="0"/>
        <v>0</v>
      </c>
      <c r="D17" s="190">
        <f t="shared" si="1"/>
        <v>0</v>
      </c>
      <c r="E17" s="186">
        <f t="shared" si="2"/>
        <v>0</v>
      </c>
      <c r="F17" s="185">
        <f t="shared" si="3"/>
        <v>0</v>
      </c>
      <c r="G17" s="184">
        <f t="shared" si="4"/>
        <v>0</v>
      </c>
      <c r="H17" s="183">
        <f>G17*(1+0.07)^-(B17-Assumptions!$D$7)</f>
        <v>0</v>
      </c>
      <c r="K17" s="38" t="s">
        <v>665</v>
      </c>
    </row>
    <row r="18" spans="1:23" x14ac:dyDescent="0.25">
      <c r="B18" s="187">
        <f t="shared" si="5"/>
        <v>2036</v>
      </c>
      <c r="C18" s="186">
        <f t="shared" si="0"/>
        <v>0</v>
      </c>
      <c r="D18" s="190">
        <f t="shared" si="1"/>
        <v>0</v>
      </c>
      <c r="E18" s="186">
        <f t="shared" si="2"/>
        <v>0</v>
      </c>
      <c r="F18" s="185">
        <f t="shared" si="3"/>
        <v>0</v>
      </c>
      <c r="G18" s="184">
        <f t="shared" si="4"/>
        <v>0</v>
      </c>
      <c r="H18" s="183">
        <f>G18*(1+0.07)^-(B18-Assumptions!$D$7)</f>
        <v>0</v>
      </c>
      <c r="K18" s="26" t="s">
        <v>33</v>
      </c>
      <c r="L18" s="26" t="s">
        <v>662</v>
      </c>
      <c r="M18" s="26" t="s">
        <v>672</v>
      </c>
      <c r="N18" s="26" t="s">
        <v>673</v>
      </c>
      <c r="O18" s="26" t="s">
        <v>663</v>
      </c>
      <c r="P18" s="26" t="s">
        <v>664</v>
      </c>
    </row>
    <row r="19" spans="1:23" x14ac:dyDescent="0.25">
      <c r="B19" s="187">
        <f t="shared" si="5"/>
        <v>2037</v>
      </c>
      <c r="C19" s="186">
        <f t="shared" si="0"/>
        <v>0</v>
      </c>
      <c r="D19" s="190">
        <f t="shared" si="1"/>
        <v>0</v>
      </c>
      <c r="E19" s="186">
        <f t="shared" si="2"/>
        <v>0</v>
      </c>
      <c r="F19" s="185">
        <f t="shared" si="3"/>
        <v>0</v>
      </c>
      <c r="G19" s="184">
        <f t="shared" si="4"/>
        <v>0</v>
      </c>
      <c r="H19" s="183">
        <f>G19*(1+0.07)^-(B19-Assumptions!$D$7)</f>
        <v>0</v>
      </c>
      <c r="K19" s="26">
        <v>2024</v>
      </c>
      <c r="L19" s="28">
        <v>4</v>
      </c>
      <c r="M19" s="28">
        <f>Assumptions!$D$26</f>
        <v>65</v>
      </c>
      <c r="N19" s="28">
        <f>Assumptions!$D$28</f>
        <v>25</v>
      </c>
      <c r="O19" s="168">
        <v>7.44</v>
      </c>
      <c r="P19" s="28">
        <f>TREND(Assumptions!$D$33:$D$34,Assumptions!$C$33:$C$34,'Construction Travel Time Impact'!K19)</f>
        <v>207.84722222222217</v>
      </c>
    </row>
    <row r="20" spans="1:23" ht="14.25" customHeight="1" x14ac:dyDescent="0.25">
      <c r="B20" s="187">
        <f t="shared" si="5"/>
        <v>2038</v>
      </c>
      <c r="C20" s="186">
        <f t="shared" si="0"/>
        <v>0</v>
      </c>
      <c r="D20" s="190">
        <f t="shared" si="1"/>
        <v>0</v>
      </c>
      <c r="E20" s="186">
        <f t="shared" si="2"/>
        <v>0</v>
      </c>
      <c r="F20" s="185">
        <f t="shared" si="3"/>
        <v>0</v>
      </c>
      <c r="G20" s="184">
        <f t="shared" si="4"/>
        <v>0</v>
      </c>
      <c r="H20" s="183">
        <f>G20*(1+0.07)^-(B20-Assumptions!$D$7)</f>
        <v>0</v>
      </c>
      <c r="K20" s="26">
        <v>2025</v>
      </c>
      <c r="L20" s="28">
        <v>4</v>
      </c>
      <c r="M20" s="28">
        <f>Assumptions!$D$26</f>
        <v>65</v>
      </c>
      <c r="N20" s="28">
        <f>Assumptions!$D$28</f>
        <v>25</v>
      </c>
      <c r="O20" s="168">
        <v>6.76</v>
      </c>
      <c r="P20" s="28">
        <f>TREND(Assumptions!$D$33:$D$34,Assumptions!$C$33:$C$34,'Construction Travel Time Impact'!K20)</f>
        <v>209.27083333333303</v>
      </c>
    </row>
    <row r="21" spans="1:23" ht="15" customHeight="1" x14ac:dyDescent="0.25">
      <c r="B21" s="187">
        <f t="shared" si="5"/>
        <v>2039</v>
      </c>
      <c r="C21" s="186">
        <f t="shared" si="0"/>
        <v>0</v>
      </c>
      <c r="D21" s="190">
        <f t="shared" si="1"/>
        <v>0</v>
      </c>
      <c r="E21" s="186">
        <f t="shared" si="2"/>
        <v>0</v>
      </c>
      <c r="F21" s="185">
        <f t="shared" si="3"/>
        <v>0</v>
      </c>
      <c r="G21" s="184">
        <f t="shared" si="4"/>
        <v>0</v>
      </c>
      <c r="H21" s="183">
        <f>G21*(1+0.07)^-(B21-Assumptions!$D$7)</f>
        <v>0</v>
      </c>
      <c r="K21" s="1"/>
      <c r="L21" s="1"/>
    </row>
    <row r="22" spans="1:23" x14ac:dyDescent="0.25">
      <c r="B22" s="187">
        <f t="shared" si="5"/>
        <v>2040</v>
      </c>
      <c r="C22" s="186">
        <f t="shared" si="0"/>
        <v>0</v>
      </c>
      <c r="D22" s="190">
        <f t="shared" si="1"/>
        <v>0</v>
      </c>
      <c r="E22" s="186">
        <f t="shared" si="2"/>
        <v>0</v>
      </c>
      <c r="F22" s="185">
        <f t="shared" si="3"/>
        <v>0</v>
      </c>
      <c r="G22" s="184">
        <f t="shared" si="4"/>
        <v>0</v>
      </c>
      <c r="H22" s="183">
        <f>G22*(1+0.07)^-(B22-Assumptions!$D$7)</f>
        <v>0</v>
      </c>
      <c r="K22" s="38" t="s">
        <v>666</v>
      </c>
    </row>
    <row r="23" spans="1:23" x14ac:dyDescent="0.25">
      <c r="B23" s="187">
        <f t="shared" si="5"/>
        <v>2041</v>
      </c>
      <c r="C23" s="186">
        <f t="shared" si="0"/>
        <v>0</v>
      </c>
      <c r="D23" s="190">
        <f t="shared" si="1"/>
        <v>0</v>
      </c>
      <c r="E23" s="186">
        <f t="shared" si="2"/>
        <v>0</v>
      </c>
      <c r="F23" s="185">
        <f t="shared" si="3"/>
        <v>0</v>
      </c>
      <c r="G23" s="184">
        <f t="shared" si="4"/>
        <v>0</v>
      </c>
      <c r="H23" s="183">
        <f>G23*(1+0.07)^-(B23-Assumptions!$D$7)</f>
        <v>0</v>
      </c>
      <c r="K23" s="42" t="s">
        <v>58</v>
      </c>
      <c r="L23" s="44"/>
      <c r="M23" s="42" t="s">
        <v>59</v>
      </c>
      <c r="N23" s="44"/>
    </row>
    <row r="24" spans="1:23" x14ac:dyDescent="0.25">
      <c r="B24" s="187">
        <f t="shared" si="5"/>
        <v>2042</v>
      </c>
      <c r="C24" s="186">
        <f t="shared" si="0"/>
        <v>0</v>
      </c>
      <c r="D24" s="190">
        <f t="shared" si="1"/>
        <v>0</v>
      </c>
      <c r="E24" s="186">
        <f t="shared" si="2"/>
        <v>0</v>
      </c>
      <c r="F24" s="185">
        <f t="shared" si="3"/>
        <v>0</v>
      </c>
      <c r="G24" s="184">
        <f t="shared" si="4"/>
        <v>0</v>
      </c>
      <c r="H24" s="183">
        <f>G24*(1+0.07)^-(B24-Assumptions!$D$7)</f>
        <v>0</v>
      </c>
      <c r="K24" s="26" t="s">
        <v>33</v>
      </c>
      <c r="L24" s="25" t="s">
        <v>60</v>
      </c>
      <c r="M24" s="26" t="s">
        <v>33</v>
      </c>
      <c r="N24" s="25" t="s">
        <v>60</v>
      </c>
      <c r="O24" s="3"/>
      <c r="P24" s="3"/>
    </row>
    <row r="25" spans="1:23" ht="15" customHeight="1" x14ac:dyDescent="0.25">
      <c r="B25" s="187">
        <f t="shared" si="5"/>
        <v>2043</v>
      </c>
      <c r="C25" s="186">
        <f t="shared" si="0"/>
        <v>0</v>
      </c>
      <c r="D25" s="190">
        <f t="shared" si="1"/>
        <v>0</v>
      </c>
      <c r="E25" s="186">
        <f t="shared" si="2"/>
        <v>0</v>
      </c>
      <c r="F25" s="185">
        <f t="shared" si="3"/>
        <v>0</v>
      </c>
      <c r="G25" s="184">
        <f t="shared" si="4"/>
        <v>0</v>
      </c>
      <c r="H25" s="183">
        <f>G25*(1+0.07)^-(B25-Assumptions!$D$7)</f>
        <v>0</v>
      </c>
      <c r="K25" s="26">
        <v>2024</v>
      </c>
      <c r="L25" s="28">
        <f>($O$19/$M$19)*$P$19*365*(L19/2)</f>
        <v>17367.074358974354</v>
      </c>
      <c r="M25" s="26">
        <f>Assumptions!$C$33</f>
        <v>2022</v>
      </c>
      <c r="N25" s="28">
        <f>($O$19/$N$19)*$P$19*365</f>
        <v>22577.196666666663</v>
      </c>
      <c r="O25" s="1"/>
      <c r="P25" s="1"/>
    </row>
    <row r="26" spans="1:23" ht="15" customHeight="1" x14ac:dyDescent="0.25">
      <c r="B26" s="187">
        <f t="shared" si="5"/>
        <v>2044</v>
      </c>
      <c r="C26" s="186">
        <f t="shared" si="0"/>
        <v>0</v>
      </c>
      <c r="D26" s="190">
        <f t="shared" si="1"/>
        <v>0</v>
      </c>
      <c r="E26" s="186">
        <f t="shared" si="2"/>
        <v>0</v>
      </c>
      <c r="F26" s="185">
        <f t="shared" si="3"/>
        <v>0</v>
      </c>
      <c r="G26" s="184">
        <f t="shared" si="4"/>
        <v>0</v>
      </c>
      <c r="H26" s="183">
        <f>G26*(1+0.07)^-(B26-Assumptions!$D$7)</f>
        <v>0</v>
      </c>
      <c r="K26" s="26">
        <v>2025</v>
      </c>
      <c r="L26" s="28">
        <f>($O$20/$M$20)*$P$20*365*($L$20/2)</f>
        <v>15887.841666666642</v>
      </c>
      <c r="M26" s="26">
        <v>2025</v>
      </c>
      <c r="N26" s="28">
        <f>($O$20/$N$20)*$P$20*365</f>
        <v>20654.194166666635</v>
      </c>
      <c r="O26" s="1"/>
      <c r="P26" s="1"/>
    </row>
    <row r="27" spans="1:23" ht="15" customHeight="1" x14ac:dyDescent="0.25">
      <c r="B27" s="187">
        <f t="shared" si="5"/>
        <v>2045</v>
      </c>
      <c r="C27" s="186">
        <f t="shared" si="0"/>
        <v>0</v>
      </c>
      <c r="D27" s="190">
        <f t="shared" si="1"/>
        <v>0</v>
      </c>
      <c r="E27" s="186">
        <f t="shared" si="2"/>
        <v>0</v>
      </c>
      <c r="F27" s="185">
        <f t="shared" si="3"/>
        <v>0</v>
      </c>
      <c r="G27" s="184">
        <f t="shared" si="4"/>
        <v>0</v>
      </c>
      <c r="H27" s="183">
        <f>G27*(1+0.07)^-(B27-Assumptions!$D$7)</f>
        <v>0</v>
      </c>
      <c r="I27" s="3"/>
    </row>
    <row r="28" spans="1:23" ht="15" customHeight="1" thickBot="1" x14ac:dyDescent="0.3">
      <c r="A28" s="2"/>
      <c r="B28" s="187">
        <f t="shared" si="5"/>
        <v>2046</v>
      </c>
      <c r="C28" s="186">
        <f t="shared" si="0"/>
        <v>0</v>
      </c>
      <c r="D28" s="190">
        <f t="shared" si="1"/>
        <v>0</v>
      </c>
      <c r="E28" s="186">
        <f t="shared" si="2"/>
        <v>0</v>
      </c>
      <c r="F28" s="185">
        <f t="shared" si="3"/>
        <v>0</v>
      </c>
      <c r="G28" s="184">
        <f t="shared" si="4"/>
        <v>0</v>
      </c>
      <c r="H28" s="183">
        <f>G28*(1+0.07)^-(B28-Assumptions!$D$7)</f>
        <v>0</v>
      </c>
      <c r="K28" s="1" t="s">
        <v>667</v>
      </c>
      <c r="L28" s="1"/>
    </row>
    <row r="29" spans="1:23" ht="15" customHeight="1" thickBot="1" x14ac:dyDescent="0.3">
      <c r="B29" s="187">
        <f t="shared" si="5"/>
        <v>2047</v>
      </c>
      <c r="C29" s="186">
        <f t="shared" si="0"/>
        <v>0</v>
      </c>
      <c r="D29" s="190">
        <f t="shared" si="1"/>
        <v>0</v>
      </c>
      <c r="E29" s="186">
        <f t="shared" si="2"/>
        <v>0</v>
      </c>
      <c r="F29" s="185">
        <f t="shared" si="3"/>
        <v>0</v>
      </c>
      <c r="G29" s="184">
        <f t="shared" si="4"/>
        <v>0</v>
      </c>
      <c r="H29" s="183">
        <f>G29*(1+0.07)^-(B29-Assumptions!$D$7)</f>
        <v>0</v>
      </c>
      <c r="L29" s="416" t="s">
        <v>36</v>
      </c>
      <c r="M29" s="417"/>
      <c r="N29" s="417"/>
      <c r="O29" s="418"/>
      <c r="P29" s="416" t="s">
        <v>14</v>
      </c>
      <c r="Q29" s="417"/>
      <c r="R29" s="417"/>
      <c r="S29" s="418"/>
      <c r="T29" s="416" t="s">
        <v>135</v>
      </c>
      <c r="U29" s="417"/>
      <c r="V29" s="417"/>
      <c r="W29" s="418"/>
    </row>
    <row r="30" spans="1:23" ht="15" customHeight="1" thickBot="1" x14ac:dyDescent="0.3">
      <c r="B30" s="187">
        <f t="shared" si="5"/>
        <v>2048</v>
      </c>
      <c r="C30" s="186">
        <f t="shared" si="0"/>
        <v>0</v>
      </c>
      <c r="D30" s="190">
        <f t="shared" si="1"/>
        <v>0</v>
      </c>
      <c r="E30" s="186">
        <f t="shared" si="2"/>
        <v>0</v>
      </c>
      <c r="F30" s="185">
        <f t="shared" si="3"/>
        <v>0</v>
      </c>
      <c r="G30" s="184">
        <f t="shared" si="4"/>
        <v>0</v>
      </c>
      <c r="H30" s="183">
        <f>G30*(1+0.07)^-(B30-Assumptions!$D$7)</f>
        <v>0</v>
      </c>
      <c r="K30" s="111" t="s">
        <v>33</v>
      </c>
      <c r="L30" s="112" t="s">
        <v>177</v>
      </c>
      <c r="M30" s="108" t="s">
        <v>178</v>
      </c>
      <c r="N30" s="98" t="s">
        <v>183</v>
      </c>
      <c r="O30" s="113" t="s">
        <v>179</v>
      </c>
      <c r="P30" s="112" t="s">
        <v>177</v>
      </c>
      <c r="Q30" s="108" t="s">
        <v>178</v>
      </c>
      <c r="R30" s="98" t="s">
        <v>183</v>
      </c>
      <c r="S30" s="113" t="s">
        <v>179</v>
      </c>
      <c r="T30" s="112" t="s">
        <v>180</v>
      </c>
      <c r="U30" s="108" t="s">
        <v>181</v>
      </c>
      <c r="V30" s="98" t="s">
        <v>184</v>
      </c>
      <c r="W30" s="113" t="s">
        <v>182</v>
      </c>
    </row>
    <row r="31" spans="1:23" ht="15" customHeight="1" x14ac:dyDescent="0.25">
      <c r="B31" s="187">
        <f t="shared" si="5"/>
        <v>2049</v>
      </c>
      <c r="C31" s="186">
        <f t="shared" si="0"/>
        <v>0</v>
      </c>
      <c r="D31" s="190">
        <f t="shared" si="1"/>
        <v>0</v>
      </c>
      <c r="E31" s="186">
        <f t="shared" si="2"/>
        <v>0</v>
      </c>
      <c r="F31" s="185">
        <f t="shared" si="3"/>
        <v>0</v>
      </c>
      <c r="G31" s="184">
        <f t="shared" si="4"/>
        <v>0</v>
      </c>
      <c r="H31" s="183">
        <f>G31*(1+0.07)^-(B31-Assumptions!$D$7)</f>
        <v>0</v>
      </c>
      <c r="K31" s="170">
        <v>2024</v>
      </c>
      <c r="L31" s="77">
        <f>$L$25*$L$10</f>
        <v>15995.989541160588</v>
      </c>
      <c r="M31" s="107">
        <f>$L$25*$L$11</f>
        <v>1371.0848178137646</v>
      </c>
      <c r="N31" s="107">
        <f>SUM(L31:M31)</f>
        <v>17367.074358974354</v>
      </c>
      <c r="O31" s="106">
        <f>($L$6*$L$14*L31)+($L$7*$L$15*M31)</f>
        <v>548826.97143994586</v>
      </c>
      <c r="P31" s="77">
        <f>$N$25*$L$10</f>
        <v>20794.78640350877</v>
      </c>
      <c r="Q31" s="107">
        <f>$N$25*$L$11</f>
        <v>1782.4102631578944</v>
      </c>
      <c r="R31" s="107">
        <f>SUM(P31:Q31)</f>
        <v>22577.196666666663</v>
      </c>
      <c r="S31" s="106">
        <f>($L$6*$L$14*P31)+($L$7*$L$15*Q31)</f>
        <v>713475.06287192972</v>
      </c>
      <c r="T31" s="105">
        <f t="shared" ref="T31:W32" si="6">L31-P31</f>
        <v>-4798.7968623481811</v>
      </c>
      <c r="U31" s="107">
        <f t="shared" si="6"/>
        <v>-411.32544534412978</v>
      </c>
      <c r="V31" s="97">
        <f t="shared" si="6"/>
        <v>-5210.1223076923088</v>
      </c>
      <c r="W31" s="106">
        <f t="shared" si="6"/>
        <v>-164648.09143198386</v>
      </c>
    </row>
    <row r="32" spans="1:23" ht="15" customHeight="1" thickBot="1" x14ac:dyDescent="0.3">
      <c r="B32" s="187">
        <f t="shared" si="5"/>
        <v>2050</v>
      </c>
      <c r="C32" s="186">
        <f t="shared" si="0"/>
        <v>0</v>
      </c>
      <c r="D32" s="190">
        <f t="shared" si="1"/>
        <v>0</v>
      </c>
      <c r="E32" s="186">
        <f t="shared" si="2"/>
        <v>0</v>
      </c>
      <c r="F32" s="185">
        <f t="shared" si="3"/>
        <v>0</v>
      </c>
      <c r="G32" s="184">
        <f t="shared" si="4"/>
        <v>0</v>
      </c>
      <c r="H32" s="183">
        <f>G32*(1+0.07)^-(B32-Assumptions!$D$7)</f>
        <v>0</v>
      </c>
      <c r="K32" s="169">
        <v>2025</v>
      </c>
      <c r="L32" s="73">
        <f>$L$26*$L$10</f>
        <v>14633.538377192959</v>
      </c>
      <c r="M32" s="101">
        <f>$L$26*$L$11</f>
        <v>1254.3032894736821</v>
      </c>
      <c r="N32" s="101">
        <f>SUM(L32:M32)</f>
        <v>15887.841666666642</v>
      </c>
      <c r="O32" s="100">
        <f>($L$6*$L$14*L32)+($L$7*$L$15*M32)</f>
        <v>502080.88273245533</v>
      </c>
      <c r="P32" s="99">
        <f>$N$26*$L$10</f>
        <v>19023.599890350848</v>
      </c>
      <c r="Q32" s="101">
        <f>$N$26*$L$11</f>
        <v>1630.5942763157868</v>
      </c>
      <c r="R32" s="96">
        <f>SUM(P32:Q32)</f>
        <v>20654.194166666635</v>
      </c>
      <c r="S32" s="100">
        <f>($L$6*$L$14*P32)+($L$7*$L$15*Q32)</f>
        <v>652705.14755219198</v>
      </c>
      <c r="T32" s="99">
        <f t="shared" si="6"/>
        <v>-4390.0615131578888</v>
      </c>
      <c r="U32" s="101">
        <f t="shared" si="6"/>
        <v>-376.29098684210476</v>
      </c>
      <c r="V32" s="96">
        <f t="shared" si="6"/>
        <v>-4766.3524999999936</v>
      </c>
      <c r="W32" s="100">
        <f t="shared" si="6"/>
        <v>-150624.26481973665</v>
      </c>
    </row>
    <row r="33" spans="1:17" ht="15" customHeight="1" x14ac:dyDescent="0.25">
      <c r="B33" s="187">
        <f t="shared" si="5"/>
        <v>2051</v>
      </c>
      <c r="C33" s="186">
        <f t="shared" si="0"/>
        <v>0</v>
      </c>
      <c r="D33" s="190">
        <f t="shared" si="1"/>
        <v>0</v>
      </c>
      <c r="E33" s="186">
        <f t="shared" si="2"/>
        <v>0</v>
      </c>
      <c r="F33" s="185">
        <f t="shared" si="3"/>
        <v>0</v>
      </c>
      <c r="G33" s="184">
        <f t="shared" si="4"/>
        <v>0</v>
      </c>
      <c r="H33" s="183">
        <f>G33*(1+0.07)^-(B33-Assumptions!$D$7)</f>
        <v>0</v>
      </c>
    </row>
    <row r="34" spans="1:17" ht="15" customHeight="1" x14ac:dyDescent="0.25">
      <c r="B34" s="187">
        <f t="shared" si="5"/>
        <v>2052</v>
      </c>
      <c r="C34" s="186">
        <f t="shared" si="0"/>
        <v>0</v>
      </c>
      <c r="D34" s="190">
        <f t="shared" si="1"/>
        <v>0</v>
      </c>
      <c r="E34" s="186">
        <f t="shared" si="2"/>
        <v>0</v>
      </c>
      <c r="F34" s="185">
        <f t="shared" si="3"/>
        <v>0</v>
      </c>
      <c r="G34" s="184">
        <f t="shared" si="4"/>
        <v>0</v>
      </c>
      <c r="H34" s="183">
        <f>G34*(1+0.07)^-(B34-Assumptions!$D$7)</f>
        <v>0</v>
      </c>
    </row>
    <row r="35" spans="1:17" ht="15" customHeight="1" x14ac:dyDescent="0.25">
      <c r="B35" s="187">
        <f t="shared" si="5"/>
        <v>2053</v>
      </c>
      <c r="C35" s="186">
        <f t="shared" si="0"/>
        <v>0</v>
      </c>
      <c r="D35" s="190">
        <f t="shared" si="1"/>
        <v>0</v>
      </c>
      <c r="E35" s="186">
        <f t="shared" si="2"/>
        <v>0</v>
      </c>
      <c r="F35" s="185">
        <f t="shared" si="3"/>
        <v>0</v>
      </c>
      <c r="G35" s="184">
        <f t="shared" si="4"/>
        <v>0</v>
      </c>
      <c r="H35" s="183">
        <f>G35*(1+0.07)^-(B35-Assumptions!$D$7)</f>
        <v>0</v>
      </c>
    </row>
    <row r="36" spans="1:17" ht="15" customHeight="1" x14ac:dyDescent="0.25">
      <c r="B36" s="187">
        <f t="shared" si="5"/>
        <v>2054</v>
      </c>
      <c r="C36" s="186">
        <f t="shared" si="0"/>
        <v>0</v>
      </c>
      <c r="D36" s="190">
        <f t="shared" si="1"/>
        <v>0</v>
      </c>
      <c r="E36" s="186">
        <f t="shared" si="2"/>
        <v>0</v>
      </c>
      <c r="F36" s="185">
        <f t="shared" si="3"/>
        <v>0</v>
      </c>
      <c r="G36" s="184">
        <f t="shared" si="4"/>
        <v>0</v>
      </c>
      <c r="H36" s="183">
        <f>G36*(1+0.07)^-(B36-Assumptions!$D$7)</f>
        <v>0</v>
      </c>
    </row>
    <row r="37" spans="1:17" ht="15" customHeight="1" x14ac:dyDescent="0.25">
      <c r="B37" s="187">
        <f t="shared" si="5"/>
        <v>2055</v>
      </c>
      <c r="C37" s="186">
        <f t="shared" si="0"/>
        <v>0</v>
      </c>
      <c r="D37" s="190">
        <f t="shared" si="1"/>
        <v>0</v>
      </c>
      <c r="E37" s="186">
        <f t="shared" si="2"/>
        <v>0</v>
      </c>
      <c r="F37" s="185">
        <f t="shared" si="3"/>
        <v>0</v>
      </c>
      <c r="G37" s="184">
        <f t="shared" si="4"/>
        <v>0</v>
      </c>
      <c r="H37" s="183">
        <f>G37*(1+0.07)^-(B37-Assumptions!$D$7)</f>
        <v>0</v>
      </c>
    </row>
    <row r="38" spans="1:17" ht="15" customHeight="1" x14ac:dyDescent="0.25">
      <c r="B38" s="187">
        <f t="shared" si="5"/>
        <v>2056</v>
      </c>
      <c r="C38" s="186">
        <f t="shared" si="0"/>
        <v>0</v>
      </c>
      <c r="D38" s="190">
        <f t="shared" si="1"/>
        <v>0</v>
      </c>
      <c r="E38" s="186">
        <f t="shared" si="2"/>
        <v>0</v>
      </c>
      <c r="F38" s="185">
        <f t="shared" si="3"/>
        <v>0</v>
      </c>
      <c r="G38" s="184">
        <f t="shared" si="4"/>
        <v>0</v>
      </c>
      <c r="H38" s="183">
        <f>G38*(1+0.07)^-(B38-Assumptions!$D$7)</f>
        <v>0</v>
      </c>
    </row>
    <row r="39" spans="1:17" ht="15" customHeight="1" x14ac:dyDescent="0.25">
      <c r="B39" s="187">
        <f t="shared" si="5"/>
        <v>2057</v>
      </c>
      <c r="C39" s="186">
        <f t="shared" si="0"/>
        <v>0</v>
      </c>
      <c r="D39" s="190">
        <f t="shared" si="1"/>
        <v>0</v>
      </c>
      <c r="E39" s="186">
        <f t="shared" si="2"/>
        <v>0</v>
      </c>
      <c r="F39" s="185">
        <f t="shared" si="3"/>
        <v>0</v>
      </c>
      <c r="G39" s="184">
        <f t="shared" si="4"/>
        <v>0</v>
      </c>
      <c r="H39" s="183">
        <f>G39*(1+0.07)^-(B39-Assumptions!$D$7)</f>
        <v>0</v>
      </c>
    </row>
    <row r="40" spans="1:17" ht="15" customHeight="1" x14ac:dyDescent="0.25">
      <c r="B40" s="187">
        <f t="shared" si="5"/>
        <v>2058</v>
      </c>
      <c r="C40" s="186">
        <f t="shared" si="0"/>
        <v>0</v>
      </c>
      <c r="D40" s="190">
        <f t="shared" si="1"/>
        <v>0</v>
      </c>
      <c r="E40" s="186">
        <f t="shared" si="2"/>
        <v>0</v>
      </c>
      <c r="F40" s="185">
        <f t="shared" si="3"/>
        <v>0</v>
      </c>
      <c r="G40" s="184">
        <f t="shared" si="4"/>
        <v>0</v>
      </c>
      <c r="H40" s="183">
        <f>G40*(1+0.07)^-(B40-Assumptions!$D$7)</f>
        <v>0</v>
      </c>
    </row>
    <row r="41" spans="1:17" ht="15" customHeight="1" thickBot="1" x14ac:dyDescent="0.3">
      <c r="B41" s="169">
        <f t="shared" si="5"/>
        <v>2059</v>
      </c>
      <c r="C41" s="182">
        <f t="shared" si="0"/>
        <v>0</v>
      </c>
      <c r="D41" s="181">
        <f t="shared" si="1"/>
        <v>0</v>
      </c>
      <c r="E41" s="182">
        <f t="shared" si="2"/>
        <v>0</v>
      </c>
      <c r="F41" s="180">
        <f t="shared" si="3"/>
        <v>0</v>
      </c>
      <c r="G41" s="179">
        <f t="shared" si="4"/>
        <v>0</v>
      </c>
      <c r="H41" s="178">
        <f>G41*(1+0.07)^-(B41-Assumptions!$D$7)</f>
        <v>0</v>
      </c>
      <c r="I41" s="33"/>
    </row>
    <row r="42" spans="1:17" ht="15" customHeight="1" thickBot="1" x14ac:dyDescent="0.3">
      <c r="G42" s="177" t="s">
        <v>2</v>
      </c>
      <c r="H42" s="176">
        <f>SUM(H6:H41)</f>
        <v>-249312.41791921487</v>
      </c>
      <c r="I42" s="36"/>
    </row>
    <row r="43" spans="1:17" x14ac:dyDescent="0.25">
      <c r="B43" s="51"/>
      <c r="C43" s="52"/>
      <c r="D43" s="49"/>
      <c r="E43" s="49"/>
      <c r="F43" s="49"/>
      <c r="G43" s="49"/>
      <c r="H43" s="49"/>
    </row>
    <row r="44" spans="1:17" x14ac:dyDescent="0.25">
      <c r="Q44" s="1"/>
    </row>
    <row r="45" spans="1:17" ht="15" customHeight="1" x14ac:dyDescent="0.25">
      <c r="K45" s="1"/>
      <c r="L45" s="1"/>
      <c r="M45" s="1"/>
      <c r="N45" s="1"/>
      <c r="O45" s="1"/>
      <c r="P45" s="1"/>
      <c r="Q45" s="1"/>
    </row>
    <row r="46" spans="1:17" ht="15" customHeight="1" x14ac:dyDescent="0.25">
      <c r="A46" s="2"/>
      <c r="B46" s="1" t="s">
        <v>3</v>
      </c>
      <c r="C46" s="1"/>
      <c r="K46" s="1"/>
      <c r="L46" s="1"/>
      <c r="M46" s="1"/>
      <c r="N46" s="1"/>
      <c r="O46" s="1"/>
      <c r="P46" s="1"/>
      <c r="Q46" s="1"/>
    </row>
    <row r="47" spans="1:17" ht="15" customHeight="1" x14ac:dyDescent="0.25">
      <c r="A47" s="2" t="s">
        <v>19</v>
      </c>
      <c r="B47" s="415" t="s">
        <v>803</v>
      </c>
      <c r="C47" s="415"/>
      <c r="D47" s="415"/>
      <c r="E47" s="415"/>
      <c r="F47" s="415"/>
      <c r="G47" s="415"/>
      <c r="K47" s="1"/>
      <c r="L47" s="1"/>
      <c r="M47" s="1"/>
      <c r="N47" s="1"/>
      <c r="O47" s="1"/>
      <c r="P47" s="1"/>
      <c r="Q47" s="1"/>
    </row>
    <row r="48" spans="1:17" ht="15" customHeight="1" x14ac:dyDescent="0.25">
      <c r="A48" s="2"/>
      <c r="B48" s="415"/>
      <c r="C48" s="415"/>
      <c r="D48" s="415"/>
      <c r="E48" s="415"/>
      <c r="F48" s="415"/>
      <c r="G48" s="415"/>
      <c r="H48" s="20"/>
      <c r="K48" s="1"/>
      <c r="L48" s="1"/>
      <c r="M48" s="1"/>
      <c r="N48" s="1"/>
      <c r="O48" s="1"/>
      <c r="P48" s="1"/>
      <c r="Q48" s="1"/>
    </row>
    <row r="49" spans="1:7" ht="15" customHeight="1" x14ac:dyDescent="0.25">
      <c r="A49" s="2"/>
      <c r="B49" s="415"/>
      <c r="C49" s="415"/>
      <c r="D49" s="415"/>
      <c r="E49" s="415"/>
      <c r="F49" s="415"/>
      <c r="G49" s="415"/>
    </row>
    <row r="50" spans="1:7" ht="15" customHeight="1" x14ac:dyDescent="0.25">
      <c r="A50" s="2"/>
      <c r="B50" s="415"/>
      <c r="C50" s="415"/>
      <c r="D50" s="415"/>
      <c r="E50" s="415"/>
      <c r="F50" s="415"/>
      <c r="G50" s="415"/>
    </row>
    <row r="51" spans="1:7" x14ac:dyDescent="0.25">
      <c r="A51" s="2"/>
      <c r="B51" s="8"/>
      <c r="C51" s="8"/>
      <c r="D51" s="8"/>
      <c r="E51" s="8"/>
      <c r="F51" s="8"/>
      <c r="G51" s="8"/>
    </row>
    <row r="52" spans="1:7" x14ac:dyDescent="0.25">
      <c r="A52" s="2" t="s">
        <v>25</v>
      </c>
      <c r="B52" s="415" t="s">
        <v>243</v>
      </c>
      <c r="C52" s="415"/>
      <c r="D52" s="415"/>
      <c r="E52" s="415"/>
      <c r="F52" s="415"/>
      <c r="G52" s="415"/>
    </row>
    <row r="53" spans="1:7" ht="15" customHeight="1" x14ac:dyDescent="0.25">
      <c r="A53" s="2"/>
      <c r="B53" s="415"/>
      <c r="C53" s="415"/>
      <c r="D53" s="415"/>
      <c r="E53" s="415"/>
      <c r="F53" s="415"/>
      <c r="G53" s="415"/>
    </row>
    <row r="54" spans="1:7" ht="15" customHeight="1" x14ac:dyDescent="0.25">
      <c r="A54" s="2"/>
      <c r="B54" s="29"/>
      <c r="C54" s="29"/>
      <c r="D54" s="29"/>
      <c r="E54" s="29"/>
      <c r="F54" s="29"/>
      <c r="G54" s="29"/>
    </row>
    <row r="55" spans="1:7" ht="15" customHeight="1" x14ac:dyDescent="0.25">
      <c r="A55" s="2" t="s">
        <v>26</v>
      </c>
      <c r="B55" s="415" t="s">
        <v>81</v>
      </c>
      <c r="C55" s="415"/>
      <c r="D55" s="415"/>
      <c r="E55" s="415"/>
      <c r="F55" s="415"/>
      <c r="G55" s="415"/>
    </row>
    <row r="56" spans="1:7" ht="15" customHeight="1" x14ac:dyDescent="0.25">
      <c r="A56" s="2"/>
      <c r="B56" s="415"/>
      <c r="C56" s="415"/>
      <c r="D56" s="415"/>
      <c r="E56" s="415"/>
      <c r="F56" s="415"/>
      <c r="G56" s="415"/>
    </row>
    <row r="57" spans="1:7" ht="15" customHeight="1" x14ac:dyDescent="0.25">
      <c r="A57" s="2"/>
      <c r="B57" s="415"/>
      <c r="C57" s="415"/>
      <c r="D57" s="415"/>
      <c r="E57" s="415"/>
      <c r="F57" s="415"/>
      <c r="G57" s="415"/>
    </row>
    <row r="58" spans="1:7" x14ac:dyDescent="0.25">
      <c r="A58" s="2"/>
      <c r="B58" s="415"/>
      <c r="C58" s="415"/>
      <c r="D58" s="415"/>
      <c r="E58" s="415"/>
      <c r="F58" s="415"/>
      <c r="G58" s="415"/>
    </row>
    <row r="59" spans="1:7" ht="15" customHeight="1" x14ac:dyDescent="0.25"/>
    <row r="60" spans="1:7" ht="15" customHeight="1" x14ac:dyDescent="0.25"/>
    <row r="61" spans="1:7" x14ac:dyDescent="0.25">
      <c r="A61" s="2"/>
      <c r="B61" s="8"/>
      <c r="C61" s="8"/>
      <c r="D61" s="8"/>
      <c r="E61" s="8"/>
      <c r="F61" s="8"/>
      <c r="G61" s="8"/>
    </row>
    <row r="62" spans="1:7" x14ac:dyDescent="0.25">
      <c r="A62" s="2"/>
      <c r="B62" s="8"/>
      <c r="C62" s="8"/>
      <c r="D62" s="8"/>
      <c r="E62" s="8"/>
      <c r="F62" s="8"/>
    </row>
    <row r="63" spans="1:7" ht="15" customHeight="1" x14ac:dyDescent="0.25">
      <c r="A63" s="2"/>
      <c r="B63" s="8"/>
      <c r="C63" s="8"/>
      <c r="D63" s="8"/>
      <c r="E63" s="8"/>
      <c r="F63" s="8"/>
    </row>
    <row r="64" spans="1:7" ht="15" customHeight="1" x14ac:dyDescent="0.25"/>
    <row r="66" spans="1:7" ht="15" customHeight="1" x14ac:dyDescent="0.25"/>
    <row r="69" spans="1:7" ht="15" customHeight="1" x14ac:dyDescent="0.25"/>
    <row r="71" spans="1:7" ht="15" customHeight="1" x14ac:dyDescent="0.25"/>
    <row r="72" spans="1:7" ht="21" customHeight="1" x14ac:dyDescent="0.25">
      <c r="A72" s="2"/>
      <c r="B72" s="8"/>
      <c r="C72" s="8"/>
      <c r="D72" s="8"/>
      <c r="E72" s="8"/>
      <c r="F72" s="8"/>
      <c r="G72" s="8"/>
    </row>
    <row r="73" spans="1:7" x14ac:dyDescent="0.25">
      <c r="A73" s="2"/>
      <c r="B73" s="8"/>
      <c r="C73" s="8"/>
      <c r="D73" s="8"/>
      <c r="E73" s="8"/>
      <c r="F73" s="8"/>
    </row>
    <row r="74" spans="1:7" x14ac:dyDescent="0.25">
      <c r="A74" s="2"/>
    </row>
  </sheetData>
  <mergeCells count="14">
    <mergeCell ref="B52:G53"/>
    <mergeCell ref="B55:G58"/>
    <mergeCell ref="H4:H5"/>
    <mergeCell ref="K5:L5"/>
    <mergeCell ref="L29:O29"/>
    <mergeCell ref="P29:S29"/>
    <mergeCell ref="T29:W29"/>
    <mergeCell ref="B47:G50"/>
    <mergeCell ref="B4:B5"/>
    <mergeCell ref="C4:C5"/>
    <mergeCell ref="D4:D5"/>
    <mergeCell ref="E4:E5"/>
    <mergeCell ref="F4:F5"/>
    <mergeCell ref="G4:G5"/>
  </mergeCells>
  <pageMargins left="0.25" right="0.25" top="0.75" bottom="0.75" header="0.3" footer="0.3"/>
  <pageSetup scale="28"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A1447E-4568-464D-AE1B-323783893167}">
  <sheetPr>
    <tabColor rgb="FFC00000"/>
    <pageSetUpPr fitToPage="1"/>
  </sheetPr>
  <dimension ref="A1:AK74"/>
  <sheetViews>
    <sheetView view="pageBreakPreview" zoomScale="55" zoomScaleNormal="55" zoomScaleSheetLayoutView="55" workbookViewId="0">
      <selection activeCell="B3" sqref="B3"/>
    </sheetView>
  </sheetViews>
  <sheetFormatPr defaultRowHeight="15" x14ac:dyDescent="0.25"/>
  <cols>
    <col min="2" max="7" width="15.7109375" customWidth="1"/>
    <col min="8" max="8" width="15.5703125" customWidth="1"/>
    <col min="9" max="9" width="56.28515625" bestFit="1" customWidth="1"/>
    <col min="10" max="10" width="29" bestFit="1" customWidth="1"/>
    <col min="11" max="14" width="26" customWidth="1"/>
    <col min="15" max="15" width="8.140625" bestFit="1" customWidth="1"/>
    <col min="16" max="16" width="35.85546875" bestFit="1" customWidth="1"/>
    <col min="17" max="17" width="51.5703125" bestFit="1" customWidth="1"/>
  </cols>
  <sheetData>
    <row r="1" spans="2:37" x14ac:dyDescent="0.25">
      <c r="B1" s="54"/>
      <c r="C1" s="54"/>
      <c r="D1" s="54"/>
      <c r="E1" s="54"/>
      <c r="F1" s="54"/>
    </row>
    <row r="2" spans="2:37" x14ac:dyDescent="0.25">
      <c r="B2" s="1" t="s">
        <v>845</v>
      </c>
    </row>
    <row r="3" spans="2:37" ht="15.75" thickBot="1" x14ac:dyDescent="0.3">
      <c r="B3" s="1"/>
    </row>
    <row r="4" spans="2:37" ht="22.5" customHeight="1" x14ac:dyDescent="0.25">
      <c r="B4" s="422" t="s">
        <v>0</v>
      </c>
      <c r="C4" s="433" t="s">
        <v>274</v>
      </c>
      <c r="D4" s="463" t="s">
        <v>1</v>
      </c>
      <c r="E4" s="465" t="s">
        <v>5</v>
      </c>
      <c r="F4" s="463" t="s">
        <v>1</v>
      </c>
    </row>
    <row r="5" spans="2:37" ht="22.5" customHeight="1" thickBot="1" x14ac:dyDescent="0.3">
      <c r="B5" s="423"/>
      <c r="C5" s="434"/>
      <c r="D5" s="464"/>
      <c r="E5" s="466"/>
      <c r="F5" s="464"/>
    </row>
    <row r="6" spans="2:37" ht="15.75" customHeight="1" x14ac:dyDescent="0.25">
      <c r="B6" s="223">
        <f>Assumptions!$D$6</f>
        <v>2023</v>
      </c>
      <c r="C6" s="250">
        <f t="shared" ref="C6:C41" si="0">IFERROR(VLOOKUP(B6,$I$16:$J$18,2,FALSE),0)</f>
        <v>0</v>
      </c>
      <c r="D6" s="251">
        <f>C6*(1+0.07)^-($B6-Assumptions!$D$7)</f>
        <v>0</v>
      </c>
      <c r="E6" s="252">
        <f t="shared" ref="E6:E41" si="1">IF(B6=$L$29,$N$29,0)</f>
        <v>0</v>
      </c>
      <c r="F6" s="253">
        <f>E6*(1+0.07)^-($B6-Assumptions!$D$7)</f>
        <v>0</v>
      </c>
      <c r="I6" s="1" t="s">
        <v>162</v>
      </c>
      <c r="R6" s="16"/>
      <c r="S6" s="16"/>
      <c r="T6" s="16"/>
      <c r="U6" s="16"/>
      <c r="V6" s="16"/>
      <c r="W6" s="16"/>
      <c r="X6" s="16"/>
      <c r="Y6" s="16"/>
      <c r="Z6" s="16"/>
      <c r="AA6" s="16"/>
      <c r="AB6" s="16"/>
      <c r="AC6" s="16"/>
      <c r="AD6" s="16"/>
      <c r="AE6" s="16"/>
      <c r="AF6" s="16"/>
      <c r="AG6" s="16"/>
      <c r="AH6" s="16"/>
      <c r="AI6" s="16"/>
      <c r="AJ6" s="16"/>
      <c r="AK6" s="16"/>
    </row>
    <row r="7" spans="2:37" ht="15.75" customHeight="1" x14ac:dyDescent="0.25">
      <c r="B7" s="223">
        <f>B6+1</f>
        <v>2024</v>
      </c>
      <c r="C7" s="250">
        <f t="shared" si="0"/>
        <v>13609779.558148311</v>
      </c>
      <c r="D7" s="251">
        <f>C7*(1+0.07)^-($B7-Assumptions!$D$7)</f>
        <v>11109634.158268983</v>
      </c>
      <c r="E7" s="252">
        <f t="shared" si="1"/>
        <v>0</v>
      </c>
      <c r="F7" s="253">
        <f>E7*(1+0.07)^-($B7-Assumptions!$D$7)</f>
        <v>0</v>
      </c>
      <c r="I7" s="26" t="s">
        <v>33</v>
      </c>
      <c r="J7" s="206" t="s">
        <v>44</v>
      </c>
    </row>
    <row r="8" spans="2:37" ht="15.75" customHeight="1" x14ac:dyDescent="0.25">
      <c r="B8" s="223">
        <f t="shared" ref="B8:B41" si="2">B7+1</f>
        <v>2025</v>
      </c>
      <c r="C8" s="250">
        <f t="shared" si="0"/>
        <v>3565824.82</v>
      </c>
      <c r="D8" s="251">
        <f>C8*(1+0.07)^-($B8-Assumptions!$D$7)</f>
        <v>2720350.6821782282</v>
      </c>
      <c r="E8" s="252">
        <f t="shared" si="1"/>
        <v>0</v>
      </c>
      <c r="F8" s="253">
        <f>E8*(1+0.07)^-($B8-Assumptions!$D$7)</f>
        <v>0</v>
      </c>
      <c r="I8" s="26" t="s">
        <v>792</v>
      </c>
      <c r="J8" s="292">
        <v>14559528</v>
      </c>
      <c r="K8" s="88"/>
    </row>
    <row r="9" spans="2:37" ht="15.75" customHeight="1" x14ac:dyDescent="0.25">
      <c r="B9" s="223">
        <f t="shared" si="2"/>
        <v>2026</v>
      </c>
      <c r="C9" s="250">
        <f t="shared" si="0"/>
        <v>0</v>
      </c>
      <c r="D9" s="251">
        <f>C9*(1+0.07)^-($B9-Assumptions!$D$7)</f>
        <v>0</v>
      </c>
      <c r="E9" s="252">
        <f t="shared" si="1"/>
        <v>0</v>
      </c>
      <c r="F9" s="253">
        <f>E9*(1+0.07)^-($B9-Assumptions!$D$7)</f>
        <v>0</v>
      </c>
      <c r="I9" s="26" t="s">
        <v>793</v>
      </c>
      <c r="J9" s="292">
        <v>3565824.82</v>
      </c>
      <c r="K9" s="88"/>
    </row>
    <row r="10" spans="2:37" ht="15.75" customHeight="1" x14ac:dyDescent="0.25">
      <c r="B10" s="223">
        <f t="shared" si="2"/>
        <v>2027</v>
      </c>
      <c r="C10" s="250">
        <f t="shared" si="0"/>
        <v>0</v>
      </c>
      <c r="D10" s="251">
        <f>C10*(1+0.07)^-($B10-Assumptions!$D$7)</f>
        <v>0</v>
      </c>
      <c r="E10" s="252">
        <f t="shared" si="1"/>
        <v>0</v>
      </c>
      <c r="F10" s="253">
        <f>E10*(1+0.07)^-($B10-Assumptions!$D$7)</f>
        <v>0</v>
      </c>
    </row>
    <row r="11" spans="2:37" ht="15.75" customHeight="1" x14ac:dyDescent="0.25">
      <c r="B11" s="223">
        <f t="shared" si="2"/>
        <v>2028</v>
      </c>
      <c r="C11" s="250">
        <f t="shared" si="0"/>
        <v>0</v>
      </c>
      <c r="D11" s="251">
        <f>C11*(1+0.07)^-($B11-Assumptions!$D$7)</f>
        <v>0</v>
      </c>
      <c r="E11" s="252">
        <f t="shared" si="1"/>
        <v>0</v>
      </c>
      <c r="F11" s="253">
        <f>E11*(1+0.07)^-($B11-Assumptions!$D$7)</f>
        <v>0</v>
      </c>
      <c r="I11" s="1" t="s">
        <v>794</v>
      </c>
    </row>
    <row r="12" spans="2:37" ht="15.75" customHeight="1" x14ac:dyDescent="0.25">
      <c r="B12" s="223">
        <f t="shared" si="2"/>
        <v>2029</v>
      </c>
      <c r="C12" s="250">
        <f t="shared" si="0"/>
        <v>0</v>
      </c>
      <c r="D12" s="251">
        <f>C12*(1+0.07)^-($B12-Assumptions!$D$7)</f>
        <v>0</v>
      </c>
      <c r="E12" s="252">
        <f t="shared" si="1"/>
        <v>0</v>
      </c>
      <c r="F12" s="253">
        <f>E12*(1+0.07)^-($B12-Assumptions!$D$7)</f>
        <v>0</v>
      </c>
      <c r="I12" s="26" t="s">
        <v>788</v>
      </c>
      <c r="J12" s="206" t="s">
        <v>813</v>
      </c>
    </row>
    <row r="13" spans="2:37" ht="15.75" customHeight="1" x14ac:dyDescent="0.25">
      <c r="B13" s="223">
        <f t="shared" si="2"/>
        <v>2030</v>
      </c>
      <c r="C13" s="250">
        <f t="shared" si="0"/>
        <v>0</v>
      </c>
      <c r="D13" s="251">
        <f>C13*(1+0.07)^-($B13-Assumptions!$D$7)</f>
        <v>0</v>
      </c>
      <c r="E13" s="252">
        <f t="shared" si="1"/>
        <v>0</v>
      </c>
      <c r="F13" s="253">
        <f>E13*(1+0.07)^-($B13-Assumptions!$D$7)</f>
        <v>0</v>
      </c>
      <c r="I13" s="224" t="s">
        <v>789</v>
      </c>
      <c r="J13" s="205">
        <f>118.895/127.192</f>
        <v>0.93476790993144221</v>
      </c>
      <c r="K13" s="88"/>
    </row>
    <row r="14" spans="2:37" ht="15.75" customHeight="1" x14ac:dyDescent="0.25">
      <c r="B14" s="223">
        <f t="shared" si="2"/>
        <v>2031</v>
      </c>
      <c r="C14" s="250">
        <f t="shared" si="0"/>
        <v>0</v>
      </c>
      <c r="D14" s="251">
        <f>C14*(1+0.07)^-($B14-Assumptions!$D$7)</f>
        <v>0</v>
      </c>
      <c r="E14" s="252">
        <f t="shared" si="1"/>
        <v>0</v>
      </c>
      <c r="F14" s="253">
        <f>E14*(1+0.07)^-($B14-Assumptions!$D$7)</f>
        <v>0</v>
      </c>
    </row>
    <row r="15" spans="2:37" ht="15.75" customHeight="1" x14ac:dyDescent="0.25">
      <c r="B15" s="223">
        <f t="shared" si="2"/>
        <v>2032</v>
      </c>
      <c r="C15" s="250">
        <f t="shared" si="0"/>
        <v>0</v>
      </c>
      <c r="D15" s="251">
        <f>C15*(1+0.07)^-($B15-Assumptions!$D$7)</f>
        <v>0</v>
      </c>
      <c r="E15" s="252">
        <f t="shared" si="1"/>
        <v>0</v>
      </c>
      <c r="F15" s="253">
        <f>E15*(1+0.07)^-($B15-Assumptions!$D$7)</f>
        <v>0</v>
      </c>
      <c r="I15" s="1" t="s">
        <v>795</v>
      </c>
    </row>
    <row r="16" spans="2:37" ht="15.75" customHeight="1" x14ac:dyDescent="0.25">
      <c r="B16" s="223">
        <f t="shared" si="2"/>
        <v>2033</v>
      </c>
      <c r="C16" s="250">
        <f t="shared" si="0"/>
        <v>0</v>
      </c>
      <c r="D16" s="251">
        <f>C16*(1+0.07)^-($B16-Assumptions!$D$7)</f>
        <v>0</v>
      </c>
      <c r="E16" s="252">
        <f t="shared" si="1"/>
        <v>0</v>
      </c>
      <c r="F16" s="253">
        <f>E16*(1+0.07)^-($B16-Assumptions!$D$7)</f>
        <v>0</v>
      </c>
      <c r="I16" s="26" t="s">
        <v>33</v>
      </c>
      <c r="J16" s="206" t="s">
        <v>44</v>
      </c>
    </row>
    <row r="17" spans="2:37" ht="15.75" customHeight="1" x14ac:dyDescent="0.25">
      <c r="B17" s="223">
        <f t="shared" si="2"/>
        <v>2034</v>
      </c>
      <c r="C17" s="250">
        <f t="shared" si="0"/>
        <v>0</v>
      </c>
      <c r="D17" s="251">
        <f>C17*(1+0.07)^-($B17-Assumptions!$D$7)</f>
        <v>0</v>
      </c>
      <c r="E17" s="252">
        <f t="shared" si="1"/>
        <v>0</v>
      </c>
      <c r="F17" s="253">
        <f>E17*(1+0.07)^-($B17-Assumptions!$D$7)</f>
        <v>0</v>
      </c>
      <c r="I17" s="26">
        <v>2024</v>
      </c>
      <c r="J17" s="293">
        <f>$J$8*J13</f>
        <v>13609779.558148311</v>
      </c>
    </row>
    <row r="18" spans="2:37" ht="15.75" customHeight="1" x14ac:dyDescent="0.25">
      <c r="B18" s="223">
        <f t="shared" si="2"/>
        <v>2035</v>
      </c>
      <c r="C18" s="250">
        <f t="shared" si="0"/>
        <v>0</v>
      </c>
      <c r="D18" s="251">
        <f>C18*(1+0.07)^-($B18-Assumptions!$D$7)</f>
        <v>0</v>
      </c>
      <c r="E18" s="252">
        <f t="shared" si="1"/>
        <v>0</v>
      </c>
      <c r="F18" s="253">
        <f>E18*(1+0.07)^-($B18-Assumptions!$D$7)</f>
        <v>0</v>
      </c>
      <c r="I18" s="26">
        <v>2025</v>
      </c>
      <c r="J18" s="293">
        <f>$J$9</f>
        <v>3565824.82</v>
      </c>
      <c r="R18" s="16"/>
      <c r="S18" s="16"/>
      <c r="T18" s="16"/>
      <c r="U18" s="16"/>
      <c r="V18" s="16"/>
      <c r="W18" s="16"/>
      <c r="X18" s="16"/>
      <c r="Y18" s="16"/>
      <c r="Z18" s="16"/>
      <c r="AA18" s="16"/>
      <c r="AB18" s="16"/>
      <c r="AC18" s="16"/>
      <c r="AD18" s="16"/>
      <c r="AE18" s="16"/>
      <c r="AF18" s="16"/>
      <c r="AG18" s="16"/>
      <c r="AH18" s="16"/>
      <c r="AI18" s="16"/>
      <c r="AJ18" s="16"/>
      <c r="AK18" s="16"/>
    </row>
    <row r="19" spans="2:37" ht="15.75" customHeight="1" x14ac:dyDescent="0.25">
      <c r="B19" s="223">
        <f t="shared" si="2"/>
        <v>2036</v>
      </c>
      <c r="C19" s="250">
        <f t="shared" si="0"/>
        <v>0</v>
      </c>
      <c r="D19" s="251">
        <f>C19*(1+0.07)^-($B19-Assumptions!$D$7)</f>
        <v>0</v>
      </c>
      <c r="E19" s="252">
        <f t="shared" si="1"/>
        <v>0</v>
      </c>
      <c r="F19" s="253">
        <f>E19*(1+0.07)^-($B19-Assumptions!$D$7)</f>
        <v>0</v>
      </c>
    </row>
    <row r="20" spans="2:37" ht="15.75" customHeight="1" x14ac:dyDescent="0.25">
      <c r="B20" s="223">
        <f t="shared" si="2"/>
        <v>2037</v>
      </c>
      <c r="C20" s="250">
        <f t="shared" si="0"/>
        <v>0</v>
      </c>
      <c r="D20" s="251">
        <f>C20*(1+0.07)^-($B20-Assumptions!$D$7)</f>
        <v>0</v>
      </c>
      <c r="E20" s="252">
        <f t="shared" si="1"/>
        <v>0</v>
      </c>
      <c r="F20" s="253">
        <f>E20*(1+0.07)^-($B20-Assumptions!$D$7)</f>
        <v>0</v>
      </c>
      <c r="I20" s="1" t="s">
        <v>796</v>
      </c>
    </row>
    <row r="21" spans="2:37" ht="15.75" customHeight="1" x14ac:dyDescent="0.25">
      <c r="B21" s="223">
        <f t="shared" si="2"/>
        <v>2038</v>
      </c>
      <c r="C21" s="250">
        <f t="shared" si="0"/>
        <v>0</v>
      </c>
      <c r="D21" s="251">
        <f>C21*(1+0.07)^-($B21-Assumptions!$D$7)</f>
        <v>0</v>
      </c>
      <c r="E21" s="252">
        <f t="shared" si="1"/>
        <v>0</v>
      </c>
      <c r="F21" s="253">
        <f>E21*(1+0.07)^-($B21-Assumptions!$D$7)</f>
        <v>0</v>
      </c>
      <c r="I21" s="204" t="s">
        <v>42</v>
      </c>
      <c r="J21" s="204" t="s">
        <v>43</v>
      </c>
    </row>
    <row r="22" spans="2:37" ht="15.75" customHeight="1" x14ac:dyDescent="0.25">
      <c r="B22" s="223">
        <f t="shared" si="2"/>
        <v>2039</v>
      </c>
      <c r="C22" s="250">
        <f t="shared" si="0"/>
        <v>0</v>
      </c>
      <c r="D22" s="251">
        <f>C22*(1+0.07)^-($B22-Assumptions!$D$7)</f>
        <v>0</v>
      </c>
      <c r="E22" s="252">
        <f t="shared" si="1"/>
        <v>0</v>
      </c>
      <c r="F22" s="253">
        <f>E22*(1+0.07)^-($B22-Assumptions!$D$7)</f>
        <v>0</v>
      </c>
      <c r="I22" s="287" t="s">
        <v>164</v>
      </c>
      <c r="J22" s="30">
        <v>2024</v>
      </c>
    </row>
    <row r="23" spans="2:37" ht="15.75" customHeight="1" x14ac:dyDescent="0.25">
      <c r="B23" s="223">
        <f t="shared" si="2"/>
        <v>2040</v>
      </c>
      <c r="C23" s="250">
        <f t="shared" si="0"/>
        <v>0</v>
      </c>
      <c r="D23" s="251">
        <f>C23*(1+0.07)^-($B23-Assumptions!$D$7)</f>
        <v>0</v>
      </c>
      <c r="E23" s="252">
        <f t="shared" si="1"/>
        <v>0</v>
      </c>
      <c r="F23" s="253">
        <f>E23*(1+0.07)^-($B23-Assumptions!$D$7)</f>
        <v>0</v>
      </c>
      <c r="I23" s="287" t="s">
        <v>163</v>
      </c>
      <c r="J23" s="30">
        <v>2025</v>
      </c>
    </row>
    <row r="24" spans="2:37" ht="15.75" customHeight="1" x14ac:dyDescent="0.25">
      <c r="B24" s="223">
        <f t="shared" si="2"/>
        <v>2041</v>
      </c>
      <c r="C24" s="250">
        <f t="shared" si="0"/>
        <v>0</v>
      </c>
      <c r="D24" s="251">
        <f>C24*(1+0.07)^-($B24-Assumptions!$D$7)</f>
        <v>0</v>
      </c>
      <c r="E24" s="252">
        <f t="shared" si="1"/>
        <v>0</v>
      </c>
      <c r="F24" s="253">
        <f>E24*(1+0.07)^-($B24-Assumptions!$D$7)</f>
        <v>0</v>
      </c>
    </row>
    <row r="25" spans="2:37" ht="15.75" customHeight="1" x14ac:dyDescent="0.25">
      <c r="B25" s="223">
        <f t="shared" si="2"/>
        <v>2042</v>
      </c>
      <c r="C25" s="250">
        <f t="shared" si="0"/>
        <v>0</v>
      </c>
      <c r="D25" s="251">
        <f>C25*(1+0.07)^-($B25-Assumptions!$D$7)</f>
        <v>0</v>
      </c>
      <c r="E25" s="252">
        <f t="shared" si="1"/>
        <v>0</v>
      </c>
      <c r="F25" s="253">
        <f>E25*(1+0.07)^-($B25-Assumptions!$D$7)</f>
        <v>0</v>
      </c>
      <c r="I25" s="1" t="s">
        <v>797</v>
      </c>
      <c r="Q25" s="16"/>
    </row>
    <row r="26" spans="2:37" ht="15.75" customHeight="1" x14ac:dyDescent="0.25">
      <c r="B26" s="223">
        <f t="shared" si="2"/>
        <v>2043</v>
      </c>
      <c r="C26" s="250">
        <f t="shared" si="0"/>
        <v>0</v>
      </c>
      <c r="D26" s="251">
        <f>C26*(1+0.07)^-($B26-Assumptions!$D$7)</f>
        <v>0</v>
      </c>
      <c r="E26" s="252">
        <f t="shared" si="1"/>
        <v>0</v>
      </c>
      <c r="F26" s="253">
        <f>E26*(1+0.07)^-($B26-Assumptions!$D$7)</f>
        <v>0</v>
      </c>
      <c r="I26" s="204" t="s">
        <v>82</v>
      </c>
      <c r="J26" s="39" t="s">
        <v>44</v>
      </c>
      <c r="K26" s="204" t="s">
        <v>15</v>
      </c>
      <c r="L26" s="204" t="s">
        <v>46</v>
      </c>
      <c r="M26" s="380" t="s">
        <v>45</v>
      </c>
      <c r="N26" s="204" t="s">
        <v>5</v>
      </c>
      <c r="Q26" s="16"/>
    </row>
    <row r="27" spans="2:37" ht="15.75" customHeight="1" x14ac:dyDescent="0.25">
      <c r="B27" s="223">
        <f t="shared" si="2"/>
        <v>2044</v>
      </c>
      <c r="C27" s="250">
        <f t="shared" si="0"/>
        <v>0</v>
      </c>
      <c r="D27" s="251">
        <f>C27*(1+0.07)^-($B27-Assumptions!$D$7)</f>
        <v>0</v>
      </c>
      <c r="E27" s="252">
        <f t="shared" si="1"/>
        <v>0</v>
      </c>
      <c r="F27" s="253">
        <f>E27*(1+0.07)^-($B27-Assumptions!$D$7)</f>
        <v>0</v>
      </c>
      <c r="I27" s="287" t="s">
        <v>164</v>
      </c>
      <c r="J27" s="225">
        <f>$J$17</f>
        <v>13609779.558148311</v>
      </c>
      <c r="K27" s="30">
        <v>20</v>
      </c>
      <c r="L27" s="206">
        <f>Assumptions!$D$10</f>
        <v>2045</v>
      </c>
      <c r="M27" s="207">
        <f>IF((J22+K27-L27)/K27&lt;=0,0,(J22+K27-L27)/K27)</f>
        <v>0</v>
      </c>
      <c r="N27" s="381">
        <f>J27*M27</f>
        <v>0</v>
      </c>
      <c r="Q27" s="16"/>
    </row>
    <row r="28" spans="2:37" ht="15.75" customHeight="1" x14ac:dyDescent="0.25">
      <c r="B28" s="223">
        <f t="shared" si="2"/>
        <v>2045</v>
      </c>
      <c r="C28" s="250">
        <f t="shared" si="0"/>
        <v>0</v>
      </c>
      <c r="D28" s="251">
        <f>C28*(1+0.07)^-($B28-Assumptions!$D$7)</f>
        <v>0</v>
      </c>
      <c r="E28" s="252">
        <f t="shared" si="1"/>
        <v>0</v>
      </c>
      <c r="F28" s="253">
        <f>E28*(1+0.07)^-($B28-Assumptions!$D$7)</f>
        <v>0</v>
      </c>
      <c r="I28" s="287" t="s">
        <v>163</v>
      </c>
      <c r="J28" s="225">
        <f>$J$18</f>
        <v>3565824.82</v>
      </c>
      <c r="K28" s="30">
        <v>20</v>
      </c>
      <c r="L28" s="206">
        <f>Assumptions!$D$10</f>
        <v>2045</v>
      </c>
      <c r="M28" s="207">
        <f>IF((J23+K28-L28)/K28&lt;=0,0,(J23+K28-L28)/K28)</f>
        <v>0</v>
      </c>
      <c r="N28" s="381">
        <f>J28*M28</f>
        <v>0</v>
      </c>
      <c r="Q28" s="16"/>
    </row>
    <row r="29" spans="2:37" ht="15.75" customHeight="1" x14ac:dyDescent="0.25">
      <c r="B29" s="223">
        <f t="shared" si="2"/>
        <v>2046</v>
      </c>
      <c r="C29" s="250">
        <f t="shared" si="0"/>
        <v>0</v>
      </c>
      <c r="D29" s="251">
        <f>C29*(1+0.07)^-($B29-Assumptions!$D$7)</f>
        <v>0</v>
      </c>
      <c r="E29" s="252">
        <f t="shared" si="1"/>
        <v>0</v>
      </c>
      <c r="F29" s="253">
        <f>E29*(1+0.07)^-($B29-Assumptions!$D$7)</f>
        <v>0</v>
      </c>
      <c r="I29" s="287" t="s">
        <v>4</v>
      </c>
      <c r="J29" s="225">
        <f>SUM(J28:J28)</f>
        <v>3565824.82</v>
      </c>
      <c r="K29" s="30" t="s">
        <v>73</v>
      </c>
      <c r="L29" s="206">
        <f>Assumptions!$D$10</f>
        <v>2045</v>
      </c>
      <c r="M29" s="207" t="s">
        <v>73</v>
      </c>
      <c r="N29" s="381">
        <f>SUM(N28:N28)</f>
        <v>0</v>
      </c>
      <c r="Q29" s="16"/>
    </row>
    <row r="30" spans="2:37" ht="15.75" customHeight="1" x14ac:dyDescent="0.25">
      <c r="B30" s="223">
        <f t="shared" si="2"/>
        <v>2047</v>
      </c>
      <c r="C30" s="250">
        <f t="shared" si="0"/>
        <v>0</v>
      </c>
      <c r="D30" s="251">
        <f>C30*(1+0.07)^-($B30-Assumptions!$D$7)</f>
        <v>0</v>
      </c>
      <c r="E30" s="252">
        <f t="shared" si="1"/>
        <v>0</v>
      </c>
      <c r="F30" s="253">
        <f>E30*(1+0.07)^-($B30-Assumptions!$D$7)</f>
        <v>0</v>
      </c>
      <c r="Q30" s="16"/>
    </row>
    <row r="31" spans="2:37" ht="15.75" customHeight="1" x14ac:dyDescent="0.25">
      <c r="B31" s="223">
        <f t="shared" si="2"/>
        <v>2048</v>
      </c>
      <c r="C31" s="250">
        <f t="shared" si="0"/>
        <v>0</v>
      </c>
      <c r="D31" s="251">
        <f>C31*(1+0.07)^-($B31-Assumptions!$D$7)</f>
        <v>0</v>
      </c>
      <c r="E31" s="252">
        <f t="shared" si="1"/>
        <v>0</v>
      </c>
      <c r="F31" s="253">
        <f>E31*(1+0.07)^-($B31-Assumptions!$D$7)</f>
        <v>0</v>
      </c>
      <c r="Q31" s="16"/>
    </row>
    <row r="32" spans="2:37" ht="15.75" customHeight="1" x14ac:dyDescent="0.25">
      <c r="B32" s="223">
        <f t="shared" si="2"/>
        <v>2049</v>
      </c>
      <c r="C32" s="250">
        <f t="shared" si="0"/>
        <v>0</v>
      </c>
      <c r="D32" s="251">
        <f>C32*(1+0.07)^-($B32-Assumptions!$D$7)</f>
        <v>0</v>
      </c>
      <c r="E32" s="252">
        <f t="shared" si="1"/>
        <v>0</v>
      </c>
      <c r="F32" s="253">
        <f>E32*(1+0.07)^-($B32-Assumptions!$D$7)</f>
        <v>0</v>
      </c>
      <c r="Q32" s="16"/>
    </row>
    <row r="33" spans="1:17" ht="15.75" customHeight="1" x14ac:dyDescent="0.25">
      <c r="B33" s="223">
        <f t="shared" si="2"/>
        <v>2050</v>
      </c>
      <c r="C33" s="250">
        <f t="shared" si="0"/>
        <v>0</v>
      </c>
      <c r="D33" s="251">
        <f>C33*(1+0.07)^-($B33-Assumptions!$D$7)</f>
        <v>0</v>
      </c>
      <c r="E33" s="252">
        <f t="shared" si="1"/>
        <v>0</v>
      </c>
      <c r="F33" s="253">
        <f>E33*(1+0.07)^-($B33-Assumptions!$D$7)</f>
        <v>0</v>
      </c>
      <c r="Q33" s="16"/>
    </row>
    <row r="34" spans="1:17" ht="15.75" customHeight="1" x14ac:dyDescent="0.25">
      <c r="B34" s="223">
        <f t="shared" si="2"/>
        <v>2051</v>
      </c>
      <c r="C34" s="250">
        <f t="shared" si="0"/>
        <v>0</v>
      </c>
      <c r="D34" s="251">
        <f>C34*(1+0.07)^-($B34-Assumptions!$D$7)</f>
        <v>0</v>
      </c>
      <c r="E34" s="252">
        <f t="shared" si="1"/>
        <v>0</v>
      </c>
      <c r="F34" s="253">
        <f>E34*(1+0.07)^-($B34-Assumptions!$D$7)</f>
        <v>0</v>
      </c>
      <c r="Q34" s="16"/>
    </row>
    <row r="35" spans="1:17" ht="15.75" customHeight="1" x14ac:dyDescent="0.25">
      <c r="B35" s="223">
        <f t="shared" si="2"/>
        <v>2052</v>
      </c>
      <c r="C35" s="250">
        <f t="shared" si="0"/>
        <v>0</v>
      </c>
      <c r="D35" s="251">
        <f>C35*(1+0.07)^-($B35-Assumptions!$D$7)</f>
        <v>0</v>
      </c>
      <c r="E35" s="252">
        <f t="shared" si="1"/>
        <v>0</v>
      </c>
      <c r="F35" s="253">
        <f>E35*(1+0.07)^-($B35-Assumptions!$D$7)</f>
        <v>0</v>
      </c>
      <c r="Q35" s="16"/>
    </row>
    <row r="36" spans="1:17" ht="15.75" customHeight="1" x14ac:dyDescent="0.25">
      <c r="B36" s="223">
        <f t="shared" si="2"/>
        <v>2053</v>
      </c>
      <c r="C36" s="250">
        <f t="shared" si="0"/>
        <v>0</v>
      </c>
      <c r="D36" s="251">
        <f>C36*(1+0.07)^-($B36-Assumptions!$D$7)</f>
        <v>0</v>
      </c>
      <c r="E36" s="252">
        <f t="shared" si="1"/>
        <v>0</v>
      </c>
      <c r="F36" s="253">
        <f>E36*(1+0.07)^-($B36-Assumptions!$D$7)</f>
        <v>0</v>
      </c>
      <c r="Q36" s="16"/>
    </row>
    <row r="37" spans="1:17" ht="15.75" customHeight="1" x14ac:dyDescent="0.25">
      <c r="B37" s="223">
        <f t="shared" si="2"/>
        <v>2054</v>
      </c>
      <c r="C37" s="250">
        <f t="shared" si="0"/>
        <v>0</v>
      </c>
      <c r="D37" s="251">
        <f>C37*(1+0.07)^-($B37-Assumptions!$D$7)</f>
        <v>0</v>
      </c>
      <c r="E37" s="252">
        <f t="shared" si="1"/>
        <v>0</v>
      </c>
      <c r="F37" s="253">
        <f>E37*(1+0.07)^-($B37-Assumptions!$D$7)</f>
        <v>0</v>
      </c>
      <c r="Q37" s="16"/>
    </row>
    <row r="38" spans="1:17" ht="15.75" customHeight="1" x14ac:dyDescent="0.25">
      <c r="B38" s="223">
        <f t="shared" si="2"/>
        <v>2055</v>
      </c>
      <c r="C38" s="250">
        <f t="shared" si="0"/>
        <v>0</v>
      </c>
      <c r="D38" s="251">
        <f>C38*(1+0.07)^-($B38-Assumptions!$D$7)</f>
        <v>0</v>
      </c>
      <c r="E38" s="252">
        <f t="shared" si="1"/>
        <v>0</v>
      </c>
      <c r="F38" s="253">
        <f>E38*(1+0.07)^-($B38-Assumptions!$D$7)</f>
        <v>0</v>
      </c>
      <c r="Q38" s="16"/>
    </row>
    <row r="39" spans="1:17" ht="15.75" customHeight="1" x14ac:dyDescent="0.25">
      <c r="B39" s="223">
        <f t="shared" si="2"/>
        <v>2056</v>
      </c>
      <c r="C39" s="250">
        <f t="shared" si="0"/>
        <v>0</v>
      </c>
      <c r="D39" s="251">
        <f>C39*(1+0.07)^-($B39-Assumptions!$D$7)</f>
        <v>0</v>
      </c>
      <c r="E39" s="252">
        <f t="shared" si="1"/>
        <v>0</v>
      </c>
      <c r="F39" s="253">
        <f>E39*(1+0.07)^-($B39-Assumptions!$D$7)</f>
        <v>0</v>
      </c>
      <c r="Q39" s="16"/>
    </row>
    <row r="40" spans="1:17" ht="15.75" customHeight="1" x14ac:dyDescent="0.25">
      <c r="B40" s="223">
        <f t="shared" si="2"/>
        <v>2057</v>
      </c>
      <c r="C40" s="250">
        <f t="shared" si="0"/>
        <v>0</v>
      </c>
      <c r="D40" s="251">
        <f>C40*(1+0.07)^-($B40-Assumptions!$D$7)</f>
        <v>0</v>
      </c>
      <c r="E40" s="252">
        <f t="shared" si="1"/>
        <v>0</v>
      </c>
      <c r="F40" s="253">
        <f>E40*(1+0.07)^-($B40-Assumptions!$D$7)</f>
        <v>0</v>
      </c>
      <c r="Q40" s="16"/>
    </row>
    <row r="41" spans="1:17" ht="15.75" customHeight="1" thickBot="1" x14ac:dyDescent="0.3">
      <c r="B41" s="226">
        <f t="shared" si="2"/>
        <v>2058</v>
      </c>
      <c r="C41" s="254">
        <f t="shared" si="0"/>
        <v>0</v>
      </c>
      <c r="D41" s="255">
        <f>C41*(1+0.07)^-($B41-Assumptions!$D$7)</f>
        <v>0</v>
      </c>
      <c r="E41" s="256">
        <f t="shared" si="1"/>
        <v>0</v>
      </c>
      <c r="F41" s="257">
        <f>E41*(1+0.07)^-($B41-Assumptions!$D$7)</f>
        <v>0</v>
      </c>
      <c r="Q41" s="16"/>
    </row>
    <row r="42" spans="1:17" ht="15.75" customHeight="1" x14ac:dyDescent="0.25">
      <c r="C42" s="177" t="s">
        <v>78</v>
      </c>
      <c r="D42" s="227">
        <f>SUM(D6:D41)</f>
        <v>13829984.84044721</v>
      </c>
      <c r="E42" s="177" t="s">
        <v>2</v>
      </c>
      <c r="F42" s="227">
        <f>SUM(F6:F41)</f>
        <v>0</v>
      </c>
    </row>
    <row r="43" spans="1:17" ht="15.75" customHeight="1" x14ac:dyDescent="0.25">
      <c r="B43" s="51"/>
      <c r="C43" s="228"/>
      <c r="D43" s="228"/>
      <c r="E43" s="228"/>
      <c r="F43" s="228"/>
    </row>
    <row r="44" spans="1:17" ht="15.75" customHeight="1" x14ac:dyDescent="0.25">
      <c r="B44" s="1" t="s">
        <v>3</v>
      </c>
    </row>
    <row r="45" spans="1:17" ht="15.75" customHeight="1" x14ac:dyDescent="0.25">
      <c r="A45" s="2" t="s">
        <v>19</v>
      </c>
      <c r="B45" s="388" t="s">
        <v>785</v>
      </c>
      <c r="C45" s="388"/>
      <c r="D45" s="388"/>
      <c r="E45" s="388"/>
      <c r="F45" s="388"/>
    </row>
    <row r="46" spans="1:17" ht="15.75" customHeight="1" x14ac:dyDescent="0.25">
      <c r="B46" s="388"/>
      <c r="C46" s="388"/>
      <c r="D46" s="388"/>
      <c r="E46" s="388"/>
      <c r="F46" s="388"/>
    </row>
    <row r="47" spans="1:17" ht="15.75" customHeight="1" x14ac:dyDescent="0.25">
      <c r="B47" s="388"/>
      <c r="C47" s="388"/>
      <c r="D47" s="388"/>
      <c r="E47" s="388"/>
      <c r="F47" s="388"/>
    </row>
    <row r="48" spans="1:17" x14ac:dyDescent="0.25">
      <c r="B48" s="388"/>
      <c r="C48" s="388"/>
      <c r="D48" s="388"/>
      <c r="E48" s="388"/>
      <c r="F48" s="388"/>
    </row>
    <row r="49" spans="1:6" ht="15" customHeight="1" x14ac:dyDescent="0.25">
      <c r="B49" s="388"/>
      <c r="C49" s="388"/>
      <c r="D49" s="388"/>
      <c r="E49" s="388"/>
      <c r="F49" s="388"/>
    </row>
    <row r="50" spans="1:6" ht="15" customHeight="1" x14ac:dyDescent="0.25">
      <c r="B50" s="47"/>
      <c r="C50" s="47"/>
      <c r="D50" s="47"/>
      <c r="E50" s="47"/>
      <c r="F50" s="47"/>
    </row>
    <row r="51" spans="1:6" ht="15" customHeight="1" x14ac:dyDescent="0.25">
      <c r="A51" s="2" t="s">
        <v>25</v>
      </c>
      <c r="B51" s="388" t="s">
        <v>804</v>
      </c>
      <c r="C51" s="388"/>
      <c r="D51" s="388"/>
      <c r="E51" s="388"/>
      <c r="F51" s="388"/>
    </row>
    <row r="52" spans="1:6" ht="15" customHeight="1" x14ac:dyDescent="0.25">
      <c r="B52" s="43"/>
      <c r="C52" s="43"/>
      <c r="D52" s="43"/>
      <c r="E52" s="43"/>
      <c r="F52" s="43"/>
    </row>
    <row r="53" spans="1:6" x14ac:dyDescent="0.25">
      <c r="B53" s="47"/>
      <c r="C53" s="47"/>
      <c r="D53" s="47"/>
      <c r="E53" s="47"/>
      <c r="F53" s="47"/>
    </row>
    <row r="54" spans="1:6" x14ac:dyDescent="0.25">
      <c r="B54" s="47"/>
      <c r="C54" s="47"/>
      <c r="D54" s="47"/>
      <c r="E54" s="47"/>
      <c r="F54" s="47"/>
    </row>
    <row r="55" spans="1:6" ht="15" customHeight="1" x14ac:dyDescent="0.25">
      <c r="B55" s="47"/>
      <c r="C55" s="47"/>
      <c r="D55" s="47"/>
      <c r="E55" s="47"/>
      <c r="F55" s="47"/>
    </row>
    <row r="56" spans="1:6" x14ac:dyDescent="0.25">
      <c r="B56" s="47"/>
      <c r="C56" s="47"/>
      <c r="D56" s="47"/>
      <c r="E56" s="47"/>
      <c r="F56" s="47"/>
    </row>
    <row r="59" spans="1:6" ht="15" customHeight="1" x14ac:dyDescent="0.25"/>
    <row r="60" spans="1:6" x14ac:dyDescent="0.25">
      <c r="B60" s="8"/>
      <c r="C60" s="8"/>
      <c r="D60" s="8"/>
      <c r="E60" s="8"/>
      <c r="F60" s="8"/>
    </row>
    <row r="61" spans="1:6" x14ac:dyDescent="0.25">
      <c r="B61" s="8"/>
      <c r="C61" s="8"/>
      <c r="D61" s="8"/>
      <c r="E61" s="8"/>
      <c r="F61" s="8"/>
    </row>
    <row r="62" spans="1:6" x14ac:dyDescent="0.25">
      <c r="B62" s="8"/>
      <c r="C62" s="8"/>
      <c r="D62" s="8"/>
      <c r="E62" s="8"/>
      <c r="F62" s="8"/>
    </row>
    <row r="63" spans="1:6" x14ac:dyDescent="0.25">
      <c r="B63" s="8"/>
      <c r="C63" s="8"/>
      <c r="D63" s="8"/>
      <c r="E63" s="8"/>
      <c r="F63" s="8"/>
    </row>
    <row r="64" spans="1:6" x14ac:dyDescent="0.25">
      <c r="B64" s="8"/>
      <c r="C64" s="8"/>
      <c r="D64" s="8"/>
      <c r="E64" s="8"/>
      <c r="F64" s="8"/>
    </row>
    <row r="65" spans="1:1" ht="15" customHeight="1" x14ac:dyDescent="0.25"/>
    <row r="68" spans="1:1" x14ac:dyDescent="0.25">
      <c r="A68" s="2"/>
    </row>
    <row r="74" spans="1:1" x14ac:dyDescent="0.25">
      <c r="A74" s="2"/>
    </row>
  </sheetData>
  <mergeCells count="7">
    <mergeCell ref="B51:F51"/>
    <mergeCell ref="B4:B5"/>
    <mergeCell ref="C4:C5"/>
    <mergeCell ref="D4:D5"/>
    <mergeCell ref="F4:F5"/>
    <mergeCell ref="E4:E5"/>
    <mergeCell ref="B45:F49"/>
  </mergeCells>
  <pageMargins left="0.25" right="0.25" top="0.75" bottom="0.75" header="0.3" footer="0.3"/>
  <pageSetup paperSize="3" scale="67" orientation="landscape"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9DFAB-4B9D-400A-BF82-2BB16717E329}">
  <sheetPr>
    <tabColor rgb="FFC00000"/>
    <pageSetUpPr fitToPage="1"/>
  </sheetPr>
  <dimension ref="A1:X60"/>
  <sheetViews>
    <sheetView view="pageBreakPreview" zoomScale="55" zoomScaleNormal="40" zoomScaleSheetLayoutView="55" workbookViewId="0">
      <selection activeCell="B3" sqref="B3:B4"/>
    </sheetView>
  </sheetViews>
  <sheetFormatPr defaultRowHeight="15" x14ac:dyDescent="0.25"/>
  <cols>
    <col min="2" max="2" width="15.7109375" customWidth="1"/>
    <col min="3" max="4" width="21.85546875" customWidth="1"/>
    <col min="5" max="5" width="26" customWidth="1"/>
    <col min="6" max="6" width="15.5703125" customWidth="1"/>
    <col min="7" max="7" width="23.28515625" customWidth="1"/>
    <col min="8" max="8" width="86" bestFit="1" customWidth="1"/>
    <col min="9" max="9" width="29.42578125" bestFit="1" customWidth="1"/>
    <col min="10" max="10" width="41.7109375" customWidth="1"/>
    <col min="11" max="11" width="38" bestFit="1" customWidth="1"/>
    <col min="12" max="12" width="25.28515625" bestFit="1" customWidth="1"/>
    <col min="13" max="13" width="16.42578125" customWidth="1"/>
    <col min="14" max="14" width="5" customWidth="1"/>
    <col min="15" max="15" width="16.85546875" customWidth="1"/>
    <col min="16" max="16" width="34" customWidth="1"/>
    <col min="17" max="17" width="13.5703125" customWidth="1"/>
    <col min="18" max="18" width="5" customWidth="1"/>
    <col min="19" max="19" width="16.85546875" customWidth="1"/>
    <col min="20" max="20" width="45.42578125" bestFit="1" customWidth="1"/>
    <col min="21" max="23" width="12.5703125" bestFit="1" customWidth="1"/>
    <col min="24" max="25" width="13.140625" bestFit="1" customWidth="1"/>
    <col min="26" max="26" width="13.7109375" bestFit="1" customWidth="1"/>
    <col min="27" max="28" width="13.85546875" bestFit="1" customWidth="1"/>
    <col min="29" max="29" width="14.42578125" bestFit="1" customWidth="1"/>
    <col min="30" max="30" width="13.85546875" bestFit="1" customWidth="1"/>
    <col min="31" max="31" width="13.7109375" bestFit="1" customWidth="1"/>
    <col min="32" max="32" width="13.85546875" bestFit="1" customWidth="1"/>
    <col min="33" max="34" width="13.42578125" bestFit="1" customWidth="1"/>
    <col min="35" max="35" width="13.85546875" bestFit="1" customWidth="1"/>
    <col min="36" max="36" width="13.7109375" bestFit="1" customWidth="1"/>
    <col min="37" max="38" width="13.85546875" bestFit="1" customWidth="1"/>
    <col min="39" max="39" width="14.140625" bestFit="1" customWidth="1"/>
    <col min="40" max="40" width="13.85546875" bestFit="1" customWidth="1"/>
    <col min="41" max="42" width="13.7109375" bestFit="1" customWidth="1"/>
    <col min="43" max="43" width="14.42578125" bestFit="1" customWidth="1"/>
    <col min="44" max="44" width="13.85546875" bestFit="1" customWidth="1"/>
    <col min="45" max="45" width="14.140625" bestFit="1" customWidth="1"/>
    <col min="46" max="46" width="13.42578125" bestFit="1" customWidth="1"/>
    <col min="47" max="48" width="13.7109375" bestFit="1" customWidth="1"/>
    <col min="49" max="50" width="13.85546875" bestFit="1" customWidth="1"/>
    <col min="51" max="51" width="14.140625" bestFit="1" customWidth="1"/>
    <col min="52" max="52" width="13.7109375" bestFit="1" customWidth="1"/>
    <col min="53" max="53" width="13.85546875" bestFit="1" customWidth="1"/>
    <col min="54" max="54" width="14.42578125" bestFit="1" customWidth="1"/>
    <col min="55" max="55" width="14.140625" bestFit="1" customWidth="1"/>
  </cols>
  <sheetData>
    <row r="1" spans="2:24" x14ac:dyDescent="0.25">
      <c r="B1" s="54"/>
      <c r="C1" s="54"/>
      <c r="D1" s="54"/>
      <c r="E1" s="54"/>
      <c r="F1" s="54"/>
      <c r="G1" s="3"/>
      <c r="H1" s="3"/>
      <c r="I1" s="3"/>
      <c r="J1" s="3"/>
      <c r="K1" s="3"/>
      <c r="L1" s="3"/>
      <c r="M1" s="3"/>
      <c r="N1" s="3"/>
      <c r="O1" s="3"/>
      <c r="P1" s="3"/>
      <c r="Q1" s="3"/>
      <c r="R1" s="3"/>
      <c r="S1" s="3"/>
      <c r="T1" s="3"/>
      <c r="U1" s="3"/>
    </row>
    <row r="2" spans="2:24" ht="15.75" thickBot="1" x14ac:dyDescent="0.3">
      <c r="B2" s="1" t="s">
        <v>846</v>
      </c>
    </row>
    <row r="3" spans="2:24" ht="22.5" customHeight="1" x14ac:dyDescent="0.25">
      <c r="B3" s="422" t="s">
        <v>0</v>
      </c>
      <c r="C3" s="465" t="s">
        <v>138</v>
      </c>
      <c r="D3" s="467" t="s">
        <v>139</v>
      </c>
      <c r="E3" s="469" t="s">
        <v>84</v>
      </c>
      <c r="F3" s="467" t="s">
        <v>1</v>
      </c>
      <c r="G3" s="229"/>
      <c r="M3" s="229"/>
      <c r="N3" s="229"/>
      <c r="O3" s="19" t="s">
        <v>834</v>
      </c>
      <c r="S3" s="19" t="s">
        <v>170</v>
      </c>
    </row>
    <row r="4" spans="2:24" ht="22.5" customHeight="1" thickBot="1" x14ac:dyDescent="0.3">
      <c r="B4" s="423"/>
      <c r="C4" s="466"/>
      <c r="D4" s="468"/>
      <c r="E4" s="470"/>
      <c r="F4" s="468"/>
      <c r="G4" s="229"/>
      <c r="M4" s="231"/>
      <c r="N4" s="229"/>
      <c r="O4" s="39" t="s">
        <v>33</v>
      </c>
      <c r="P4" s="39" t="s">
        <v>166</v>
      </c>
      <c r="Q4" s="39" t="s">
        <v>47</v>
      </c>
      <c r="S4" s="39" t="s">
        <v>33</v>
      </c>
      <c r="T4" s="39" t="s">
        <v>166</v>
      </c>
      <c r="U4" s="39" t="s">
        <v>47</v>
      </c>
      <c r="W4" s="218"/>
      <c r="X4" s="218"/>
    </row>
    <row r="5" spans="2:24" ht="15.75" customHeight="1" x14ac:dyDescent="0.25">
      <c r="B5" s="220">
        <f>Assumptions!$D$6</f>
        <v>2023</v>
      </c>
      <c r="C5" s="258">
        <f>IF(B5&lt;=Assumptions!$D$10,VLOOKUP(B5,$O$5:$Q$27,3,FALSE),0)</f>
        <v>109000</v>
      </c>
      <c r="D5" s="259">
        <f>IF(B5&lt;=Assumptions!$D$10,VLOOKUP(B5,$S$5:$U$27,3,FALSE),0)</f>
        <v>109000</v>
      </c>
      <c r="E5" s="260">
        <f>C5-D5</f>
        <v>0</v>
      </c>
      <c r="F5" s="259">
        <f>E5*(1+0.07)^-($B5-Assumptions!$D$7)</f>
        <v>0</v>
      </c>
      <c r="G5" s="232"/>
      <c r="H5" s="38" t="s">
        <v>759</v>
      </c>
      <c r="I5" s="229"/>
      <c r="J5" s="229"/>
      <c r="K5" s="229"/>
      <c r="L5" s="229"/>
      <c r="M5" s="3"/>
      <c r="N5" s="232"/>
      <c r="O5" s="26">
        <v>2023</v>
      </c>
      <c r="P5" s="25" t="s">
        <v>167</v>
      </c>
      <c r="Q5" s="235">
        <f>$I$29</f>
        <v>109000</v>
      </c>
      <c r="S5" s="26">
        <v>2023</v>
      </c>
      <c r="T5" s="25" t="s">
        <v>167</v>
      </c>
      <c r="U5" s="235">
        <v>109000</v>
      </c>
      <c r="W5" s="218"/>
      <c r="X5" s="218"/>
    </row>
    <row r="6" spans="2:24" ht="15.75" customHeight="1" x14ac:dyDescent="0.25">
      <c r="B6" s="222">
        <f>B5+1</f>
        <v>2024</v>
      </c>
      <c r="C6" s="243">
        <f>IF(B6&lt;=Assumptions!$D$10,VLOOKUP(B6,$O$5:$Q$27,3,FALSE),0)</f>
        <v>109000</v>
      </c>
      <c r="D6" s="244">
        <f>IF(B6&lt;=Assumptions!$D$10,VLOOKUP(B6,$S$5:$U$27,3,FALSE),0)</f>
        <v>61669.961977186314</v>
      </c>
      <c r="E6" s="245">
        <f t="shared" ref="E6:E40" si="0">C6-D6</f>
        <v>47330.038022813686</v>
      </c>
      <c r="F6" s="244">
        <f>E6*(1+0.07)^-($B6-Assumptions!$D$7)</f>
        <v>38635.409551186101</v>
      </c>
      <c r="G6" s="227"/>
      <c r="H6" s="230" t="s">
        <v>760</v>
      </c>
      <c r="I6" s="230" t="s">
        <v>745</v>
      </c>
      <c r="J6" s="230" t="s">
        <v>44</v>
      </c>
      <c r="K6" s="230" t="s">
        <v>734</v>
      </c>
      <c r="L6" s="230" t="s">
        <v>165</v>
      </c>
      <c r="M6" s="3"/>
      <c r="N6" s="227"/>
      <c r="O6" s="26">
        <v>2024</v>
      </c>
      <c r="P6" s="25" t="s">
        <v>167</v>
      </c>
      <c r="Q6" s="235">
        <f>$I$29</f>
        <v>109000</v>
      </c>
      <c r="S6" s="26">
        <v>2024</v>
      </c>
      <c r="T6" s="25" t="s">
        <v>735</v>
      </c>
      <c r="U6" s="235">
        <f>($I$18/$I$20)*$I$29</f>
        <v>61669.961977186314</v>
      </c>
      <c r="W6" s="218"/>
      <c r="X6" s="218"/>
    </row>
    <row r="7" spans="2:24" ht="15.75" customHeight="1" x14ac:dyDescent="0.25">
      <c r="B7" s="153">
        <f>+B6+1</f>
        <v>2025</v>
      </c>
      <c r="C7" s="243">
        <f>IF(B7&lt;=Assumptions!$D$10,VLOOKUP(B7,$O$5:$Q$27,3,FALSE),0)</f>
        <v>42905.977800000008</v>
      </c>
      <c r="D7" s="244">
        <f>IF(B7&lt;=Assumptions!$D$10,VLOOKUP(B7,$S$5:$U$27,3,FALSE),0)</f>
        <v>11136</v>
      </c>
      <c r="E7" s="245">
        <f t="shared" si="0"/>
        <v>31769.977800000008</v>
      </c>
      <c r="F7" s="244">
        <f>E7*(1+0.07)^-($B7-Assumptions!$D$7)</f>
        <v>24237.163950476173</v>
      </c>
      <c r="G7" s="227"/>
      <c r="H7" s="27" t="s">
        <v>731</v>
      </c>
      <c r="I7" s="233">
        <f>J7*L7</f>
        <v>3262.8120000000004</v>
      </c>
      <c r="J7" s="233">
        <v>2631.3</v>
      </c>
      <c r="K7" s="234">
        <v>2010</v>
      </c>
      <c r="L7" s="26">
        <v>1.24</v>
      </c>
      <c r="M7" s="3"/>
      <c r="N7" s="227"/>
      <c r="O7" s="26">
        <v>2025</v>
      </c>
      <c r="P7" s="25" t="s">
        <v>168</v>
      </c>
      <c r="Q7" s="235">
        <f>$I$7*$I$20</f>
        <v>42905.977800000008</v>
      </c>
      <c r="S7" s="26">
        <v>2025</v>
      </c>
      <c r="T7" s="25" t="s">
        <v>230</v>
      </c>
      <c r="U7" s="235">
        <f t="shared" ref="U7:U16" si="1">$L$15</f>
        <v>11136</v>
      </c>
    </row>
    <row r="8" spans="2:24" ht="15.75" customHeight="1" x14ac:dyDescent="0.25">
      <c r="B8" s="153">
        <f t="shared" ref="B8:B40" si="2">+B7+1</f>
        <v>2026</v>
      </c>
      <c r="C8" s="243">
        <f>IF(B8&lt;=Assumptions!$D$10,VLOOKUP(B8,$O$5:$Q$27,3,FALSE),0)</f>
        <v>26790.19255</v>
      </c>
      <c r="D8" s="244">
        <f>IF(B8&lt;=Assumptions!$D$10,VLOOKUP(B8,$S$5:$U$27,3,FALSE),0)</f>
        <v>11136</v>
      </c>
      <c r="E8" s="245">
        <f t="shared" si="0"/>
        <v>15654.19255</v>
      </c>
      <c r="F8" s="244">
        <f>E8*(1+0.07)^-($B8-Assumptions!$D$7)</f>
        <v>11161.222939126204</v>
      </c>
      <c r="G8" s="227"/>
      <c r="H8" s="27" t="s">
        <v>732</v>
      </c>
      <c r="I8" s="233">
        <f>J8*L8</f>
        <v>2037.277</v>
      </c>
      <c r="J8" s="233">
        <v>1683.7</v>
      </c>
      <c r="K8" s="234">
        <v>2011</v>
      </c>
      <c r="L8" s="26">
        <v>1.21</v>
      </c>
      <c r="M8" s="3"/>
      <c r="N8" s="227"/>
      <c r="O8" s="26">
        <v>2026</v>
      </c>
      <c r="P8" s="25" t="s">
        <v>747</v>
      </c>
      <c r="Q8" s="235">
        <f t="shared" ref="Q8:Q27" si="3">$I$8*$I$20</f>
        <v>26790.19255</v>
      </c>
      <c r="S8" s="26">
        <v>2026</v>
      </c>
      <c r="T8" s="25" t="s">
        <v>230</v>
      </c>
      <c r="U8" s="235">
        <f t="shared" si="1"/>
        <v>11136</v>
      </c>
    </row>
    <row r="9" spans="2:24" ht="15.75" customHeight="1" x14ac:dyDescent="0.25">
      <c r="B9" s="153">
        <f t="shared" si="2"/>
        <v>2027</v>
      </c>
      <c r="C9" s="243">
        <f>IF(B9&lt;=Assumptions!$D$10,VLOOKUP(B9,$O$5:$Q$27,3,FALSE),0)</f>
        <v>26790.19255</v>
      </c>
      <c r="D9" s="244">
        <f>IF(B9&lt;=Assumptions!$D$10,VLOOKUP(B9,$S$5:$U$27,3,FALSE),0)</f>
        <v>11136</v>
      </c>
      <c r="E9" s="245">
        <f t="shared" si="0"/>
        <v>15654.19255</v>
      </c>
      <c r="F9" s="244">
        <f>E9*(1+0.07)^-($B9-Assumptions!$D$7)</f>
        <v>10431.049475818883</v>
      </c>
      <c r="G9" s="227"/>
      <c r="H9" s="27" t="s">
        <v>733</v>
      </c>
      <c r="I9" s="233">
        <f>J9*L9</f>
        <v>4817.3999999999996</v>
      </c>
      <c r="J9" s="233">
        <v>3885</v>
      </c>
      <c r="K9" s="234">
        <v>2010</v>
      </c>
      <c r="L9" s="26">
        <v>1.24</v>
      </c>
      <c r="M9" s="227"/>
      <c r="N9" s="227"/>
      <c r="O9" s="26">
        <v>2027</v>
      </c>
      <c r="P9" s="25" t="s">
        <v>747</v>
      </c>
      <c r="Q9" s="235">
        <f t="shared" si="3"/>
        <v>26790.19255</v>
      </c>
      <c r="S9" s="26">
        <v>2027</v>
      </c>
      <c r="T9" s="25" t="s">
        <v>230</v>
      </c>
      <c r="U9" s="235">
        <f t="shared" si="1"/>
        <v>11136</v>
      </c>
    </row>
    <row r="10" spans="2:24" ht="15.75" customHeight="1" x14ac:dyDescent="0.25">
      <c r="B10" s="153">
        <f t="shared" si="2"/>
        <v>2028</v>
      </c>
      <c r="C10" s="243">
        <f>IF(B10&lt;=Assumptions!$D$10,VLOOKUP(B10,$O$5:$Q$27,3,FALSE),0)</f>
        <v>26790.19255</v>
      </c>
      <c r="D10" s="244">
        <f>IF(B10&lt;=Assumptions!$D$10,VLOOKUP(B10,$S$5:$U$27,3,FALSE),0)</f>
        <v>11136</v>
      </c>
      <c r="E10" s="245">
        <f t="shared" si="0"/>
        <v>15654.19255</v>
      </c>
      <c r="F10" s="244">
        <f>E10*(1+0.07)^-($B10-Assumptions!$D$7)</f>
        <v>9748.6443699241881</v>
      </c>
      <c r="G10" s="291"/>
      <c r="H10" s="85"/>
      <c r="I10" s="85"/>
      <c r="J10" s="85"/>
      <c r="K10" s="85"/>
      <c r="L10" s="85"/>
      <c r="M10" s="85"/>
      <c r="N10" s="227"/>
      <c r="O10" s="26">
        <v>2028</v>
      </c>
      <c r="P10" s="25" t="s">
        <v>747</v>
      </c>
      <c r="Q10" s="235">
        <f t="shared" si="3"/>
        <v>26790.19255</v>
      </c>
      <c r="S10" s="26">
        <v>2028</v>
      </c>
      <c r="T10" s="25" t="s">
        <v>230</v>
      </c>
      <c r="U10" s="235">
        <f t="shared" si="1"/>
        <v>11136</v>
      </c>
    </row>
    <row r="11" spans="2:24" ht="15.75" customHeight="1" x14ac:dyDescent="0.25">
      <c r="B11" s="153">
        <f t="shared" si="2"/>
        <v>2029</v>
      </c>
      <c r="C11" s="243">
        <f>IF(B11&lt;=Assumptions!$D$10,VLOOKUP(B11,$O$5:$Q$27,3,FALSE),0)</f>
        <v>26790.19255</v>
      </c>
      <c r="D11" s="244">
        <f>IF(B11&lt;=Assumptions!$D$10,VLOOKUP(B11,$S$5:$U$27,3,FALSE),0)</f>
        <v>11136</v>
      </c>
      <c r="E11" s="245">
        <f t="shared" si="0"/>
        <v>15654.19255</v>
      </c>
      <c r="F11" s="244">
        <f>E11*(1+0.07)^-($B11-Assumptions!$D$7)</f>
        <v>9110.8825887141957</v>
      </c>
      <c r="G11" s="291"/>
      <c r="H11" s="85"/>
      <c r="I11" s="85"/>
      <c r="J11" s="85"/>
      <c r="K11" s="85"/>
      <c r="L11" s="85"/>
      <c r="M11" s="85"/>
      <c r="N11" s="227"/>
      <c r="O11" s="26">
        <v>2029</v>
      </c>
      <c r="P11" s="25" t="s">
        <v>747</v>
      </c>
      <c r="Q11" s="235">
        <f t="shared" si="3"/>
        <v>26790.19255</v>
      </c>
      <c r="S11" s="26">
        <v>2029</v>
      </c>
      <c r="T11" s="25" t="s">
        <v>230</v>
      </c>
      <c r="U11" s="235">
        <f t="shared" si="1"/>
        <v>11136</v>
      </c>
    </row>
    <row r="12" spans="2:24" ht="15.75" customHeight="1" x14ac:dyDescent="0.25">
      <c r="B12" s="153">
        <f t="shared" si="2"/>
        <v>2030</v>
      </c>
      <c r="C12" s="243">
        <f>IF(B12&lt;=Assumptions!$D$10,VLOOKUP(B12,$O$5:$Q$27,3,FALSE),0)</f>
        <v>26790.19255</v>
      </c>
      <c r="D12" s="244">
        <f>IF(B12&lt;=Assumptions!$D$10,VLOOKUP(B12,$S$5:$U$27,3,FALSE),0)</f>
        <v>11136</v>
      </c>
      <c r="E12" s="245">
        <f t="shared" si="0"/>
        <v>15654.19255</v>
      </c>
      <c r="F12" s="244">
        <f>E12*(1+0.07)^-($B12-Assumptions!$D$7)</f>
        <v>8514.8435408543883</v>
      </c>
      <c r="G12" s="227"/>
      <c r="M12" s="227"/>
      <c r="N12" s="227"/>
      <c r="O12" s="26">
        <v>2030</v>
      </c>
      <c r="P12" s="25" t="s">
        <v>747</v>
      </c>
      <c r="Q12" s="235">
        <f t="shared" si="3"/>
        <v>26790.19255</v>
      </c>
      <c r="S12" s="26">
        <v>2030</v>
      </c>
      <c r="T12" s="25" t="s">
        <v>230</v>
      </c>
      <c r="U12" s="235">
        <f t="shared" si="1"/>
        <v>11136</v>
      </c>
    </row>
    <row r="13" spans="2:24" ht="15.75" customHeight="1" x14ac:dyDescent="0.25">
      <c r="B13" s="153">
        <f t="shared" si="2"/>
        <v>2031</v>
      </c>
      <c r="C13" s="243">
        <f>IF(B13&lt;=Assumptions!$D$10,VLOOKUP(B13,$O$5:$Q$27,3,FALSE),0)</f>
        <v>26790.19255</v>
      </c>
      <c r="D13" s="244">
        <f>IF(B13&lt;=Assumptions!$D$10,VLOOKUP(B13,$S$5:$U$27,3,FALSE),0)</f>
        <v>11136</v>
      </c>
      <c r="E13" s="245">
        <f t="shared" si="0"/>
        <v>15654.19255</v>
      </c>
      <c r="F13" s="244">
        <f>E13*(1+0.07)^-($B13-Assumptions!$D$7)</f>
        <v>7957.7977017330732</v>
      </c>
      <c r="G13" s="227"/>
      <c r="H13" s="38" t="s">
        <v>757</v>
      </c>
      <c r="M13" s="227"/>
      <c r="N13" s="227"/>
      <c r="O13" s="26">
        <v>2031</v>
      </c>
      <c r="P13" s="25" t="s">
        <v>747</v>
      </c>
      <c r="Q13" s="235">
        <f t="shared" si="3"/>
        <v>26790.19255</v>
      </c>
      <c r="S13" s="26">
        <v>2031</v>
      </c>
      <c r="T13" s="25" t="s">
        <v>230</v>
      </c>
      <c r="U13" s="235">
        <f t="shared" si="1"/>
        <v>11136</v>
      </c>
    </row>
    <row r="14" spans="2:24" ht="15.75" customHeight="1" x14ac:dyDescent="0.25">
      <c r="B14" s="153">
        <f t="shared" si="2"/>
        <v>2032</v>
      </c>
      <c r="C14" s="243">
        <f>IF(B14&lt;=Assumptions!$D$10,VLOOKUP(B14,$O$5:$Q$27,3,FALSE),0)</f>
        <v>26790.19255</v>
      </c>
      <c r="D14" s="244">
        <f>IF(B14&lt;=Assumptions!$D$10,VLOOKUP(B14,$S$5:$U$27,3,FALSE),0)</f>
        <v>11136</v>
      </c>
      <c r="E14" s="245">
        <f t="shared" si="0"/>
        <v>15654.19255</v>
      </c>
      <c r="F14" s="244">
        <f>E14*(1+0.07)^-($B14-Assumptions!$D$7)</f>
        <v>7437.1941137692256</v>
      </c>
      <c r="G14" s="227"/>
      <c r="H14" s="237" t="s">
        <v>229</v>
      </c>
      <c r="I14" s="237" t="s">
        <v>749</v>
      </c>
      <c r="J14" s="39" t="s">
        <v>752</v>
      </c>
      <c r="K14" s="39" t="s">
        <v>753</v>
      </c>
      <c r="L14" s="39" t="s">
        <v>754</v>
      </c>
      <c r="M14" s="227"/>
      <c r="N14" s="227"/>
      <c r="O14" s="26">
        <v>2032</v>
      </c>
      <c r="P14" s="25" t="s">
        <v>747</v>
      </c>
      <c r="Q14" s="235">
        <f t="shared" si="3"/>
        <v>26790.19255</v>
      </c>
      <c r="S14" s="26">
        <v>2032</v>
      </c>
      <c r="T14" s="25" t="s">
        <v>230</v>
      </c>
      <c r="U14" s="235">
        <f t="shared" si="1"/>
        <v>11136</v>
      </c>
    </row>
    <row r="15" spans="2:24" ht="15.75" customHeight="1" x14ac:dyDescent="0.25">
      <c r="B15" s="153">
        <f t="shared" si="2"/>
        <v>2033</v>
      </c>
      <c r="C15" s="243">
        <f>IF(B15&lt;=Assumptions!$D$10,VLOOKUP(B15,$O$5:$Q$27,3,FALSE),0)</f>
        <v>26790.19255</v>
      </c>
      <c r="D15" s="244">
        <f>IF(B15&lt;=Assumptions!$D$10,VLOOKUP(B15,$S$5:$U$27,3,FALSE),0)</f>
        <v>11136</v>
      </c>
      <c r="E15" s="245">
        <f t="shared" si="0"/>
        <v>15654.19255</v>
      </c>
      <c r="F15" s="244">
        <f>E15*(1+0.07)^-($B15-Assumptions!$D$7)</f>
        <v>6950.6487044572214</v>
      </c>
      <c r="G15" s="227"/>
      <c r="H15" s="26">
        <v>400</v>
      </c>
      <c r="I15" s="242">
        <v>21.59</v>
      </c>
      <c r="J15" s="225">
        <f>H15*I15</f>
        <v>8636</v>
      </c>
      <c r="K15" s="225">
        <v>2500</v>
      </c>
      <c r="L15" s="225">
        <f>SUM(J15:K15)</f>
        <v>11136</v>
      </c>
      <c r="M15" s="227"/>
      <c r="N15" s="227"/>
      <c r="O15" s="26">
        <v>2033</v>
      </c>
      <c r="P15" s="25" t="s">
        <v>747</v>
      </c>
      <c r="Q15" s="235">
        <f t="shared" si="3"/>
        <v>26790.19255</v>
      </c>
      <c r="S15" s="26">
        <v>2033</v>
      </c>
      <c r="T15" s="25" t="s">
        <v>230</v>
      </c>
      <c r="U15" s="235">
        <f t="shared" si="1"/>
        <v>11136</v>
      </c>
    </row>
    <row r="16" spans="2:24" ht="15.75" customHeight="1" x14ac:dyDescent="0.25">
      <c r="B16" s="153">
        <f t="shared" si="2"/>
        <v>2034</v>
      </c>
      <c r="C16" s="243">
        <f>IF(B16&lt;=Assumptions!$D$10,VLOOKUP(B16,$O$5:$Q$27,3,FALSE),0)</f>
        <v>26790.19255</v>
      </c>
      <c r="D16" s="244">
        <f>IF(B16&lt;=Assumptions!$D$10,VLOOKUP(B16,$S$5:$U$27,3,FALSE),0)</f>
        <v>11136</v>
      </c>
      <c r="E16" s="245">
        <f t="shared" si="0"/>
        <v>15654.19255</v>
      </c>
      <c r="F16" s="244">
        <f>E16*(1+0.07)^-($B16-Assumptions!$D$7)</f>
        <v>6495.9333686516084</v>
      </c>
      <c r="G16" s="227"/>
      <c r="H16" s="227"/>
      <c r="J16" s="227"/>
      <c r="K16" s="227"/>
      <c r="L16" s="227"/>
      <c r="M16" s="227"/>
      <c r="N16" s="227"/>
      <c r="O16" s="26">
        <v>2034</v>
      </c>
      <c r="P16" s="25" t="s">
        <v>747</v>
      </c>
      <c r="Q16" s="235">
        <f t="shared" si="3"/>
        <v>26790.19255</v>
      </c>
      <c r="S16" s="26">
        <v>2034</v>
      </c>
      <c r="T16" s="25" t="s">
        <v>230</v>
      </c>
      <c r="U16" s="235">
        <f t="shared" si="1"/>
        <v>11136</v>
      </c>
    </row>
    <row r="17" spans="2:21" ht="15.75" customHeight="1" x14ac:dyDescent="0.25">
      <c r="B17" s="153">
        <f t="shared" si="2"/>
        <v>2035</v>
      </c>
      <c r="C17" s="243">
        <f>IF(B17&lt;=Assumptions!$D$10,VLOOKUP(B17,$O$5:$Q$27,3,FALSE),0)</f>
        <v>26790.19255</v>
      </c>
      <c r="D17" s="244">
        <f>IF(B17&lt;=Assumptions!$D$10,VLOOKUP(B17,$S$5:$U$27,3,FALSE),0)</f>
        <v>63107.939999999995</v>
      </c>
      <c r="E17" s="245">
        <f t="shared" si="0"/>
        <v>-36317.747449999995</v>
      </c>
      <c r="F17" s="244">
        <f>E17*(1+0.07)^-($B17-Assumptions!$D$7)</f>
        <v>-14084.648616022985</v>
      </c>
      <c r="G17" s="227"/>
      <c r="H17" s="38" t="s">
        <v>758</v>
      </c>
      <c r="J17" s="227"/>
      <c r="K17" s="227"/>
      <c r="L17" s="227"/>
      <c r="M17" s="227"/>
      <c r="N17" s="227"/>
      <c r="O17" s="26">
        <v>2035</v>
      </c>
      <c r="P17" s="25" t="s">
        <v>747</v>
      </c>
      <c r="Q17" s="235">
        <f t="shared" si="3"/>
        <v>26790.19255</v>
      </c>
      <c r="S17" s="26">
        <v>2035</v>
      </c>
      <c r="T17" s="25" t="s">
        <v>169</v>
      </c>
      <c r="U17" s="235">
        <f>I9*13.1</f>
        <v>63107.939999999995</v>
      </c>
    </row>
    <row r="18" spans="2:21" ht="15.75" customHeight="1" x14ac:dyDescent="0.25">
      <c r="B18" s="153">
        <f t="shared" si="2"/>
        <v>2036</v>
      </c>
      <c r="C18" s="243">
        <f>IF(B18&lt;=Assumptions!$D$10,VLOOKUP(B18,$O$5:$Q$27,3,FALSE),0)</f>
        <v>26790.19255</v>
      </c>
      <c r="D18" s="244">
        <f>IF(B18&lt;=Assumptions!$D$10,VLOOKUP(B18,$S$5:$U$27,3,FALSE),0)</f>
        <v>11136</v>
      </c>
      <c r="E18" s="245">
        <f t="shared" si="0"/>
        <v>15654.19255</v>
      </c>
      <c r="F18" s="244">
        <f>E18*(1+0.07)^-($B18-Assumptions!$D$7)</f>
        <v>5673.7997804625802</v>
      </c>
      <c r="G18" s="227"/>
      <c r="H18" s="241" t="s">
        <v>736</v>
      </c>
      <c r="I18" s="26">
        <v>7.44</v>
      </c>
      <c r="J18" s="227"/>
      <c r="K18" s="227"/>
      <c r="L18" s="227"/>
      <c r="M18" s="227"/>
      <c r="N18" s="227"/>
      <c r="O18" s="26">
        <v>2036</v>
      </c>
      <c r="P18" s="25" t="s">
        <v>747</v>
      </c>
      <c r="Q18" s="235">
        <f t="shared" si="3"/>
        <v>26790.19255</v>
      </c>
      <c r="S18" s="26">
        <v>2036</v>
      </c>
      <c r="T18" s="25" t="s">
        <v>230</v>
      </c>
      <c r="U18" s="235">
        <f t="shared" ref="U18:U26" si="4">$L$15</f>
        <v>11136</v>
      </c>
    </row>
    <row r="19" spans="2:21" ht="15.75" customHeight="1" x14ac:dyDescent="0.25">
      <c r="B19" s="153">
        <f t="shared" si="2"/>
        <v>2037</v>
      </c>
      <c r="C19" s="243">
        <f>IF(B19&lt;=Assumptions!$D$10,VLOOKUP(B19,$O$5:$Q$27,3,FALSE),0)</f>
        <v>26790.19255</v>
      </c>
      <c r="D19" s="244">
        <f>IF(B19&lt;=Assumptions!$D$10,VLOOKUP(B19,$S$5:$U$27,3,FALSE),0)</f>
        <v>11136</v>
      </c>
      <c r="E19" s="245">
        <f t="shared" si="0"/>
        <v>15654.19255</v>
      </c>
      <c r="F19" s="244">
        <f>E19*(1+0.07)^-($B19-Assumptions!$D$7)</f>
        <v>5302.6166172547491</v>
      </c>
      <c r="G19" s="227"/>
      <c r="H19" s="241" t="s">
        <v>737</v>
      </c>
      <c r="I19" s="26">
        <v>5.71</v>
      </c>
      <c r="J19" s="227"/>
      <c r="K19" s="227"/>
      <c r="L19" s="227"/>
      <c r="M19" s="227"/>
      <c r="N19" s="227"/>
      <c r="O19" s="26">
        <v>2037</v>
      </c>
      <c r="P19" s="25" t="s">
        <v>747</v>
      </c>
      <c r="Q19" s="235">
        <f t="shared" si="3"/>
        <v>26790.19255</v>
      </c>
      <c r="S19" s="26">
        <v>2037</v>
      </c>
      <c r="T19" s="25" t="s">
        <v>230</v>
      </c>
      <c r="U19" s="235">
        <f t="shared" si="4"/>
        <v>11136</v>
      </c>
    </row>
    <row r="20" spans="2:21" ht="15.75" customHeight="1" x14ac:dyDescent="0.25">
      <c r="B20" s="153">
        <f t="shared" si="2"/>
        <v>2038</v>
      </c>
      <c r="C20" s="243">
        <f>IF(B20&lt;=Assumptions!$D$10,VLOOKUP(B20,$O$5:$Q$27,3,FALSE),0)</f>
        <v>26790.19255</v>
      </c>
      <c r="D20" s="244">
        <f>IF(B20&lt;=Assumptions!$D$10,VLOOKUP(B20,$S$5:$U$27,3,FALSE),0)</f>
        <v>11136</v>
      </c>
      <c r="E20" s="245">
        <f t="shared" si="0"/>
        <v>15654.19255</v>
      </c>
      <c r="F20" s="244">
        <f>E20*(1+0.07)^-($B20-Assumptions!$D$7)</f>
        <v>4955.7164647240643</v>
      </c>
      <c r="G20" s="227"/>
      <c r="H20" s="241" t="s">
        <v>738</v>
      </c>
      <c r="I20" s="26">
        <f>SUM(I18:I19)</f>
        <v>13.15</v>
      </c>
      <c r="J20" s="227"/>
      <c r="K20" s="227"/>
      <c r="L20" s="227"/>
      <c r="M20" s="227"/>
      <c r="N20" s="227"/>
      <c r="O20" s="26">
        <v>2038</v>
      </c>
      <c r="P20" s="25" t="s">
        <v>747</v>
      </c>
      <c r="Q20" s="235">
        <f t="shared" si="3"/>
        <v>26790.19255</v>
      </c>
      <c r="S20" s="26">
        <v>2038</v>
      </c>
      <c r="T20" s="25" t="s">
        <v>230</v>
      </c>
      <c r="U20" s="235">
        <f t="shared" si="4"/>
        <v>11136</v>
      </c>
    </row>
    <row r="21" spans="2:21" ht="15.75" customHeight="1" x14ac:dyDescent="0.25">
      <c r="B21" s="153">
        <f t="shared" si="2"/>
        <v>2039</v>
      </c>
      <c r="C21" s="243">
        <f>IF(B21&lt;=Assumptions!$D$10,VLOOKUP(B21,$O$5:$Q$27,3,FALSE),0)</f>
        <v>26790.19255</v>
      </c>
      <c r="D21" s="244">
        <f>IF(B21&lt;=Assumptions!$D$10,VLOOKUP(B21,$S$5:$U$27,3,FALSE),0)</f>
        <v>11136</v>
      </c>
      <c r="E21" s="245">
        <f t="shared" si="0"/>
        <v>15654.19255</v>
      </c>
      <c r="F21" s="244">
        <f>E21*(1+0.07)^-($B21-Assumptions!$D$7)</f>
        <v>4631.5107146953869</v>
      </c>
      <c r="G21" s="227"/>
      <c r="H21" s="227"/>
      <c r="I21" s="227"/>
      <c r="J21" s="227"/>
      <c r="K21" s="227"/>
      <c r="L21" s="227"/>
      <c r="M21" s="227"/>
      <c r="N21" s="227"/>
      <c r="O21" s="26">
        <v>2039</v>
      </c>
      <c r="P21" s="25" t="s">
        <v>747</v>
      </c>
      <c r="Q21" s="235">
        <f t="shared" si="3"/>
        <v>26790.19255</v>
      </c>
      <c r="S21" s="26">
        <v>2039</v>
      </c>
      <c r="T21" s="25" t="s">
        <v>230</v>
      </c>
      <c r="U21" s="235">
        <f t="shared" si="4"/>
        <v>11136</v>
      </c>
    </row>
    <row r="22" spans="2:21" ht="15.75" customHeight="1" x14ac:dyDescent="0.25">
      <c r="B22" s="153">
        <f t="shared" si="2"/>
        <v>2040</v>
      </c>
      <c r="C22" s="243">
        <f>IF(B22&lt;=Assumptions!$D$10,VLOOKUP(B22,$O$5:$Q$27,3,FALSE),0)</f>
        <v>26790.19255</v>
      </c>
      <c r="D22" s="244">
        <f>IF(B22&lt;=Assumptions!$D$10,VLOOKUP(B22,$S$5:$U$27,3,FALSE),0)</f>
        <v>11136</v>
      </c>
      <c r="E22" s="245">
        <f t="shared" si="0"/>
        <v>15654.19255</v>
      </c>
      <c r="F22" s="244">
        <f>E22*(1+0.07)^-($B22-Assumptions!$D$7)</f>
        <v>4328.5146866312025</v>
      </c>
      <c r="G22" s="227"/>
      <c r="H22" s="38" t="s">
        <v>746</v>
      </c>
      <c r="I22" s="227"/>
      <c r="J22" s="227"/>
      <c r="K22" s="227"/>
      <c r="L22" s="227"/>
      <c r="M22" s="227"/>
      <c r="N22" s="227"/>
      <c r="O22" s="26">
        <v>2040</v>
      </c>
      <c r="P22" s="25" t="s">
        <v>747</v>
      </c>
      <c r="Q22" s="235">
        <f t="shared" si="3"/>
        <v>26790.19255</v>
      </c>
      <c r="S22" s="26">
        <v>2040</v>
      </c>
      <c r="T22" s="25" t="s">
        <v>230</v>
      </c>
      <c r="U22" s="235">
        <f t="shared" si="4"/>
        <v>11136</v>
      </c>
    </row>
    <row r="23" spans="2:21" ht="15.75" customHeight="1" x14ac:dyDescent="0.25">
      <c r="B23" s="153">
        <f t="shared" si="2"/>
        <v>2041</v>
      </c>
      <c r="C23" s="243">
        <f>IF(B23&lt;=Assumptions!$D$10,VLOOKUP(B23,$O$5:$Q$27,3,FALSE),0)</f>
        <v>26790.19255</v>
      </c>
      <c r="D23" s="244">
        <f>IF(B23&lt;=Assumptions!$D$10,VLOOKUP(B23,$S$5:$U$27,3,FALSE),0)</f>
        <v>11136</v>
      </c>
      <c r="E23" s="245">
        <f t="shared" si="0"/>
        <v>15654.19255</v>
      </c>
      <c r="F23" s="244">
        <f>E23*(1+0.07)^-($B23-Assumptions!$D$7)</f>
        <v>4045.3408286272925</v>
      </c>
      <c r="G23" s="227"/>
      <c r="H23" s="237" t="s">
        <v>761</v>
      </c>
      <c r="I23" s="237" t="s">
        <v>745</v>
      </c>
      <c r="J23" s="227"/>
      <c r="K23" s="227"/>
      <c r="L23" s="227"/>
      <c r="M23" s="227"/>
      <c r="N23" s="227"/>
      <c r="O23" s="26">
        <v>2041</v>
      </c>
      <c r="P23" s="25" t="s">
        <v>747</v>
      </c>
      <c r="Q23" s="235">
        <f t="shared" si="3"/>
        <v>26790.19255</v>
      </c>
      <c r="S23" s="26">
        <v>2041</v>
      </c>
      <c r="T23" s="25" t="s">
        <v>230</v>
      </c>
      <c r="U23" s="235">
        <f t="shared" si="4"/>
        <v>11136</v>
      </c>
    </row>
    <row r="24" spans="2:21" ht="15.75" customHeight="1" x14ac:dyDescent="0.25">
      <c r="B24" s="153">
        <f t="shared" si="2"/>
        <v>2042</v>
      </c>
      <c r="C24" s="243">
        <f>IF(B24&lt;=Assumptions!$D$10,VLOOKUP(B24,$O$5:$Q$27,3,FALSE),0)</f>
        <v>26790.19255</v>
      </c>
      <c r="D24" s="244">
        <f>IF(B24&lt;=Assumptions!$D$10,VLOOKUP(B24,$S$5:$U$27,3,FALSE),0)</f>
        <v>11136</v>
      </c>
      <c r="E24" s="245">
        <f t="shared" si="0"/>
        <v>15654.19255</v>
      </c>
      <c r="F24" s="244">
        <f>E24*(1+0.07)^-($B24-Assumptions!$D$7)</f>
        <v>3780.6923632030771</v>
      </c>
      <c r="G24" s="227"/>
      <c r="H24" s="239" t="s">
        <v>739</v>
      </c>
      <c r="I24" s="240">
        <v>16000</v>
      </c>
      <c r="K24" s="227"/>
      <c r="L24" s="227"/>
      <c r="M24" s="227"/>
      <c r="N24" s="227"/>
      <c r="O24" s="26">
        <v>2042</v>
      </c>
      <c r="P24" s="25" t="s">
        <v>747</v>
      </c>
      <c r="Q24" s="235">
        <f t="shared" si="3"/>
        <v>26790.19255</v>
      </c>
      <c r="S24" s="26">
        <v>2042</v>
      </c>
      <c r="T24" s="25" t="s">
        <v>230</v>
      </c>
      <c r="U24" s="235">
        <f t="shared" si="4"/>
        <v>11136</v>
      </c>
    </row>
    <row r="25" spans="2:21" ht="15.75" customHeight="1" x14ac:dyDescent="0.25">
      <c r="B25" s="153">
        <f t="shared" si="2"/>
        <v>2043</v>
      </c>
      <c r="C25" s="243">
        <f>IF(B25&lt;=Assumptions!$D$10,VLOOKUP(B25,$O$5:$Q$27,3,FALSE),0)</f>
        <v>26790.19255</v>
      </c>
      <c r="D25" s="244">
        <f>IF(B25&lt;=Assumptions!$D$10,VLOOKUP(B25,$S$5:$U$27,3,FALSE),0)</f>
        <v>11136</v>
      </c>
      <c r="E25" s="245">
        <f t="shared" si="0"/>
        <v>15654.19255</v>
      </c>
      <c r="F25" s="244">
        <f>E25*(1+0.07)^-($B25-Assumptions!$D$7)</f>
        <v>3533.3573487879225</v>
      </c>
      <c r="G25" s="227"/>
      <c r="H25" s="239" t="s">
        <v>744</v>
      </c>
      <c r="I25" s="240">
        <v>25000</v>
      </c>
      <c r="K25" s="227"/>
      <c r="L25" s="227"/>
      <c r="M25" s="227"/>
      <c r="N25" s="227"/>
      <c r="O25" s="26">
        <v>2043</v>
      </c>
      <c r="P25" s="25" t="s">
        <v>747</v>
      </c>
      <c r="Q25" s="235">
        <f t="shared" si="3"/>
        <v>26790.19255</v>
      </c>
      <c r="S25" s="26">
        <v>2043</v>
      </c>
      <c r="T25" s="25" t="s">
        <v>230</v>
      </c>
      <c r="U25" s="235">
        <f t="shared" si="4"/>
        <v>11136</v>
      </c>
    </row>
    <row r="26" spans="2:21" ht="15.75" customHeight="1" x14ac:dyDescent="0.25">
      <c r="B26" s="153">
        <f t="shared" si="2"/>
        <v>2044</v>
      </c>
      <c r="C26" s="243">
        <f>IF(B26&lt;=Assumptions!$D$10,VLOOKUP(B26,$O$5:$Q$27,3,FALSE),0)</f>
        <v>26790.19255</v>
      </c>
      <c r="D26" s="244">
        <f>IF(B26&lt;=Assumptions!$D$10,VLOOKUP(B26,$S$5:$U$27,3,FALSE),0)</f>
        <v>11136</v>
      </c>
      <c r="E26" s="245">
        <f t="shared" si="0"/>
        <v>15654.19255</v>
      </c>
      <c r="F26" s="244">
        <f>E26*(1+0.07)^-($B26-Assumptions!$D$7)</f>
        <v>3302.2031297083386</v>
      </c>
      <c r="G26" s="227"/>
      <c r="H26" s="239" t="s">
        <v>740</v>
      </c>
      <c r="I26" s="240">
        <v>25000</v>
      </c>
      <c r="K26" s="227"/>
      <c r="L26" s="227"/>
      <c r="M26" s="227"/>
      <c r="N26" s="227"/>
      <c r="O26" s="26">
        <v>2044</v>
      </c>
      <c r="P26" s="25" t="s">
        <v>747</v>
      </c>
      <c r="Q26" s="235">
        <f t="shared" si="3"/>
        <v>26790.19255</v>
      </c>
      <c r="S26" s="26">
        <v>2044</v>
      </c>
      <c r="T26" s="25" t="s">
        <v>230</v>
      </c>
      <c r="U26" s="235">
        <f t="shared" si="4"/>
        <v>11136</v>
      </c>
    </row>
    <row r="27" spans="2:21" ht="15.75" customHeight="1" x14ac:dyDescent="0.25">
      <c r="B27" s="153">
        <f t="shared" si="2"/>
        <v>2045</v>
      </c>
      <c r="C27" s="243">
        <f>IF(B27&lt;=Assumptions!$D$10,VLOOKUP(B27,$O$5:$Q$27,3,FALSE),0)</f>
        <v>26790.19255</v>
      </c>
      <c r="D27" s="244">
        <f>IF(B27&lt;=Assumptions!$D$10,VLOOKUP(B27,$S$5:$U$27,3,FALSE),0)</f>
        <v>11136</v>
      </c>
      <c r="E27" s="245">
        <f t="shared" si="0"/>
        <v>15654.19255</v>
      </c>
      <c r="F27" s="244">
        <f>E27*(1+0.07)^-($B27-Assumptions!$D$7)</f>
        <v>3086.1711492601294</v>
      </c>
      <c r="G27" s="227"/>
      <c r="H27" s="239" t="s">
        <v>741</v>
      </c>
      <c r="I27" s="240">
        <v>20000</v>
      </c>
      <c r="K27" s="227"/>
      <c r="L27" s="227"/>
      <c r="M27" s="227"/>
      <c r="N27" s="227"/>
      <c r="O27" s="26">
        <v>2045</v>
      </c>
      <c r="P27" s="25" t="s">
        <v>747</v>
      </c>
      <c r="Q27" s="235">
        <f t="shared" si="3"/>
        <v>26790.19255</v>
      </c>
      <c r="S27" s="26">
        <v>2045</v>
      </c>
      <c r="T27" s="25" t="s">
        <v>230</v>
      </c>
      <c r="U27" s="235">
        <v>11136</v>
      </c>
    </row>
    <row r="28" spans="2:21" ht="15.75" customHeight="1" x14ac:dyDescent="0.25">
      <c r="B28" s="153">
        <f t="shared" si="2"/>
        <v>2046</v>
      </c>
      <c r="C28" s="243">
        <f>IF(B28&lt;=Assumptions!$D$10,VLOOKUP(B28,$O$5:$Q$27,3,FALSE),0)</f>
        <v>0</v>
      </c>
      <c r="D28" s="244">
        <f>IF(B28&lt;=Assumptions!$D$10,VLOOKUP(B28,$S$5:$U$27,3,FALSE),0)</f>
        <v>0</v>
      </c>
      <c r="E28" s="245">
        <f t="shared" si="0"/>
        <v>0</v>
      </c>
      <c r="F28" s="244">
        <f>E28*(1+0.07)^-($B28-Assumptions!$D$7)</f>
        <v>0</v>
      </c>
      <c r="G28" s="227"/>
      <c r="H28" s="239" t="s">
        <v>742</v>
      </c>
      <c r="I28" s="240">
        <v>23000</v>
      </c>
      <c r="K28" s="227"/>
      <c r="L28" s="227"/>
      <c r="M28" s="227"/>
      <c r="N28" s="227"/>
      <c r="S28" t="s">
        <v>748</v>
      </c>
    </row>
    <row r="29" spans="2:21" ht="15.75" customHeight="1" x14ac:dyDescent="0.25">
      <c r="B29" s="153">
        <f t="shared" si="2"/>
        <v>2047</v>
      </c>
      <c r="C29" s="243">
        <f>IF(B29&lt;=Assumptions!$D$10,VLOOKUP(B29,$O$5:$Q$27,3,FALSE),0)</f>
        <v>0</v>
      </c>
      <c r="D29" s="244">
        <f>IF(B29&lt;=Assumptions!$D$10,VLOOKUP(B29,$S$5:$U$27,3,FALSE),0)</f>
        <v>0</v>
      </c>
      <c r="E29" s="245">
        <f t="shared" si="0"/>
        <v>0</v>
      </c>
      <c r="F29" s="244">
        <f>E29*(1+0.07)^-($B29-Assumptions!$D$7)</f>
        <v>0</v>
      </c>
      <c r="G29" s="227"/>
      <c r="H29" s="241" t="s">
        <v>4</v>
      </c>
      <c r="I29" s="240">
        <f>SUM(I24:I28)</f>
        <v>109000</v>
      </c>
      <c r="J29" s="227"/>
      <c r="K29" s="227"/>
      <c r="L29" s="227"/>
      <c r="M29" s="227"/>
      <c r="N29" s="227"/>
    </row>
    <row r="30" spans="2:21" ht="15.75" customHeight="1" x14ac:dyDescent="0.25">
      <c r="B30" s="153">
        <f t="shared" si="2"/>
        <v>2048</v>
      </c>
      <c r="C30" s="243">
        <f>IF(B30&lt;=Assumptions!$D$10,VLOOKUP(B30,$O$5:$Q$27,3,FALSE),0)</f>
        <v>0</v>
      </c>
      <c r="D30" s="244">
        <f>IF(B30&lt;=Assumptions!$D$10,VLOOKUP(B30,$S$5:$U$27,3,FALSE),0)</f>
        <v>0</v>
      </c>
      <c r="E30" s="245">
        <f t="shared" si="0"/>
        <v>0</v>
      </c>
      <c r="F30" s="244">
        <f>E30*(1+0.07)^-($B30-Assumptions!$D$7)</f>
        <v>0</v>
      </c>
      <c r="G30" s="227"/>
      <c r="H30" s="238" t="s">
        <v>743</v>
      </c>
      <c r="J30" s="227"/>
      <c r="K30" s="227"/>
      <c r="L30" s="227"/>
      <c r="M30" s="227"/>
      <c r="N30" s="227"/>
    </row>
    <row r="31" spans="2:21" ht="15.75" customHeight="1" x14ac:dyDescent="0.25">
      <c r="B31" s="153">
        <f t="shared" si="2"/>
        <v>2049</v>
      </c>
      <c r="C31" s="243">
        <f>IF(B31&lt;=Assumptions!$D$10,VLOOKUP(B31,$O$5:$Q$27,3,FALSE),0)</f>
        <v>0</v>
      </c>
      <c r="D31" s="244">
        <f>IF(B31&lt;=Assumptions!$D$10,VLOOKUP(B31,$S$5:$U$27,3,FALSE),0)</f>
        <v>0</v>
      </c>
      <c r="E31" s="245">
        <f t="shared" si="0"/>
        <v>0</v>
      </c>
      <c r="F31" s="244">
        <f>E31*(1+0.07)^-($B31-Assumptions!$D$7)</f>
        <v>0</v>
      </c>
      <c r="G31" s="227"/>
      <c r="J31" s="227"/>
      <c r="K31" s="227"/>
      <c r="L31" s="227"/>
      <c r="M31" s="227"/>
      <c r="N31" s="227"/>
    </row>
    <row r="32" spans="2:21" ht="15.75" customHeight="1" x14ac:dyDescent="0.25">
      <c r="B32" s="153">
        <f t="shared" si="2"/>
        <v>2050</v>
      </c>
      <c r="C32" s="243">
        <f>IF(B32&lt;=Assumptions!$D$10,VLOOKUP(B32,$O$5:$Q$27,3,FALSE),0)</f>
        <v>0</v>
      </c>
      <c r="D32" s="244">
        <f>IF(B32&lt;=Assumptions!$D$10,VLOOKUP(B32,$S$5:$U$27,3,FALSE),0)</f>
        <v>0</v>
      </c>
      <c r="E32" s="245">
        <f t="shared" si="0"/>
        <v>0</v>
      </c>
      <c r="F32" s="244">
        <f>E32*(1+0.07)^-($B32-Assumptions!$D$7)</f>
        <v>0</v>
      </c>
      <c r="G32" s="227"/>
      <c r="J32" s="227"/>
      <c r="K32" s="227"/>
      <c r="L32" s="227"/>
      <c r="M32" s="227"/>
      <c r="N32" s="227"/>
    </row>
    <row r="33" spans="1:20" ht="15.75" customHeight="1" x14ac:dyDescent="0.25">
      <c r="B33" s="153">
        <f t="shared" si="2"/>
        <v>2051</v>
      </c>
      <c r="C33" s="243">
        <f>IF(B33&lt;=Assumptions!$D$10,VLOOKUP(B33,$O$5:$Q$27,3,FALSE),0)</f>
        <v>0</v>
      </c>
      <c r="D33" s="244">
        <f>IF(B33&lt;=Assumptions!$D$10,VLOOKUP(B33,$S$5:$U$27,3,FALSE),0)</f>
        <v>0</v>
      </c>
      <c r="E33" s="245">
        <f t="shared" si="0"/>
        <v>0</v>
      </c>
      <c r="F33" s="244">
        <f>E33*(1+0.07)^-($B33-Assumptions!$D$7)</f>
        <v>0</v>
      </c>
      <c r="G33" s="227"/>
      <c r="J33" s="227"/>
      <c r="K33" s="227"/>
      <c r="L33" s="227"/>
      <c r="M33" s="227"/>
      <c r="N33" s="227"/>
      <c r="O33" s="43"/>
      <c r="P33" s="43"/>
      <c r="S33" s="43"/>
      <c r="T33" s="43"/>
    </row>
    <row r="34" spans="1:20" ht="15.75" customHeight="1" x14ac:dyDescent="0.25">
      <c r="B34" s="153">
        <f t="shared" si="2"/>
        <v>2052</v>
      </c>
      <c r="C34" s="243">
        <f>IF(B34&lt;=Assumptions!$D$10,VLOOKUP(B34,$O$5:$Q$27,3,FALSE),0)</f>
        <v>0</v>
      </c>
      <c r="D34" s="244">
        <f>IF(B34&lt;=Assumptions!$D$10,VLOOKUP(B34,$S$5:$U$27,3,FALSE),0)</f>
        <v>0</v>
      </c>
      <c r="E34" s="245">
        <f t="shared" si="0"/>
        <v>0</v>
      </c>
      <c r="F34" s="244">
        <f>E34*(1+0.07)^-($B34-Assumptions!$D$7)</f>
        <v>0</v>
      </c>
      <c r="G34" s="227"/>
      <c r="J34" s="227"/>
      <c r="K34" s="227"/>
      <c r="L34" s="227"/>
      <c r="M34" s="227"/>
      <c r="N34" s="227"/>
      <c r="O34" s="43"/>
      <c r="P34" s="43"/>
      <c r="S34" s="43"/>
      <c r="T34" s="43"/>
    </row>
    <row r="35" spans="1:20" ht="15.75" customHeight="1" x14ac:dyDescent="0.25">
      <c r="B35" s="153">
        <f t="shared" si="2"/>
        <v>2053</v>
      </c>
      <c r="C35" s="243">
        <f>IF(B35&lt;=Assumptions!$D$10,VLOOKUP(B35,$O$5:$Q$27,3,FALSE),0)</f>
        <v>0</v>
      </c>
      <c r="D35" s="244">
        <f>IF(B35&lt;=Assumptions!$D$10,VLOOKUP(B35,$S$5:$U$27,3,FALSE),0)</f>
        <v>0</v>
      </c>
      <c r="E35" s="245">
        <f t="shared" si="0"/>
        <v>0</v>
      </c>
      <c r="F35" s="244">
        <f>E35*(1+0.07)^-($B35-Assumptions!$D$7)</f>
        <v>0</v>
      </c>
      <c r="G35" s="227"/>
      <c r="J35" s="227"/>
      <c r="K35" s="227"/>
      <c r="L35" s="227"/>
      <c r="M35" s="227"/>
      <c r="N35" s="227"/>
      <c r="O35" s="43"/>
      <c r="P35" s="43"/>
      <c r="S35" s="43"/>
      <c r="T35" s="43"/>
    </row>
    <row r="36" spans="1:20" ht="15.75" customHeight="1" x14ac:dyDescent="0.25">
      <c r="B36" s="153">
        <f t="shared" si="2"/>
        <v>2054</v>
      </c>
      <c r="C36" s="243">
        <f>IF(B36&lt;=Assumptions!$D$10,VLOOKUP(B36,$O$5:$Q$27,3,FALSE),0)</f>
        <v>0</v>
      </c>
      <c r="D36" s="244">
        <f>IF(B36&lt;=Assumptions!$D$10,VLOOKUP(B36,$S$5:$U$27,3,FALSE),0)</f>
        <v>0</v>
      </c>
      <c r="E36" s="245">
        <f t="shared" si="0"/>
        <v>0</v>
      </c>
      <c r="F36" s="244">
        <f>E36*(1+0.07)^-($B36-Assumptions!$D$7)</f>
        <v>0</v>
      </c>
      <c r="G36" s="227"/>
      <c r="H36" s="227"/>
      <c r="I36" s="227"/>
      <c r="J36" s="227"/>
      <c r="K36" s="227"/>
      <c r="L36" s="227"/>
      <c r="M36" s="227"/>
      <c r="N36" s="227"/>
      <c r="O36" s="43"/>
      <c r="P36" s="43"/>
      <c r="S36" s="43"/>
      <c r="T36" s="43"/>
    </row>
    <row r="37" spans="1:20" ht="15.75" customHeight="1" x14ac:dyDescent="0.25">
      <c r="B37" s="153">
        <f t="shared" si="2"/>
        <v>2055</v>
      </c>
      <c r="C37" s="243">
        <f>IF(B37&lt;=Assumptions!$D$10,VLOOKUP(B37,$O$5:$Q$27,3,FALSE),0)</f>
        <v>0</v>
      </c>
      <c r="D37" s="244">
        <f>IF(B37&lt;=Assumptions!$D$10,VLOOKUP(B37,$S$5:$U$27,3,FALSE),0)</f>
        <v>0</v>
      </c>
      <c r="E37" s="245">
        <f t="shared" si="0"/>
        <v>0</v>
      </c>
      <c r="F37" s="244">
        <f>E37*(1+0.07)^-($B37-Assumptions!$D$7)</f>
        <v>0</v>
      </c>
      <c r="G37" s="227"/>
      <c r="H37" s="227"/>
      <c r="I37" s="227"/>
      <c r="J37" s="227"/>
      <c r="K37" s="227"/>
      <c r="L37" s="227"/>
      <c r="M37" s="227"/>
      <c r="N37" s="227"/>
    </row>
    <row r="38" spans="1:20" ht="15.75" customHeight="1" x14ac:dyDescent="0.25">
      <c r="A38" s="2"/>
      <c r="B38" s="153">
        <f t="shared" si="2"/>
        <v>2056</v>
      </c>
      <c r="C38" s="243">
        <f>IF(B38&lt;=Assumptions!$D$10,VLOOKUP(B38,$O$5:$Q$27,3,FALSE),0)</f>
        <v>0</v>
      </c>
      <c r="D38" s="244">
        <f>IF(B38&lt;=Assumptions!$D$10,VLOOKUP(B38,$S$5:$U$27,3,FALSE),0)</f>
        <v>0</v>
      </c>
      <c r="E38" s="245">
        <f t="shared" si="0"/>
        <v>0</v>
      </c>
      <c r="F38" s="244">
        <f>E38*(1+0.07)^-($B38-Assumptions!$D$7)</f>
        <v>0</v>
      </c>
      <c r="G38" s="227"/>
      <c r="H38" s="227"/>
      <c r="I38" s="227"/>
      <c r="J38" s="227"/>
      <c r="K38" s="227"/>
      <c r="L38" s="227"/>
      <c r="M38" s="227"/>
      <c r="N38" s="227"/>
    </row>
    <row r="39" spans="1:20" ht="15.75" customHeight="1" x14ac:dyDescent="0.25">
      <c r="B39" s="153">
        <f t="shared" si="2"/>
        <v>2057</v>
      </c>
      <c r="C39" s="243">
        <f>IF(B39&lt;=Assumptions!$D$10,VLOOKUP(B39,$O$5:$Q$27,3,FALSE),0)</f>
        <v>0</v>
      </c>
      <c r="D39" s="244">
        <f>IF(B39&lt;=Assumptions!$D$10,VLOOKUP(B39,$S$5:$U$27,3,FALSE),0)</f>
        <v>0</v>
      </c>
      <c r="E39" s="245">
        <f t="shared" si="0"/>
        <v>0</v>
      </c>
      <c r="F39" s="244">
        <f>E39*(1+0.07)^-($B39-Assumptions!$D$7)</f>
        <v>0</v>
      </c>
      <c r="G39" s="227"/>
      <c r="H39" s="227"/>
      <c r="I39" s="227"/>
      <c r="J39" s="227"/>
      <c r="K39" s="227"/>
      <c r="L39" s="227"/>
      <c r="M39" s="227"/>
      <c r="N39" s="227"/>
    </row>
    <row r="40" spans="1:20" ht="15.75" customHeight="1" thickBot="1" x14ac:dyDescent="0.3">
      <c r="B40" s="154">
        <f t="shared" si="2"/>
        <v>2058</v>
      </c>
      <c r="C40" s="246">
        <f>IF(B40&lt;=Assumptions!$D$10,VLOOKUP(B40,$O$5:$Q$27,3,FALSE),0)</f>
        <v>0</v>
      </c>
      <c r="D40" s="247">
        <f>IF(B40&lt;=Assumptions!$D$10,VLOOKUP(B40,$S$5:$U$27,3,FALSE),0)</f>
        <v>0</v>
      </c>
      <c r="E40" s="248">
        <f t="shared" si="0"/>
        <v>0</v>
      </c>
      <c r="F40" s="247">
        <f>E40*(1+0.07)^-($B40-Assumptions!$D$7)</f>
        <v>0</v>
      </c>
      <c r="G40" s="227"/>
      <c r="H40" s="227"/>
      <c r="I40" s="227"/>
      <c r="J40" s="227"/>
      <c r="K40" s="227"/>
      <c r="L40" s="227"/>
      <c r="M40" s="227"/>
      <c r="N40" s="227"/>
    </row>
    <row r="41" spans="1:20" ht="15.75" customHeight="1" x14ac:dyDescent="0.25">
      <c r="E41" s="177" t="s">
        <v>2</v>
      </c>
      <c r="F41" s="249">
        <f>SUM(F5:F40)</f>
        <v>169236.064772043</v>
      </c>
      <c r="G41" s="227"/>
      <c r="H41" s="227"/>
      <c r="I41" s="227"/>
      <c r="J41" s="227"/>
      <c r="K41" s="227"/>
      <c r="L41" s="227"/>
      <c r="M41" s="227"/>
      <c r="N41" s="227"/>
    </row>
    <row r="42" spans="1:20" ht="15.75" customHeight="1" x14ac:dyDescent="0.25">
      <c r="B42" s="51"/>
      <c r="C42" s="228"/>
      <c r="D42" s="228"/>
      <c r="E42" s="228"/>
      <c r="F42" s="228"/>
      <c r="G42" s="236"/>
      <c r="H42" s="236"/>
      <c r="I42" s="236"/>
      <c r="J42" s="236"/>
      <c r="K42" s="236"/>
      <c r="L42" s="236"/>
      <c r="M42" s="236"/>
      <c r="N42" s="236"/>
    </row>
    <row r="43" spans="1:20" ht="15.75" customHeight="1" x14ac:dyDescent="0.25">
      <c r="B43" s="8"/>
      <c r="C43" s="8"/>
      <c r="D43" s="8"/>
      <c r="E43" s="8"/>
    </row>
    <row r="44" spans="1:20" ht="15.75" customHeight="1" x14ac:dyDescent="0.25">
      <c r="B44" s="1" t="s">
        <v>3</v>
      </c>
    </row>
    <row r="45" spans="1:20" ht="15.75" customHeight="1" x14ac:dyDescent="0.25">
      <c r="A45" s="2" t="s">
        <v>19</v>
      </c>
      <c r="B45" s="388" t="s">
        <v>805</v>
      </c>
      <c r="C45" s="388"/>
      <c r="D45" s="388"/>
      <c r="E45" s="388"/>
      <c r="F45" s="388"/>
      <c r="G45" s="43"/>
      <c r="H45" s="43"/>
      <c r="I45" s="43"/>
      <c r="J45" s="43"/>
      <c r="K45" s="43"/>
      <c r="L45" s="43"/>
      <c r="M45" s="43"/>
      <c r="N45" s="43"/>
    </row>
    <row r="46" spans="1:20" x14ac:dyDescent="0.25">
      <c r="B46" s="388"/>
      <c r="C46" s="388"/>
      <c r="D46" s="388"/>
      <c r="E46" s="388"/>
      <c r="F46" s="388"/>
      <c r="G46" s="43"/>
      <c r="H46" s="43"/>
      <c r="I46" s="43"/>
      <c r="J46" s="43"/>
      <c r="K46" s="43"/>
      <c r="L46" s="43"/>
      <c r="M46" s="43"/>
      <c r="N46" s="43"/>
    </row>
    <row r="47" spans="1:20" x14ac:dyDescent="0.25">
      <c r="B47" s="388"/>
      <c r="C47" s="388"/>
      <c r="D47" s="388"/>
      <c r="E47" s="388"/>
      <c r="F47" s="388"/>
      <c r="G47" s="43"/>
      <c r="H47" s="43"/>
      <c r="I47" s="43"/>
      <c r="J47" s="43"/>
      <c r="K47" s="43"/>
      <c r="L47" s="43"/>
      <c r="M47" s="43"/>
      <c r="N47" s="43"/>
    </row>
    <row r="48" spans="1:20" x14ac:dyDescent="0.25">
      <c r="A48" s="2" t="s">
        <v>25</v>
      </c>
      <c r="B48" s="388" t="s">
        <v>755</v>
      </c>
      <c r="C48" s="388"/>
      <c r="D48" s="388"/>
      <c r="E48" s="388"/>
      <c r="F48" s="388"/>
    </row>
    <row r="49" spans="1:6" x14ac:dyDescent="0.25">
      <c r="B49" s="388"/>
      <c r="C49" s="388"/>
      <c r="D49" s="388"/>
      <c r="E49" s="388"/>
      <c r="F49" s="388"/>
    </row>
    <row r="50" spans="1:6" x14ac:dyDescent="0.25">
      <c r="B50" s="388"/>
      <c r="C50" s="388"/>
      <c r="D50" s="388"/>
      <c r="E50" s="388"/>
      <c r="F50" s="388"/>
    </row>
    <row r="51" spans="1:6" x14ac:dyDescent="0.25">
      <c r="B51" s="388"/>
      <c r="C51" s="388"/>
      <c r="D51" s="388"/>
      <c r="E51" s="388"/>
      <c r="F51" s="388"/>
    </row>
    <row r="52" spans="1:6" x14ac:dyDescent="0.25">
      <c r="A52" s="2"/>
      <c r="B52" s="388"/>
      <c r="C52" s="388"/>
      <c r="D52" s="388"/>
      <c r="E52" s="388"/>
      <c r="F52" s="388"/>
    </row>
    <row r="53" spans="1:6" ht="15" customHeight="1" x14ac:dyDescent="0.25">
      <c r="B53" s="388"/>
      <c r="C53" s="388"/>
      <c r="D53" s="388"/>
      <c r="E53" s="388"/>
      <c r="F53" s="388"/>
    </row>
    <row r="54" spans="1:6" x14ac:dyDescent="0.25">
      <c r="B54" s="56"/>
      <c r="C54" s="56"/>
      <c r="D54" s="56"/>
      <c r="E54" s="56"/>
      <c r="F54" s="56"/>
    </row>
    <row r="55" spans="1:6" ht="15" customHeight="1" x14ac:dyDescent="0.25">
      <c r="A55" s="2" t="s">
        <v>26</v>
      </c>
      <c r="B55" s="388" t="s">
        <v>756</v>
      </c>
      <c r="C55" s="388"/>
      <c r="D55" s="388"/>
      <c r="E55" s="388"/>
      <c r="F55" s="388"/>
    </row>
    <row r="56" spans="1:6" x14ac:dyDescent="0.25">
      <c r="B56" s="388"/>
      <c r="C56" s="388"/>
      <c r="D56" s="388"/>
      <c r="E56" s="388"/>
      <c r="F56" s="388"/>
    </row>
    <row r="57" spans="1:6" x14ac:dyDescent="0.25">
      <c r="B57" s="388"/>
      <c r="C57" s="388"/>
      <c r="D57" s="388"/>
      <c r="E57" s="388"/>
      <c r="F57" s="388"/>
    </row>
    <row r="58" spans="1:6" x14ac:dyDescent="0.25">
      <c r="B58" s="388"/>
      <c r="C58" s="388"/>
      <c r="D58" s="388"/>
      <c r="E58" s="388"/>
      <c r="F58" s="388"/>
    </row>
    <row r="59" spans="1:6" x14ac:dyDescent="0.25">
      <c r="A59" s="2"/>
      <c r="B59" s="388"/>
      <c r="C59" s="388"/>
      <c r="D59" s="388"/>
      <c r="E59" s="388"/>
      <c r="F59" s="388"/>
    </row>
    <row r="60" spans="1:6" x14ac:dyDescent="0.25">
      <c r="B60" s="388"/>
      <c r="C60" s="388"/>
      <c r="D60" s="388"/>
      <c r="E60" s="388"/>
      <c r="F60" s="388"/>
    </row>
  </sheetData>
  <mergeCells count="8">
    <mergeCell ref="B45:F47"/>
    <mergeCell ref="B48:F53"/>
    <mergeCell ref="B55:F60"/>
    <mergeCell ref="B3:B4"/>
    <mergeCell ref="C3:C4"/>
    <mergeCell ref="D3:D4"/>
    <mergeCell ref="E3:E4"/>
    <mergeCell ref="F3:F4"/>
  </mergeCells>
  <pageMargins left="0.25" right="0.25" top="0.75" bottom="0.75" header="0.3" footer="0.3"/>
  <pageSetup paperSize="3" scale="39"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309C5-288A-4113-99B8-A648E497D2B8}">
  <sheetPr>
    <tabColor theme="0" tint="-0.14999847407452621"/>
    <pageSetUpPr fitToPage="1"/>
  </sheetPr>
  <dimension ref="C4:R56"/>
  <sheetViews>
    <sheetView view="pageBreakPreview" zoomScale="60" zoomScaleNormal="40" workbookViewId="0">
      <selection activeCell="R17" sqref="R17"/>
    </sheetView>
  </sheetViews>
  <sheetFormatPr defaultRowHeight="15" x14ac:dyDescent="0.25"/>
  <cols>
    <col min="3" max="3" width="12.85546875" customWidth="1"/>
    <col min="4" max="5" width="12.42578125" customWidth="1"/>
    <col min="7" max="7" width="18" bestFit="1" customWidth="1"/>
    <col min="11" max="11" width="18" bestFit="1" customWidth="1"/>
    <col min="16" max="16" width="12.42578125" bestFit="1" customWidth="1"/>
    <col min="17" max="17" width="6.140625" bestFit="1" customWidth="1"/>
    <col min="18" max="18" width="8.28515625" bestFit="1" customWidth="1"/>
    <col min="19" max="19" width="8.42578125" bestFit="1" customWidth="1"/>
  </cols>
  <sheetData>
    <row r="4" spans="3:18" x14ac:dyDescent="0.25">
      <c r="C4" s="160" t="s">
        <v>279</v>
      </c>
    </row>
    <row r="5" spans="3:18" x14ac:dyDescent="0.25">
      <c r="C5" s="1"/>
    </row>
    <row r="6" spans="3:18" x14ac:dyDescent="0.25">
      <c r="C6" s="415" t="s">
        <v>278</v>
      </c>
      <c r="D6" s="415"/>
      <c r="E6" s="415"/>
      <c r="F6" s="415"/>
      <c r="G6" s="415"/>
      <c r="H6" s="415"/>
      <c r="I6" s="415"/>
      <c r="J6" s="415"/>
      <c r="K6" s="415"/>
      <c r="L6" s="415"/>
      <c r="M6" s="415"/>
      <c r="N6" s="415"/>
      <c r="O6" s="415"/>
      <c r="P6" s="415"/>
      <c r="Q6" s="415"/>
      <c r="R6" s="415"/>
    </row>
    <row r="7" spans="3:18" x14ac:dyDescent="0.25">
      <c r="C7" s="415"/>
      <c r="D7" s="415"/>
      <c r="E7" s="415"/>
      <c r="F7" s="415"/>
      <c r="G7" s="415"/>
      <c r="H7" s="415"/>
      <c r="I7" s="415"/>
      <c r="J7" s="415"/>
      <c r="K7" s="415"/>
      <c r="L7" s="415"/>
      <c r="M7" s="415"/>
      <c r="N7" s="415"/>
      <c r="O7" s="415"/>
      <c r="P7" s="415"/>
      <c r="Q7" s="415"/>
      <c r="R7" s="415"/>
    </row>
    <row r="8" spans="3:18" x14ac:dyDescent="0.25">
      <c r="C8" s="415"/>
      <c r="D8" s="415"/>
      <c r="E8" s="415"/>
      <c r="F8" s="415"/>
      <c r="G8" s="415"/>
      <c r="H8" s="415"/>
      <c r="I8" s="415"/>
      <c r="J8" s="415"/>
      <c r="K8" s="415"/>
      <c r="L8" s="415"/>
      <c r="M8" s="415"/>
      <c r="N8" s="415"/>
      <c r="O8" s="415"/>
      <c r="P8" s="415"/>
      <c r="Q8" s="415"/>
      <c r="R8" s="415"/>
    </row>
    <row r="9" spans="3:18" x14ac:dyDescent="0.25">
      <c r="C9" s="1"/>
    </row>
    <row r="10" spans="3:18" x14ac:dyDescent="0.25">
      <c r="C10" s="1" t="s">
        <v>281</v>
      </c>
    </row>
    <row r="11" spans="3:18" x14ac:dyDescent="0.25">
      <c r="C11" s="25" t="s">
        <v>143</v>
      </c>
      <c r="D11" s="26" t="s">
        <v>272</v>
      </c>
      <c r="E11" s="26" t="s">
        <v>273</v>
      </c>
    </row>
    <row r="12" spans="3:18" x14ac:dyDescent="0.25">
      <c r="C12" s="25" t="s">
        <v>261</v>
      </c>
      <c r="D12" s="89">
        <f>ROUND($D$55/SUM($D$55,$D$17),2)</f>
        <v>0.35</v>
      </c>
      <c r="E12" s="89">
        <f>ROUND($D$17/SUM($D$55,$D$17),2)</f>
        <v>0.65</v>
      </c>
    </row>
    <row r="14" spans="3:18" x14ac:dyDescent="0.25">
      <c r="D14" s="159"/>
      <c r="E14" s="159"/>
    </row>
    <row r="15" spans="3:18" ht="15.75" customHeight="1" x14ac:dyDescent="0.25">
      <c r="C15" s="1" t="s">
        <v>280</v>
      </c>
    </row>
    <row r="16" spans="3:18" x14ac:dyDescent="0.25">
      <c r="C16" s="471" t="s">
        <v>273</v>
      </c>
      <c r="D16" s="471"/>
    </row>
    <row r="17" spans="3:4" x14ac:dyDescent="0.25">
      <c r="C17" s="25" t="s">
        <v>173</v>
      </c>
      <c r="D17" s="26">
        <v>350</v>
      </c>
    </row>
    <row r="18" spans="3:4" x14ac:dyDescent="0.25">
      <c r="C18" t="s">
        <v>172</v>
      </c>
      <c r="D18" s="88" t="s">
        <v>171</v>
      </c>
    </row>
    <row r="53" spans="3:4" x14ac:dyDescent="0.25">
      <c r="C53" s="1" t="s">
        <v>280</v>
      </c>
    </row>
    <row r="54" spans="3:4" x14ac:dyDescent="0.25">
      <c r="C54" s="471" t="s">
        <v>282</v>
      </c>
      <c r="D54" s="471"/>
    </row>
    <row r="55" spans="3:4" x14ac:dyDescent="0.25">
      <c r="C55" s="25" t="s">
        <v>173</v>
      </c>
      <c r="D55" s="25">
        <v>190</v>
      </c>
    </row>
    <row r="56" spans="3:4" x14ac:dyDescent="0.25">
      <c r="C56" t="s">
        <v>172</v>
      </c>
      <c r="D56" s="88" t="s">
        <v>171</v>
      </c>
    </row>
  </sheetData>
  <mergeCells count="3">
    <mergeCell ref="C54:D54"/>
    <mergeCell ref="C16:D16"/>
    <mergeCell ref="C6:R8"/>
  </mergeCells>
  <hyperlinks>
    <hyperlink ref="D18" r:id="rId1" xr:uid="{0BC94102-3281-43DD-A185-22188E9463B6}"/>
    <hyperlink ref="D56" r:id="rId2" xr:uid="{378C937B-1980-4D3D-840B-9E0CC4AC780B}"/>
  </hyperlinks>
  <pageMargins left="0.7" right="0.7" top="0.75" bottom="0.75" header="0.3" footer="0.3"/>
  <pageSetup scale="47" orientation="portrait" r:id="rId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101C3B-CB0E-43F1-9933-44C5246FF6A1}">
  <sheetPr>
    <tabColor theme="0" tint="-0.14999847407452621"/>
    <pageSetUpPr fitToPage="1"/>
  </sheetPr>
  <dimension ref="C3:R13"/>
  <sheetViews>
    <sheetView view="pageBreakPreview" zoomScale="60" zoomScaleNormal="40" workbookViewId="0">
      <selection activeCell="A13" sqref="A13"/>
    </sheetView>
  </sheetViews>
  <sheetFormatPr defaultRowHeight="15" x14ac:dyDescent="0.25"/>
  <sheetData>
    <row r="3" spans="3:18" x14ac:dyDescent="0.25">
      <c r="C3" s="160" t="s">
        <v>283</v>
      </c>
    </row>
    <row r="4" spans="3:18" x14ac:dyDescent="0.25">
      <c r="C4" s="1"/>
    </row>
    <row r="5" spans="3:18" ht="15" customHeight="1" x14ac:dyDescent="0.25">
      <c r="C5" s="415" t="s">
        <v>806</v>
      </c>
      <c r="D5" s="415"/>
      <c r="E5" s="415"/>
      <c r="F5" s="415"/>
      <c r="G5" s="415"/>
      <c r="H5" s="415"/>
      <c r="I5" s="415"/>
      <c r="J5" s="415"/>
      <c r="K5" s="415"/>
      <c r="L5" s="8"/>
      <c r="M5" s="8"/>
      <c r="N5" s="8"/>
      <c r="O5" s="8"/>
      <c r="P5" s="8"/>
      <c r="Q5" s="8"/>
      <c r="R5" s="8"/>
    </row>
    <row r="6" spans="3:18" x14ac:dyDescent="0.25">
      <c r="C6" s="415"/>
      <c r="D6" s="415"/>
      <c r="E6" s="415"/>
      <c r="F6" s="415"/>
      <c r="G6" s="415"/>
      <c r="H6" s="415"/>
      <c r="I6" s="415"/>
      <c r="J6" s="415"/>
      <c r="K6" s="415"/>
      <c r="L6" s="8"/>
      <c r="M6" s="8"/>
      <c r="N6" s="8"/>
      <c r="O6" s="8"/>
      <c r="P6" s="8"/>
      <c r="Q6" s="8"/>
      <c r="R6" s="8"/>
    </row>
    <row r="7" spans="3:18" x14ac:dyDescent="0.25">
      <c r="C7" s="415"/>
      <c r="D7" s="415"/>
      <c r="E7" s="415"/>
      <c r="F7" s="415"/>
      <c r="G7" s="415"/>
      <c r="H7" s="415"/>
      <c r="I7" s="415"/>
      <c r="J7" s="415"/>
      <c r="K7" s="415"/>
      <c r="L7" s="8"/>
      <c r="M7" s="8"/>
      <c r="N7" s="8"/>
      <c r="O7" s="8"/>
      <c r="P7" s="8"/>
      <c r="Q7" s="8"/>
      <c r="R7" s="8"/>
    </row>
    <row r="9" spans="3:18" x14ac:dyDescent="0.25">
      <c r="C9" s="1" t="s">
        <v>281</v>
      </c>
    </row>
    <row r="10" spans="3:18" x14ac:dyDescent="0.25">
      <c r="C10" s="26" t="s">
        <v>33</v>
      </c>
      <c r="D10" s="26" t="s">
        <v>53</v>
      </c>
    </row>
    <row r="11" spans="3:18" x14ac:dyDescent="0.25">
      <c r="C11" s="26">
        <v>2022</v>
      </c>
      <c r="D11" s="26">
        <v>205</v>
      </c>
    </row>
    <row r="12" spans="3:18" x14ac:dyDescent="0.25">
      <c r="C12" t="s">
        <v>212</v>
      </c>
    </row>
    <row r="13" spans="3:18" x14ac:dyDescent="0.25">
      <c r="C13" t="s">
        <v>172</v>
      </c>
      <c r="D13" s="88" t="s">
        <v>171</v>
      </c>
    </row>
  </sheetData>
  <mergeCells count="1">
    <mergeCell ref="C5:K7"/>
  </mergeCells>
  <hyperlinks>
    <hyperlink ref="D13" r:id="rId1" xr:uid="{B6810D35-31BB-480D-A63C-F109ED79182B}"/>
  </hyperlinks>
  <pageMargins left="0.7" right="0.7" top="0.75" bottom="0.75" header="0.3" footer="0.3"/>
  <pageSetup scale="32" orientation="portrait" r:id="rId2"/>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206769-C25D-4A77-AA25-29F4375161B3}">
  <sheetPr>
    <tabColor theme="0" tint="-0.14999847407452621"/>
    <pageSetUpPr fitToPage="1"/>
  </sheetPr>
  <dimension ref="B3:R87"/>
  <sheetViews>
    <sheetView view="pageBreakPreview" zoomScale="60" zoomScaleNormal="85" workbookViewId="0">
      <selection activeCell="P19" sqref="P19"/>
    </sheetView>
  </sheetViews>
  <sheetFormatPr defaultRowHeight="15" x14ac:dyDescent="0.25"/>
  <cols>
    <col min="3" max="3" width="21.7109375" customWidth="1"/>
    <col min="4" max="4" width="14.85546875" customWidth="1"/>
    <col min="15" max="15" width="10.85546875" bestFit="1" customWidth="1"/>
    <col min="16" max="16" width="27.28515625" customWidth="1"/>
    <col min="17" max="17" width="11" bestFit="1" customWidth="1"/>
    <col min="18" max="18" width="11.5703125" bestFit="1" customWidth="1"/>
  </cols>
  <sheetData>
    <row r="3" spans="2:13" x14ac:dyDescent="0.25">
      <c r="B3" s="1" t="s">
        <v>224</v>
      </c>
    </row>
    <row r="6" spans="2:13" x14ac:dyDescent="0.25">
      <c r="B6" s="415" t="s">
        <v>223</v>
      </c>
      <c r="C6" s="415"/>
      <c r="D6" s="415"/>
      <c r="E6" s="415"/>
      <c r="F6" s="415"/>
      <c r="G6" s="415"/>
      <c r="H6" s="415"/>
      <c r="I6" s="415"/>
      <c r="J6" s="415"/>
      <c r="K6" s="415"/>
      <c r="L6" s="415"/>
      <c r="M6" s="415"/>
    </row>
    <row r="7" spans="2:13" x14ac:dyDescent="0.25">
      <c r="B7" s="415"/>
      <c r="C7" s="415"/>
      <c r="D7" s="415"/>
      <c r="E7" s="415"/>
      <c r="F7" s="415"/>
      <c r="G7" s="415"/>
      <c r="H7" s="415"/>
      <c r="I7" s="415"/>
      <c r="J7" s="415"/>
      <c r="K7" s="415"/>
      <c r="L7" s="415"/>
      <c r="M7" s="415"/>
    </row>
    <row r="8" spans="2:13" x14ac:dyDescent="0.25">
      <c r="B8" s="415"/>
      <c r="C8" s="415"/>
      <c r="D8" s="415"/>
      <c r="E8" s="415"/>
      <c r="F8" s="415"/>
      <c r="G8" s="415"/>
      <c r="H8" s="415"/>
      <c r="I8" s="415"/>
      <c r="J8" s="415"/>
      <c r="K8" s="415"/>
      <c r="L8" s="415"/>
      <c r="M8" s="415"/>
    </row>
    <row r="9" spans="2:13" x14ac:dyDescent="0.25">
      <c r="B9" s="415"/>
      <c r="C9" s="415"/>
      <c r="D9" s="415"/>
      <c r="E9" s="415"/>
      <c r="F9" s="415"/>
      <c r="G9" s="415"/>
      <c r="H9" s="415"/>
      <c r="I9" s="415"/>
      <c r="J9" s="415"/>
      <c r="K9" s="415"/>
      <c r="L9" s="415"/>
      <c r="M9" s="415"/>
    </row>
    <row r="39" spans="2:18" x14ac:dyDescent="0.25">
      <c r="B39" s="476" t="s">
        <v>193</v>
      </c>
      <c r="C39" s="476" t="s">
        <v>194</v>
      </c>
      <c r="D39" s="479" t="s">
        <v>195</v>
      </c>
      <c r="E39" s="471" t="s">
        <v>196</v>
      </c>
      <c r="F39" s="471"/>
      <c r="G39" s="471"/>
      <c r="H39" s="471"/>
      <c r="I39" s="471"/>
      <c r="K39" s="471" t="s">
        <v>197</v>
      </c>
      <c r="L39" s="471"/>
      <c r="M39" s="471"/>
      <c r="N39" s="471"/>
      <c r="O39" s="471"/>
      <c r="P39" s="115" t="s">
        <v>198</v>
      </c>
      <c r="Q39" s="472" t="s">
        <v>199</v>
      </c>
      <c r="R39" s="472"/>
    </row>
    <row r="40" spans="2:18" x14ac:dyDescent="0.25">
      <c r="B40" s="477"/>
      <c r="C40" s="477"/>
      <c r="D40" s="480"/>
      <c r="E40" s="471" t="s">
        <v>200</v>
      </c>
      <c r="F40" s="471"/>
      <c r="G40" s="471"/>
      <c r="H40" s="471"/>
      <c r="I40" s="471"/>
      <c r="K40" s="471" t="s">
        <v>200</v>
      </c>
      <c r="L40" s="471"/>
      <c r="M40" s="471"/>
      <c r="N40" s="471"/>
      <c r="O40" s="471"/>
      <c r="P40" s="26" t="s">
        <v>201</v>
      </c>
      <c r="Q40" s="26" t="s">
        <v>201</v>
      </c>
      <c r="R40" s="26" t="s">
        <v>202</v>
      </c>
    </row>
    <row r="41" spans="2:18" x14ac:dyDescent="0.25">
      <c r="B41" s="478"/>
      <c r="C41" s="478"/>
      <c r="D41" s="481"/>
      <c r="E41" s="64">
        <v>2</v>
      </c>
      <c r="F41" s="64">
        <v>3</v>
      </c>
      <c r="G41" s="64">
        <v>4</v>
      </c>
      <c r="H41" s="64">
        <v>5</v>
      </c>
      <c r="I41" s="64">
        <v>6</v>
      </c>
      <c r="K41" s="64">
        <v>2</v>
      </c>
      <c r="L41" s="64">
        <v>3</v>
      </c>
      <c r="M41" s="64">
        <v>4</v>
      </c>
      <c r="N41" s="64">
        <v>5</v>
      </c>
      <c r="O41" s="64">
        <v>6</v>
      </c>
      <c r="P41" s="26">
        <v>6</v>
      </c>
      <c r="Q41" s="26"/>
      <c r="R41" s="26"/>
    </row>
    <row r="42" spans="2:18" x14ac:dyDescent="0.25">
      <c r="B42" s="473">
        <v>55</v>
      </c>
      <c r="C42" s="25" t="s">
        <v>203</v>
      </c>
      <c r="D42" s="25">
        <v>16.8</v>
      </c>
      <c r="E42" s="25">
        <v>1.02</v>
      </c>
      <c r="F42" s="25">
        <v>1.04</v>
      </c>
      <c r="G42" s="25">
        <v>1.08</v>
      </c>
      <c r="H42" s="25">
        <v>1.1499999999999999</v>
      </c>
      <c r="I42" s="25">
        <v>1.22</v>
      </c>
      <c r="K42" s="79">
        <f t="shared" ref="K42:O48" si="0">$D42*E42</f>
        <v>17.136000000000003</v>
      </c>
      <c r="L42" s="79">
        <f t="shared" si="0"/>
        <v>17.472000000000001</v>
      </c>
      <c r="M42" s="79">
        <f t="shared" si="0"/>
        <v>18.144000000000002</v>
      </c>
      <c r="N42" s="79">
        <f t="shared" si="0"/>
        <v>19.32</v>
      </c>
      <c r="O42" s="116">
        <f t="shared" si="0"/>
        <v>20.495999999999999</v>
      </c>
      <c r="P42" s="117">
        <f t="shared" ref="P42:P48" si="1">O42</f>
        <v>20.495999999999999</v>
      </c>
      <c r="Q42" s="117">
        <f t="shared" ref="Q42:Q48" si="2">P42-D42</f>
        <v>3.695999999999998</v>
      </c>
      <c r="R42" s="118">
        <f t="shared" ref="R42:R48" si="3">Q42/100</f>
        <v>3.6959999999999979E-2</v>
      </c>
    </row>
    <row r="43" spans="2:18" x14ac:dyDescent="0.25">
      <c r="B43" s="474"/>
      <c r="C43" s="25" t="s">
        <v>204</v>
      </c>
      <c r="D43" s="25">
        <v>20.2</v>
      </c>
      <c r="E43" s="25">
        <v>1.01</v>
      </c>
      <c r="F43" s="25">
        <v>1.01</v>
      </c>
      <c r="G43" s="25">
        <v>1.05</v>
      </c>
      <c r="H43" s="25">
        <v>1.1100000000000001</v>
      </c>
      <c r="I43" s="25">
        <v>1.17</v>
      </c>
      <c r="K43" s="79">
        <f t="shared" si="0"/>
        <v>20.402000000000001</v>
      </c>
      <c r="L43" s="79">
        <f t="shared" si="0"/>
        <v>20.402000000000001</v>
      </c>
      <c r="M43" s="79">
        <f t="shared" si="0"/>
        <v>21.21</v>
      </c>
      <c r="N43" s="79">
        <f t="shared" si="0"/>
        <v>22.422000000000001</v>
      </c>
      <c r="O43" s="116">
        <f t="shared" si="0"/>
        <v>23.633999999999997</v>
      </c>
      <c r="P43" s="117">
        <f t="shared" si="1"/>
        <v>23.633999999999997</v>
      </c>
      <c r="Q43" s="117">
        <f t="shared" si="2"/>
        <v>3.4339999999999975</v>
      </c>
      <c r="R43" s="118">
        <f t="shared" si="3"/>
        <v>3.4339999999999975E-2</v>
      </c>
    </row>
    <row r="44" spans="2:18" x14ac:dyDescent="0.25">
      <c r="B44" s="474"/>
      <c r="C44" s="25" t="s">
        <v>205</v>
      </c>
      <c r="D44" s="25">
        <v>20.8</v>
      </c>
      <c r="E44" s="25">
        <v>1.02</v>
      </c>
      <c r="F44" s="25">
        <v>1.03</v>
      </c>
      <c r="G44" s="25">
        <v>1.0900000000000001</v>
      </c>
      <c r="H44" s="25">
        <v>1.2</v>
      </c>
      <c r="I44" s="25">
        <v>1.32</v>
      </c>
      <c r="K44" s="79">
        <f t="shared" si="0"/>
        <v>21.216000000000001</v>
      </c>
      <c r="L44" s="79">
        <f t="shared" si="0"/>
        <v>21.424000000000003</v>
      </c>
      <c r="M44" s="79">
        <f t="shared" si="0"/>
        <v>22.672000000000004</v>
      </c>
      <c r="N44" s="79">
        <f t="shared" si="0"/>
        <v>24.96</v>
      </c>
      <c r="O44" s="116">
        <f t="shared" si="0"/>
        <v>27.456000000000003</v>
      </c>
      <c r="P44" s="117">
        <f t="shared" si="1"/>
        <v>27.456000000000003</v>
      </c>
      <c r="Q44" s="117">
        <f t="shared" si="2"/>
        <v>6.6560000000000024</v>
      </c>
      <c r="R44" s="118">
        <f t="shared" si="3"/>
        <v>6.6560000000000022E-2</v>
      </c>
    </row>
    <row r="45" spans="2:18" x14ac:dyDescent="0.25">
      <c r="B45" s="474"/>
      <c r="C45" s="25" t="s">
        <v>206</v>
      </c>
      <c r="D45" s="25">
        <v>34.6</v>
      </c>
      <c r="E45" s="25">
        <v>1.01</v>
      </c>
      <c r="F45" s="25">
        <v>1.02</v>
      </c>
      <c r="G45" s="25">
        <v>1.05</v>
      </c>
      <c r="H45" s="25">
        <v>1.1200000000000001</v>
      </c>
      <c r="I45" s="25">
        <v>1.2</v>
      </c>
      <c r="K45" s="79">
        <f t="shared" si="0"/>
        <v>34.946000000000005</v>
      </c>
      <c r="L45" s="79">
        <f t="shared" si="0"/>
        <v>35.292000000000002</v>
      </c>
      <c r="M45" s="79">
        <f t="shared" si="0"/>
        <v>36.330000000000005</v>
      </c>
      <c r="N45" s="79">
        <f t="shared" si="0"/>
        <v>38.752000000000002</v>
      </c>
      <c r="O45" s="116">
        <f t="shared" si="0"/>
        <v>41.52</v>
      </c>
      <c r="P45" s="117">
        <f t="shared" si="1"/>
        <v>41.52</v>
      </c>
      <c r="Q45" s="117">
        <f t="shared" si="2"/>
        <v>6.9200000000000017</v>
      </c>
      <c r="R45" s="118">
        <f t="shared" si="3"/>
        <v>6.9200000000000012E-2</v>
      </c>
    </row>
    <row r="46" spans="2:18" ht="15.75" thickBot="1" x14ac:dyDescent="0.3">
      <c r="B46" s="475"/>
      <c r="C46" s="119" t="s">
        <v>207</v>
      </c>
      <c r="D46" s="119">
        <v>90.7</v>
      </c>
      <c r="E46" s="119">
        <v>1.01</v>
      </c>
      <c r="F46" s="119">
        <v>1.02</v>
      </c>
      <c r="G46" s="119">
        <v>1.05</v>
      </c>
      <c r="H46" s="119">
        <v>1.1000000000000001</v>
      </c>
      <c r="I46" s="119">
        <v>1.1499999999999999</v>
      </c>
      <c r="K46" s="120">
        <f t="shared" si="0"/>
        <v>91.606999999999999</v>
      </c>
      <c r="L46" s="120">
        <f t="shared" si="0"/>
        <v>92.51400000000001</v>
      </c>
      <c r="M46" s="120">
        <f t="shared" si="0"/>
        <v>95.235000000000014</v>
      </c>
      <c r="N46" s="120">
        <f t="shared" si="0"/>
        <v>99.77000000000001</v>
      </c>
      <c r="O46" s="121">
        <f t="shared" si="0"/>
        <v>104.30499999999999</v>
      </c>
      <c r="P46" s="117">
        <f t="shared" si="1"/>
        <v>104.30499999999999</v>
      </c>
      <c r="Q46" s="122">
        <f t="shared" si="2"/>
        <v>13.60499999999999</v>
      </c>
      <c r="R46" s="123">
        <f t="shared" si="3"/>
        <v>0.13604999999999989</v>
      </c>
    </row>
    <row r="47" spans="2:18" x14ac:dyDescent="0.25">
      <c r="B47" s="124"/>
      <c r="C47" s="125" t="s">
        <v>208</v>
      </c>
      <c r="D47" s="143">
        <f>Assumptions!$D$23*100</f>
        <v>46</v>
      </c>
      <c r="E47" s="141">
        <f>AVERAGE(E42:E44)</f>
        <v>1.0166666666666668</v>
      </c>
      <c r="F47" s="141">
        <f>AVERAGE(F42:F44)</f>
        <v>1.0266666666666666</v>
      </c>
      <c r="G47" s="141">
        <f>AVERAGE(G42:G44)</f>
        <v>1.0733333333333333</v>
      </c>
      <c r="H47" s="141">
        <f>AVERAGE(H42:H44)</f>
        <v>1.1533333333333333</v>
      </c>
      <c r="I47" s="141">
        <f>AVERAGE(I42:I44)</f>
        <v>1.2366666666666666</v>
      </c>
      <c r="J47" s="126"/>
      <c r="K47" s="127">
        <f t="shared" si="0"/>
        <v>46.766666666666673</v>
      </c>
      <c r="L47" s="127">
        <f t="shared" si="0"/>
        <v>47.226666666666667</v>
      </c>
      <c r="M47" s="127">
        <f t="shared" si="0"/>
        <v>49.373333333333328</v>
      </c>
      <c r="N47" s="127">
        <f t="shared" si="0"/>
        <v>53.053333333333335</v>
      </c>
      <c r="O47" s="128">
        <f t="shared" si="0"/>
        <v>56.886666666666663</v>
      </c>
      <c r="P47" s="129">
        <f t="shared" si="1"/>
        <v>56.886666666666663</v>
      </c>
      <c r="Q47" s="129">
        <f t="shared" si="2"/>
        <v>10.886666666666663</v>
      </c>
      <c r="R47" s="130">
        <f t="shared" si="3"/>
        <v>0.10886666666666663</v>
      </c>
    </row>
    <row r="48" spans="2:18" ht="15.75" thickBot="1" x14ac:dyDescent="0.3">
      <c r="B48" s="124"/>
      <c r="C48" s="131" t="s">
        <v>209</v>
      </c>
      <c r="D48" s="144">
        <f>Assumptions!$D$24*100</f>
        <v>101</v>
      </c>
      <c r="E48" s="142">
        <f>AVERAGE(E45:E46)</f>
        <v>1.01</v>
      </c>
      <c r="F48" s="142">
        <f>AVERAGE(F45:F46)</f>
        <v>1.02</v>
      </c>
      <c r="G48" s="142">
        <f>AVERAGE(G45:G46)</f>
        <v>1.05</v>
      </c>
      <c r="H48" s="142">
        <f>AVERAGE(H45:H46)</f>
        <v>1.1100000000000001</v>
      </c>
      <c r="I48" s="142">
        <f>AVERAGE(I45:I46)</f>
        <v>1.1749999999999998</v>
      </c>
      <c r="J48" s="132"/>
      <c r="K48" s="133">
        <f t="shared" si="0"/>
        <v>102.01</v>
      </c>
      <c r="L48" s="133">
        <f t="shared" si="0"/>
        <v>103.02</v>
      </c>
      <c r="M48" s="133">
        <f t="shared" si="0"/>
        <v>106.05000000000001</v>
      </c>
      <c r="N48" s="133">
        <f t="shared" si="0"/>
        <v>112.11000000000001</v>
      </c>
      <c r="O48" s="134">
        <f t="shared" si="0"/>
        <v>118.67499999999998</v>
      </c>
      <c r="P48" s="135">
        <f t="shared" si="1"/>
        <v>118.67499999999998</v>
      </c>
      <c r="Q48" s="135">
        <f t="shared" si="2"/>
        <v>17.674999999999983</v>
      </c>
      <c r="R48" s="136">
        <f t="shared" si="3"/>
        <v>0.17674999999999982</v>
      </c>
    </row>
    <row r="49" spans="3:16" x14ac:dyDescent="0.25">
      <c r="C49" s="290" t="s">
        <v>781</v>
      </c>
    </row>
    <row r="54" spans="3:16" x14ac:dyDescent="0.25">
      <c r="N54" s="137"/>
    </row>
    <row r="55" spans="3:16" x14ac:dyDescent="0.25">
      <c r="N55" s="137"/>
    </row>
    <row r="57" spans="3:16" x14ac:dyDescent="0.25">
      <c r="N57" s="138"/>
      <c r="O57" s="139"/>
      <c r="P57" s="139"/>
    </row>
    <row r="58" spans="3:16" x14ac:dyDescent="0.25">
      <c r="N58" s="138"/>
      <c r="O58" s="140"/>
      <c r="P58" s="140"/>
    </row>
    <row r="59" spans="3:16" x14ac:dyDescent="0.25">
      <c r="N59" s="138"/>
      <c r="O59" s="140"/>
      <c r="P59" s="140"/>
    </row>
    <row r="60" spans="3:16" x14ac:dyDescent="0.25">
      <c r="N60" s="138"/>
      <c r="O60" s="140"/>
      <c r="P60" s="140"/>
    </row>
    <row r="61" spans="3:16" x14ac:dyDescent="0.25">
      <c r="N61" s="138"/>
      <c r="O61" s="140"/>
      <c r="P61" s="140"/>
    </row>
    <row r="68" spans="3:3" x14ac:dyDescent="0.25">
      <c r="C68" s="88"/>
    </row>
    <row r="86" spans="3:3" x14ac:dyDescent="0.25">
      <c r="C86" s="1"/>
    </row>
    <row r="87" spans="3:3" x14ac:dyDescent="0.25">
      <c r="C87" s="1"/>
    </row>
  </sheetData>
  <mergeCells count="10">
    <mergeCell ref="Q39:R39"/>
    <mergeCell ref="E40:I40"/>
    <mergeCell ref="K40:O40"/>
    <mergeCell ref="B42:B46"/>
    <mergeCell ref="B6:M9"/>
    <mergeCell ref="B39:B41"/>
    <mergeCell ref="C39:C41"/>
    <mergeCell ref="D39:D41"/>
    <mergeCell ref="E39:I39"/>
    <mergeCell ref="K39:O39"/>
  </mergeCells>
  <pageMargins left="0.7" right="0.7" top="0.75" bottom="0.75" header="0.3" footer="0.3"/>
  <pageSetup scale="44"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6DD9D5-2F13-4B7D-988F-7875995B5AD6}">
  <sheetPr>
    <tabColor theme="0" tint="-0.14999847407452621"/>
  </sheetPr>
  <dimension ref="A2:EV247"/>
  <sheetViews>
    <sheetView zoomScale="85" zoomScaleNormal="85" workbookViewId="0">
      <selection activeCell="BK74" sqref="BK74"/>
    </sheetView>
  </sheetViews>
  <sheetFormatPr defaultRowHeight="15" x14ac:dyDescent="0.25"/>
  <cols>
    <col min="7" max="7" width="10.140625" bestFit="1" customWidth="1"/>
    <col min="8" max="9" width="22.42578125" bestFit="1" customWidth="1"/>
    <col min="10" max="11" width="22.85546875" bestFit="1" customWidth="1"/>
    <col min="12" max="12" width="16.85546875" bestFit="1" customWidth="1"/>
    <col min="13" max="13" width="22" bestFit="1" customWidth="1"/>
    <col min="14" max="14" width="18.7109375" bestFit="1" customWidth="1"/>
    <col min="15" max="15" width="17.28515625" bestFit="1" customWidth="1"/>
    <col min="16" max="17" width="17.7109375" bestFit="1" customWidth="1"/>
    <col min="18" max="18" width="4.85546875" bestFit="1" customWidth="1"/>
    <col min="19" max="19" width="10.7109375" bestFit="1" customWidth="1"/>
    <col min="20" max="20" width="21.7109375" bestFit="1" customWidth="1"/>
    <col min="21" max="21" width="22.140625" bestFit="1" customWidth="1"/>
    <col min="22" max="22" width="24" bestFit="1" customWidth="1"/>
    <col min="23" max="23" width="14" bestFit="1" customWidth="1"/>
    <col min="24" max="24" width="11.7109375" bestFit="1" customWidth="1"/>
    <col min="25" max="25" width="11" bestFit="1" customWidth="1"/>
    <col min="26" max="27" width="11.7109375" bestFit="1" customWidth="1"/>
    <col min="28" max="28" width="18.140625" bestFit="1" customWidth="1"/>
    <col min="29" max="29" width="16.42578125" bestFit="1" customWidth="1"/>
    <col min="30" max="30" width="13.5703125" bestFit="1" customWidth="1"/>
    <col min="31" max="31" width="17.42578125" bestFit="1" customWidth="1"/>
    <col min="32" max="32" width="21.5703125" bestFit="1" customWidth="1"/>
    <col min="33" max="34" width="22" bestFit="1" customWidth="1"/>
    <col min="35" max="35" width="18.7109375" bestFit="1" customWidth="1"/>
    <col min="36" max="37" width="19.140625" bestFit="1" customWidth="1"/>
    <col min="38" max="38" width="16.28515625" bestFit="1" customWidth="1"/>
    <col min="39" max="39" width="19.28515625" bestFit="1" customWidth="1"/>
    <col min="40" max="40" width="21" bestFit="1" customWidth="1"/>
    <col min="41" max="41" width="23.5703125" bestFit="1" customWidth="1"/>
    <col min="42" max="42" width="10.7109375" bestFit="1" customWidth="1"/>
    <col min="43" max="43" width="17.7109375" bestFit="1" customWidth="1"/>
    <col min="44" max="44" width="12.85546875" bestFit="1" customWidth="1"/>
    <col min="45" max="45" width="11.5703125" bestFit="1" customWidth="1"/>
    <col min="46" max="46" width="17.85546875" bestFit="1" customWidth="1"/>
    <col min="47" max="47" width="15" bestFit="1" customWidth="1"/>
    <col min="48" max="48" width="9.28515625" bestFit="1" customWidth="1"/>
    <col min="49" max="49" width="15.7109375" bestFit="1" customWidth="1"/>
    <col min="50" max="50" width="11.5703125" bestFit="1" customWidth="1"/>
    <col min="51" max="51" width="16.7109375" bestFit="1" customWidth="1"/>
    <col min="52" max="52" width="16.28515625" bestFit="1" customWidth="1"/>
    <col min="53" max="53" width="12" bestFit="1" customWidth="1"/>
    <col min="54" max="54" width="21.42578125" bestFit="1" customWidth="1"/>
    <col min="55" max="55" width="28.28515625" bestFit="1" customWidth="1"/>
    <col min="56" max="57" width="28.7109375" bestFit="1" customWidth="1"/>
    <col min="58" max="58" width="5.7109375" bestFit="1" customWidth="1"/>
    <col min="59" max="59" width="13" bestFit="1" customWidth="1"/>
    <col min="60" max="60" width="18.140625" bestFit="1" customWidth="1"/>
    <col min="61" max="61" width="18.28515625" bestFit="1" customWidth="1"/>
    <col min="62" max="62" width="10.7109375" bestFit="1" customWidth="1"/>
    <col min="63" max="63" width="11.140625" bestFit="1" customWidth="1"/>
    <col min="64" max="65" width="11.5703125" bestFit="1" customWidth="1"/>
    <col min="66" max="66" width="10.7109375" bestFit="1" customWidth="1"/>
    <col min="67" max="68" width="11.140625" bestFit="1" customWidth="1"/>
    <col min="69" max="69" width="11" bestFit="1" customWidth="1"/>
    <col min="70" max="71" width="11.42578125" bestFit="1" customWidth="1"/>
    <col min="72" max="72" width="12.42578125" bestFit="1" customWidth="1"/>
    <col min="73" max="74" width="12.85546875" bestFit="1" customWidth="1"/>
    <col min="75" max="75" width="15.85546875" bestFit="1" customWidth="1"/>
    <col min="76" max="76" width="7.7109375" bestFit="1" customWidth="1"/>
    <col min="77" max="77" width="24.42578125" bestFit="1" customWidth="1"/>
    <col min="78" max="78" width="23.85546875" bestFit="1" customWidth="1"/>
    <col min="79" max="79" width="18.85546875" bestFit="1" customWidth="1"/>
    <col min="80" max="80" width="18.140625" bestFit="1" customWidth="1"/>
    <col min="81" max="81" width="18.7109375" bestFit="1" customWidth="1"/>
    <col min="82" max="82" width="7.140625" bestFit="1" customWidth="1"/>
    <col min="83" max="83" width="22.140625" bestFit="1" customWidth="1"/>
    <col min="84" max="85" width="22.5703125" bestFit="1" customWidth="1"/>
    <col min="86" max="86" width="8.85546875" bestFit="1" customWidth="1"/>
    <col min="87" max="87" width="15.85546875" bestFit="1" customWidth="1"/>
    <col min="88" max="89" width="15.42578125" bestFit="1" customWidth="1"/>
    <col min="90" max="90" width="7.85546875" bestFit="1" customWidth="1"/>
    <col min="91" max="91" width="8.28515625" bestFit="1" customWidth="1"/>
    <col min="92" max="92" width="20.5703125" bestFit="1" customWidth="1"/>
    <col min="93" max="93" width="20.140625" bestFit="1" customWidth="1"/>
    <col min="94" max="94" width="17.42578125" bestFit="1" customWidth="1"/>
    <col min="95" max="95" width="15.28515625" bestFit="1" customWidth="1"/>
    <col min="96" max="96" width="9.28515625" bestFit="1" customWidth="1"/>
    <col min="97" max="97" width="12.85546875" bestFit="1" customWidth="1"/>
    <col min="98" max="98" width="10.28515625" bestFit="1" customWidth="1"/>
    <col min="99" max="99" width="23.42578125" bestFit="1" customWidth="1"/>
    <col min="100" max="101" width="23.85546875" bestFit="1" customWidth="1"/>
    <col min="102" max="102" width="19.7109375" bestFit="1" customWidth="1"/>
    <col min="103" max="103" width="29.140625" bestFit="1" customWidth="1"/>
    <col min="104" max="104" width="20.28515625" bestFit="1" customWidth="1"/>
    <col min="105" max="106" width="20.7109375" bestFit="1" customWidth="1"/>
    <col min="107" max="107" width="24.42578125" bestFit="1" customWidth="1"/>
    <col min="108" max="109" width="24.85546875" bestFit="1" customWidth="1"/>
    <col min="110" max="110" width="24.5703125" bestFit="1" customWidth="1"/>
    <col min="111" max="112" width="25" bestFit="1" customWidth="1"/>
    <col min="113" max="113" width="15.28515625" bestFit="1" customWidth="1"/>
    <col min="114" max="114" width="19.7109375" bestFit="1" customWidth="1"/>
    <col min="115" max="115" width="24.28515625" bestFit="1" customWidth="1"/>
    <col min="116" max="116" width="22.42578125" bestFit="1" customWidth="1"/>
    <col min="117" max="117" width="13.140625" bestFit="1" customWidth="1"/>
    <col min="118" max="118" width="18.7109375" bestFit="1" customWidth="1"/>
    <col min="119" max="119" width="13.85546875" bestFit="1" customWidth="1"/>
    <col min="120" max="120" width="8.140625" bestFit="1" customWidth="1"/>
    <col min="121" max="121" width="10" bestFit="1" customWidth="1"/>
    <col min="122" max="122" width="14.85546875" bestFit="1" customWidth="1"/>
    <col min="123" max="123" width="12" bestFit="1" customWidth="1"/>
    <col min="124" max="124" width="17.42578125" bestFit="1" customWidth="1"/>
    <col min="125" max="125" width="11.7109375" bestFit="1" customWidth="1"/>
    <col min="126" max="126" width="8.140625" bestFit="1" customWidth="1"/>
    <col min="127" max="127" width="10.5703125" bestFit="1" customWidth="1"/>
    <col min="128" max="128" width="6" bestFit="1" customWidth="1"/>
    <col min="129" max="129" width="15" bestFit="1" customWidth="1"/>
    <col min="130" max="130" width="10.5703125" bestFit="1" customWidth="1"/>
    <col min="131" max="131" width="13.85546875" bestFit="1" customWidth="1"/>
    <col min="132" max="132" width="20.140625" bestFit="1" customWidth="1"/>
    <col min="133" max="133" width="18.28515625" bestFit="1" customWidth="1"/>
    <col min="134" max="134" width="17.7109375" bestFit="1" customWidth="1"/>
    <col min="135" max="135" width="12.85546875" bestFit="1" customWidth="1"/>
    <col min="136" max="136" width="12" bestFit="1" customWidth="1"/>
    <col min="137" max="137" width="12.5703125" bestFit="1" customWidth="1"/>
    <col min="138" max="138" width="12.42578125" bestFit="1" customWidth="1"/>
    <col min="139" max="139" width="15" bestFit="1" customWidth="1"/>
    <col min="140" max="140" width="14.42578125" bestFit="1" customWidth="1"/>
    <col min="141" max="141" width="14" bestFit="1" customWidth="1"/>
    <col min="142" max="142" width="9.28515625" bestFit="1" customWidth="1"/>
    <col min="143" max="143" width="7.140625" bestFit="1" customWidth="1"/>
  </cols>
  <sheetData>
    <row r="2" spans="3:152" ht="21" x14ac:dyDescent="0.35">
      <c r="C2" s="285" t="s">
        <v>770</v>
      </c>
    </row>
    <row r="4" spans="3:152" x14ac:dyDescent="0.25">
      <c r="L4" s="1" t="s">
        <v>285</v>
      </c>
    </row>
    <row r="5" spans="3:152" x14ac:dyDescent="0.25">
      <c r="L5" s="25" t="s">
        <v>247</v>
      </c>
      <c r="M5" s="26" t="s">
        <v>248</v>
      </c>
      <c r="N5" s="26" t="s">
        <v>249</v>
      </c>
      <c r="O5" s="26" t="s">
        <v>191</v>
      </c>
      <c r="P5" s="26" t="s">
        <v>53</v>
      </c>
    </row>
    <row r="6" spans="3:152" x14ac:dyDescent="0.25">
      <c r="L6" s="25" t="s">
        <v>256</v>
      </c>
      <c r="M6" s="26">
        <v>1</v>
      </c>
      <c r="N6" s="146">
        <v>32760</v>
      </c>
      <c r="O6" s="147">
        <f>N6/5280</f>
        <v>6.2045454545454541</v>
      </c>
      <c r="P6" s="146">
        <v>265</v>
      </c>
    </row>
    <row r="7" spans="3:152" x14ac:dyDescent="0.25">
      <c r="L7" s="25" t="s">
        <v>256</v>
      </c>
      <c r="M7" s="26">
        <v>2</v>
      </c>
      <c r="N7" s="146">
        <v>31694</v>
      </c>
      <c r="O7" s="147">
        <f>N7/5280</f>
        <v>6.0026515151515154</v>
      </c>
      <c r="P7" s="146">
        <v>350</v>
      </c>
    </row>
    <row r="8" spans="3:152" x14ac:dyDescent="0.25">
      <c r="L8" s="25" t="s">
        <v>256</v>
      </c>
      <c r="M8" s="26">
        <v>3</v>
      </c>
      <c r="N8" s="146">
        <v>2489</v>
      </c>
      <c r="O8" s="147">
        <f>N8/5280</f>
        <v>0.47140151515151513</v>
      </c>
      <c r="P8" s="146">
        <v>425</v>
      </c>
    </row>
    <row r="9" spans="3:152" x14ac:dyDescent="0.25">
      <c r="L9" s="25" t="s">
        <v>250</v>
      </c>
      <c r="M9" s="26">
        <v>1</v>
      </c>
      <c r="N9" s="146">
        <v>48449</v>
      </c>
      <c r="O9" s="147">
        <f>N9/5280</f>
        <v>9.1759469696969695</v>
      </c>
      <c r="P9" s="146">
        <v>170</v>
      </c>
    </row>
    <row r="10" spans="3:152" x14ac:dyDescent="0.25">
      <c r="L10" s="25" t="s">
        <v>250</v>
      </c>
      <c r="M10" s="26">
        <v>2</v>
      </c>
      <c r="N10" s="146">
        <v>20939</v>
      </c>
      <c r="O10" s="147">
        <f>N10/5280</f>
        <v>3.9657196969696971</v>
      </c>
      <c r="P10" s="146">
        <v>205</v>
      </c>
    </row>
    <row r="11" spans="3:152" x14ac:dyDescent="0.25">
      <c r="O11" s="2" t="s">
        <v>251</v>
      </c>
      <c r="P11" s="148">
        <f>SUMPRODUCT(O6:O10,P6:P10)</f>
        <v>6318.3617424242429</v>
      </c>
    </row>
    <row r="12" spans="3:152" x14ac:dyDescent="0.25">
      <c r="O12" s="2" t="s">
        <v>252</v>
      </c>
      <c r="P12" s="148">
        <f>P11*365</f>
        <v>2306202.0359848486</v>
      </c>
    </row>
    <row r="14" spans="3:152" x14ac:dyDescent="0.25">
      <c r="L14" s="1" t="s">
        <v>286</v>
      </c>
    </row>
    <row r="15" spans="3:152" x14ac:dyDescent="0.25">
      <c r="L15" s="25" t="s">
        <v>287</v>
      </c>
      <c r="M15" s="25" t="s">
        <v>288</v>
      </c>
      <c r="N15" s="25" t="s">
        <v>289</v>
      </c>
      <c r="O15" s="25" t="s">
        <v>290</v>
      </c>
      <c r="P15" s="25" t="s">
        <v>291</v>
      </c>
      <c r="Q15" s="25" t="s">
        <v>292</v>
      </c>
      <c r="R15" s="25" t="s">
        <v>293</v>
      </c>
      <c r="S15" s="25" t="s">
        <v>294</v>
      </c>
      <c r="T15" s="25" t="s">
        <v>295</v>
      </c>
      <c r="U15" s="25" t="s">
        <v>296</v>
      </c>
      <c r="V15" s="25" t="s">
        <v>297</v>
      </c>
      <c r="W15" s="25" t="s">
        <v>298</v>
      </c>
      <c r="X15" s="25" t="s">
        <v>299</v>
      </c>
      <c r="Y15" s="25" t="s">
        <v>300</v>
      </c>
      <c r="Z15" s="25" t="s">
        <v>301</v>
      </c>
      <c r="AA15" s="25" t="s">
        <v>302</v>
      </c>
      <c r="AB15" s="25" t="s">
        <v>303</v>
      </c>
      <c r="AC15" s="25" t="s">
        <v>304</v>
      </c>
      <c r="AD15" s="25" t="s">
        <v>305</v>
      </c>
      <c r="AE15" s="25" t="s">
        <v>306</v>
      </c>
      <c r="AF15" s="25" t="s">
        <v>307</v>
      </c>
      <c r="AG15" s="25" t="s">
        <v>308</v>
      </c>
      <c r="AH15" s="25" t="s">
        <v>309</v>
      </c>
      <c r="AI15" s="25" t="s">
        <v>310</v>
      </c>
      <c r="AJ15" s="25" t="s">
        <v>311</v>
      </c>
      <c r="AK15" s="25" t="s">
        <v>312</v>
      </c>
      <c r="AL15" s="25" t="s">
        <v>313</v>
      </c>
      <c r="AM15" s="25" t="s">
        <v>314</v>
      </c>
      <c r="AN15" s="25" t="s">
        <v>315</v>
      </c>
      <c r="AO15" s="25" t="s">
        <v>316</v>
      </c>
      <c r="AP15" s="25" t="s">
        <v>317</v>
      </c>
      <c r="AQ15" s="25" t="s">
        <v>318</v>
      </c>
      <c r="AR15" s="25" t="s">
        <v>319</v>
      </c>
      <c r="AS15" s="25" t="s">
        <v>320</v>
      </c>
      <c r="AT15" s="25" t="s">
        <v>321</v>
      </c>
      <c r="AU15" s="25" t="s">
        <v>322</v>
      </c>
      <c r="AV15" s="25" t="s">
        <v>323</v>
      </c>
      <c r="AW15" s="25" t="s">
        <v>324</v>
      </c>
      <c r="AX15" s="25" t="s">
        <v>325</v>
      </c>
      <c r="AY15" s="25" t="s">
        <v>326</v>
      </c>
      <c r="AZ15" s="25" t="s">
        <v>327</v>
      </c>
      <c r="BA15" s="25" t="s">
        <v>328</v>
      </c>
      <c r="BB15" s="25" t="s">
        <v>329</v>
      </c>
      <c r="BC15" s="25" t="s">
        <v>330</v>
      </c>
      <c r="BD15" s="25" t="s">
        <v>331</v>
      </c>
      <c r="BE15" s="25" t="s">
        <v>332</v>
      </c>
      <c r="BF15" s="25" t="s">
        <v>333</v>
      </c>
      <c r="BG15" s="25" t="s">
        <v>334</v>
      </c>
      <c r="BH15" s="25" t="s">
        <v>335</v>
      </c>
      <c r="BI15" s="25" t="s">
        <v>336</v>
      </c>
      <c r="BJ15" s="25" t="s">
        <v>337</v>
      </c>
      <c r="BK15" s="25" t="s">
        <v>338</v>
      </c>
      <c r="BL15" s="25" t="s">
        <v>339</v>
      </c>
      <c r="BM15" s="25" t="s">
        <v>340</v>
      </c>
      <c r="BN15" s="25" t="s">
        <v>341</v>
      </c>
      <c r="BO15" s="25" t="s">
        <v>342</v>
      </c>
      <c r="BP15" s="25" t="s">
        <v>343</v>
      </c>
      <c r="BQ15" s="25" t="s">
        <v>344</v>
      </c>
      <c r="BR15" s="25" t="s">
        <v>345</v>
      </c>
      <c r="BS15" s="25" t="s">
        <v>346</v>
      </c>
      <c r="BT15" s="25" t="s">
        <v>347</v>
      </c>
      <c r="BU15" s="25" t="s">
        <v>348</v>
      </c>
      <c r="BV15" s="25" t="s">
        <v>349</v>
      </c>
      <c r="BW15" s="25" t="s">
        <v>350</v>
      </c>
      <c r="BX15" s="25" t="s">
        <v>351</v>
      </c>
      <c r="BY15" s="25" t="s">
        <v>352</v>
      </c>
      <c r="BZ15" s="25" t="s">
        <v>353</v>
      </c>
      <c r="CA15" s="25" t="s">
        <v>354</v>
      </c>
      <c r="CB15" s="25" t="s">
        <v>355</v>
      </c>
      <c r="CC15" s="25" t="s">
        <v>356</v>
      </c>
      <c r="CD15" s="25" t="s">
        <v>357</v>
      </c>
      <c r="CE15" s="25" t="s">
        <v>358</v>
      </c>
      <c r="CF15" s="25" t="s">
        <v>359</v>
      </c>
      <c r="CG15" s="25" t="s">
        <v>360</v>
      </c>
      <c r="CH15" s="25" t="s">
        <v>361</v>
      </c>
      <c r="CI15" s="25" t="s">
        <v>362</v>
      </c>
      <c r="CJ15" s="25" t="s">
        <v>363</v>
      </c>
      <c r="CK15" s="25" t="s">
        <v>364</v>
      </c>
      <c r="CL15" s="25" t="s">
        <v>365</v>
      </c>
      <c r="CM15" s="25" t="s">
        <v>366</v>
      </c>
      <c r="CN15" s="25" t="s">
        <v>367</v>
      </c>
      <c r="CO15" s="25" t="s">
        <v>368</v>
      </c>
      <c r="CP15" s="25" t="s">
        <v>369</v>
      </c>
      <c r="CQ15" s="25" t="s">
        <v>370</v>
      </c>
      <c r="CR15" s="25" t="s">
        <v>371</v>
      </c>
      <c r="CS15" s="25" t="s">
        <v>372</v>
      </c>
      <c r="CT15" s="25" t="s">
        <v>373</v>
      </c>
      <c r="CU15" s="25" t="s">
        <v>374</v>
      </c>
      <c r="CV15" s="25" t="s">
        <v>375</v>
      </c>
      <c r="CW15" s="25" t="s">
        <v>376</v>
      </c>
      <c r="CX15" s="25" t="s">
        <v>377</v>
      </c>
      <c r="CY15" s="25" t="s">
        <v>378</v>
      </c>
      <c r="CZ15" s="25" t="s">
        <v>379</v>
      </c>
      <c r="DA15" s="25" t="s">
        <v>380</v>
      </c>
      <c r="DB15" s="25" t="s">
        <v>381</v>
      </c>
      <c r="DC15" s="25" t="s">
        <v>382</v>
      </c>
      <c r="DD15" s="25" t="s">
        <v>383</v>
      </c>
      <c r="DE15" s="25" t="s">
        <v>384</v>
      </c>
      <c r="DF15" s="25" t="s">
        <v>385</v>
      </c>
      <c r="DG15" s="25" t="s">
        <v>386</v>
      </c>
      <c r="DH15" s="25" t="s">
        <v>387</v>
      </c>
      <c r="DI15" s="25" t="s">
        <v>388</v>
      </c>
      <c r="DJ15" s="25" t="s">
        <v>389</v>
      </c>
      <c r="DK15" s="25" t="s">
        <v>390</v>
      </c>
      <c r="DL15" s="25" t="s">
        <v>391</v>
      </c>
      <c r="DM15" s="25" t="s">
        <v>392</v>
      </c>
      <c r="DN15" s="25" t="s">
        <v>393</v>
      </c>
      <c r="DO15" s="25" t="s">
        <v>394</v>
      </c>
      <c r="DP15" s="25" t="s">
        <v>395</v>
      </c>
      <c r="DQ15" s="25" t="s">
        <v>396</v>
      </c>
      <c r="DR15" s="25" t="s">
        <v>397</v>
      </c>
      <c r="DS15" s="25" t="s">
        <v>398</v>
      </c>
      <c r="DT15" s="25" t="s">
        <v>399</v>
      </c>
      <c r="DU15" s="25" t="s">
        <v>400</v>
      </c>
      <c r="DV15" s="25" t="s">
        <v>401</v>
      </c>
      <c r="DW15" s="25" t="s">
        <v>402</v>
      </c>
      <c r="DX15" s="25" t="s">
        <v>403</v>
      </c>
      <c r="DY15" s="25" t="s">
        <v>404</v>
      </c>
      <c r="DZ15" s="25" t="s">
        <v>405</v>
      </c>
      <c r="EA15" s="25" t="s">
        <v>406</v>
      </c>
      <c r="EB15" s="25" t="s">
        <v>407</v>
      </c>
      <c r="EC15" s="25" t="s">
        <v>408</v>
      </c>
      <c r="ED15" s="25" t="s">
        <v>409</v>
      </c>
      <c r="EE15" s="25" t="s">
        <v>410</v>
      </c>
      <c r="EF15" s="25" t="s">
        <v>411</v>
      </c>
      <c r="EG15" s="25" t="s">
        <v>412</v>
      </c>
      <c r="EH15" s="25" t="s">
        <v>413</v>
      </c>
      <c r="EI15" s="25" t="s">
        <v>414</v>
      </c>
      <c r="EJ15" s="25" t="s">
        <v>415</v>
      </c>
      <c r="EK15" s="25" t="s">
        <v>416</v>
      </c>
      <c r="EL15" s="25" t="s">
        <v>417</v>
      </c>
      <c r="EM15" s="25" t="s">
        <v>418</v>
      </c>
      <c r="EN15" s="25" t="s">
        <v>419</v>
      </c>
      <c r="EO15" s="25" t="s">
        <v>420</v>
      </c>
      <c r="EP15" s="25" t="s">
        <v>421</v>
      </c>
      <c r="EQ15" s="25" t="s">
        <v>422</v>
      </c>
      <c r="ER15" s="25" t="s">
        <v>423</v>
      </c>
      <c r="ES15" s="25" t="s">
        <v>424</v>
      </c>
      <c r="ET15" s="25" t="s">
        <v>425</v>
      </c>
      <c r="EU15" s="25" t="s">
        <v>426</v>
      </c>
      <c r="EV15" s="25" t="s">
        <v>366</v>
      </c>
    </row>
    <row r="16" spans="3:152" x14ac:dyDescent="0.25">
      <c r="L16" s="25">
        <v>46.155182000000003</v>
      </c>
      <c r="M16" s="25">
        <v>-100.683172</v>
      </c>
      <c r="N16" s="25" t="s">
        <v>24</v>
      </c>
      <c r="O16" s="25">
        <v>2017</v>
      </c>
      <c r="P16" s="25" t="s">
        <v>427</v>
      </c>
      <c r="Q16" s="25" t="s">
        <v>428</v>
      </c>
      <c r="R16" s="25" t="s">
        <v>429</v>
      </c>
      <c r="S16" s="25" t="s">
        <v>430</v>
      </c>
      <c r="T16" s="25" t="s">
        <v>430</v>
      </c>
      <c r="U16" s="25" t="s">
        <v>431</v>
      </c>
      <c r="V16" s="25" t="s">
        <v>432</v>
      </c>
      <c r="W16" s="25" t="s">
        <v>433</v>
      </c>
      <c r="X16" s="25" t="s">
        <v>434</v>
      </c>
      <c r="Y16" s="25" t="s">
        <v>430</v>
      </c>
      <c r="Z16" s="25" t="s">
        <v>430</v>
      </c>
      <c r="AA16" s="25">
        <v>54</v>
      </c>
      <c r="AB16" s="25" t="s">
        <v>435</v>
      </c>
      <c r="AC16" s="25" t="s">
        <v>436</v>
      </c>
      <c r="AD16" s="25" t="s">
        <v>430</v>
      </c>
      <c r="AE16" s="25" t="s">
        <v>430</v>
      </c>
      <c r="AF16" s="25" t="s">
        <v>437</v>
      </c>
      <c r="AG16" s="164">
        <v>42777</v>
      </c>
      <c r="AH16" s="164" t="s">
        <v>468</v>
      </c>
      <c r="AI16" s="25">
        <v>9</v>
      </c>
      <c r="AJ16" s="165">
        <v>44844.390972222223</v>
      </c>
      <c r="AK16" s="165" t="s">
        <v>440</v>
      </c>
      <c r="AL16" s="25" t="s">
        <v>441</v>
      </c>
      <c r="AM16" s="164">
        <v>43304</v>
      </c>
      <c r="AN16" s="164">
        <v>42777</v>
      </c>
      <c r="AO16" s="164" t="s">
        <v>141</v>
      </c>
      <c r="AP16" s="25" t="s">
        <v>430</v>
      </c>
      <c r="AQ16" s="25" t="s">
        <v>430</v>
      </c>
      <c r="AR16" s="25" t="s">
        <v>442</v>
      </c>
      <c r="AS16" s="25" t="s">
        <v>430</v>
      </c>
      <c r="AT16" s="25" t="s">
        <v>430</v>
      </c>
      <c r="AU16" s="25" t="s">
        <v>430</v>
      </c>
      <c r="AV16" s="25" t="s">
        <v>430</v>
      </c>
      <c r="AW16" s="25" t="s">
        <v>443</v>
      </c>
      <c r="AX16" s="25" t="s">
        <v>444</v>
      </c>
      <c r="AY16" s="25" t="s">
        <v>430</v>
      </c>
      <c r="AZ16" s="25" t="s">
        <v>430</v>
      </c>
      <c r="BA16" s="25" t="s">
        <v>430</v>
      </c>
      <c r="BB16" s="25" t="s">
        <v>430</v>
      </c>
      <c r="BC16" s="25" t="s">
        <v>430</v>
      </c>
      <c r="BD16" s="25">
        <v>14.17</v>
      </c>
      <c r="BE16" s="25">
        <v>24</v>
      </c>
      <c r="BF16" s="25" t="s">
        <v>430</v>
      </c>
      <c r="BG16" s="25" t="s">
        <v>430</v>
      </c>
      <c r="BH16" s="25" t="s">
        <v>445</v>
      </c>
      <c r="BI16" s="25" t="s">
        <v>446</v>
      </c>
      <c r="BJ16" s="25" t="s">
        <v>447</v>
      </c>
      <c r="BK16" s="25" t="s">
        <v>448</v>
      </c>
      <c r="BL16" s="25" t="s">
        <v>469</v>
      </c>
      <c r="BM16" s="25" t="s">
        <v>430</v>
      </c>
      <c r="BN16" s="25" t="s">
        <v>430</v>
      </c>
      <c r="BO16" s="25">
        <v>0</v>
      </c>
      <c r="BP16" s="25" t="s">
        <v>434</v>
      </c>
      <c r="BQ16" s="25" t="s">
        <v>470</v>
      </c>
      <c r="BR16" s="25" t="s">
        <v>471</v>
      </c>
      <c r="BS16" s="25" t="s">
        <v>430</v>
      </c>
      <c r="BT16" s="25" t="s">
        <v>430</v>
      </c>
      <c r="BU16" s="25" t="s">
        <v>430</v>
      </c>
      <c r="BV16" s="25" t="s">
        <v>430</v>
      </c>
      <c r="BW16" s="25" t="s">
        <v>430</v>
      </c>
      <c r="BX16" s="25" t="s">
        <v>430</v>
      </c>
      <c r="BY16" s="25" t="s">
        <v>430</v>
      </c>
      <c r="BZ16" s="25" t="s">
        <v>451</v>
      </c>
      <c r="CA16" s="25" t="s">
        <v>430</v>
      </c>
      <c r="CB16" s="25" t="s">
        <v>430</v>
      </c>
      <c r="CC16" s="25" t="s">
        <v>430</v>
      </c>
      <c r="CD16" s="25" t="s">
        <v>430</v>
      </c>
      <c r="CE16" s="25" t="s">
        <v>430</v>
      </c>
      <c r="CF16" s="25" t="s">
        <v>441</v>
      </c>
      <c r="CG16" s="25" t="s">
        <v>430</v>
      </c>
      <c r="CH16" s="25" t="s">
        <v>452</v>
      </c>
      <c r="CI16" s="25" t="s">
        <v>453</v>
      </c>
      <c r="CJ16" s="25" t="s">
        <v>454</v>
      </c>
      <c r="CK16" s="25" t="s">
        <v>455</v>
      </c>
      <c r="CL16" s="25" t="s">
        <v>472</v>
      </c>
      <c r="CM16" s="25" t="s">
        <v>430</v>
      </c>
      <c r="CN16" s="25" t="s">
        <v>457</v>
      </c>
      <c r="CO16" s="25" t="s">
        <v>430</v>
      </c>
      <c r="CP16" s="25" t="s">
        <v>430</v>
      </c>
      <c r="CQ16" s="25" t="s">
        <v>439</v>
      </c>
      <c r="CR16" s="25" t="s">
        <v>431</v>
      </c>
      <c r="CS16" s="25" t="s">
        <v>430</v>
      </c>
      <c r="CT16" s="25" t="s">
        <v>430</v>
      </c>
      <c r="CU16" s="25" t="s">
        <v>430</v>
      </c>
      <c r="CV16" s="25" t="s">
        <v>430</v>
      </c>
      <c r="CW16" s="25" t="s">
        <v>460</v>
      </c>
      <c r="CX16" s="25" t="s">
        <v>461</v>
      </c>
      <c r="CY16" s="165">
        <v>44844.39166666667</v>
      </c>
      <c r="CZ16" s="165" t="s">
        <v>430</v>
      </c>
      <c r="DA16" s="25" t="s">
        <v>430</v>
      </c>
      <c r="DB16" s="25">
        <v>14.17</v>
      </c>
      <c r="DC16" s="25" t="s">
        <v>430</v>
      </c>
      <c r="DD16" s="25" t="s">
        <v>434</v>
      </c>
      <c r="DE16" s="25" t="s">
        <v>430</v>
      </c>
      <c r="DF16" s="25" t="s">
        <v>430</v>
      </c>
      <c r="DG16" s="25" t="s">
        <v>462</v>
      </c>
      <c r="DH16" s="25" t="s">
        <v>431</v>
      </c>
      <c r="DI16" s="25" t="s">
        <v>473</v>
      </c>
      <c r="DJ16" s="25" t="s">
        <v>430</v>
      </c>
      <c r="DK16" s="25" t="s">
        <v>430</v>
      </c>
      <c r="DL16" s="25" t="s">
        <v>474</v>
      </c>
      <c r="DM16" s="25" t="s">
        <v>430</v>
      </c>
      <c r="DN16" s="25" t="s">
        <v>430</v>
      </c>
      <c r="DO16" s="25" t="s">
        <v>434</v>
      </c>
      <c r="DP16" s="25" t="s">
        <v>430</v>
      </c>
      <c r="DQ16" s="25" t="s">
        <v>430</v>
      </c>
      <c r="DR16" s="25" t="s">
        <v>465</v>
      </c>
      <c r="DS16" s="25" t="s">
        <v>466</v>
      </c>
      <c r="DT16" s="25" t="s">
        <v>466</v>
      </c>
      <c r="DU16" s="25" t="s">
        <v>431</v>
      </c>
      <c r="DV16" s="25">
        <v>1</v>
      </c>
      <c r="DW16" s="166">
        <v>17019264</v>
      </c>
      <c r="DX16" s="166">
        <v>4</v>
      </c>
      <c r="DY16" s="25">
        <v>43</v>
      </c>
      <c r="DZ16" s="166">
        <v>1058880</v>
      </c>
      <c r="EA16" s="166">
        <v>3</v>
      </c>
      <c r="EB16" s="25">
        <v>1</v>
      </c>
      <c r="EC16" s="25">
        <v>20</v>
      </c>
      <c r="ED16" s="25">
        <v>6</v>
      </c>
      <c r="EE16" s="25">
        <v>2</v>
      </c>
      <c r="EF16" s="25">
        <v>1</v>
      </c>
      <c r="EG16" s="25">
        <v>1</v>
      </c>
      <c r="EH16" s="25">
        <v>7</v>
      </c>
      <c r="EI16" s="166">
        <v>293500</v>
      </c>
      <c r="EJ16" s="166">
        <v>0</v>
      </c>
      <c r="EK16" s="25">
        <v>0</v>
      </c>
      <c r="EL16" s="25">
        <v>1</v>
      </c>
      <c r="EM16" s="25">
        <v>0</v>
      </c>
      <c r="EN16" s="25">
        <v>1</v>
      </c>
      <c r="EO16" s="25">
        <v>1</v>
      </c>
      <c r="EP16" s="25">
        <v>1</v>
      </c>
      <c r="EQ16" s="25">
        <v>1</v>
      </c>
      <c r="ER16" s="25">
        <v>65</v>
      </c>
      <c r="ES16" s="25">
        <v>1</v>
      </c>
      <c r="ET16" s="25">
        <v>2</v>
      </c>
      <c r="EU16" s="25">
        <v>0</v>
      </c>
      <c r="EV16" s="25" t="s">
        <v>255</v>
      </c>
    </row>
    <row r="17" spans="12:152" x14ac:dyDescent="0.25">
      <c r="L17" s="25">
        <v>46.187821999999997</v>
      </c>
      <c r="M17" s="25">
        <v>-100.73429</v>
      </c>
      <c r="N17" s="25" t="s">
        <v>24</v>
      </c>
      <c r="O17" s="25">
        <v>2015</v>
      </c>
      <c r="P17" s="25" t="s">
        <v>427</v>
      </c>
      <c r="Q17" s="25" t="s">
        <v>428</v>
      </c>
      <c r="R17" s="25" t="s">
        <v>429</v>
      </c>
      <c r="S17" s="25" t="s">
        <v>430</v>
      </c>
      <c r="T17" s="25" t="s">
        <v>430</v>
      </c>
      <c r="U17" s="25" t="s">
        <v>431</v>
      </c>
      <c r="V17" s="25" t="s">
        <v>432</v>
      </c>
      <c r="W17" s="25" t="s">
        <v>433</v>
      </c>
      <c r="X17" s="25" t="s">
        <v>434</v>
      </c>
      <c r="Y17" s="25" t="s">
        <v>430</v>
      </c>
      <c r="Z17" s="25" t="s">
        <v>430</v>
      </c>
      <c r="AA17" s="25">
        <v>54</v>
      </c>
      <c r="AB17" s="25" t="s">
        <v>435</v>
      </c>
      <c r="AC17" s="25" t="s">
        <v>436</v>
      </c>
      <c r="AD17" s="25" t="s">
        <v>430</v>
      </c>
      <c r="AE17" s="25" t="s">
        <v>430</v>
      </c>
      <c r="AF17" s="25" t="s">
        <v>437</v>
      </c>
      <c r="AG17" s="164">
        <v>42184</v>
      </c>
      <c r="AH17" s="164" t="s">
        <v>438</v>
      </c>
      <c r="AI17" s="25" t="s">
        <v>439</v>
      </c>
      <c r="AJ17" s="165">
        <v>44963.573611111111</v>
      </c>
      <c r="AK17" s="165" t="s">
        <v>440</v>
      </c>
      <c r="AL17" s="25" t="s">
        <v>441</v>
      </c>
      <c r="AM17" s="164">
        <v>42570</v>
      </c>
      <c r="AN17" s="164">
        <v>42184</v>
      </c>
      <c r="AO17" s="164" t="s">
        <v>141</v>
      </c>
      <c r="AP17" s="25" t="s">
        <v>430</v>
      </c>
      <c r="AQ17" s="25" t="s">
        <v>430</v>
      </c>
      <c r="AR17" s="25" t="s">
        <v>442</v>
      </c>
      <c r="AS17" s="25" t="s">
        <v>430</v>
      </c>
      <c r="AT17" s="25" t="s">
        <v>430</v>
      </c>
      <c r="AU17" s="25" t="s">
        <v>430</v>
      </c>
      <c r="AV17" s="25" t="s">
        <v>430</v>
      </c>
      <c r="AW17" s="25" t="s">
        <v>443</v>
      </c>
      <c r="AX17" s="25" t="s">
        <v>444</v>
      </c>
      <c r="AY17" s="25">
        <v>0</v>
      </c>
      <c r="AZ17" s="25" t="s">
        <v>430</v>
      </c>
      <c r="BA17" s="25">
        <v>0</v>
      </c>
      <c r="BB17" s="25" t="s">
        <v>430</v>
      </c>
      <c r="BC17" s="25" t="s">
        <v>430</v>
      </c>
      <c r="BD17" s="25" t="s">
        <v>430</v>
      </c>
      <c r="BE17" s="25" t="s">
        <v>430</v>
      </c>
      <c r="BF17" s="25" t="s">
        <v>430</v>
      </c>
      <c r="BG17" s="25" t="s">
        <v>430</v>
      </c>
      <c r="BH17" s="25" t="s">
        <v>445</v>
      </c>
      <c r="BI17" s="25" t="s">
        <v>446</v>
      </c>
      <c r="BJ17" s="25" t="s">
        <v>447</v>
      </c>
      <c r="BK17" s="25" t="s">
        <v>448</v>
      </c>
      <c r="BL17" s="25" t="s">
        <v>444</v>
      </c>
      <c r="BM17" s="25" t="s">
        <v>430</v>
      </c>
      <c r="BN17" s="25" t="s">
        <v>430</v>
      </c>
      <c r="BO17" s="25" t="s">
        <v>430</v>
      </c>
      <c r="BP17" s="25" t="s">
        <v>434</v>
      </c>
      <c r="BQ17" s="25" t="s">
        <v>449</v>
      </c>
      <c r="BR17" s="25" t="s">
        <v>450</v>
      </c>
      <c r="BS17" s="25" t="s">
        <v>430</v>
      </c>
      <c r="BT17" s="25" t="s">
        <v>430</v>
      </c>
      <c r="BU17" s="25" t="s">
        <v>430</v>
      </c>
      <c r="BV17" s="25" t="s">
        <v>430</v>
      </c>
      <c r="BW17" s="25" t="s">
        <v>430</v>
      </c>
      <c r="BX17" s="25" t="s">
        <v>430</v>
      </c>
      <c r="BY17" s="25" t="s">
        <v>430</v>
      </c>
      <c r="BZ17" s="25" t="s">
        <v>451</v>
      </c>
      <c r="CA17" s="25" t="s">
        <v>430</v>
      </c>
      <c r="CB17" s="25" t="s">
        <v>430</v>
      </c>
      <c r="CC17" s="25" t="s">
        <v>430</v>
      </c>
      <c r="CD17" s="25" t="s">
        <v>430</v>
      </c>
      <c r="CE17" s="25" t="s">
        <v>430</v>
      </c>
      <c r="CF17" s="25" t="s">
        <v>441</v>
      </c>
      <c r="CG17" s="25" t="s">
        <v>430</v>
      </c>
      <c r="CH17" s="25" t="s">
        <v>452</v>
      </c>
      <c r="CI17" s="25" t="s">
        <v>453</v>
      </c>
      <c r="CJ17" s="25" t="s">
        <v>454</v>
      </c>
      <c r="CK17" s="25" t="s">
        <v>455</v>
      </c>
      <c r="CL17" s="25" t="s">
        <v>456</v>
      </c>
      <c r="CM17" s="25" t="s">
        <v>430</v>
      </c>
      <c r="CN17" s="25" t="s">
        <v>457</v>
      </c>
      <c r="CO17" s="25" t="s">
        <v>430</v>
      </c>
      <c r="CP17" s="25" t="s">
        <v>430</v>
      </c>
      <c r="CQ17" s="25">
        <v>13</v>
      </c>
      <c r="CR17" s="25" t="s">
        <v>431</v>
      </c>
      <c r="CS17" s="25" t="s">
        <v>430</v>
      </c>
      <c r="CT17" s="25" t="s">
        <v>430</v>
      </c>
      <c r="CU17" s="25" t="s">
        <v>458</v>
      </c>
      <c r="CV17" s="25" t="s">
        <v>459</v>
      </c>
      <c r="CW17" s="25" t="s">
        <v>460</v>
      </c>
      <c r="CX17" s="25" t="s">
        <v>461</v>
      </c>
      <c r="CY17" s="165">
        <v>44963.574305555558</v>
      </c>
      <c r="CZ17" s="165" t="s">
        <v>430</v>
      </c>
      <c r="DA17" s="25" t="s">
        <v>430</v>
      </c>
      <c r="DB17" s="25" t="s">
        <v>430</v>
      </c>
      <c r="DC17" s="25" t="s">
        <v>430</v>
      </c>
      <c r="DD17" s="25" t="s">
        <v>434</v>
      </c>
      <c r="DE17" s="25" t="s">
        <v>430</v>
      </c>
      <c r="DF17" s="25" t="s">
        <v>430</v>
      </c>
      <c r="DG17" s="25" t="s">
        <v>462</v>
      </c>
      <c r="DH17" s="25" t="s">
        <v>431</v>
      </c>
      <c r="DI17" s="25" t="s">
        <v>463</v>
      </c>
      <c r="DJ17" s="25" t="s">
        <v>430</v>
      </c>
      <c r="DK17" s="25" t="s">
        <v>430</v>
      </c>
      <c r="DL17" s="25" t="s">
        <v>464</v>
      </c>
      <c r="DM17" s="25" t="s">
        <v>430</v>
      </c>
      <c r="DN17" s="25" t="s">
        <v>430</v>
      </c>
      <c r="DO17" s="25" t="s">
        <v>434</v>
      </c>
      <c r="DP17" s="25" t="s">
        <v>430</v>
      </c>
      <c r="DQ17" s="25" t="s">
        <v>430</v>
      </c>
      <c r="DR17" s="25" t="s">
        <v>465</v>
      </c>
      <c r="DS17" s="25" t="s">
        <v>466</v>
      </c>
      <c r="DT17" s="25" t="s">
        <v>466</v>
      </c>
      <c r="DU17" s="25" t="s">
        <v>431</v>
      </c>
      <c r="DV17" s="25">
        <v>1</v>
      </c>
      <c r="DW17" s="166">
        <v>15070088</v>
      </c>
      <c r="DX17" s="166">
        <v>4</v>
      </c>
      <c r="DY17" s="25">
        <v>43</v>
      </c>
      <c r="DZ17" s="166">
        <v>1014320</v>
      </c>
      <c r="EA17" s="166">
        <v>3</v>
      </c>
      <c r="EB17" s="25">
        <v>1</v>
      </c>
      <c r="EC17" s="25">
        <v>20</v>
      </c>
      <c r="ED17" s="25">
        <v>9</v>
      </c>
      <c r="EE17" s="25">
        <v>2</v>
      </c>
      <c r="EF17" s="25">
        <v>1</v>
      </c>
      <c r="EG17" s="25">
        <v>1</v>
      </c>
      <c r="EH17" s="25">
        <v>7</v>
      </c>
      <c r="EI17" s="25">
        <v>36</v>
      </c>
      <c r="EJ17" s="25">
        <v>0</v>
      </c>
      <c r="EK17" s="25">
        <v>0</v>
      </c>
      <c r="EL17" s="25">
        <v>1</v>
      </c>
      <c r="EM17" s="25">
        <v>0</v>
      </c>
      <c r="EN17" s="25">
        <v>1</v>
      </c>
      <c r="EO17" s="25">
        <v>1</v>
      </c>
      <c r="EP17" s="25">
        <v>3</v>
      </c>
      <c r="EQ17" s="25">
        <v>1</v>
      </c>
      <c r="ER17" s="25">
        <v>65</v>
      </c>
      <c r="ES17" s="25">
        <v>1</v>
      </c>
      <c r="ET17" s="25">
        <v>2</v>
      </c>
      <c r="EU17" s="25">
        <v>0</v>
      </c>
      <c r="EV17" s="25" t="s">
        <v>255</v>
      </c>
    </row>
    <row r="18" spans="12:152" x14ac:dyDescent="0.25">
      <c r="L18" s="25">
        <v>46.344185000000003</v>
      </c>
      <c r="M18" s="25">
        <v>-100.93624199999999</v>
      </c>
      <c r="N18" s="25" t="s">
        <v>24</v>
      </c>
      <c r="O18" s="25">
        <v>2015</v>
      </c>
      <c r="P18" s="25" t="s">
        <v>427</v>
      </c>
      <c r="Q18" s="25" t="s">
        <v>428</v>
      </c>
      <c r="R18" s="25" t="s">
        <v>429</v>
      </c>
      <c r="S18" s="25" t="s">
        <v>482</v>
      </c>
      <c r="T18" s="25" t="s">
        <v>430</v>
      </c>
      <c r="U18" s="25" t="s">
        <v>431</v>
      </c>
      <c r="V18" s="25" t="s">
        <v>432</v>
      </c>
      <c r="W18" s="25" t="s">
        <v>433</v>
      </c>
      <c r="X18" s="25" t="s">
        <v>434</v>
      </c>
      <c r="Y18" s="25" t="s">
        <v>434</v>
      </c>
      <c r="Z18" s="25" t="s">
        <v>430</v>
      </c>
      <c r="AA18" s="25">
        <v>209</v>
      </c>
      <c r="AB18" s="25" t="s">
        <v>582</v>
      </c>
      <c r="AC18" s="25" t="s">
        <v>426</v>
      </c>
      <c r="AD18" s="25" t="s">
        <v>426</v>
      </c>
      <c r="AE18" s="25" t="s">
        <v>430</v>
      </c>
      <c r="AF18" s="25" t="s">
        <v>437</v>
      </c>
      <c r="AG18" s="164">
        <v>42338</v>
      </c>
      <c r="AH18" s="25" t="s">
        <v>438</v>
      </c>
      <c r="AI18" s="25" t="s">
        <v>439</v>
      </c>
      <c r="AJ18" s="165">
        <v>44963.854166666664</v>
      </c>
      <c r="AK18" s="25" t="s">
        <v>440</v>
      </c>
      <c r="AL18" s="25" t="s">
        <v>441</v>
      </c>
      <c r="AM18" s="164">
        <v>42577</v>
      </c>
      <c r="AN18" s="164">
        <v>42338</v>
      </c>
      <c r="AO18" s="25" t="s">
        <v>141</v>
      </c>
      <c r="AP18" s="25" t="s">
        <v>141</v>
      </c>
      <c r="AQ18" s="25" t="s">
        <v>430</v>
      </c>
      <c r="AR18" s="25" t="s">
        <v>442</v>
      </c>
      <c r="AS18" s="25" t="s">
        <v>442</v>
      </c>
      <c r="AT18" s="25" t="s">
        <v>430</v>
      </c>
      <c r="AU18" s="25" t="s">
        <v>430</v>
      </c>
      <c r="AV18" s="25" t="s">
        <v>430</v>
      </c>
      <c r="AW18" s="25" t="s">
        <v>443</v>
      </c>
      <c r="AX18" s="25" t="s">
        <v>469</v>
      </c>
      <c r="AY18" s="25" t="s">
        <v>430</v>
      </c>
      <c r="AZ18" s="25" t="s">
        <v>430</v>
      </c>
      <c r="BA18" s="25" t="s">
        <v>430</v>
      </c>
      <c r="BB18" s="25" t="s">
        <v>430</v>
      </c>
      <c r="BC18" s="25" t="s">
        <v>430</v>
      </c>
      <c r="BD18" s="25">
        <v>33.01</v>
      </c>
      <c r="BE18" s="25">
        <v>6</v>
      </c>
      <c r="BF18" s="25" t="s">
        <v>430</v>
      </c>
      <c r="BG18" s="25" t="s">
        <v>430</v>
      </c>
      <c r="BH18" s="25" t="s">
        <v>445</v>
      </c>
      <c r="BI18" s="25" t="s">
        <v>431</v>
      </c>
      <c r="BJ18" s="25" t="s">
        <v>479</v>
      </c>
      <c r="BK18" s="25" t="s">
        <v>526</v>
      </c>
      <c r="BL18" s="25" t="s">
        <v>469</v>
      </c>
      <c r="BM18" s="25" t="s">
        <v>469</v>
      </c>
      <c r="BN18" s="25" t="s">
        <v>430</v>
      </c>
      <c r="BO18" s="25">
        <v>0</v>
      </c>
      <c r="BP18" s="25" t="s">
        <v>434</v>
      </c>
      <c r="BQ18" s="25" t="s">
        <v>449</v>
      </c>
      <c r="BR18" s="25" t="s">
        <v>450</v>
      </c>
      <c r="BS18" s="25" t="s">
        <v>430</v>
      </c>
      <c r="BT18" s="25" t="s">
        <v>430</v>
      </c>
      <c r="BU18" s="25">
        <v>61</v>
      </c>
      <c r="BV18" s="25" t="s">
        <v>430</v>
      </c>
      <c r="BW18" s="25" t="s">
        <v>430</v>
      </c>
      <c r="BX18" s="25" t="s">
        <v>583</v>
      </c>
      <c r="BY18" s="25" t="s">
        <v>430</v>
      </c>
      <c r="BZ18" s="25" t="s">
        <v>451</v>
      </c>
      <c r="CA18" s="25" t="s">
        <v>433</v>
      </c>
      <c r="CB18" s="25" t="s">
        <v>430</v>
      </c>
      <c r="CC18" s="25" t="s">
        <v>430</v>
      </c>
      <c r="CD18" s="25" t="s">
        <v>544</v>
      </c>
      <c r="CE18" s="25" t="s">
        <v>430</v>
      </c>
      <c r="CF18" s="25" t="s">
        <v>441</v>
      </c>
      <c r="CG18" s="25" t="s">
        <v>430</v>
      </c>
      <c r="CH18" s="25" t="s">
        <v>452</v>
      </c>
      <c r="CI18" s="25" t="s">
        <v>453</v>
      </c>
      <c r="CJ18" s="25" t="s">
        <v>454</v>
      </c>
      <c r="CK18" s="25" t="s">
        <v>455</v>
      </c>
      <c r="CL18" s="25" t="s">
        <v>472</v>
      </c>
      <c r="CM18" s="25" t="s">
        <v>430</v>
      </c>
      <c r="CN18" s="25" t="s">
        <v>457</v>
      </c>
      <c r="CO18" s="25" t="s">
        <v>457</v>
      </c>
      <c r="CP18" s="25" t="s">
        <v>430</v>
      </c>
      <c r="CQ18" s="25">
        <v>20</v>
      </c>
      <c r="CR18" s="25" t="s">
        <v>431</v>
      </c>
      <c r="CS18" s="25">
        <v>65</v>
      </c>
      <c r="CT18" s="25" t="s">
        <v>430</v>
      </c>
      <c r="CU18" s="25" t="s">
        <v>430</v>
      </c>
      <c r="CV18" s="25" t="s">
        <v>430</v>
      </c>
      <c r="CW18" s="25" t="s">
        <v>584</v>
      </c>
      <c r="CX18" s="25" t="s">
        <v>461</v>
      </c>
      <c r="CY18" s="165">
        <v>44963.85833333333</v>
      </c>
      <c r="CZ18" s="25" t="s">
        <v>430</v>
      </c>
      <c r="DA18" s="25" t="s">
        <v>430</v>
      </c>
      <c r="DB18" s="25">
        <v>33.01</v>
      </c>
      <c r="DC18" s="25" t="s">
        <v>430</v>
      </c>
      <c r="DD18" s="25" t="s">
        <v>434</v>
      </c>
      <c r="DE18" s="25" t="s">
        <v>434</v>
      </c>
      <c r="DF18" s="25" t="s">
        <v>430</v>
      </c>
      <c r="DG18" s="25" t="s">
        <v>462</v>
      </c>
      <c r="DH18" s="25" t="s">
        <v>431</v>
      </c>
      <c r="DI18" s="25" t="s">
        <v>579</v>
      </c>
      <c r="DJ18" s="25" t="s">
        <v>571</v>
      </c>
      <c r="DK18" s="25" t="s">
        <v>430</v>
      </c>
      <c r="DL18" s="25" t="s">
        <v>585</v>
      </c>
      <c r="DM18" s="25" t="s">
        <v>474</v>
      </c>
      <c r="DN18" s="25" t="s">
        <v>430</v>
      </c>
      <c r="DO18" s="25" t="s">
        <v>434</v>
      </c>
      <c r="DP18" s="25" t="s">
        <v>434</v>
      </c>
      <c r="DQ18" s="25" t="s">
        <v>430</v>
      </c>
      <c r="DR18" s="25" t="s">
        <v>584</v>
      </c>
      <c r="DS18" s="25" t="s">
        <v>466</v>
      </c>
      <c r="DT18" s="25" t="s">
        <v>466</v>
      </c>
      <c r="DU18" s="25" t="s">
        <v>431</v>
      </c>
      <c r="DV18" s="25">
        <v>1</v>
      </c>
      <c r="DW18" s="166">
        <v>15141081</v>
      </c>
      <c r="DX18" s="25">
        <v>4</v>
      </c>
      <c r="DY18" s="25">
        <v>43</v>
      </c>
      <c r="DZ18" s="166">
        <v>1014917</v>
      </c>
      <c r="EA18" s="25">
        <v>3</v>
      </c>
      <c r="EB18" s="25">
        <v>1</v>
      </c>
      <c r="EC18" s="25">
        <v>1</v>
      </c>
      <c r="ED18" s="25">
        <v>7</v>
      </c>
      <c r="EE18" s="25">
        <v>1</v>
      </c>
      <c r="EF18" s="25">
        <v>1</v>
      </c>
      <c r="EG18" s="25">
        <v>5</v>
      </c>
      <c r="EH18" s="25">
        <v>4</v>
      </c>
      <c r="EI18" s="25">
        <v>59</v>
      </c>
      <c r="EJ18" s="25">
        <v>0</v>
      </c>
      <c r="EK18" s="25">
        <v>0</v>
      </c>
      <c r="EL18" s="25">
        <v>1</v>
      </c>
      <c r="EM18" s="25">
        <v>0</v>
      </c>
      <c r="EN18" s="25">
        <v>1</v>
      </c>
      <c r="EO18" s="25">
        <v>1</v>
      </c>
      <c r="EP18" s="25">
        <v>1</v>
      </c>
      <c r="EQ18" s="25">
        <v>1</v>
      </c>
      <c r="ER18" s="25">
        <v>65</v>
      </c>
      <c r="ES18" s="25">
        <v>4</v>
      </c>
      <c r="ET18" s="25">
        <v>2</v>
      </c>
      <c r="EU18" s="25">
        <v>4</v>
      </c>
      <c r="EV18" s="25" t="s">
        <v>255</v>
      </c>
    </row>
    <row r="19" spans="12:152" x14ac:dyDescent="0.25">
      <c r="L19" s="25">
        <v>46.370913000000002</v>
      </c>
      <c r="M19" s="25">
        <v>-100.934749</v>
      </c>
      <c r="N19" s="25" t="s">
        <v>24</v>
      </c>
      <c r="O19" s="25">
        <v>2015</v>
      </c>
      <c r="P19" s="25" t="s">
        <v>427</v>
      </c>
      <c r="Q19" s="25" t="s">
        <v>428</v>
      </c>
      <c r="R19" s="25" t="s">
        <v>476</v>
      </c>
      <c r="S19" s="25" t="s">
        <v>430</v>
      </c>
      <c r="T19" s="25" t="s">
        <v>430</v>
      </c>
      <c r="U19" s="25" t="s">
        <v>446</v>
      </c>
      <c r="V19" s="25" t="s">
        <v>586</v>
      </c>
      <c r="W19" s="25" t="s">
        <v>433</v>
      </c>
      <c r="X19" s="25" t="s">
        <v>434</v>
      </c>
      <c r="Y19" s="25" t="s">
        <v>430</v>
      </c>
      <c r="Z19" s="25" t="s">
        <v>430</v>
      </c>
      <c r="AA19" s="25">
        <v>209</v>
      </c>
      <c r="AB19" s="25" t="s">
        <v>582</v>
      </c>
      <c r="AC19" s="25" t="s">
        <v>436</v>
      </c>
      <c r="AD19" s="25" t="s">
        <v>430</v>
      </c>
      <c r="AE19" s="25" t="s">
        <v>430</v>
      </c>
      <c r="AF19" s="25" t="s">
        <v>437</v>
      </c>
      <c r="AG19" s="164">
        <v>42354</v>
      </c>
      <c r="AH19" s="25" t="s">
        <v>572</v>
      </c>
      <c r="AI19" s="25" t="s">
        <v>439</v>
      </c>
      <c r="AJ19" s="165">
        <v>44963.176388888889</v>
      </c>
      <c r="AK19" s="25" t="s">
        <v>440</v>
      </c>
      <c r="AL19" s="25" t="s">
        <v>441</v>
      </c>
      <c r="AM19" s="164">
        <v>42578</v>
      </c>
      <c r="AN19" s="164">
        <v>42354</v>
      </c>
      <c r="AO19" s="25" t="s">
        <v>140</v>
      </c>
      <c r="AP19" s="25" t="s">
        <v>430</v>
      </c>
      <c r="AQ19" s="25" t="s">
        <v>430</v>
      </c>
      <c r="AR19" s="25" t="s">
        <v>442</v>
      </c>
      <c r="AS19" s="25" t="s">
        <v>430</v>
      </c>
      <c r="AT19" s="25" t="s">
        <v>430</v>
      </c>
      <c r="AU19" s="25" t="s">
        <v>430</v>
      </c>
      <c r="AV19" s="25" t="s">
        <v>430</v>
      </c>
      <c r="AW19" s="25" t="s">
        <v>443</v>
      </c>
      <c r="AX19" s="25" t="s">
        <v>577</v>
      </c>
      <c r="AY19" s="25" t="s">
        <v>430</v>
      </c>
      <c r="AZ19" s="25" t="s">
        <v>430</v>
      </c>
      <c r="BA19" s="25" t="s">
        <v>430</v>
      </c>
      <c r="BB19" s="25" t="s">
        <v>430</v>
      </c>
      <c r="BC19" s="25" t="s">
        <v>430</v>
      </c>
      <c r="BD19" s="25">
        <v>34.85</v>
      </c>
      <c r="BE19" s="25">
        <v>6</v>
      </c>
      <c r="BF19" s="25" t="s">
        <v>430</v>
      </c>
      <c r="BG19" s="25" t="s">
        <v>430</v>
      </c>
      <c r="BH19" s="25" t="s">
        <v>486</v>
      </c>
      <c r="BI19" s="25" t="s">
        <v>446</v>
      </c>
      <c r="BJ19" s="25" t="s">
        <v>479</v>
      </c>
      <c r="BK19" s="25" t="s">
        <v>448</v>
      </c>
      <c r="BL19" s="25" t="s">
        <v>577</v>
      </c>
      <c r="BM19" s="25" t="s">
        <v>430</v>
      </c>
      <c r="BN19" s="25" t="s">
        <v>430</v>
      </c>
      <c r="BO19" s="25" t="s">
        <v>430</v>
      </c>
      <c r="BP19" s="25" t="s">
        <v>434</v>
      </c>
      <c r="BQ19" s="25" t="s">
        <v>449</v>
      </c>
      <c r="BR19" s="25" t="s">
        <v>450</v>
      </c>
      <c r="BS19" s="25" t="s">
        <v>430</v>
      </c>
      <c r="BT19" s="25">
        <v>32</v>
      </c>
      <c r="BU19" s="25" t="s">
        <v>430</v>
      </c>
      <c r="BV19" s="25" t="s">
        <v>430</v>
      </c>
      <c r="BW19" s="25" t="s">
        <v>574</v>
      </c>
      <c r="BX19" s="25" t="s">
        <v>430</v>
      </c>
      <c r="BY19" s="25" t="s">
        <v>430</v>
      </c>
      <c r="BZ19" s="25" t="s">
        <v>493</v>
      </c>
      <c r="CA19" s="25" t="s">
        <v>430</v>
      </c>
      <c r="CB19" s="25" t="s">
        <v>430</v>
      </c>
      <c r="CC19" s="25" t="s">
        <v>544</v>
      </c>
      <c r="CD19" s="25" t="s">
        <v>430</v>
      </c>
      <c r="CE19" s="25" t="s">
        <v>430</v>
      </c>
      <c r="CF19" s="25" t="s">
        <v>441</v>
      </c>
      <c r="CG19" s="25" t="s">
        <v>430</v>
      </c>
      <c r="CH19" s="25" t="s">
        <v>529</v>
      </c>
      <c r="CI19" s="25" t="s">
        <v>539</v>
      </c>
      <c r="CJ19" s="25" t="s">
        <v>454</v>
      </c>
      <c r="CK19" s="25" t="s">
        <v>455</v>
      </c>
      <c r="CL19" s="25" t="s">
        <v>472</v>
      </c>
      <c r="CM19" s="25" t="s">
        <v>430</v>
      </c>
      <c r="CN19" s="25" t="s">
        <v>457</v>
      </c>
      <c r="CO19" s="25" t="s">
        <v>430</v>
      </c>
      <c r="CP19" s="25" t="s">
        <v>430</v>
      </c>
      <c r="CQ19" s="25">
        <v>4</v>
      </c>
      <c r="CR19" s="25" t="s">
        <v>431</v>
      </c>
      <c r="CS19" s="25" t="s">
        <v>430</v>
      </c>
      <c r="CT19" s="25" t="s">
        <v>430</v>
      </c>
      <c r="CU19" s="25" t="s">
        <v>430</v>
      </c>
      <c r="CV19" s="25" t="s">
        <v>430</v>
      </c>
      <c r="CW19" s="25" t="s">
        <v>460</v>
      </c>
      <c r="CX19" s="25" t="s">
        <v>461</v>
      </c>
      <c r="CY19" s="165">
        <v>44963.177083333336</v>
      </c>
      <c r="CZ19" s="25" t="s">
        <v>430</v>
      </c>
      <c r="DA19" s="25" t="s">
        <v>430</v>
      </c>
      <c r="DB19" s="25">
        <v>34.85</v>
      </c>
      <c r="DC19" s="25" t="s">
        <v>430</v>
      </c>
      <c r="DD19" s="25" t="s">
        <v>434</v>
      </c>
      <c r="DE19" s="25" t="s">
        <v>430</v>
      </c>
      <c r="DF19" s="25" t="s">
        <v>430</v>
      </c>
      <c r="DG19" s="25" t="s">
        <v>462</v>
      </c>
      <c r="DH19" s="25" t="s">
        <v>431</v>
      </c>
      <c r="DI19" s="25" t="s">
        <v>463</v>
      </c>
      <c r="DJ19" s="25" t="s">
        <v>430</v>
      </c>
      <c r="DK19" s="25" t="s">
        <v>430</v>
      </c>
      <c r="DL19" s="25" t="s">
        <v>474</v>
      </c>
      <c r="DM19" s="25" t="s">
        <v>430</v>
      </c>
      <c r="DN19" s="25" t="s">
        <v>430</v>
      </c>
      <c r="DO19" s="25" t="s">
        <v>434</v>
      </c>
      <c r="DP19" s="25" t="s">
        <v>430</v>
      </c>
      <c r="DQ19" s="25" t="s">
        <v>430</v>
      </c>
      <c r="DR19" s="25" t="s">
        <v>465</v>
      </c>
      <c r="DS19" s="25" t="s">
        <v>466</v>
      </c>
      <c r="DT19" s="25" t="s">
        <v>466</v>
      </c>
      <c r="DU19" s="25" t="s">
        <v>431</v>
      </c>
      <c r="DV19" s="25">
        <v>1</v>
      </c>
      <c r="DW19" s="166">
        <v>15148408</v>
      </c>
      <c r="DX19" s="25">
        <v>4</v>
      </c>
      <c r="DY19" s="25">
        <v>43</v>
      </c>
      <c r="DZ19" s="166">
        <v>1014972</v>
      </c>
      <c r="EA19" s="25">
        <v>3</v>
      </c>
      <c r="EB19" s="25">
        <v>1</v>
      </c>
      <c r="EC19" s="25">
        <v>44</v>
      </c>
      <c r="ED19" s="25">
        <v>7</v>
      </c>
      <c r="EE19" s="25">
        <v>2</v>
      </c>
      <c r="EF19" s="25">
        <v>2</v>
      </c>
      <c r="EG19" s="25">
        <v>5</v>
      </c>
      <c r="EH19" s="25">
        <v>7</v>
      </c>
      <c r="EI19" s="25">
        <v>65</v>
      </c>
      <c r="EJ19" s="25">
        <v>0</v>
      </c>
      <c r="EK19" s="25">
        <v>0</v>
      </c>
      <c r="EL19" s="25">
        <v>8</v>
      </c>
      <c r="EM19" s="25">
        <v>5</v>
      </c>
      <c r="EN19" s="25">
        <v>1</v>
      </c>
      <c r="EO19" s="25">
        <v>1</v>
      </c>
      <c r="EP19" s="25">
        <v>1</v>
      </c>
      <c r="EQ19" s="25">
        <v>1</v>
      </c>
      <c r="ER19" s="25">
        <v>65</v>
      </c>
      <c r="ES19" s="25">
        <v>1</v>
      </c>
      <c r="ET19" s="25">
        <v>2</v>
      </c>
      <c r="EU19" s="25">
        <v>0</v>
      </c>
      <c r="EV19" s="25" t="s">
        <v>255</v>
      </c>
    </row>
    <row r="20" spans="12:152" x14ac:dyDescent="0.25">
      <c r="L20" s="25">
        <v>46.358576999999997</v>
      </c>
      <c r="M20" s="25">
        <v>-100.93542100000001</v>
      </c>
      <c r="N20" s="25" t="s">
        <v>24</v>
      </c>
      <c r="O20" s="25">
        <v>2016</v>
      </c>
      <c r="P20" s="25" t="s">
        <v>427</v>
      </c>
      <c r="Q20" s="25" t="s">
        <v>428</v>
      </c>
      <c r="R20" s="25" t="s">
        <v>429</v>
      </c>
      <c r="S20" s="25" t="s">
        <v>430</v>
      </c>
      <c r="T20" s="25" t="s">
        <v>430</v>
      </c>
      <c r="U20" s="25" t="s">
        <v>431</v>
      </c>
      <c r="V20" s="25" t="s">
        <v>432</v>
      </c>
      <c r="W20" s="25" t="s">
        <v>433</v>
      </c>
      <c r="X20" s="25" t="s">
        <v>434</v>
      </c>
      <c r="Y20" s="25" t="s">
        <v>430</v>
      </c>
      <c r="Z20" s="25" t="s">
        <v>430</v>
      </c>
      <c r="AA20" s="25">
        <v>139</v>
      </c>
      <c r="AB20" s="25" t="s">
        <v>524</v>
      </c>
      <c r="AC20" s="25" t="s">
        <v>436</v>
      </c>
      <c r="AD20" s="25" t="s">
        <v>430</v>
      </c>
      <c r="AE20" s="25" t="s">
        <v>430</v>
      </c>
      <c r="AF20" s="25" t="s">
        <v>437</v>
      </c>
      <c r="AG20" s="164">
        <v>42465</v>
      </c>
      <c r="AH20" s="25" t="s">
        <v>568</v>
      </c>
      <c r="AI20" s="25" t="s">
        <v>439</v>
      </c>
      <c r="AJ20" s="165">
        <v>44963.62777777778</v>
      </c>
      <c r="AK20" s="25" t="s">
        <v>440</v>
      </c>
      <c r="AL20" s="25" t="s">
        <v>441</v>
      </c>
      <c r="AM20" s="164">
        <v>42719</v>
      </c>
      <c r="AN20" s="164">
        <v>42465</v>
      </c>
      <c r="AO20" s="25" t="s">
        <v>141</v>
      </c>
      <c r="AP20" s="25" t="s">
        <v>430</v>
      </c>
      <c r="AQ20" s="25" t="s">
        <v>430</v>
      </c>
      <c r="AR20" s="25" t="s">
        <v>442</v>
      </c>
      <c r="AS20" s="25" t="s">
        <v>430</v>
      </c>
      <c r="AT20" s="25" t="s">
        <v>430</v>
      </c>
      <c r="AU20" s="25" t="s">
        <v>430</v>
      </c>
      <c r="AV20" s="25" t="s">
        <v>430</v>
      </c>
      <c r="AW20" s="25" t="s">
        <v>443</v>
      </c>
      <c r="AX20" s="25" t="s">
        <v>444</v>
      </c>
      <c r="AY20" s="25" t="s">
        <v>430</v>
      </c>
      <c r="AZ20" s="25" t="s">
        <v>430</v>
      </c>
      <c r="BA20" s="25" t="s">
        <v>430</v>
      </c>
      <c r="BB20" s="25" t="s">
        <v>430</v>
      </c>
      <c r="BC20" s="25" t="s">
        <v>430</v>
      </c>
      <c r="BD20" s="25">
        <v>34</v>
      </c>
      <c r="BE20" s="25">
        <v>6</v>
      </c>
      <c r="BF20" s="25" t="s">
        <v>430</v>
      </c>
      <c r="BG20" s="25" t="s">
        <v>430</v>
      </c>
      <c r="BH20" s="25" t="s">
        <v>445</v>
      </c>
      <c r="BI20" s="25" t="s">
        <v>446</v>
      </c>
      <c r="BJ20" s="25" t="s">
        <v>429</v>
      </c>
      <c r="BK20" s="25" t="s">
        <v>448</v>
      </c>
      <c r="BL20" s="25" t="s">
        <v>444</v>
      </c>
      <c r="BM20" s="25" t="s">
        <v>430</v>
      </c>
      <c r="BN20" s="25" t="s">
        <v>430</v>
      </c>
      <c r="BO20" s="25" t="s">
        <v>430</v>
      </c>
      <c r="BP20" s="25" t="s">
        <v>434</v>
      </c>
      <c r="BQ20" s="25" t="s">
        <v>449</v>
      </c>
      <c r="BR20" s="25" t="s">
        <v>450</v>
      </c>
      <c r="BS20" s="25" t="s">
        <v>430</v>
      </c>
      <c r="BT20" s="25" t="s">
        <v>430</v>
      </c>
      <c r="BU20" s="25" t="s">
        <v>430</v>
      </c>
      <c r="BV20" s="25" t="s">
        <v>430</v>
      </c>
      <c r="BW20" s="25" t="s">
        <v>430</v>
      </c>
      <c r="BX20" s="25" t="s">
        <v>430</v>
      </c>
      <c r="BY20" s="25" t="s">
        <v>430</v>
      </c>
      <c r="BZ20" s="25" t="s">
        <v>451</v>
      </c>
      <c r="CA20" s="25" t="s">
        <v>430</v>
      </c>
      <c r="CB20" s="25" t="s">
        <v>430</v>
      </c>
      <c r="CC20" s="25" t="s">
        <v>430</v>
      </c>
      <c r="CD20" s="25" t="s">
        <v>430</v>
      </c>
      <c r="CE20" s="25" t="s">
        <v>430</v>
      </c>
      <c r="CF20" s="25" t="s">
        <v>441</v>
      </c>
      <c r="CG20" s="25" t="s">
        <v>430</v>
      </c>
      <c r="CH20" s="25" t="s">
        <v>452</v>
      </c>
      <c r="CI20" s="25" t="s">
        <v>516</v>
      </c>
      <c r="CJ20" s="25" t="s">
        <v>454</v>
      </c>
      <c r="CK20" s="25" t="s">
        <v>455</v>
      </c>
      <c r="CL20" s="25" t="s">
        <v>472</v>
      </c>
      <c r="CM20" s="25" t="s">
        <v>430</v>
      </c>
      <c r="CN20" s="25" t="s">
        <v>457</v>
      </c>
      <c r="CO20" s="25" t="s">
        <v>430</v>
      </c>
      <c r="CP20" s="25" t="s">
        <v>430</v>
      </c>
      <c r="CQ20" s="25">
        <v>15</v>
      </c>
      <c r="CR20" s="25" t="s">
        <v>431</v>
      </c>
      <c r="CS20" s="25" t="s">
        <v>430</v>
      </c>
      <c r="CT20" s="25" t="s">
        <v>430</v>
      </c>
      <c r="CU20" s="25" t="s">
        <v>430</v>
      </c>
      <c r="CV20" s="25" t="s">
        <v>430</v>
      </c>
      <c r="CW20" s="25" t="s">
        <v>460</v>
      </c>
      <c r="CX20" s="25" t="s">
        <v>461</v>
      </c>
      <c r="CY20" s="165">
        <v>44963.628472222219</v>
      </c>
      <c r="CZ20" s="25" t="s">
        <v>430</v>
      </c>
      <c r="DA20" s="25" t="s">
        <v>430</v>
      </c>
      <c r="DB20" s="25">
        <v>34</v>
      </c>
      <c r="DC20" s="25" t="s">
        <v>430</v>
      </c>
      <c r="DD20" s="25" t="s">
        <v>434</v>
      </c>
      <c r="DE20" s="25" t="s">
        <v>430</v>
      </c>
      <c r="DF20" s="25" t="s">
        <v>430</v>
      </c>
      <c r="DG20" s="25" t="s">
        <v>462</v>
      </c>
      <c r="DH20" s="25" t="s">
        <v>431</v>
      </c>
      <c r="DI20" s="25" t="s">
        <v>463</v>
      </c>
      <c r="DJ20" s="25" t="s">
        <v>430</v>
      </c>
      <c r="DK20" s="25" t="s">
        <v>430</v>
      </c>
      <c r="DL20" s="25" t="s">
        <v>474</v>
      </c>
      <c r="DM20" s="25" t="s">
        <v>430</v>
      </c>
      <c r="DN20" s="25" t="s">
        <v>430</v>
      </c>
      <c r="DO20" s="25" t="s">
        <v>434</v>
      </c>
      <c r="DP20" s="25" t="s">
        <v>430</v>
      </c>
      <c r="DQ20" s="25" t="s">
        <v>430</v>
      </c>
      <c r="DR20" s="25" t="s">
        <v>465</v>
      </c>
      <c r="DS20" s="25" t="s">
        <v>466</v>
      </c>
      <c r="DT20" s="25" t="s">
        <v>466</v>
      </c>
      <c r="DU20" s="25" t="s">
        <v>431</v>
      </c>
      <c r="DV20" s="25">
        <v>1</v>
      </c>
      <c r="DW20" s="166">
        <v>16045602</v>
      </c>
      <c r="DX20" s="25">
        <v>4</v>
      </c>
      <c r="DY20" s="25">
        <v>43</v>
      </c>
      <c r="DZ20" s="166">
        <v>1023528</v>
      </c>
      <c r="EA20" s="25">
        <v>3</v>
      </c>
      <c r="EB20" s="25">
        <v>1</v>
      </c>
      <c r="EC20" s="25">
        <v>20</v>
      </c>
      <c r="ED20" s="25">
        <v>7</v>
      </c>
      <c r="EE20" s="25">
        <v>2</v>
      </c>
      <c r="EF20" s="25">
        <v>1</v>
      </c>
      <c r="EG20" s="25">
        <v>0</v>
      </c>
      <c r="EH20" s="25">
        <v>7</v>
      </c>
      <c r="EI20" s="25">
        <v>87</v>
      </c>
      <c r="EJ20" s="25">
        <v>0</v>
      </c>
      <c r="EK20" s="25">
        <v>0</v>
      </c>
      <c r="EL20" s="25">
        <v>1</v>
      </c>
      <c r="EM20" s="25">
        <v>1</v>
      </c>
      <c r="EN20" s="25">
        <v>1</v>
      </c>
      <c r="EO20" s="25">
        <v>1</v>
      </c>
      <c r="EP20" s="25">
        <v>1</v>
      </c>
      <c r="EQ20" s="25">
        <v>1</v>
      </c>
      <c r="ER20" s="25">
        <v>65</v>
      </c>
      <c r="ES20" s="25">
        <v>1</v>
      </c>
      <c r="ET20" s="25">
        <v>2</v>
      </c>
      <c r="EU20" s="25">
        <v>0</v>
      </c>
      <c r="EV20" s="25" t="s">
        <v>255</v>
      </c>
    </row>
    <row r="21" spans="12:152" x14ac:dyDescent="0.25">
      <c r="L21" s="25">
        <v>46.217283000000002</v>
      </c>
      <c r="M21" s="25">
        <v>-100.93951300000001</v>
      </c>
      <c r="N21" s="25" t="s">
        <v>24</v>
      </c>
      <c r="O21" s="25">
        <v>2016</v>
      </c>
      <c r="P21" s="25" t="s">
        <v>427</v>
      </c>
      <c r="Q21" s="25" t="s">
        <v>428</v>
      </c>
      <c r="R21" s="25" t="s">
        <v>429</v>
      </c>
      <c r="S21" s="25" t="s">
        <v>430</v>
      </c>
      <c r="T21" s="25" t="s">
        <v>430</v>
      </c>
      <c r="U21" s="25" t="s">
        <v>431</v>
      </c>
      <c r="V21" s="25" t="s">
        <v>432</v>
      </c>
      <c r="W21" s="25" t="s">
        <v>433</v>
      </c>
      <c r="X21" s="25" t="s">
        <v>434</v>
      </c>
      <c r="Y21" s="25" t="s">
        <v>430</v>
      </c>
      <c r="Z21" s="25" t="s">
        <v>430</v>
      </c>
      <c r="AA21" s="25">
        <v>139</v>
      </c>
      <c r="AB21" s="25" t="s">
        <v>524</v>
      </c>
      <c r="AC21" s="25" t="s">
        <v>436</v>
      </c>
      <c r="AD21" s="25" t="s">
        <v>430</v>
      </c>
      <c r="AE21" s="25" t="s">
        <v>430</v>
      </c>
      <c r="AF21" s="25" t="s">
        <v>437</v>
      </c>
      <c r="AG21" s="164">
        <v>42469</v>
      </c>
      <c r="AH21" s="25" t="s">
        <v>468</v>
      </c>
      <c r="AI21" s="25" t="s">
        <v>439</v>
      </c>
      <c r="AJ21" s="165">
        <v>44963.872916666667</v>
      </c>
      <c r="AK21" s="25" t="s">
        <v>440</v>
      </c>
      <c r="AL21" s="25" t="s">
        <v>441</v>
      </c>
      <c r="AM21" s="164">
        <v>42719</v>
      </c>
      <c r="AN21" s="164">
        <v>42469</v>
      </c>
      <c r="AO21" s="25" t="s">
        <v>140</v>
      </c>
      <c r="AP21" s="25" t="s">
        <v>430</v>
      </c>
      <c r="AQ21" s="25" t="s">
        <v>430</v>
      </c>
      <c r="AR21" s="25" t="s">
        <v>442</v>
      </c>
      <c r="AS21" s="25" t="s">
        <v>430</v>
      </c>
      <c r="AT21" s="25" t="s">
        <v>430</v>
      </c>
      <c r="AU21" s="25" t="s">
        <v>430</v>
      </c>
      <c r="AV21" s="25" t="s">
        <v>430</v>
      </c>
      <c r="AW21" s="25" t="s">
        <v>443</v>
      </c>
      <c r="AX21" s="25" t="s">
        <v>577</v>
      </c>
      <c r="AY21" s="25" t="s">
        <v>430</v>
      </c>
      <c r="AZ21" s="25" t="s">
        <v>430</v>
      </c>
      <c r="BA21" s="25" t="s">
        <v>430</v>
      </c>
      <c r="BB21" s="25" t="s">
        <v>430</v>
      </c>
      <c r="BC21" s="25" t="s">
        <v>430</v>
      </c>
      <c r="BD21" s="25">
        <v>23.99</v>
      </c>
      <c r="BE21" s="25">
        <v>6</v>
      </c>
      <c r="BF21" s="25" t="s">
        <v>430</v>
      </c>
      <c r="BG21" s="25" t="s">
        <v>430</v>
      </c>
      <c r="BH21" s="25" t="s">
        <v>445</v>
      </c>
      <c r="BI21" s="25" t="s">
        <v>446</v>
      </c>
      <c r="BJ21" s="25" t="s">
        <v>479</v>
      </c>
      <c r="BK21" s="25" t="s">
        <v>448</v>
      </c>
      <c r="BL21" s="25" t="s">
        <v>577</v>
      </c>
      <c r="BM21" s="25" t="s">
        <v>430</v>
      </c>
      <c r="BN21" s="25" t="s">
        <v>430</v>
      </c>
      <c r="BO21" s="25" t="s">
        <v>430</v>
      </c>
      <c r="BP21" s="25" t="s">
        <v>434</v>
      </c>
      <c r="BQ21" s="25" t="s">
        <v>449</v>
      </c>
      <c r="BR21" s="25" t="s">
        <v>450</v>
      </c>
      <c r="BS21" s="25" t="s">
        <v>430</v>
      </c>
      <c r="BT21" s="25" t="s">
        <v>430</v>
      </c>
      <c r="BU21" s="25" t="s">
        <v>430</v>
      </c>
      <c r="BV21" s="25" t="s">
        <v>430</v>
      </c>
      <c r="BW21" s="25" t="s">
        <v>430</v>
      </c>
      <c r="BX21" s="25" t="s">
        <v>430</v>
      </c>
      <c r="BY21" s="25" t="s">
        <v>430</v>
      </c>
      <c r="BZ21" s="25" t="s">
        <v>451</v>
      </c>
      <c r="CA21" s="25" t="s">
        <v>430</v>
      </c>
      <c r="CB21" s="25" t="s">
        <v>430</v>
      </c>
      <c r="CC21" s="25" t="s">
        <v>430</v>
      </c>
      <c r="CD21" s="25" t="s">
        <v>430</v>
      </c>
      <c r="CE21" s="25" t="s">
        <v>430</v>
      </c>
      <c r="CF21" s="25" t="s">
        <v>441</v>
      </c>
      <c r="CG21" s="25" t="s">
        <v>430</v>
      </c>
      <c r="CH21" s="25" t="s">
        <v>452</v>
      </c>
      <c r="CI21" s="25" t="s">
        <v>539</v>
      </c>
      <c r="CJ21" s="25" t="s">
        <v>454</v>
      </c>
      <c r="CK21" s="25" t="s">
        <v>455</v>
      </c>
      <c r="CL21" s="25" t="s">
        <v>472</v>
      </c>
      <c r="CM21" s="25" t="s">
        <v>430</v>
      </c>
      <c r="CN21" s="25" t="s">
        <v>457</v>
      </c>
      <c r="CO21" s="25" t="s">
        <v>430</v>
      </c>
      <c r="CP21" s="25" t="s">
        <v>430</v>
      </c>
      <c r="CQ21" s="25">
        <v>20</v>
      </c>
      <c r="CR21" s="25" t="s">
        <v>431</v>
      </c>
      <c r="CS21" s="25" t="s">
        <v>430</v>
      </c>
      <c r="CT21" s="25" t="s">
        <v>430</v>
      </c>
      <c r="CU21" s="25" t="s">
        <v>430</v>
      </c>
      <c r="CV21" s="25" t="s">
        <v>430</v>
      </c>
      <c r="CW21" s="25" t="s">
        <v>460</v>
      </c>
      <c r="CX21" s="25" t="s">
        <v>461</v>
      </c>
      <c r="CY21" s="165">
        <v>44963.873611111114</v>
      </c>
      <c r="CZ21" s="25" t="s">
        <v>430</v>
      </c>
      <c r="DA21" s="25" t="s">
        <v>430</v>
      </c>
      <c r="DB21" s="25">
        <v>23.99</v>
      </c>
      <c r="DC21" s="25" t="s">
        <v>430</v>
      </c>
      <c r="DD21" s="25" t="s">
        <v>434</v>
      </c>
      <c r="DE21" s="25" t="s">
        <v>430</v>
      </c>
      <c r="DF21" s="25" t="s">
        <v>430</v>
      </c>
      <c r="DG21" s="25" t="s">
        <v>462</v>
      </c>
      <c r="DH21" s="25" t="s">
        <v>431</v>
      </c>
      <c r="DI21" s="25" t="s">
        <v>463</v>
      </c>
      <c r="DJ21" s="25" t="s">
        <v>430</v>
      </c>
      <c r="DK21" s="25" t="s">
        <v>430</v>
      </c>
      <c r="DL21" s="25" t="s">
        <v>474</v>
      </c>
      <c r="DM21" s="25" t="s">
        <v>430</v>
      </c>
      <c r="DN21" s="25" t="s">
        <v>430</v>
      </c>
      <c r="DO21" s="25" t="s">
        <v>434</v>
      </c>
      <c r="DP21" s="25" t="s">
        <v>430</v>
      </c>
      <c r="DQ21" s="25" t="s">
        <v>430</v>
      </c>
      <c r="DR21" s="25" t="s">
        <v>465</v>
      </c>
      <c r="DS21" s="25" t="s">
        <v>466</v>
      </c>
      <c r="DT21" s="25" t="s">
        <v>466</v>
      </c>
      <c r="DU21" s="25" t="s">
        <v>431</v>
      </c>
      <c r="DV21" s="25">
        <v>1</v>
      </c>
      <c r="DW21" s="166">
        <v>16048147</v>
      </c>
      <c r="DX21" s="25">
        <v>4</v>
      </c>
      <c r="DY21" s="25">
        <v>43</v>
      </c>
      <c r="DZ21" s="166">
        <v>1023530</v>
      </c>
      <c r="EA21" s="25">
        <v>3</v>
      </c>
      <c r="EB21" s="25">
        <v>1</v>
      </c>
      <c r="EC21" s="25">
        <v>44</v>
      </c>
      <c r="ED21" s="25">
        <v>7</v>
      </c>
      <c r="EE21" s="25">
        <v>2</v>
      </c>
      <c r="EF21" s="25">
        <v>1</v>
      </c>
      <c r="EG21" s="25">
        <v>5</v>
      </c>
      <c r="EH21" s="25">
        <v>7</v>
      </c>
      <c r="EI21" s="25">
        <v>88</v>
      </c>
      <c r="EJ21" s="25">
        <v>0</v>
      </c>
      <c r="EK21" s="25">
        <v>0</v>
      </c>
      <c r="EL21" s="25">
        <v>1</v>
      </c>
      <c r="EM21" s="25">
        <v>5</v>
      </c>
      <c r="EN21" s="25">
        <v>1</v>
      </c>
      <c r="EO21" s="25">
        <v>1</v>
      </c>
      <c r="EP21" s="25">
        <v>1</v>
      </c>
      <c r="EQ21" s="25">
        <v>1</v>
      </c>
      <c r="ER21" s="25">
        <v>65</v>
      </c>
      <c r="ES21" s="25">
        <v>1</v>
      </c>
      <c r="ET21" s="25">
        <v>2</v>
      </c>
      <c r="EU21" s="25">
        <v>0</v>
      </c>
      <c r="EV21" s="25" t="s">
        <v>255</v>
      </c>
    </row>
    <row r="22" spans="12:152" x14ac:dyDescent="0.25">
      <c r="L22" s="25">
        <v>46.188631999999998</v>
      </c>
      <c r="M22" s="25">
        <v>-100.939719</v>
      </c>
      <c r="N22" s="25" t="s">
        <v>24</v>
      </c>
      <c r="O22" s="25">
        <v>2016</v>
      </c>
      <c r="P22" s="25" t="s">
        <v>427</v>
      </c>
      <c r="Q22" s="25" t="s">
        <v>428</v>
      </c>
      <c r="R22" s="25" t="s">
        <v>504</v>
      </c>
      <c r="S22" s="25" t="s">
        <v>482</v>
      </c>
      <c r="T22" s="25" t="s">
        <v>430</v>
      </c>
      <c r="U22" s="25" t="s">
        <v>431</v>
      </c>
      <c r="V22" s="25" t="s">
        <v>432</v>
      </c>
      <c r="W22" s="25" t="s">
        <v>433</v>
      </c>
      <c r="X22" s="25" t="s">
        <v>505</v>
      </c>
      <c r="Y22" s="25" t="s">
        <v>434</v>
      </c>
      <c r="Z22" s="25" t="s">
        <v>430</v>
      </c>
      <c r="AA22" s="25">
        <v>139</v>
      </c>
      <c r="AB22" s="25" t="s">
        <v>524</v>
      </c>
      <c r="AC22" s="25" t="s">
        <v>436</v>
      </c>
      <c r="AD22" s="25" t="s">
        <v>436</v>
      </c>
      <c r="AE22" s="25" t="s">
        <v>430</v>
      </c>
      <c r="AF22" s="25" t="s">
        <v>437</v>
      </c>
      <c r="AG22" s="164">
        <v>42603</v>
      </c>
      <c r="AH22" s="25" t="s">
        <v>525</v>
      </c>
      <c r="AI22" s="25" t="s">
        <v>439</v>
      </c>
      <c r="AJ22" s="165">
        <v>44963.843055555553</v>
      </c>
      <c r="AK22" s="25" t="s">
        <v>440</v>
      </c>
      <c r="AL22" s="25" t="s">
        <v>441</v>
      </c>
      <c r="AM22" s="164">
        <v>42769</v>
      </c>
      <c r="AN22" s="164">
        <v>42603</v>
      </c>
      <c r="AO22" s="25" t="s">
        <v>141</v>
      </c>
      <c r="AP22" s="25" t="s">
        <v>141</v>
      </c>
      <c r="AQ22" s="25" t="s">
        <v>430</v>
      </c>
      <c r="AR22" s="25" t="s">
        <v>442</v>
      </c>
      <c r="AS22" s="25" t="s">
        <v>442</v>
      </c>
      <c r="AT22" s="25" t="s">
        <v>430</v>
      </c>
      <c r="AU22" s="25" t="s">
        <v>430</v>
      </c>
      <c r="AV22" s="25" t="s">
        <v>430</v>
      </c>
      <c r="AW22" s="25" t="s">
        <v>443</v>
      </c>
      <c r="AX22" s="25" t="s">
        <v>469</v>
      </c>
      <c r="AY22" s="25" t="s">
        <v>430</v>
      </c>
      <c r="AZ22" s="25" t="s">
        <v>430</v>
      </c>
      <c r="BA22" s="25" t="s">
        <v>430</v>
      </c>
      <c r="BB22" s="25" t="s">
        <v>430</v>
      </c>
      <c r="BC22" s="25" t="s">
        <v>430</v>
      </c>
      <c r="BD22" s="25">
        <v>22.01</v>
      </c>
      <c r="BE22" s="25">
        <v>6</v>
      </c>
      <c r="BF22" s="25" t="s">
        <v>430</v>
      </c>
      <c r="BG22" s="25" t="s">
        <v>430</v>
      </c>
      <c r="BH22" s="25" t="s">
        <v>486</v>
      </c>
      <c r="BI22" s="25" t="s">
        <v>431</v>
      </c>
      <c r="BJ22" s="25" t="s">
        <v>447</v>
      </c>
      <c r="BK22" s="25" t="s">
        <v>526</v>
      </c>
      <c r="BL22" s="25" t="s">
        <v>469</v>
      </c>
      <c r="BM22" s="25" t="s">
        <v>469</v>
      </c>
      <c r="BN22" s="25" t="s">
        <v>430</v>
      </c>
      <c r="BO22" s="25" t="s">
        <v>430</v>
      </c>
      <c r="BP22" s="25" t="s">
        <v>434</v>
      </c>
      <c r="BQ22" s="25" t="s">
        <v>449</v>
      </c>
      <c r="BR22" s="25" t="s">
        <v>450</v>
      </c>
      <c r="BS22" s="25" t="s">
        <v>430</v>
      </c>
      <c r="BT22" s="25">
        <v>29</v>
      </c>
      <c r="BU22" s="25">
        <v>54</v>
      </c>
      <c r="BV22" s="25" t="s">
        <v>430</v>
      </c>
      <c r="BW22" s="25" t="s">
        <v>527</v>
      </c>
      <c r="BX22" s="25" t="s">
        <v>528</v>
      </c>
      <c r="BY22" s="25" t="s">
        <v>430</v>
      </c>
      <c r="BZ22" s="25" t="s">
        <v>493</v>
      </c>
      <c r="CA22" s="25" t="s">
        <v>433</v>
      </c>
      <c r="CB22" s="25" t="s">
        <v>430</v>
      </c>
      <c r="CC22" s="25" t="s">
        <v>481</v>
      </c>
      <c r="CD22" s="25" t="s">
        <v>481</v>
      </c>
      <c r="CE22" s="25" t="s">
        <v>430</v>
      </c>
      <c r="CF22" s="25" t="s">
        <v>441</v>
      </c>
      <c r="CG22" s="25" t="s">
        <v>430</v>
      </c>
      <c r="CH22" s="25" t="s">
        <v>529</v>
      </c>
      <c r="CI22" s="25" t="s">
        <v>453</v>
      </c>
      <c r="CJ22" s="25" t="s">
        <v>454</v>
      </c>
      <c r="CK22" s="25" t="s">
        <v>455</v>
      </c>
      <c r="CL22" s="25" t="s">
        <v>472</v>
      </c>
      <c r="CM22" s="25" t="s">
        <v>430</v>
      </c>
      <c r="CN22" s="25" t="s">
        <v>457</v>
      </c>
      <c r="CO22" s="25" t="s">
        <v>457</v>
      </c>
      <c r="CP22" s="25" t="s">
        <v>430</v>
      </c>
      <c r="CQ22" s="25">
        <v>20</v>
      </c>
      <c r="CR22" s="25" t="s">
        <v>431</v>
      </c>
      <c r="CS22" s="25">
        <v>65</v>
      </c>
      <c r="CT22" s="25" t="s">
        <v>430</v>
      </c>
      <c r="CU22" s="25" t="s">
        <v>430</v>
      </c>
      <c r="CV22" s="25" t="s">
        <v>430</v>
      </c>
      <c r="CW22" s="25" t="s">
        <v>460</v>
      </c>
      <c r="CX22" s="25" t="s">
        <v>461</v>
      </c>
      <c r="CY22" s="165">
        <v>44963.84375</v>
      </c>
      <c r="CZ22" s="25" t="s">
        <v>430</v>
      </c>
      <c r="DA22" s="25" t="s">
        <v>430</v>
      </c>
      <c r="DB22" s="25">
        <v>22.01</v>
      </c>
      <c r="DC22" s="25" t="s">
        <v>430</v>
      </c>
      <c r="DD22" s="25" t="s">
        <v>434</v>
      </c>
      <c r="DE22" s="25" t="s">
        <v>434</v>
      </c>
      <c r="DF22" s="25" t="s">
        <v>430</v>
      </c>
      <c r="DG22" s="25" t="s">
        <v>462</v>
      </c>
      <c r="DH22" s="25" t="s">
        <v>431</v>
      </c>
      <c r="DI22" s="25" t="s">
        <v>463</v>
      </c>
      <c r="DJ22" s="25" t="s">
        <v>473</v>
      </c>
      <c r="DK22" s="25" t="s">
        <v>430</v>
      </c>
      <c r="DL22" s="25" t="s">
        <v>464</v>
      </c>
      <c r="DM22" s="25" t="s">
        <v>464</v>
      </c>
      <c r="DN22" s="25" t="s">
        <v>430</v>
      </c>
      <c r="DO22" s="25" t="s">
        <v>434</v>
      </c>
      <c r="DP22" s="25" t="s">
        <v>434</v>
      </c>
      <c r="DQ22" s="25" t="s">
        <v>430</v>
      </c>
      <c r="DR22" s="25" t="s">
        <v>465</v>
      </c>
      <c r="DS22" s="25" t="s">
        <v>466</v>
      </c>
      <c r="DT22" s="25" t="s">
        <v>466</v>
      </c>
      <c r="DU22" s="25" t="s">
        <v>431</v>
      </c>
      <c r="DV22" s="25">
        <v>1</v>
      </c>
      <c r="DW22" s="166">
        <v>16115137</v>
      </c>
      <c r="DX22" s="25">
        <v>4</v>
      </c>
      <c r="DY22" s="25">
        <v>43</v>
      </c>
      <c r="DZ22" s="166">
        <v>1028262</v>
      </c>
      <c r="EA22" s="25">
        <v>3</v>
      </c>
      <c r="EB22" s="25">
        <v>1</v>
      </c>
      <c r="EC22" s="25">
        <v>1</v>
      </c>
      <c r="ED22" s="25">
        <v>7</v>
      </c>
      <c r="EE22" s="25">
        <v>2</v>
      </c>
      <c r="EF22" s="25">
        <v>2</v>
      </c>
      <c r="EG22" s="25">
        <v>1</v>
      </c>
      <c r="EH22" s="25">
        <v>4</v>
      </c>
      <c r="EI22" s="25">
        <v>101</v>
      </c>
      <c r="EJ22" s="25">
        <v>0</v>
      </c>
      <c r="EK22" s="25">
        <v>0</v>
      </c>
      <c r="EL22" s="25">
        <v>8</v>
      </c>
      <c r="EM22" s="25">
        <v>0</v>
      </c>
      <c r="EN22" s="25">
        <v>1</v>
      </c>
      <c r="EO22" s="25">
        <v>1</v>
      </c>
      <c r="EP22" s="25">
        <v>1</v>
      </c>
      <c r="EQ22" s="25">
        <v>1</v>
      </c>
      <c r="ER22" s="25">
        <v>65</v>
      </c>
      <c r="ES22" s="25">
        <v>1</v>
      </c>
      <c r="ET22" s="25">
        <v>2</v>
      </c>
      <c r="EU22" s="25">
        <v>0</v>
      </c>
      <c r="EV22" s="25" t="s">
        <v>255</v>
      </c>
    </row>
    <row r="23" spans="12:152" x14ac:dyDescent="0.25">
      <c r="L23" s="25">
        <v>46.246169000000002</v>
      </c>
      <c r="M23" s="25">
        <v>-100.940012</v>
      </c>
      <c r="N23" s="25" t="s">
        <v>24</v>
      </c>
      <c r="O23" s="25">
        <v>2016</v>
      </c>
      <c r="P23" s="25" t="s">
        <v>427</v>
      </c>
      <c r="Q23" s="25" t="s">
        <v>428</v>
      </c>
      <c r="R23" s="25" t="s">
        <v>482</v>
      </c>
      <c r="S23" s="25" t="s">
        <v>430</v>
      </c>
      <c r="T23" s="25" t="s">
        <v>430</v>
      </c>
      <c r="U23" s="25" t="s">
        <v>431</v>
      </c>
      <c r="V23" s="25" t="s">
        <v>432</v>
      </c>
      <c r="W23" s="25" t="s">
        <v>433</v>
      </c>
      <c r="X23" s="25" t="s">
        <v>434</v>
      </c>
      <c r="Y23" s="25" t="s">
        <v>430</v>
      </c>
      <c r="Z23" s="25" t="s">
        <v>430</v>
      </c>
      <c r="AA23" s="25">
        <v>139</v>
      </c>
      <c r="AB23" s="25" t="s">
        <v>524</v>
      </c>
      <c r="AC23" s="25" t="s">
        <v>436</v>
      </c>
      <c r="AD23" s="25" t="s">
        <v>430</v>
      </c>
      <c r="AE23" s="25" t="s">
        <v>430</v>
      </c>
      <c r="AF23" s="25" t="s">
        <v>437</v>
      </c>
      <c r="AG23" s="164">
        <v>42657</v>
      </c>
      <c r="AH23" s="25" t="s">
        <v>515</v>
      </c>
      <c r="AI23" s="25" t="s">
        <v>439</v>
      </c>
      <c r="AJ23" s="165">
        <v>44963.647916666669</v>
      </c>
      <c r="AK23" s="25" t="s">
        <v>440</v>
      </c>
      <c r="AL23" s="25" t="s">
        <v>441</v>
      </c>
      <c r="AM23" s="164">
        <v>42775</v>
      </c>
      <c r="AN23" s="164">
        <v>42657</v>
      </c>
      <c r="AO23" s="25" t="s">
        <v>141</v>
      </c>
      <c r="AP23" s="25" t="s">
        <v>430</v>
      </c>
      <c r="AQ23" s="25" t="s">
        <v>430</v>
      </c>
      <c r="AR23" s="25" t="s">
        <v>442</v>
      </c>
      <c r="AS23" s="25" t="s">
        <v>430</v>
      </c>
      <c r="AT23" s="25" t="s">
        <v>430</v>
      </c>
      <c r="AU23" s="25" t="s">
        <v>430</v>
      </c>
      <c r="AV23" s="25" t="s">
        <v>430</v>
      </c>
      <c r="AW23" s="25" t="s">
        <v>443</v>
      </c>
      <c r="AX23" s="25" t="s">
        <v>444</v>
      </c>
      <c r="AY23" s="25" t="s">
        <v>430</v>
      </c>
      <c r="AZ23" s="25" t="s">
        <v>430</v>
      </c>
      <c r="BA23" s="25" t="s">
        <v>430</v>
      </c>
      <c r="BB23" s="25" t="s">
        <v>430</v>
      </c>
      <c r="BC23" s="25" t="s">
        <v>430</v>
      </c>
      <c r="BD23" s="25">
        <v>25.99</v>
      </c>
      <c r="BE23" s="25">
        <v>6</v>
      </c>
      <c r="BF23" s="25" t="s">
        <v>430</v>
      </c>
      <c r="BG23" s="25" t="s">
        <v>430</v>
      </c>
      <c r="BH23" s="25" t="s">
        <v>445</v>
      </c>
      <c r="BI23" s="25" t="s">
        <v>446</v>
      </c>
      <c r="BJ23" s="25" t="s">
        <v>447</v>
      </c>
      <c r="BK23" s="25" t="s">
        <v>448</v>
      </c>
      <c r="BL23" s="25" t="s">
        <v>444</v>
      </c>
      <c r="BM23" s="25" t="s">
        <v>430</v>
      </c>
      <c r="BN23" s="25" t="s">
        <v>430</v>
      </c>
      <c r="BO23" s="25" t="s">
        <v>430</v>
      </c>
      <c r="BP23" s="25" t="s">
        <v>434</v>
      </c>
      <c r="BQ23" s="25" t="s">
        <v>449</v>
      </c>
      <c r="BR23" s="25" t="s">
        <v>450</v>
      </c>
      <c r="BS23" s="25" t="s">
        <v>430</v>
      </c>
      <c r="BT23" s="25">
        <v>65</v>
      </c>
      <c r="BU23" s="25" t="s">
        <v>430</v>
      </c>
      <c r="BV23" s="25" t="s">
        <v>430</v>
      </c>
      <c r="BW23" s="25" t="s">
        <v>519</v>
      </c>
      <c r="BX23" s="25" t="s">
        <v>430</v>
      </c>
      <c r="BY23" s="25" t="s">
        <v>430</v>
      </c>
      <c r="BZ23" s="25" t="s">
        <v>433</v>
      </c>
      <c r="CA23" s="25" t="s">
        <v>430</v>
      </c>
      <c r="CB23" s="25" t="s">
        <v>430</v>
      </c>
      <c r="CC23" s="25" t="s">
        <v>481</v>
      </c>
      <c r="CD23" s="25" t="s">
        <v>430</v>
      </c>
      <c r="CE23" s="25" t="s">
        <v>430</v>
      </c>
      <c r="CF23" s="25" t="s">
        <v>441</v>
      </c>
      <c r="CG23" s="25" t="s">
        <v>430</v>
      </c>
      <c r="CH23" s="25" t="s">
        <v>452</v>
      </c>
      <c r="CI23" s="25" t="s">
        <v>516</v>
      </c>
      <c r="CJ23" s="25" t="s">
        <v>454</v>
      </c>
      <c r="CK23" s="25" t="s">
        <v>455</v>
      </c>
      <c r="CL23" s="25" t="s">
        <v>472</v>
      </c>
      <c r="CM23" s="25" t="s">
        <v>430</v>
      </c>
      <c r="CN23" s="25" t="s">
        <v>457</v>
      </c>
      <c r="CO23" s="25" t="s">
        <v>430</v>
      </c>
      <c r="CP23" s="25" t="s">
        <v>430</v>
      </c>
      <c r="CQ23" s="25">
        <v>15</v>
      </c>
      <c r="CR23" s="25" t="s">
        <v>431</v>
      </c>
      <c r="CS23" s="25" t="s">
        <v>430</v>
      </c>
      <c r="CT23" s="25" t="s">
        <v>430</v>
      </c>
      <c r="CU23" s="25" t="s">
        <v>430</v>
      </c>
      <c r="CV23" s="25" t="s">
        <v>430</v>
      </c>
      <c r="CW23" s="25" t="s">
        <v>460</v>
      </c>
      <c r="CX23" s="25" t="s">
        <v>461</v>
      </c>
      <c r="CY23" s="165">
        <v>44963.648611111108</v>
      </c>
      <c r="CZ23" s="25" t="s">
        <v>430</v>
      </c>
      <c r="DA23" s="25" t="s">
        <v>430</v>
      </c>
      <c r="DB23" s="25">
        <v>25.99</v>
      </c>
      <c r="DC23" s="25" t="s">
        <v>430</v>
      </c>
      <c r="DD23" s="25" t="s">
        <v>434</v>
      </c>
      <c r="DE23" s="25" t="s">
        <v>430</v>
      </c>
      <c r="DF23" s="25" t="s">
        <v>430</v>
      </c>
      <c r="DG23" s="25" t="s">
        <v>462</v>
      </c>
      <c r="DH23" s="25" t="s">
        <v>431</v>
      </c>
      <c r="DI23" s="25" t="s">
        <v>463</v>
      </c>
      <c r="DJ23" s="25" t="s">
        <v>430</v>
      </c>
      <c r="DK23" s="25" t="s">
        <v>430</v>
      </c>
      <c r="DL23" s="25" t="s">
        <v>474</v>
      </c>
      <c r="DM23" s="25" t="s">
        <v>430</v>
      </c>
      <c r="DN23" s="25" t="s">
        <v>430</v>
      </c>
      <c r="DO23" s="25" t="s">
        <v>434</v>
      </c>
      <c r="DP23" s="25" t="s">
        <v>430</v>
      </c>
      <c r="DQ23" s="25" t="s">
        <v>430</v>
      </c>
      <c r="DR23" s="25" t="s">
        <v>465</v>
      </c>
      <c r="DS23" s="25" t="s">
        <v>466</v>
      </c>
      <c r="DT23" s="25" t="s">
        <v>466</v>
      </c>
      <c r="DU23" s="25" t="s">
        <v>431</v>
      </c>
      <c r="DV23" s="25">
        <v>1</v>
      </c>
      <c r="DW23" s="166">
        <v>16140669</v>
      </c>
      <c r="DX23" s="25">
        <v>4</v>
      </c>
      <c r="DY23" s="25">
        <v>43</v>
      </c>
      <c r="DZ23" s="166">
        <v>1028747</v>
      </c>
      <c r="EA23" s="25">
        <v>3</v>
      </c>
      <c r="EB23" s="25">
        <v>1</v>
      </c>
      <c r="EC23" s="25">
        <v>20</v>
      </c>
      <c r="ED23" s="25">
        <v>7</v>
      </c>
      <c r="EE23" s="25">
        <v>2</v>
      </c>
      <c r="EF23" s="25">
        <v>1</v>
      </c>
      <c r="EG23" s="25">
        <v>1</v>
      </c>
      <c r="EH23" s="25">
        <v>7</v>
      </c>
      <c r="EI23" s="25">
        <v>108</v>
      </c>
      <c r="EJ23" s="25">
        <v>0</v>
      </c>
      <c r="EK23" s="25">
        <v>0</v>
      </c>
      <c r="EL23" s="25">
        <v>1</v>
      </c>
      <c r="EM23" s="25">
        <v>1</v>
      </c>
      <c r="EN23" s="25">
        <v>1</v>
      </c>
      <c r="EO23" s="25">
        <v>1</v>
      </c>
      <c r="EP23" s="25">
        <v>1</v>
      </c>
      <c r="EQ23" s="25">
        <v>1</v>
      </c>
      <c r="ER23" s="25">
        <v>65</v>
      </c>
      <c r="ES23" s="25">
        <v>1</v>
      </c>
      <c r="ET23" s="25">
        <v>2</v>
      </c>
      <c r="EU23" s="25">
        <v>0</v>
      </c>
      <c r="EV23" s="25" t="s">
        <v>255</v>
      </c>
    </row>
    <row r="48" s="167" customFormat="1" ht="15.75" thickBot="1" x14ac:dyDescent="0.3"/>
    <row r="49" spans="3:152" ht="15.75" thickTop="1" x14ac:dyDescent="0.25"/>
    <row r="50" spans="3:152" ht="21" x14ac:dyDescent="0.35">
      <c r="C50" s="285" t="s">
        <v>687</v>
      </c>
    </row>
    <row r="52" spans="3:152" x14ac:dyDescent="0.25">
      <c r="L52" s="1" t="s">
        <v>285</v>
      </c>
    </row>
    <row r="53" spans="3:152" x14ac:dyDescent="0.25">
      <c r="L53" s="25" t="s">
        <v>247</v>
      </c>
      <c r="M53" s="26" t="s">
        <v>248</v>
      </c>
      <c r="N53" s="26" t="s">
        <v>249</v>
      </c>
      <c r="O53" s="26" t="s">
        <v>191</v>
      </c>
      <c r="P53" s="26" t="s">
        <v>53</v>
      </c>
    </row>
    <row r="54" spans="3:152" x14ac:dyDescent="0.25">
      <c r="L54" s="25" t="s">
        <v>258</v>
      </c>
      <c r="M54" s="26">
        <v>1</v>
      </c>
      <c r="N54" s="146">
        <v>37936</v>
      </c>
      <c r="O54" s="147">
        <f>N54/5280</f>
        <v>7.1848484848484846</v>
      </c>
      <c r="P54" s="146">
        <v>140</v>
      </c>
    </row>
    <row r="55" spans="3:152" x14ac:dyDescent="0.25">
      <c r="L55" s="25" t="s">
        <v>258</v>
      </c>
      <c r="M55" s="26">
        <v>2</v>
      </c>
      <c r="N55" s="146">
        <v>31373</v>
      </c>
      <c r="O55" s="147">
        <f>N55/5280</f>
        <v>5.9418560606060602</v>
      </c>
      <c r="P55" s="146">
        <v>260</v>
      </c>
    </row>
    <row r="56" spans="3:152" x14ac:dyDescent="0.25">
      <c r="L56" s="25" t="s">
        <v>258</v>
      </c>
      <c r="M56" s="26">
        <v>3</v>
      </c>
      <c r="N56" s="146">
        <v>10557</v>
      </c>
      <c r="O56" s="147">
        <f>N56/5280</f>
        <v>1.9994318181818183</v>
      </c>
      <c r="P56" s="146">
        <v>305</v>
      </c>
    </row>
    <row r="57" spans="3:152" x14ac:dyDescent="0.25">
      <c r="L57" s="25" t="s">
        <v>258</v>
      </c>
      <c r="M57" s="26">
        <v>4</v>
      </c>
      <c r="N57" s="146">
        <v>36148</v>
      </c>
      <c r="O57" s="147">
        <f>N57/5280</f>
        <v>6.8462121212121216</v>
      </c>
      <c r="P57" s="146">
        <v>1875</v>
      </c>
    </row>
    <row r="58" spans="3:152" x14ac:dyDescent="0.25">
      <c r="L58" s="25" t="s">
        <v>258</v>
      </c>
      <c r="M58" s="26">
        <v>5</v>
      </c>
      <c r="N58" s="146">
        <v>46289</v>
      </c>
      <c r="O58" s="147">
        <f>N58/5280</f>
        <v>8.7668560606060613</v>
      </c>
      <c r="P58" s="146">
        <v>1835</v>
      </c>
    </row>
    <row r="59" spans="3:152" x14ac:dyDescent="0.25">
      <c r="O59" s="2" t="s">
        <v>251</v>
      </c>
      <c r="P59" s="148">
        <f>SUMPRODUCT(O54:O58,P54:P58)</f>
        <v>32084.416666666668</v>
      </c>
    </row>
    <row r="60" spans="3:152" x14ac:dyDescent="0.25">
      <c r="O60" s="2" t="s">
        <v>252</v>
      </c>
      <c r="P60" s="148">
        <f>P59*365</f>
        <v>11710812.083333334</v>
      </c>
    </row>
    <row r="62" spans="3:152" x14ac:dyDescent="0.25">
      <c r="L62" s="1" t="s">
        <v>286</v>
      </c>
    </row>
    <row r="63" spans="3:152" x14ac:dyDescent="0.25">
      <c r="L63" s="25" t="s">
        <v>287</v>
      </c>
      <c r="M63" s="25" t="s">
        <v>288</v>
      </c>
      <c r="N63" s="25" t="s">
        <v>289</v>
      </c>
      <c r="O63" s="25" t="s">
        <v>290</v>
      </c>
      <c r="P63" s="25" t="s">
        <v>291</v>
      </c>
      <c r="Q63" s="25" t="s">
        <v>292</v>
      </c>
      <c r="R63" s="25" t="s">
        <v>293</v>
      </c>
      <c r="S63" s="25" t="s">
        <v>294</v>
      </c>
      <c r="T63" s="25" t="s">
        <v>295</v>
      </c>
      <c r="U63" s="25" t="s">
        <v>296</v>
      </c>
      <c r="V63" s="25" t="s">
        <v>297</v>
      </c>
      <c r="W63" s="25" t="s">
        <v>298</v>
      </c>
      <c r="X63" s="25" t="s">
        <v>299</v>
      </c>
      <c r="Y63" s="25" t="s">
        <v>300</v>
      </c>
      <c r="Z63" s="25" t="s">
        <v>301</v>
      </c>
      <c r="AA63" s="25" t="s">
        <v>302</v>
      </c>
      <c r="AB63" s="25" t="s">
        <v>303</v>
      </c>
      <c r="AC63" s="25" t="s">
        <v>304</v>
      </c>
      <c r="AD63" s="25" t="s">
        <v>305</v>
      </c>
      <c r="AE63" s="25" t="s">
        <v>306</v>
      </c>
      <c r="AF63" s="25" t="s">
        <v>307</v>
      </c>
      <c r="AG63" s="25" t="s">
        <v>308</v>
      </c>
      <c r="AH63" s="25" t="s">
        <v>309</v>
      </c>
      <c r="AI63" s="25" t="s">
        <v>310</v>
      </c>
      <c r="AJ63" s="25" t="s">
        <v>311</v>
      </c>
      <c r="AK63" s="25" t="s">
        <v>312</v>
      </c>
      <c r="AL63" s="25" t="s">
        <v>313</v>
      </c>
      <c r="AM63" s="25" t="s">
        <v>314</v>
      </c>
      <c r="AN63" s="25" t="s">
        <v>315</v>
      </c>
      <c r="AO63" s="25" t="s">
        <v>316</v>
      </c>
      <c r="AP63" s="25" t="s">
        <v>317</v>
      </c>
      <c r="AQ63" s="25" t="s">
        <v>318</v>
      </c>
      <c r="AR63" s="25" t="s">
        <v>319</v>
      </c>
      <c r="AS63" s="25" t="s">
        <v>320</v>
      </c>
      <c r="AT63" s="25" t="s">
        <v>321</v>
      </c>
      <c r="AU63" s="25" t="s">
        <v>322</v>
      </c>
      <c r="AV63" s="25" t="s">
        <v>323</v>
      </c>
      <c r="AW63" s="25" t="s">
        <v>324</v>
      </c>
      <c r="AX63" s="25" t="s">
        <v>325</v>
      </c>
      <c r="AY63" s="25" t="s">
        <v>326</v>
      </c>
      <c r="AZ63" s="25" t="s">
        <v>327</v>
      </c>
      <c r="BA63" s="25" t="s">
        <v>328</v>
      </c>
      <c r="BB63" s="25" t="s">
        <v>329</v>
      </c>
      <c r="BC63" s="25" t="s">
        <v>330</v>
      </c>
      <c r="BD63" s="25" t="s">
        <v>331</v>
      </c>
      <c r="BE63" s="25" t="s">
        <v>332</v>
      </c>
      <c r="BF63" s="25" t="s">
        <v>333</v>
      </c>
      <c r="BG63" s="25" t="s">
        <v>334</v>
      </c>
      <c r="BH63" s="25" t="s">
        <v>335</v>
      </c>
      <c r="BI63" s="25" t="s">
        <v>336</v>
      </c>
      <c r="BJ63" s="25" t="s">
        <v>337</v>
      </c>
      <c r="BK63" s="25" t="s">
        <v>338</v>
      </c>
      <c r="BL63" s="25" t="s">
        <v>339</v>
      </c>
      <c r="BM63" s="25" t="s">
        <v>340</v>
      </c>
      <c r="BN63" s="25" t="s">
        <v>341</v>
      </c>
      <c r="BO63" s="25" t="s">
        <v>342</v>
      </c>
      <c r="BP63" s="25" t="s">
        <v>343</v>
      </c>
      <c r="BQ63" s="25" t="s">
        <v>344</v>
      </c>
      <c r="BR63" s="25" t="s">
        <v>345</v>
      </c>
      <c r="BS63" s="25" t="s">
        <v>346</v>
      </c>
      <c r="BT63" s="25" t="s">
        <v>347</v>
      </c>
      <c r="BU63" s="25" t="s">
        <v>348</v>
      </c>
      <c r="BV63" s="25" t="s">
        <v>349</v>
      </c>
      <c r="BW63" s="25" t="s">
        <v>350</v>
      </c>
      <c r="BX63" s="25" t="s">
        <v>351</v>
      </c>
      <c r="BY63" s="25" t="s">
        <v>352</v>
      </c>
      <c r="BZ63" s="25" t="s">
        <v>353</v>
      </c>
      <c r="CA63" s="25" t="s">
        <v>354</v>
      </c>
      <c r="CB63" s="25" t="s">
        <v>355</v>
      </c>
      <c r="CC63" s="25" t="s">
        <v>356</v>
      </c>
      <c r="CD63" s="25" t="s">
        <v>357</v>
      </c>
      <c r="CE63" s="25" t="s">
        <v>358</v>
      </c>
      <c r="CF63" s="25" t="s">
        <v>359</v>
      </c>
      <c r="CG63" s="25" t="s">
        <v>360</v>
      </c>
      <c r="CH63" s="25" t="s">
        <v>361</v>
      </c>
      <c r="CI63" s="25" t="s">
        <v>362</v>
      </c>
      <c r="CJ63" s="25" t="s">
        <v>363</v>
      </c>
      <c r="CK63" s="25" t="s">
        <v>364</v>
      </c>
      <c r="CL63" s="25" t="s">
        <v>365</v>
      </c>
      <c r="CM63" s="25" t="s">
        <v>366</v>
      </c>
      <c r="CN63" s="25" t="s">
        <v>367</v>
      </c>
      <c r="CO63" s="25" t="s">
        <v>368</v>
      </c>
      <c r="CP63" s="25" t="s">
        <v>369</v>
      </c>
      <c r="CQ63" s="25" t="s">
        <v>370</v>
      </c>
      <c r="CR63" s="25" t="s">
        <v>371</v>
      </c>
      <c r="CS63" s="25" t="s">
        <v>372</v>
      </c>
      <c r="CT63" s="25" t="s">
        <v>373</v>
      </c>
      <c r="CU63" s="25" t="s">
        <v>374</v>
      </c>
      <c r="CV63" s="25" t="s">
        <v>375</v>
      </c>
      <c r="CW63" s="25" t="s">
        <v>376</v>
      </c>
      <c r="CX63" s="25" t="s">
        <v>377</v>
      </c>
      <c r="CY63" s="25" t="s">
        <v>378</v>
      </c>
      <c r="CZ63" s="25" t="s">
        <v>379</v>
      </c>
      <c r="DA63" s="25" t="s">
        <v>380</v>
      </c>
      <c r="DB63" s="25" t="s">
        <v>381</v>
      </c>
      <c r="DC63" s="25" t="s">
        <v>382</v>
      </c>
      <c r="DD63" s="25" t="s">
        <v>383</v>
      </c>
      <c r="DE63" s="25" t="s">
        <v>384</v>
      </c>
      <c r="DF63" s="25" t="s">
        <v>385</v>
      </c>
      <c r="DG63" s="25" t="s">
        <v>386</v>
      </c>
      <c r="DH63" s="25" t="s">
        <v>387</v>
      </c>
      <c r="DI63" s="25" t="s">
        <v>388</v>
      </c>
      <c r="DJ63" s="25" t="s">
        <v>389</v>
      </c>
      <c r="DK63" s="25" t="s">
        <v>390</v>
      </c>
      <c r="DL63" s="25" t="s">
        <v>391</v>
      </c>
      <c r="DM63" s="25" t="s">
        <v>392</v>
      </c>
      <c r="DN63" s="25" t="s">
        <v>393</v>
      </c>
      <c r="DO63" s="25" t="s">
        <v>394</v>
      </c>
      <c r="DP63" s="25" t="s">
        <v>395</v>
      </c>
      <c r="DQ63" s="25" t="s">
        <v>396</v>
      </c>
      <c r="DR63" s="25" t="s">
        <v>397</v>
      </c>
      <c r="DS63" s="25" t="s">
        <v>398</v>
      </c>
      <c r="DT63" s="25" t="s">
        <v>399</v>
      </c>
      <c r="DU63" s="25" t="s">
        <v>400</v>
      </c>
      <c r="DV63" s="25" t="s">
        <v>401</v>
      </c>
      <c r="DW63" s="25" t="s">
        <v>402</v>
      </c>
      <c r="DX63" s="25" t="s">
        <v>403</v>
      </c>
      <c r="DY63" s="25" t="s">
        <v>404</v>
      </c>
      <c r="DZ63" s="25" t="s">
        <v>405</v>
      </c>
      <c r="EA63" s="25" t="s">
        <v>406</v>
      </c>
      <c r="EB63" s="25" t="s">
        <v>407</v>
      </c>
      <c r="EC63" s="25" t="s">
        <v>408</v>
      </c>
      <c r="ED63" s="25" t="s">
        <v>409</v>
      </c>
      <c r="EE63" s="25" t="s">
        <v>410</v>
      </c>
      <c r="EF63" s="25" t="s">
        <v>411</v>
      </c>
      <c r="EG63" s="25" t="s">
        <v>412</v>
      </c>
      <c r="EH63" s="25" t="s">
        <v>413</v>
      </c>
      <c r="EI63" s="25" t="s">
        <v>414</v>
      </c>
      <c r="EJ63" s="25" t="s">
        <v>415</v>
      </c>
      <c r="EK63" s="25" t="s">
        <v>416</v>
      </c>
      <c r="EL63" s="25" t="s">
        <v>417</v>
      </c>
      <c r="EM63" s="25" t="s">
        <v>418</v>
      </c>
      <c r="EN63" s="25" t="s">
        <v>419</v>
      </c>
      <c r="EO63" s="25" t="s">
        <v>420</v>
      </c>
      <c r="EP63" s="25" t="s">
        <v>421</v>
      </c>
      <c r="EQ63" s="25" t="s">
        <v>422</v>
      </c>
      <c r="ER63" s="25" t="s">
        <v>423</v>
      </c>
      <c r="ES63" s="25" t="s">
        <v>424</v>
      </c>
      <c r="ET63" s="25" t="s">
        <v>425</v>
      </c>
      <c r="EU63" s="25" t="s">
        <v>426</v>
      </c>
      <c r="EV63" s="25" t="s">
        <v>366</v>
      </c>
    </row>
    <row r="64" spans="3:152" x14ac:dyDescent="0.25">
      <c r="L64" s="25">
        <v>46.371240999999998</v>
      </c>
      <c r="M64" s="25">
        <v>-100.63266299999999</v>
      </c>
      <c r="N64" s="25" t="s">
        <v>587</v>
      </c>
      <c r="O64" s="25">
        <v>2017</v>
      </c>
      <c r="P64" s="25" t="s">
        <v>427</v>
      </c>
      <c r="Q64" s="25" t="s">
        <v>428</v>
      </c>
      <c r="R64" s="25" t="s">
        <v>429</v>
      </c>
      <c r="S64" s="25" t="s">
        <v>430</v>
      </c>
      <c r="T64" s="25" t="s">
        <v>430</v>
      </c>
      <c r="U64" s="25" t="s">
        <v>431</v>
      </c>
      <c r="V64" s="25" t="s">
        <v>432</v>
      </c>
      <c r="W64" s="25" t="s">
        <v>433</v>
      </c>
      <c r="X64" s="25" t="s">
        <v>434</v>
      </c>
      <c r="Y64" s="25" t="s">
        <v>430</v>
      </c>
      <c r="Z64" s="25" t="s">
        <v>430</v>
      </c>
      <c r="AA64" s="25">
        <v>360</v>
      </c>
      <c r="AB64" s="25" t="s">
        <v>491</v>
      </c>
      <c r="AC64" s="25" t="s">
        <v>436</v>
      </c>
      <c r="AD64" s="25" t="s">
        <v>430</v>
      </c>
      <c r="AE64" s="25" t="s">
        <v>430</v>
      </c>
      <c r="AF64" s="25" t="s">
        <v>437</v>
      </c>
      <c r="AG64" s="164">
        <v>42756</v>
      </c>
      <c r="AH64" s="25" t="s">
        <v>468</v>
      </c>
      <c r="AI64" s="25">
        <v>10</v>
      </c>
      <c r="AJ64" s="165">
        <v>44844.447916666664</v>
      </c>
      <c r="AK64" s="25" t="s">
        <v>440</v>
      </c>
      <c r="AL64" s="25" t="s">
        <v>441</v>
      </c>
      <c r="AM64" s="164">
        <v>43705</v>
      </c>
      <c r="AN64" s="164">
        <v>42756</v>
      </c>
      <c r="AO64" s="25" t="s">
        <v>141</v>
      </c>
      <c r="AP64" s="25" t="s">
        <v>430</v>
      </c>
      <c r="AQ64" s="25" t="s">
        <v>430</v>
      </c>
      <c r="AR64" s="25" t="s">
        <v>442</v>
      </c>
      <c r="AS64" s="25" t="s">
        <v>430</v>
      </c>
      <c r="AT64" s="25" t="s">
        <v>430</v>
      </c>
      <c r="AU64" s="25" t="s">
        <v>430</v>
      </c>
      <c r="AV64" s="25">
        <v>41</v>
      </c>
      <c r="AW64" s="25" t="s">
        <v>443</v>
      </c>
      <c r="AX64" s="25" t="s">
        <v>444</v>
      </c>
      <c r="AY64" s="25" t="s">
        <v>430</v>
      </c>
      <c r="AZ64" s="25" t="s">
        <v>430</v>
      </c>
      <c r="BA64" s="25" t="s">
        <v>430</v>
      </c>
      <c r="BB64" s="25" t="s">
        <v>430</v>
      </c>
      <c r="BC64" s="25" t="s">
        <v>430</v>
      </c>
      <c r="BD64" s="25">
        <v>30</v>
      </c>
      <c r="BE64" s="25">
        <v>24</v>
      </c>
      <c r="BF64" s="25" t="s">
        <v>430</v>
      </c>
      <c r="BG64" s="25" t="s">
        <v>430</v>
      </c>
      <c r="BH64" s="25" t="s">
        <v>486</v>
      </c>
      <c r="BI64" s="25" t="s">
        <v>446</v>
      </c>
      <c r="BJ64" s="25" t="s">
        <v>429</v>
      </c>
      <c r="BK64" s="25" t="s">
        <v>448</v>
      </c>
      <c r="BL64" s="25" t="s">
        <v>444</v>
      </c>
      <c r="BM64" s="25" t="s">
        <v>430</v>
      </c>
      <c r="BN64" s="25" t="s">
        <v>430</v>
      </c>
      <c r="BO64" s="25">
        <v>1</v>
      </c>
      <c r="BP64" s="25" t="s">
        <v>434</v>
      </c>
      <c r="BQ64" s="25" t="s">
        <v>449</v>
      </c>
      <c r="BR64" s="25" t="s">
        <v>450</v>
      </c>
      <c r="BS64" s="25" t="s">
        <v>430</v>
      </c>
      <c r="BT64" s="25">
        <v>56</v>
      </c>
      <c r="BU64" s="25" t="s">
        <v>430</v>
      </c>
      <c r="BV64" s="25" t="s">
        <v>430</v>
      </c>
      <c r="BW64" s="25" t="s">
        <v>588</v>
      </c>
      <c r="BX64" s="25" t="s">
        <v>430</v>
      </c>
      <c r="BY64" s="25" t="s">
        <v>430</v>
      </c>
      <c r="BZ64" s="25" t="s">
        <v>433</v>
      </c>
      <c r="CA64" s="25" t="s">
        <v>430</v>
      </c>
      <c r="CB64" s="25" t="s">
        <v>430</v>
      </c>
      <c r="CC64" s="25" t="s">
        <v>481</v>
      </c>
      <c r="CD64" s="25" t="s">
        <v>430</v>
      </c>
      <c r="CE64" s="25" t="s">
        <v>430</v>
      </c>
      <c r="CF64" s="25" t="s">
        <v>441</v>
      </c>
      <c r="CG64" s="25" t="s">
        <v>430</v>
      </c>
      <c r="CH64" s="25" t="s">
        <v>495</v>
      </c>
      <c r="CI64" s="25" t="s">
        <v>453</v>
      </c>
      <c r="CJ64" s="25" t="s">
        <v>454</v>
      </c>
      <c r="CK64" s="25" t="s">
        <v>455</v>
      </c>
      <c r="CL64" s="25" t="s">
        <v>472</v>
      </c>
      <c r="CM64" s="25" t="s">
        <v>430</v>
      </c>
      <c r="CN64" s="25" t="s">
        <v>457</v>
      </c>
      <c r="CO64" s="25" t="s">
        <v>430</v>
      </c>
      <c r="CP64" s="25" t="s">
        <v>430</v>
      </c>
      <c r="CQ64" s="25" t="s">
        <v>439</v>
      </c>
      <c r="CR64" s="25" t="s">
        <v>431</v>
      </c>
      <c r="CS64" s="25" t="s">
        <v>430</v>
      </c>
      <c r="CT64" s="25" t="s">
        <v>430</v>
      </c>
      <c r="CU64" s="25" t="s">
        <v>430</v>
      </c>
      <c r="CV64" s="25" t="s">
        <v>430</v>
      </c>
      <c r="CW64" s="25" t="s">
        <v>460</v>
      </c>
      <c r="CX64" s="25" t="s">
        <v>461</v>
      </c>
      <c r="CY64" s="165">
        <v>44844.448611111111</v>
      </c>
      <c r="CZ64" s="25" t="s">
        <v>430</v>
      </c>
      <c r="DA64" s="25" t="s">
        <v>430</v>
      </c>
      <c r="DB64" s="25">
        <v>30</v>
      </c>
      <c r="DC64" s="25" t="s">
        <v>430</v>
      </c>
      <c r="DD64" s="25" t="s">
        <v>434</v>
      </c>
      <c r="DE64" s="25" t="s">
        <v>430</v>
      </c>
      <c r="DF64" s="25" t="s">
        <v>430</v>
      </c>
      <c r="DG64" s="25" t="s">
        <v>462</v>
      </c>
      <c r="DH64" s="25" t="s">
        <v>431</v>
      </c>
      <c r="DI64" s="25" t="s">
        <v>473</v>
      </c>
      <c r="DJ64" s="25" t="s">
        <v>430</v>
      </c>
      <c r="DK64" s="25" t="s">
        <v>430</v>
      </c>
      <c r="DL64" s="25" t="s">
        <v>464</v>
      </c>
      <c r="DM64" s="25" t="s">
        <v>430</v>
      </c>
      <c r="DN64" s="25" t="s">
        <v>430</v>
      </c>
      <c r="DO64" s="25" t="s">
        <v>434</v>
      </c>
      <c r="DP64" s="25" t="s">
        <v>430</v>
      </c>
      <c r="DQ64" s="25" t="s">
        <v>430</v>
      </c>
      <c r="DR64" s="25" t="s">
        <v>465</v>
      </c>
      <c r="DS64" s="25" t="s">
        <v>466</v>
      </c>
      <c r="DT64" s="25" t="s">
        <v>466</v>
      </c>
      <c r="DU64" s="25" t="s">
        <v>431</v>
      </c>
      <c r="DV64" s="25">
        <v>1</v>
      </c>
      <c r="DW64" s="166">
        <v>17009551</v>
      </c>
      <c r="DX64" s="25">
        <v>4</v>
      </c>
      <c r="DY64" s="25">
        <v>43</v>
      </c>
      <c r="DZ64" s="166">
        <v>1082882</v>
      </c>
      <c r="EA64" s="25">
        <v>5</v>
      </c>
      <c r="EB64" s="25">
        <v>1</v>
      </c>
      <c r="EC64" s="25">
        <v>20</v>
      </c>
      <c r="ED64" s="25">
        <v>2</v>
      </c>
      <c r="EE64" s="25">
        <v>2</v>
      </c>
      <c r="EF64" s="25">
        <v>2</v>
      </c>
      <c r="EG64" s="25">
        <v>0</v>
      </c>
      <c r="EH64" s="25">
        <v>7</v>
      </c>
      <c r="EI64" s="166">
        <v>315958</v>
      </c>
      <c r="EJ64" s="25">
        <v>0</v>
      </c>
      <c r="EK64" s="25">
        <v>0</v>
      </c>
      <c r="EL64" s="25">
        <v>2</v>
      </c>
      <c r="EM64" s="25">
        <v>0</v>
      </c>
      <c r="EN64" s="25">
        <v>1</v>
      </c>
      <c r="EO64" s="25">
        <v>1</v>
      </c>
      <c r="EP64" s="25">
        <v>1</v>
      </c>
      <c r="EQ64" s="25">
        <v>1</v>
      </c>
      <c r="ER64" s="25">
        <v>65</v>
      </c>
      <c r="ES64" s="25">
        <v>1</v>
      </c>
      <c r="ET64" s="25">
        <v>2</v>
      </c>
      <c r="EU64" s="25">
        <v>0</v>
      </c>
      <c r="EV64" s="25" t="s">
        <v>257</v>
      </c>
    </row>
    <row r="65" spans="12:152" x14ac:dyDescent="0.25">
      <c r="L65" s="25">
        <v>46.166815</v>
      </c>
      <c r="M65" s="25">
        <v>-100.683474</v>
      </c>
      <c r="N65" s="25" t="s">
        <v>24</v>
      </c>
      <c r="O65" s="25">
        <v>2017</v>
      </c>
      <c r="P65" s="25" t="s">
        <v>427</v>
      </c>
      <c r="Q65" s="25" t="s">
        <v>428</v>
      </c>
      <c r="R65" s="25" t="s">
        <v>429</v>
      </c>
      <c r="S65" s="25" t="s">
        <v>430</v>
      </c>
      <c r="T65" s="25" t="s">
        <v>430</v>
      </c>
      <c r="U65" s="25" t="s">
        <v>431</v>
      </c>
      <c r="V65" s="25" t="s">
        <v>432</v>
      </c>
      <c r="W65" s="25" t="s">
        <v>433</v>
      </c>
      <c r="X65" s="25" t="s">
        <v>434</v>
      </c>
      <c r="Y65" s="25" t="s">
        <v>430</v>
      </c>
      <c r="Z65" s="25" t="s">
        <v>430</v>
      </c>
      <c r="AA65" s="25">
        <v>54</v>
      </c>
      <c r="AB65" s="25" t="s">
        <v>435</v>
      </c>
      <c r="AC65" s="25" t="s">
        <v>436</v>
      </c>
      <c r="AD65" s="25" t="s">
        <v>430</v>
      </c>
      <c r="AE65" s="25" t="s">
        <v>430</v>
      </c>
      <c r="AF65" s="25" t="s">
        <v>437</v>
      </c>
      <c r="AG65" s="164">
        <v>42777</v>
      </c>
      <c r="AH65" s="25" t="s">
        <v>468</v>
      </c>
      <c r="AI65" s="25">
        <v>9</v>
      </c>
      <c r="AJ65" s="165">
        <v>44844.388888888891</v>
      </c>
      <c r="AK65" s="25" t="s">
        <v>440</v>
      </c>
      <c r="AL65" s="25" t="s">
        <v>441</v>
      </c>
      <c r="AM65" s="164">
        <v>43706</v>
      </c>
      <c r="AN65" s="164">
        <v>42777</v>
      </c>
      <c r="AO65" s="25" t="s">
        <v>141</v>
      </c>
      <c r="AP65" s="25" t="s">
        <v>430</v>
      </c>
      <c r="AQ65" s="25" t="s">
        <v>430</v>
      </c>
      <c r="AR65" s="25" t="s">
        <v>442</v>
      </c>
      <c r="AS65" s="25" t="s">
        <v>430</v>
      </c>
      <c r="AT65" s="25" t="s">
        <v>430</v>
      </c>
      <c r="AU65" s="25" t="s">
        <v>430</v>
      </c>
      <c r="AV65" s="25" t="s">
        <v>430</v>
      </c>
      <c r="AW65" s="25" t="s">
        <v>443</v>
      </c>
      <c r="AX65" s="25" t="s">
        <v>444</v>
      </c>
      <c r="AY65" s="25" t="s">
        <v>430</v>
      </c>
      <c r="AZ65" s="25" t="s">
        <v>430</v>
      </c>
      <c r="BA65" s="25" t="s">
        <v>430</v>
      </c>
      <c r="BB65" s="25" t="s">
        <v>430</v>
      </c>
      <c r="BC65" s="25" t="s">
        <v>430</v>
      </c>
      <c r="BD65" s="25">
        <v>15</v>
      </c>
      <c r="BE65" s="25">
        <v>24</v>
      </c>
      <c r="BF65" s="25" t="s">
        <v>430</v>
      </c>
      <c r="BG65" s="25" t="s">
        <v>430</v>
      </c>
      <c r="BH65" s="25" t="s">
        <v>445</v>
      </c>
      <c r="BI65" s="25" t="s">
        <v>446</v>
      </c>
      <c r="BJ65" s="25" t="s">
        <v>429</v>
      </c>
      <c r="BK65" s="25" t="s">
        <v>448</v>
      </c>
      <c r="BL65" s="25" t="s">
        <v>444</v>
      </c>
      <c r="BM65" s="25" t="s">
        <v>430</v>
      </c>
      <c r="BN65" s="25" t="s">
        <v>430</v>
      </c>
      <c r="BO65" s="25">
        <v>0</v>
      </c>
      <c r="BP65" s="25" t="s">
        <v>434</v>
      </c>
      <c r="BQ65" s="25" t="s">
        <v>449</v>
      </c>
      <c r="BR65" s="25" t="s">
        <v>450</v>
      </c>
      <c r="BS65" s="25" t="s">
        <v>430</v>
      </c>
      <c r="BT65" s="25" t="s">
        <v>430</v>
      </c>
      <c r="BU65" s="25" t="s">
        <v>430</v>
      </c>
      <c r="BV65" s="25" t="s">
        <v>430</v>
      </c>
      <c r="BW65" s="25" t="s">
        <v>430</v>
      </c>
      <c r="BX65" s="25" t="s">
        <v>430</v>
      </c>
      <c r="BY65" s="25" t="s">
        <v>430</v>
      </c>
      <c r="BZ65" s="25" t="s">
        <v>451</v>
      </c>
      <c r="CA65" s="25" t="s">
        <v>430</v>
      </c>
      <c r="CB65" s="25" t="s">
        <v>430</v>
      </c>
      <c r="CC65" s="25" t="s">
        <v>430</v>
      </c>
      <c r="CD65" s="25" t="s">
        <v>430</v>
      </c>
      <c r="CE65" s="25" t="s">
        <v>430</v>
      </c>
      <c r="CF65" s="25" t="s">
        <v>441</v>
      </c>
      <c r="CG65" s="25" t="s">
        <v>430</v>
      </c>
      <c r="CH65" s="25" t="s">
        <v>452</v>
      </c>
      <c r="CI65" s="25" t="s">
        <v>453</v>
      </c>
      <c r="CJ65" s="25" t="s">
        <v>454</v>
      </c>
      <c r="CK65" s="25" t="s">
        <v>455</v>
      </c>
      <c r="CL65" s="25" t="s">
        <v>472</v>
      </c>
      <c r="CM65" s="25" t="s">
        <v>430</v>
      </c>
      <c r="CN65" s="25" t="s">
        <v>457</v>
      </c>
      <c r="CO65" s="25" t="s">
        <v>430</v>
      </c>
      <c r="CP65" s="25" t="s">
        <v>430</v>
      </c>
      <c r="CQ65" s="25" t="s">
        <v>439</v>
      </c>
      <c r="CR65" s="25" t="s">
        <v>431</v>
      </c>
      <c r="CS65" s="25" t="s">
        <v>430</v>
      </c>
      <c r="CT65" s="25" t="s">
        <v>430</v>
      </c>
      <c r="CU65" s="25" t="s">
        <v>430</v>
      </c>
      <c r="CV65" s="25" t="s">
        <v>430</v>
      </c>
      <c r="CW65" s="25" t="s">
        <v>460</v>
      </c>
      <c r="CX65" s="25" t="s">
        <v>461</v>
      </c>
      <c r="CY65" s="165">
        <v>44844.390972222223</v>
      </c>
      <c r="CZ65" s="25" t="s">
        <v>430</v>
      </c>
      <c r="DA65" s="25" t="s">
        <v>430</v>
      </c>
      <c r="DB65" s="25">
        <v>15</v>
      </c>
      <c r="DC65" s="25" t="s">
        <v>430</v>
      </c>
      <c r="DD65" s="25" t="s">
        <v>434</v>
      </c>
      <c r="DE65" s="25" t="s">
        <v>430</v>
      </c>
      <c r="DF65" s="25" t="s">
        <v>430</v>
      </c>
      <c r="DG65" s="25" t="s">
        <v>462</v>
      </c>
      <c r="DH65" s="25" t="s">
        <v>431</v>
      </c>
      <c r="DI65" s="25" t="s">
        <v>473</v>
      </c>
      <c r="DJ65" s="25" t="s">
        <v>430</v>
      </c>
      <c r="DK65" s="25" t="s">
        <v>430</v>
      </c>
      <c r="DL65" s="25" t="s">
        <v>464</v>
      </c>
      <c r="DM65" s="25" t="s">
        <v>430</v>
      </c>
      <c r="DN65" s="25" t="s">
        <v>430</v>
      </c>
      <c r="DO65" s="25" t="s">
        <v>434</v>
      </c>
      <c r="DP65" s="25" t="s">
        <v>430</v>
      </c>
      <c r="DQ65" s="25" t="s">
        <v>430</v>
      </c>
      <c r="DR65" s="25" t="s">
        <v>465</v>
      </c>
      <c r="DS65" s="25" t="s">
        <v>466</v>
      </c>
      <c r="DT65" s="25" t="s">
        <v>466</v>
      </c>
      <c r="DU65" s="25" t="s">
        <v>431</v>
      </c>
      <c r="DV65" s="25">
        <v>1</v>
      </c>
      <c r="DW65" s="166">
        <v>17019264</v>
      </c>
      <c r="DX65" s="25">
        <v>4</v>
      </c>
      <c r="DY65" s="25">
        <v>43</v>
      </c>
      <c r="DZ65" s="166">
        <v>1082938</v>
      </c>
      <c r="EA65" s="25">
        <v>3</v>
      </c>
      <c r="EB65" s="25">
        <v>1</v>
      </c>
      <c r="EC65" s="25">
        <v>20</v>
      </c>
      <c r="ED65" s="25">
        <v>6</v>
      </c>
      <c r="EE65" s="25">
        <v>2</v>
      </c>
      <c r="EF65" s="25">
        <v>1</v>
      </c>
      <c r="EG65" s="25">
        <v>0</v>
      </c>
      <c r="EH65" s="25">
        <v>7</v>
      </c>
      <c r="EI65" s="166">
        <v>316011</v>
      </c>
      <c r="EJ65" s="25">
        <v>0</v>
      </c>
      <c r="EK65" s="25">
        <v>0</v>
      </c>
      <c r="EL65" s="25">
        <v>1</v>
      </c>
      <c r="EM65" s="25">
        <v>0</v>
      </c>
      <c r="EN65" s="25">
        <v>1</v>
      </c>
      <c r="EO65" s="25">
        <v>1</v>
      </c>
      <c r="EP65" s="25">
        <v>1</v>
      </c>
      <c r="EQ65" s="25">
        <v>1</v>
      </c>
      <c r="ER65" s="25">
        <v>65</v>
      </c>
      <c r="ES65" s="25">
        <v>1</v>
      </c>
      <c r="ET65" s="25">
        <v>2</v>
      </c>
      <c r="EU65" s="25">
        <v>0</v>
      </c>
      <c r="EV65" s="25" t="s">
        <v>257</v>
      </c>
    </row>
    <row r="66" spans="12:152" x14ac:dyDescent="0.25">
      <c r="L66" s="25">
        <v>46.371301000000003</v>
      </c>
      <c r="M66" s="25">
        <v>-100.69386299999999</v>
      </c>
      <c r="N66" s="25" t="s">
        <v>512</v>
      </c>
      <c r="O66" s="25">
        <v>2017</v>
      </c>
      <c r="P66" s="25" t="s">
        <v>427</v>
      </c>
      <c r="Q66" s="25" t="s">
        <v>428</v>
      </c>
      <c r="R66" s="25" t="s">
        <v>429</v>
      </c>
      <c r="S66" s="25" t="s">
        <v>430</v>
      </c>
      <c r="T66" s="25" t="s">
        <v>430</v>
      </c>
      <c r="U66" s="25" t="s">
        <v>431</v>
      </c>
      <c r="V66" s="25" t="s">
        <v>432</v>
      </c>
      <c r="W66" s="25" t="s">
        <v>433</v>
      </c>
      <c r="X66" s="25" t="s">
        <v>560</v>
      </c>
      <c r="Y66" s="25" t="s">
        <v>430</v>
      </c>
      <c r="Z66" s="25" t="s">
        <v>430</v>
      </c>
      <c r="AA66" s="25">
        <v>209</v>
      </c>
      <c r="AB66" s="25" t="s">
        <v>582</v>
      </c>
      <c r="AC66" s="25" t="s">
        <v>436</v>
      </c>
      <c r="AD66" s="25" t="s">
        <v>430</v>
      </c>
      <c r="AE66" s="25" t="s">
        <v>430</v>
      </c>
      <c r="AF66" s="25" t="s">
        <v>437</v>
      </c>
      <c r="AG66" s="164">
        <v>42873</v>
      </c>
      <c r="AH66" s="25" t="s">
        <v>484</v>
      </c>
      <c r="AI66" s="25">
        <v>22</v>
      </c>
      <c r="AJ66" s="165">
        <v>44844.927083333336</v>
      </c>
      <c r="AK66" s="25" t="s">
        <v>440</v>
      </c>
      <c r="AL66" s="25" t="s">
        <v>441</v>
      </c>
      <c r="AM66" s="164">
        <v>43715</v>
      </c>
      <c r="AN66" s="164">
        <v>42873</v>
      </c>
      <c r="AO66" s="25" t="s">
        <v>141</v>
      </c>
      <c r="AP66" s="25" t="s">
        <v>430</v>
      </c>
      <c r="AQ66" s="25" t="s">
        <v>430</v>
      </c>
      <c r="AR66" s="25" t="s">
        <v>442</v>
      </c>
      <c r="AS66" s="25" t="s">
        <v>430</v>
      </c>
      <c r="AT66" s="25" t="s">
        <v>430</v>
      </c>
      <c r="AU66" s="25" t="s">
        <v>430</v>
      </c>
      <c r="AV66" s="25">
        <v>41</v>
      </c>
      <c r="AW66" s="25" t="s">
        <v>443</v>
      </c>
      <c r="AX66" s="25" t="s">
        <v>444</v>
      </c>
      <c r="AY66" s="25" t="s">
        <v>430</v>
      </c>
      <c r="AZ66" s="25" t="s">
        <v>430</v>
      </c>
      <c r="BA66" s="25" t="s">
        <v>430</v>
      </c>
      <c r="BB66" s="25" t="s">
        <v>430</v>
      </c>
      <c r="BC66" s="25" t="s">
        <v>430</v>
      </c>
      <c r="BD66" s="25">
        <v>32.92</v>
      </c>
      <c r="BE66" s="25">
        <v>24</v>
      </c>
      <c r="BF66" s="25" t="s">
        <v>430</v>
      </c>
      <c r="BG66" s="25" t="s">
        <v>430</v>
      </c>
      <c r="BH66" s="25" t="s">
        <v>445</v>
      </c>
      <c r="BI66" s="25" t="s">
        <v>446</v>
      </c>
      <c r="BJ66" s="25" t="s">
        <v>479</v>
      </c>
      <c r="BK66" s="25" t="s">
        <v>448</v>
      </c>
      <c r="BL66" s="25" t="s">
        <v>444</v>
      </c>
      <c r="BM66" s="25" t="s">
        <v>430</v>
      </c>
      <c r="BN66" s="25" t="s">
        <v>430</v>
      </c>
      <c r="BO66" s="25">
        <v>1</v>
      </c>
      <c r="BP66" s="25" t="s">
        <v>434</v>
      </c>
      <c r="BQ66" s="25" t="s">
        <v>449</v>
      </c>
      <c r="BR66" s="25" t="s">
        <v>450</v>
      </c>
      <c r="BS66" s="25" t="s">
        <v>430</v>
      </c>
      <c r="BT66" s="25">
        <v>25</v>
      </c>
      <c r="BU66" s="25" t="s">
        <v>430</v>
      </c>
      <c r="BV66" s="25" t="s">
        <v>430</v>
      </c>
      <c r="BW66" s="25" t="s">
        <v>589</v>
      </c>
      <c r="BX66" s="25" t="s">
        <v>430</v>
      </c>
      <c r="BY66" s="25" t="s">
        <v>430</v>
      </c>
      <c r="BZ66" s="25" t="s">
        <v>433</v>
      </c>
      <c r="CA66" s="25" t="s">
        <v>430</v>
      </c>
      <c r="CB66" s="25" t="s">
        <v>430</v>
      </c>
      <c r="CC66" s="25" t="s">
        <v>590</v>
      </c>
      <c r="CD66" s="25" t="s">
        <v>430</v>
      </c>
      <c r="CE66" s="25" t="s">
        <v>430</v>
      </c>
      <c r="CF66" s="25" t="s">
        <v>441</v>
      </c>
      <c r="CG66" s="25" t="s">
        <v>430</v>
      </c>
      <c r="CH66" s="25" t="s">
        <v>452</v>
      </c>
      <c r="CI66" s="25" t="s">
        <v>453</v>
      </c>
      <c r="CJ66" s="25" t="s">
        <v>454</v>
      </c>
      <c r="CK66" s="25" t="s">
        <v>455</v>
      </c>
      <c r="CL66" s="25" t="s">
        <v>472</v>
      </c>
      <c r="CM66" s="25" t="s">
        <v>430</v>
      </c>
      <c r="CN66" s="25" t="s">
        <v>457</v>
      </c>
      <c r="CO66" s="25" t="s">
        <v>430</v>
      </c>
      <c r="CP66" s="25" t="s">
        <v>430</v>
      </c>
      <c r="CQ66" s="25" t="s">
        <v>439</v>
      </c>
      <c r="CR66" s="25" t="s">
        <v>431</v>
      </c>
      <c r="CS66" s="25" t="s">
        <v>430</v>
      </c>
      <c r="CT66" s="25" t="s">
        <v>430</v>
      </c>
      <c r="CU66" s="25" t="s">
        <v>430</v>
      </c>
      <c r="CV66" s="25" t="s">
        <v>430</v>
      </c>
      <c r="CW66" s="25" t="s">
        <v>460</v>
      </c>
      <c r="CX66" s="25" t="s">
        <v>461</v>
      </c>
      <c r="CY66" s="165">
        <v>44844.929166666669</v>
      </c>
      <c r="CZ66" s="25" t="s">
        <v>430</v>
      </c>
      <c r="DA66" s="25" t="s">
        <v>430</v>
      </c>
      <c r="DB66" s="25">
        <v>32.92</v>
      </c>
      <c r="DC66" s="25" t="s">
        <v>430</v>
      </c>
      <c r="DD66" s="25" t="s">
        <v>434</v>
      </c>
      <c r="DE66" s="25" t="s">
        <v>430</v>
      </c>
      <c r="DF66" s="25" t="s">
        <v>430</v>
      </c>
      <c r="DG66" s="25" t="s">
        <v>462</v>
      </c>
      <c r="DH66" s="25" t="s">
        <v>431</v>
      </c>
      <c r="DI66" s="25" t="s">
        <v>473</v>
      </c>
      <c r="DJ66" s="25" t="s">
        <v>430</v>
      </c>
      <c r="DK66" s="25" t="s">
        <v>430</v>
      </c>
      <c r="DL66" s="25" t="s">
        <v>474</v>
      </c>
      <c r="DM66" s="25" t="s">
        <v>430</v>
      </c>
      <c r="DN66" s="25" t="s">
        <v>430</v>
      </c>
      <c r="DO66" s="25" t="s">
        <v>434</v>
      </c>
      <c r="DP66" s="25" t="s">
        <v>430</v>
      </c>
      <c r="DQ66" s="25" t="s">
        <v>430</v>
      </c>
      <c r="DR66" s="25" t="s">
        <v>465</v>
      </c>
      <c r="DS66" s="25" t="s">
        <v>466</v>
      </c>
      <c r="DT66" s="25" t="s">
        <v>466</v>
      </c>
      <c r="DU66" s="25" t="s">
        <v>431</v>
      </c>
      <c r="DV66" s="25">
        <v>1</v>
      </c>
      <c r="DW66" s="166">
        <v>17064327</v>
      </c>
      <c r="DX66" s="25">
        <v>4</v>
      </c>
      <c r="DY66" s="25">
        <v>43</v>
      </c>
      <c r="DZ66" s="166">
        <v>1083349</v>
      </c>
      <c r="EA66" s="25">
        <v>2</v>
      </c>
      <c r="EB66" s="25">
        <v>1</v>
      </c>
      <c r="EC66" s="25">
        <v>20</v>
      </c>
      <c r="ED66" s="25">
        <v>2</v>
      </c>
      <c r="EE66" s="25">
        <v>2</v>
      </c>
      <c r="EF66" s="25">
        <v>1</v>
      </c>
      <c r="EG66" s="25">
        <v>5</v>
      </c>
      <c r="EH66" s="25">
        <v>7</v>
      </c>
      <c r="EI66" s="166">
        <v>316406</v>
      </c>
      <c r="EJ66" s="25">
        <v>0</v>
      </c>
      <c r="EK66" s="25">
        <v>0</v>
      </c>
      <c r="EL66" s="25">
        <v>1</v>
      </c>
      <c r="EM66" s="25">
        <v>0</v>
      </c>
      <c r="EN66" s="25">
        <v>1</v>
      </c>
      <c r="EO66" s="25">
        <v>1</v>
      </c>
      <c r="EP66" s="25">
        <v>1</v>
      </c>
      <c r="EQ66" s="25">
        <v>1</v>
      </c>
      <c r="ER66" s="25">
        <v>65</v>
      </c>
      <c r="ES66" s="25">
        <v>1</v>
      </c>
      <c r="ET66" s="25">
        <v>2</v>
      </c>
      <c r="EU66" s="25">
        <v>0</v>
      </c>
      <c r="EV66" s="25" t="s">
        <v>257</v>
      </c>
    </row>
    <row r="67" spans="12:152" x14ac:dyDescent="0.25">
      <c r="L67" s="25">
        <v>46.371253000000003</v>
      </c>
      <c r="M67" s="25">
        <v>-100.630893</v>
      </c>
      <c r="N67" s="25" t="s">
        <v>591</v>
      </c>
      <c r="O67" s="25">
        <v>2017</v>
      </c>
      <c r="P67" s="25" t="s">
        <v>427</v>
      </c>
      <c r="Q67" s="25" t="s">
        <v>428</v>
      </c>
      <c r="R67" s="25" t="s">
        <v>429</v>
      </c>
      <c r="S67" s="25" t="s">
        <v>430</v>
      </c>
      <c r="T67" s="25" t="s">
        <v>430</v>
      </c>
      <c r="U67" s="25" t="s">
        <v>431</v>
      </c>
      <c r="V67" s="25" t="s">
        <v>432</v>
      </c>
      <c r="W67" s="25" t="s">
        <v>433</v>
      </c>
      <c r="X67" s="25" t="s">
        <v>434</v>
      </c>
      <c r="Y67" s="25" t="s">
        <v>430</v>
      </c>
      <c r="Z67" s="25" t="s">
        <v>430</v>
      </c>
      <c r="AA67" s="25" t="s">
        <v>430</v>
      </c>
      <c r="AB67" s="25" t="s">
        <v>430</v>
      </c>
      <c r="AC67" s="25" t="s">
        <v>551</v>
      </c>
      <c r="AD67" s="25" t="s">
        <v>430</v>
      </c>
      <c r="AE67" s="25" t="s">
        <v>430</v>
      </c>
      <c r="AF67" s="25" t="s">
        <v>437</v>
      </c>
      <c r="AG67" s="164">
        <v>42960</v>
      </c>
      <c r="AH67" s="25" t="s">
        <v>525</v>
      </c>
      <c r="AI67" s="25">
        <v>20</v>
      </c>
      <c r="AJ67" s="165">
        <v>44844.847916666666</v>
      </c>
      <c r="AK67" s="25" t="s">
        <v>440</v>
      </c>
      <c r="AL67" s="25" t="s">
        <v>441</v>
      </c>
      <c r="AM67" s="164">
        <v>43574</v>
      </c>
      <c r="AN67" s="164">
        <v>42960</v>
      </c>
      <c r="AO67" s="25" t="s">
        <v>506</v>
      </c>
      <c r="AP67" s="25" t="s">
        <v>430</v>
      </c>
      <c r="AQ67" s="25" t="s">
        <v>430</v>
      </c>
      <c r="AR67" s="25" t="s">
        <v>573</v>
      </c>
      <c r="AS67" s="25" t="s">
        <v>430</v>
      </c>
      <c r="AT67" s="25" t="s">
        <v>430</v>
      </c>
      <c r="AU67" s="25" t="s">
        <v>430</v>
      </c>
      <c r="AV67" s="25" t="s">
        <v>430</v>
      </c>
      <c r="AW67" s="25" t="s">
        <v>443</v>
      </c>
      <c r="AX67" s="25" t="s">
        <v>444</v>
      </c>
      <c r="AY67" s="25">
        <v>0</v>
      </c>
      <c r="AZ67" s="25" t="s">
        <v>430</v>
      </c>
      <c r="BA67" s="25">
        <v>0</v>
      </c>
      <c r="BB67" s="25" t="s">
        <v>430</v>
      </c>
      <c r="BC67" s="25" t="s">
        <v>430</v>
      </c>
      <c r="BD67" s="25">
        <v>29.914000000000001</v>
      </c>
      <c r="BE67" s="25">
        <v>24</v>
      </c>
      <c r="BF67" s="25" t="s">
        <v>430</v>
      </c>
      <c r="BG67" s="25" t="s">
        <v>430</v>
      </c>
      <c r="BH67" s="25" t="s">
        <v>486</v>
      </c>
      <c r="BI67" s="25" t="s">
        <v>446</v>
      </c>
      <c r="BJ67" s="25" t="s">
        <v>479</v>
      </c>
      <c r="BK67" s="25" t="s">
        <v>448</v>
      </c>
      <c r="BL67" s="25" t="s">
        <v>469</v>
      </c>
      <c r="BM67" s="25" t="s">
        <v>430</v>
      </c>
      <c r="BN67" s="25" t="s">
        <v>430</v>
      </c>
      <c r="BO67" s="25">
        <v>1</v>
      </c>
      <c r="BP67" s="25" t="s">
        <v>434</v>
      </c>
      <c r="BQ67" s="25" t="s">
        <v>592</v>
      </c>
      <c r="BR67" s="25" t="s">
        <v>593</v>
      </c>
      <c r="BS67" s="25">
        <v>2</v>
      </c>
      <c r="BT67" s="25">
        <v>36</v>
      </c>
      <c r="BU67" s="25" t="s">
        <v>430</v>
      </c>
      <c r="BV67" s="25" t="s">
        <v>430</v>
      </c>
      <c r="BW67" s="25" t="s">
        <v>594</v>
      </c>
      <c r="BX67" s="25" t="s">
        <v>430</v>
      </c>
      <c r="BY67" s="25" t="s">
        <v>430</v>
      </c>
      <c r="BZ67" s="25" t="s">
        <v>433</v>
      </c>
      <c r="CA67" s="25" t="s">
        <v>430</v>
      </c>
      <c r="CB67" s="25" t="s">
        <v>430</v>
      </c>
      <c r="CC67" s="25" t="s">
        <v>544</v>
      </c>
      <c r="CD67" s="25" t="s">
        <v>430</v>
      </c>
      <c r="CE67" s="25" t="s">
        <v>430</v>
      </c>
      <c r="CF67" s="25" t="s">
        <v>441</v>
      </c>
      <c r="CG67" s="25" t="s">
        <v>430</v>
      </c>
      <c r="CH67" s="25" t="s">
        <v>495</v>
      </c>
      <c r="CI67" s="25" t="s">
        <v>453</v>
      </c>
      <c r="CJ67" s="25" t="s">
        <v>537</v>
      </c>
      <c r="CK67" s="25" t="s">
        <v>455</v>
      </c>
      <c r="CL67" s="25" t="s">
        <v>472</v>
      </c>
      <c r="CM67" s="25" t="s">
        <v>430</v>
      </c>
      <c r="CN67" s="25" t="s">
        <v>523</v>
      </c>
      <c r="CO67" s="25" t="s">
        <v>430</v>
      </c>
      <c r="CP67" s="25" t="s">
        <v>430</v>
      </c>
      <c r="CQ67" s="25" t="s">
        <v>439</v>
      </c>
      <c r="CR67" s="25" t="s">
        <v>431</v>
      </c>
      <c r="CS67" s="25" t="s">
        <v>430</v>
      </c>
      <c r="CT67" s="25" t="s">
        <v>430</v>
      </c>
      <c r="CU67" s="25" t="s">
        <v>595</v>
      </c>
      <c r="CV67" s="25" t="s">
        <v>596</v>
      </c>
      <c r="CW67" s="25" t="s">
        <v>460</v>
      </c>
      <c r="CX67" s="25" t="s">
        <v>461</v>
      </c>
      <c r="CY67" s="165">
        <v>44844.848611111112</v>
      </c>
      <c r="CZ67" s="25" t="s">
        <v>430</v>
      </c>
      <c r="DA67" s="25" t="s">
        <v>430</v>
      </c>
      <c r="DB67" s="25">
        <v>29.914000000000001</v>
      </c>
      <c r="DC67" s="25" t="s">
        <v>430</v>
      </c>
      <c r="DD67" s="25" t="s">
        <v>500</v>
      </c>
      <c r="DE67" s="25" t="s">
        <v>430</v>
      </c>
      <c r="DF67" s="25" t="s">
        <v>430</v>
      </c>
      <c r="DG67" s="25" t="s">
        <v>462</v>
      </c>
      <c r="DH67" s="25" t="s">
        <v>446</v>
      </c>
      <c r="DI67" s="25" t="s">
        <v>473</v>
      </c>
      <c r="DJ67" s="25" t="s">
        <v>430</v>
      </c>
      <c r="DK67" s="25" t="s">
        <v>430</v>
      </c>
      <c r="DL67" s="25" t="s">
        <v>474</v>
      </c>
      <c r="DM67" s="25" t="s">
        <v>430</v>
      </c>
      <c r="DN67" s="25" t="s">
        <v>430</v>
      </c>
      <c r="DO67" s="25" t="s">
        <v>434</v>
      </c>
      <c r="DP67" s="25" t="s">
        <v>430</v>
      </c>
      <c r="DQ67" s="25" t="s">
        <v>430</v>
      </c>
      <c r="DR67" s="25" t="s">
        <v>465</v>
      </c>
      <c r="DS67" s="25" t="s">
        <v>466</v>
      </c>
      <c r="DT67" s="25" t="s">
        <v>466</v>
      </c>
      <c r="DU67" s="25" t="s">
        <v>431</v>
      </c>
      <c r="DV67" s="25">
        <v>1</v>
      </c>
      <c r="DW67" s="166">
        <v>2017001</v>
      </c>
      <c r="DX67" s="25">
        <v>4</v>
      </c>
      <c r="DY67" s="25">
        <v>43</v>
      </c>
      <c r="DZ67" s="166">
        <v>1052479</v>
      </c>
      <c r="EA67" s="25">
        <v>1</v>
      </c>
      <c r="EB67" s="25">
        <v>1</v>
      </c>
      <c r="EC67" s="25">
        <v>20</v>
      </c>
      <c r="ED67" s="25">
        <v>2</v>
      </c>
      <c r="EE67" s="25">
        <v>2</v>
      </c>
      <c r="EF67" s="25">
        <v>2</v>
      </c>
      <c r="EG67" s="25">
        <v>5</v>
      </c>
      <c r="EH67" s="25">
        <v>7</v>
      </c>
      <c r="EI67" s="166">
        <v>287517</v>
      </c>
      <c r="EJ67" s="25">
        <v>0</v>
      </c>
      <c r="EK67" s="25">
        <v>0</v>
      </c>
      <c r="EL67" s="25">
        <v>2</v>
      </c>
      <c r="EM67" s="25">
        <v>0</v>
      </c>
      <c r="EN67" s="25">
        <v>2</v>
      </c>
      <c r="EO67" s="25">
        <v>1</v>
      </c>
      <c r="EP67" s="25">
        <v>1</v>
      </c>
      <c r="EQ67" s="25">
        <v>1</v>
      </c>
      <c r="ER67" s="25">
        <v>55</v>
      </c>
      <c r="ES67" s="25">
        <v>1</v>
      </c>
      <c r="ET67" s="25">
        <v>2</v>
      </c>
      <c r="EU67" s="25">
        <v>0</v>
      </c>
      <c r="EV67" s="25" t="s">
        <v>257</v>
      </c>
    </row>
    <row r="68" spans="12:152" x14ac:dyDescent="0.25">
      <c r="L68" s="25">
        <v>46.246054000000001</v>
      </c>
      <c r="M68" s="25">
        <v>-100.648933</v>
      </c>
      <c r="N68" s="25" t="s">
        <v>475</v>
      </c>
      <c r="O68" s="25">
        <v>2017</v>
      </c>
      <c r="P68" s="25" t="s">
        <v>427</v>
      </c>
      <c r="Q68" s="25" t="s">
        <v>428</v>
      </c>
      <c r="R68" s="25" t="s">
        <v>482</v>
      </c>
      <c r="S68" s="25" t="s">
        <v>430</v>
      </c>
      <c r="T68" s="25" t="s">
        <v>430</v>
      </c>
      <c r="U68" s="25" t="s">
        <v>431</v>
      </c>
      <c r="V68" s="25" t="s">
        <v>432</v>
      </c>
      <c r="W68" s="25" t="s">
        <v>433</v>
      </c>
      <c r="X68" s="25" t="s">
        <v>434</v>
      </c>
      <c r="Y68" s="25" t="s">
        <v>430</v>
      </c>
      <c r="Z68" s="25" t="s">
        <v>430</v>
      </c>
      <c r="AA68" s="25">
        <v>54</v>
      </c>
      <c r="AB68" s="25" t="s">
        <v>435</v>
      </c>
      <c r="AC68" s="25" t="s">
        <v>426</v>
      </c>
      <c r="AD68" s="25" t="s">
        <v>430</v>
      </c>
      <c r="AE68" s="25" t="s">
        <v>430</v>
      </c>
      <c r="AF68" s="25" t="s">
        <v>437</v>
      </c>
      <c r="AG68" s="164">
        <v>43073</v>
      </c>
      <c r="AH68" s="25" t="s">
        <v>438</v>
      </c>
      <c r="AI68" s="25">
        <v>8</v>
      </c>
      <c r="AJ68" s="165">
        <v>44844.34375</v>
      </c>
      <c r="AK68" s="25" t="s">
        <v>440</v>
      </c>
      <c r="AL68" s="25" t="s">
        <v>441</v>
      </c>
      <c r="AM68" s="164">
        <v>43717</v>
      </c>
      <c r="AN68" s="164">
        <v>43073</v>
      </c>
      <c r="AO68" s="25" t="s">
        <v>141</v>
      </c>
      <c r="AP68" s="25" t="s">
        <v>430</v>
      </c>
      <c r="AQ68" s="25" t="s">
        <v>430</v>
      </c>
      <c r="AR68" s="25" t="s">
        <v>573</v>
      </c>
      <c r="AS68" s="25" t="s">
        <v>430</v>
      </c>
      <c r="AT68" s="25" t="s">
        <v>430</v>
      </c>
      <c r="AU68" s="25" t="s">
        <v>430</v>
      </c>
      <c r="AV68" s="25">
        <v>41</v>
      </c>
      <c r="AW68" s="25" t="s">
        <v>443</v>
      </c>
      <c r="AX68" s="25" t="s">
        <v>444</v>
      </c>
      <c r="AY68" s="25" t="s">
        <v>430</v>
      </c>
      <c r="AZ68" s="25" t="s">
        <v>430</v>
      </c>
      <c r="BA68" s="25" t="s">
        <v>430</v>
      </c>
      <c r="BB68" s="25" t="s">
        <v>430</v>
      </c>
      <c r="BC68" s="25" t="s">
        <v>430</v>
      </c>
      <c r="BD68" s="25">
        <v>21.03</v>
      </c>
      <c r="BE68" s="25">
        <v>24</v>
      </c>
      <c r="BF68" s="25" t="s">
        <v>430</v>
      </c>
      <c r="BG68" s="25" t="s">
        <v>430</v>
      </c>
      <c r="BH68" s="25" t="s">
        <v>445</v>
      </c>
      <c r="BI68" s="25" t="s">
        <v>446</v>
      </c>
      <c r="BJ68" s="25" t="s">
        <v>575</v>
      </c>
      <c r="BK68" s="25" t="s">
        <v>448</v>
      </c>
      <c r="BL68" s="25" t="s">
        <v>444</v>
      </c>
      <c r="BM68" s="25" t="s">
        <v>430</v>
      </c>
      <c r="BN68" s="25" t="s">
        <v>430</v>
      </c>
      <c r="BO68" s="25">
        <v>0</v>
      </c>
      <c r="BP68" s="25" t="s">
        <v>434</v>
      </c>
      <c r="BQ68" s="25" t="s">
        <v>449</v>
      </c>
      <c r="BR68" s="25" t="s">
        <v>450</v>
      </c>
      <c r="BS68" s="25" t="s">
        <v>430</v>
      </c>
      <c r="BT68" s="25" t="s">
        <v>430</v>
      </c>
      <c r="BU68" s="25" t="s">
        <v>430</v>
      </c>
      <c r="BV68" s="25" t="s">
        <v>430</v>
      </c>
      <c r="BW68" s="25" t="s">
        <v>588</v>
      </c>
      <c r="BX68" s="25" t="s">
        <v>430</v>
      </c>
      <c r="BY68" s="25" t="s">
        <v>430</v>
      </c>
      <c r="BZ68" s="25" t="s">
        <v>451</v>
      </c>
      <c r="CA68" s="25" t="s">
        <v>430</v>
      </c>
      <c r="CB68" s="25" t="s">
        <v>430</v>
      </c>
      <c r="CC68" s="25" t="s">
        <v>481</v>
      </c>
      <c r="CD68" s="25" t="s">
        <v>430</v>
      </c>
      <c r="CE68" s="25" t="s">
        <v>430</v>
      </c>
      <c r="CF68" s="25" t="s">
        <v>441</v>
      </c>
      <c r="CG68" s="25" t="s">
        <v>430</v>
      </c>
      <c r="CH68" s="25" t="s">
        <v>452</v>
      </c>
      <c r="CI68" s="25" t="s">
        <v>453</v>
      </c>
      <c r="CJ68" s="25" t="s">
        <v>454</v>
      </c>
      <c r="CK68" s="25" t="s">
        <v>455</v>
      </c>
      <c r="CL68" s="25" t="s">
        <v>517</v>
      </c>
      <c r="CM68" s="25" t="s">
        <v>430</v>
      </c>
      <c r="CN68" s="25" t="s">
        <v>457</v>
      </c>
      <c r="CO68" s="25" t="s">
        <v>430</v>
      </c>
      <c r="CP68" s="25" t="s">
        <v>430</v>
      </c>
      <c r="CQ68" s="25" t="s">
        <v>439</v>
      </c>
      <c r="CR68" s="25" t="s">
        <v>431</v>
      </c>
      <c r="CS68" s="25" t="s">
        <v>430</v>
      </c>
      <c r="CT68" s="25" t="s">
        <v>430</v>
      </c>
      <c r="CU68" s="25" t="s">
        <v>430</v>
      </c>
      <c r="CV68" s="25" t="s">
        <v>430</v>
      </c>
      <c r="CW68" s="25" t="s">
        <v>498</v>
      </c>
      <c r="CX68" s="25" t="s">
        <v>461</v>
      </c>
      <c r="CY68" s="165">
        <v>44844.344444444447</v>
      </c>
      <c r="CZ68" s="25" t="s">
        <v>430</v>
      </c>
      <c r="DA68" s="25" t="s">
        <v>430</v>
      </c>
      <c r="DB68" s="25">
        <v>21.03</v>
      </c>
      <c r="DC68" s="25" t="s">
        <v>430</v>
      </c>
      <c r="DD68" s="25" t="s">
        <v>434</v>
      </c>
      <c r="DE68" s="25" t="s">
        <v>430</v>
      </c>
      <c r="DF68" s="25" t="s">
        <v>430</v>
      </c>
      <c r="DG68" s="25" t="s">
        <v>462</v>
      </c>
      <c r="DH68" s="25" t="s">
        <v>431</v>
      </c>
      <c r="DI68" s="25" t="s">
        <v>473</v>
      </c>
      <c r="DJ68" s="25" t="s">
        <v>430</v>
      </c>
      <c r="DK68" s="25" t="s">
        <v>430</v>
      </c>
      <c r="DL68" s="25" t="s">
        <v>474</v>
      </c>
      <c r="DM68" s="25" t="s">
        <v>430</v>
      </c>
      <c r="DN68" s="25" t="s">
        <v>430</v>
      </c>
      <c r="DO68" s="25" t="s">
        <v>434</v>
      </c>
      <c r="DP68" s="25" t="s">
        <v>430</v>
      </c>
      <c r="DQ68" s="25" t="s">
        <v>430</v>
      </c>
      <c r="DR68" s="25" t="s">
        <v>518</v>
      </c>
      <c r="DS68" s="25" t="s">
        <v>466</v>
      </c>
      <c r="DT68" s="25" t="s">
        <v>466</v>
      </c>
      <c r="DU68" s="25" t="s">
        <v>431</v>
      </c>
      <c r="DV68" s="25">
        <v>1</v>
      </c>
      <c r="DW68" s="166">
        <v>17155433</v>
      </c>
      <c r="DX68" s="25">
        <v>4</v>
      </c>
      <c r="DY68" s="25">
        <v>43</v>
      </c>
      <c r="DZ68" s="166">
        <v>1083460</v>
      </c>
      <c r="EA68" s="25">
        <v>4</v>
      </c>
      <c r="EB68" s="25">
        <v>1</v>
      </c>
      <c r="EC68" s="25">
        <v>20</v>
      </c>
      <c r="ED68" s="25">
        <v>6</v>
      </c>
      <c r="EE68" s="25">
        <v>2</v>
      </c>
      <c r="EF68" s="25">
        <v>1</v>
      </c>
      <c r="EG68" s="25">
        <v>2</v>
      </c>
      <c r="EH68" s="25">
        <v>7</v>
      </c>
      <c r="EI68" s="166">
        <v>316513</v>
      </c>
      <c r="EJ68" s="25">
        <v>0</v>
      </c>
      <c r="EK68" s="25">
        <v>0</v>
      </c>
      <c r="EL68" s="25">
        <v>1</v>
      </c>
      <c r="EM68" s="25">
        <v>0</v>
      </c>
      <c r="EN68" s="25">
        <v>1</v>
      </c>
      <c r="EO68" s="25">
        <v>1</v>
      </c>
      <c r="EP68" s="25">
        <v>2</v>
      </c>
      <c r="EQ68" s="25">
        <v>1</v>
      </c>
      <c r="ER68" s="25">
        <v>65</v>
      </c>
      <c r="ES68" s="25">
        <v>6</v>
      </c>
      <c r="ET68" s="25">
        <v>2</v>
      </c>
      <c r="EU68" s="25">
        <v>5</v>
      </c>
      <c r="EV68" s="25" t="s">
        <v>257</v>
      </c>
    </row>
    <row r="69" spans="12:152" x14ac:dyDescent="0.25">
      <c r="L69" s="25">
        <v>46.315497999999998</v>
      </c>
      <c r="M69" s="25">
        <v>-100.638063</v>
      </c>
      <c r="N69" s="25" t="s">
        <v>24</v>
      </c>
      <c r="O69" s="25">
        <v>2017</v>
      </c>
      <c r="P69" s="25" t="s">
        <v>427</v>
      </c>
      <c r="Q69" s="25" t="s">
        <v>428</v>
      </c>
      <c r="R69" s="25" t="s">
        <v>429</v>
      </c>
      <c r="S69" s="25" t="s">
        <v>429</v>
      </c>
      <c r="T69" s="25" t="s">
        <v>430</v>
      </c>
      <c r="U69" s="25" t="s">
        <v>431</v>
      </c>
      <c r="V69" s="25" t="s">
        <v>432</v>
      </c>
      <c r="W69" s="25" t="s">
        <v>433</v>
      </c>
      <c r="X69" s="25" t="s">
        <v>434</v>
      </c>
      <c r="Y69" s="25" t="s">
        <v>434</v>
      </c>
      <c r="Z69" s="25" t="s">
        <v>430</v>
      </c>
      <c r="AA69" s="25">
        <v>54</v>
      </c>
      <c r="AB69" s="25" t="s">
        <v>435</v>
      </c>
      <c r="AC69" s="25" t="s">
        <v>436</v>
      </c>
      <c r="AD69" s="25" t="s">
        <v>436</v>
      </c>
      <c r="AE69" s="25" t="s">
        <v>430</v>
      </c>
      <c r="AF69" s="25" t="s">
        <v>437</v>
      </c>
      <c r="AG69" s="164">
        <v>43075</v>
      </c>
      <c r="AH69" s="25" t="s">
        <v>572</v>
      </c>
      <c r="AI69" s="25">
        <v>0</v>
      </c>
      <c r="AJ69" s="165">
        <v>44844</v>
      </c>
      <c r="AK69" s="25" t="s">
        <v>440</v>
      </c>
      <c r="AL69" s="25" t="s">
        <v>441</v>
      </c>
      <c r="AM69" s="164">
        <v>43717</v>
      </c>
      <c r="AN69" s="164">
        <v>43077</v>
      </c>
      <c r="AO69" s="25" t="s">
        <v>141</v>
      </c>
      <c r="AP69" s="25" t="s">
        <v>140</v>
      </c>
      <c r="AQ69" s="25" t="s">
        <v>430</v>
      </c>
      <c r="AR69" s="25" t="s">
        <v>442</v>
      </c>
      <c r="AS69" s="25" t="s">
        <v>442</v>
      </c>
      <c r="AT69" s="25" t="s">
        <v>430</v>
      </c>
      <c r="AU69" s="25" t="s">
        <v>430</v>
      </c>
      <c r="AV69" s="25" t="s">
        <v>430</v>
      </c>
      <c r="AW69" s="25" t="s">
        <v>443</v>
      </c>
      <c r="AX69" s="25" t="s">
        <v>469</v>
      </c>
      <c r="AY69" s="25" t="s">
        <v>430</v>
      </c>
      <c r="AZ69" s="25" t="s">
        <v>430</v>
      </c>
      <c r="BA69" s="25" t="s">
        <v>430</v>
      </c>
      <c r="BB69" s="25" t="s">
        <v>430</v>
      </c>
      <c r="BC69" s="25" t="s">
        <v>430</v>
      </c>
      <c r="BD69" s="25">
        <v>26</v>
      </c>
      <c r="BE69" s="25">
        <v>24</v>
      </c>
      <c r="BF69" s="25" t="s">
        <v>430</v>
      </c>
      <c r="BG69" s="25" t="s">
        <v>430</v>
      </c>
      <c r="BH69" s="25" t="s">
        <v>445</v>
      </c>
      <c r="BI69" s="25" t="s">
        <v>431</v>
      </c>
      <c r="BJ69" s="25" t="s">
        <v>429</v>
      </c>
      <c r="BK69" s="25" t="s">
        <v>526</v>
      </c>
      <c r="BL69" s="25" t="s">
        <v>469</v>
      </c>
      <c r="BM69" s="25" t="s">
        <v>469</v>
      </c>
      <c r="BN69" s="25" t="s">
        <v>430</v>
      </c>
      <c r="BO69" s="25">
        <v>1</v>
      </c>
      <c r="BP69" s="25" t="s">
        <v>434</v>
      </c>
      <c r="BQ69" s="25" t="s">
        <v>449</v>
      </c>
      <c r="BR69" s="25" t="s">
        <v>450</v>
      </c>
      <c r="BS69" s="25" t="s">
        <v>430</v>
      </c>
      <c r="BT69" s="25" t="s">
        <v>430</v>
      </c>
      <c r="BU69" s="25" t="s">
        <v>430</v>
      </c>
      <c r="BV69" s="25" t="s">
        <v>430</v>
      </c>
      <c r="BW69" s="25" t="s">
        <v>430</v>
      </c>
      <c r="BX69" s="25" t="s">
        <v>430</v>
      </c>
      <c r="BY69" s="25" t="s">
        <v>430</v>
      </c>
      <c r="BZ69" s="25" t="s">
        <v>451</v>
      </c>
      <c r="CA69" s="25" t="s">
        <v>451</v>
      </c>
      <c r="CB69" s="25" t="s">
        <v>430</v>
      </c>
      <c r="CC69" s="25" t="s">
        <v>430</v>
      </c>
      <c r="CD69" s="25" t="s">
        <v>430</v>
      </c>
      <c r="CE69" s="25" t="s">
        <v>430</v>
      </c>
      <c r="CF69" s="25" t="s">
        <v>441</v>
      </c>
      <c r="CG69" s="25" t="s">
        <v>430</v>
      </c>
      <c r="CH69" s="25" t="s">
        <v>452</v>
      </c>
      <c r="CI69" s="25" t="s">
        <v>453</v>
      </c>
      <c r="CJ69" s="25" t="s">
        <v>454</v>
      </c>
      <c r="CK69" s="25" t="s">
        <v>455</v>
      </c>
      <c r="CL69" s="25" t="s">
        <v>472</v>
      </c>
      <c r="CM69" s="25" t="s">
        <v>430</v>
      </c>
      <c r="CN69" s="25" t="s">
        <v>457</v>
      </c>
      <c r="CO69" s="25" t="s">
        <v>457</v>
      </c>
      <c r="CP69" s="25" t="s">
        <v>430</v>
      </c>
      <c r="CQ69" s="25" t="s">
        <v>439</v>
      </c>
      <c r="CR69" s="25" t="s">
        <v>431</v>
      </c>
      <c r="CS69" s="25">
        <v>65</v>
      </c>
      <c r="CT69" s="25" t="s">
        <v>430</v>
      </c>
      <c r="CU69" s="25" t="s">
        <v>430</v>
      </c>
      <c r="CV69" s="25" t="s">
        <v>430</v>
      </c>
      <c r="CW69" s="25" t="s">
        <v>460</v>
      </c>
      <c r="CX69" s="25" t="s">
        <v>461</v>
      </c>
      <c r="CY69" s="165">
        <v>44844.211805555555</v>
      </c>
      <c r="CZ69" s="25" t="s">
        <v>430</v>
      </c>
      <c r="DA69" s="25" t="s">
        <v>430</v>
      </c>
      <c r="DB69" s="25">
        <v>26</v>
      </c>
      <c r="DC69" s="25" t="s">
        <v>430</v>
      </c>
      <c r="DD69" s="25" t="s">
        <v>434</v>
      </c>
      <c r="DE69" s="25" t="s">
        <v>434</v>
      </c>
      <c r="DF69" s="25" t="s">
        <v>430</v>
      </c>
      <c r="DG69" s="25" t="s">
        <v>462</v>
      </c>
      <c r="DH69" s="25" t="s">
        <v>431</v>
      </c>
      <c r="DI69" s="25" t="s">
        <v>579</v>
      </c>
      <c r="DJ69" s="25" t="s">
        <v>579</v>
      </c>
      <c r="DK69" s="25" t="s">
        <v>430</v>
      </c>
      <c r="DL69" s="25" t="s">
        <v>474</v>
      </c>
      <c r="DM69" s="25" t="s">
        <v>474</v>
      </c>
      <c r="DN69" s="25" t="s">
        <v>430</v>
      </c>
      <c r="DO69" s="25" t="s">
        <v>434</v>
      </c>
      <c r="DP69" s="25" t="s">
        <v>434</v>
      </c>
      <c r="DQ69" s="25" t="s">
        <v>430</v>
      </c>
      <c r="DR69" s="25" t="s">
        <v>465</v>
      </c>
      <c r="DS69" s="25" t="s">
        <v>466</v>
      </c>
      <c r="DT69" s="25" t="s">
        <v>466</v>
      </c>
      <c r="DU69" s="25" t="s">
        <v>431</v>
      </c>
      <c r="DV69" s="25">
        <v>1</v>
      </c>
      <c r="DW69" s="166">
        <v>17157400</v>
      </c>
      <c r="DX69" s="25">
        <v>4</v>
      </c>
      <c r="DY69" s="25">
        <v>43</v>
      </c>
      <c r="DZ69" s="166">
        <v>1083461</v>
      </c>
      <c r="EA69" s="25">
        <v>3</v>
      </c>
      <c r="EB69" s="25">
        <v>1</v>
      </c>
      <c r="EC69" s="25">
        <v>1</v>
      </c>
      <c r="ED69" s="25">
        <v>2</v>
      </c>
      <c r="EE69" s="25">
        <v>1</v>
      </c>
      <c r="EF69" s="25">
        <v>1</v>
      </c>
      <c r="EG69" s="25">
        <v>0</v>
      </c>
      <c r="EH69" s="25">
        <v>4</v>
      </c>
      <c r="EI69" s="166">
        <v>316514</v>
      </c>
      <c r="EJ69" s="25">
        <v>0</v>
      </c>
      <c r="EK69" s="25">
        <v>0</v>
      </c>
      <c r="EL69" s="25">
        <v>1</v>
      </c>
      <c r="EM69" s="25">
        <v>0</v>
      </c>
      <c r="EN69" s="25">
        <v>1</v>
      </c>
      <c r="EO69" s="25">
        <v>1</v>
      </c>
      <c r="EP69" s="25">
        <v>1</v>
      </c>
      <c r="EQ69" s="25">
        <v>1</v>
      </c>
      <c r="ER69" s="25">
        <v>65</v>
      </c>
      <c r="ES69" s="25">
        <v>1</v>
      </c>
      <c r="ET69" s="25">
        <v>2</v>
      </c>
      <c r="EU69" s="25">
        <v>0</v>
      </c>
      <c r="EV69" s="25" t="s">
        <v>257</v>
      </c>
    </row>
    <row r="70" spans="12:152" x14ac:dyDescent="0.25">
      <c r="L70" s="25">
        <v>46.388137</v>
      </c>
      <c r="M70" s="25">
        <v>-100.792085</v>
      </c>
      <c r="N70" s="25" t="s">
        <v>24</v>
      </c>
      <c r="O70" s="25">
        <v>2017</v>
      </c>
      <c r="P70" s="25" t="s">
        <v>427</v>
      </c>
      <c r="Q70" s="25" t="s">
        <v>428</v>
      </c>
      <c r="R70" s="25" t="s">
        <v>430</v>
      </c>
      <c r="S70" s="25" t="s">
        <v>430</v>
      </c>
      <c r="T70" s="25" t="s">
        <v>430</v>
      </c>
      <c r="U70" s="25" t="s">
        <v>431</v>
      </c>
      <c r="V70" s="25" t="s">
        <v>430</v>
      </c>
      <c r="W70" s="25" t="s">
        <v>433</v>
      </c>
      <c r="X70" s="25" t="s">
        <v>434</v>
      </c>
      <c r="Y70" s="25" t="s">
        <v>430</v>
      </c>
      <c r="Z70" s="25" t="s">
        <v>430</v>
      </c>
      <c r="AA70" s="25">
        <v>209</v>
      </c>
      <c r="AB70" s="25" t="s">
        <v>582</v>
      </c>
      <c r="AC70" s="25" t="s">
        <v>436</v>
      </c>
      <c r="AD70" s="25" t="s">
        <v>430</v>
      </c>
      <c r="AE70" s="25" t="s">
        <v>430</v>
      </c>
      <c r="AF70" s="25" t="s">
        <v>437</v>
      </c>
      <c r="AG70" s="164">
        <v>43093</v>
      </c>
      <c r="AH70" s="25" t="s">
        <v>525</v>
      </c>
      <c r="AI70" s="25">
        <v>13</v>
      </c>
      <c r="AJ70" s="165">
        <v>44844.554861111108</v>
      </c>
      <c r="AK70" s="25" t="s">
        <v>440</v>
      </c>
      <c r="AL70" s="25" t="s">
        <v>441</v>
      </c>
      <c r="AM70" s="164">
        <v>43295</v>
      </c>
      <c r="AN70" s="164">
        <v>43093</v>
      </c>
      <c r="AO70" s="25" t="s">
        <v>141</v>
      </c>
      <c r="AP70" s="25" t="s">
        <v>430</v>
      </c>
      <c r="AQ70" s="25" t="s">
        <v>430</v>
      </c>
      <c r="AR70" s="25" t="s">
        <v>430</v>
      </c>
      <c r="AS70" s="25" t="s">
        <v>430</v>
      </c>
      <c r="AT70" s="25" t="s">
        <v>430</v>
      </c>
      <c r="AU70" s="25" t="s">
        <v>430</v>
      </c>
      <c r="AV70" s="25" t="s">
        <v>430</v>
      </c>
      <c r="AW70" s="25" t="s">
        <v>443</v>
      </c>
      <c r="AX70" s="25" t="s">
        <v>597</v>
      </c>
      <c r="AY70" s="25">
        <v>0</v>
      </c>
      <c r="AZ70" s="25" t="s">
        <v>430</v>
      </c>
      <c r="BA70" s="25">
        <v>0</v>
      </c>
      <c r="BB70" s="25" t="s">
        <v>430</v>
      </c>
      <c r="BC70" s="25" t="s">
        <v>430</v>
      </c>
      <c r="BD70" s="25" t="s">
        <v>430</v>
      </c>
      <c r="BE70" s="25" t="s">
        <v>430</v>
      </c>
      <c r="BF70" s="25" t="s">
        <v>430</v>
      </c>
      <c r="BG70" s="25" t="s">
        <v>430</v>
      </c>
      <c r="BH70" s="25" t="s">
        <v>445</v>
      </c>
      <c r="BI70" s="25" t="s">
        <v>431</v>
      </c>
      <c r="BJ70" s="25" t="s">
        <v>447</v>
      </c>
      <c r="BK70" s="25" t="s">
        <v>448</v>
      </c>
      <c r="BL70" s="25" t="s">
        <v>597</v>
      </c>
      <c r="BM70" s="25" t="s">
        <v>430</v>
      </c>
      <c r="BN70" s="25" t="s">
        <v>430</v>
      </c>
      <c r="BO70" s="25" t="s">
        <v>430</v>
      </c>
      <c r="BP70" s="25" t="s">
        <v>434</v>
      </c>
      <c r="BQ70" s="25" t="s">
        <v>470</v>
      </c>
      <c r="BR70" s="25" t="s">
        <v>471</v>
      </c>
      <c r="BS70" s="25" t="s">
        <v>430</v>
      </c>
      <c r="BT70" s="25" t="s">
        <v>430</v>
      </c>
      <c r="BU70" s="25" t="s">
        <v>430</v>
      </c>
      <c r="BV70" s="25" t="s">
        <v>430</v>
      </c>
      <c r="BW70" s="25" t="s">
        <v>430</v>
      </c>
      <c r="BX70" s="25" t="s">
        <v>430</v>
      </c>
      <c r="BY70" s="25" t="s">
        <v>430</v>
      </c>
      <c r="BZ70" s="25" t="s">
        <v>430</v>
      </c>
      <c r="CA70" s="25" t="s">
        <v>430</v>
      </c>
      <c r="CB70" s="25" t="s">
        <v>430</v>
      </c>
      <c r="CC70" s="25" t="s">
        <v>430</v>
      </c>
      <c r="CD70" s="25" t="s">
        <v>430</v>
      </c>
      <c r="CE70" s="25" t="s">
        <v>430</v>
      </c>
      <c r="CF70" s="25" t="s">
        <v>441</v>
      </c>
      <c r="CG70" s="25" t="s">
        <v>430</v>
      </c>
      <c r="CH70" s="25" t="s">
        <v>452</v>
      </c>
      <c r="CI70" s="25" t="s">
        <v>453</v>
      </c>
      <c r="CJ70" s="25" t="s">
        <v>454</v>
      </c>
      <c r="CK70" s="25" t="s">
        <v>455</v>
      </c>
      <c r="CL70" s="25" t="s">
        <v>472</v>
      </c>
      <c r="CM70" s="25" t="s">
        <v>430</v>
      </c>
      <c r="CN70" s="25" t="s">
        <v>430</v>
      </c>
      <c r="CO70" s="25" t="s">
        <v>430</v>
      </c>
      <c r="CP70" s="25" t="s">
        <v>430</v>
      </c>
      <c r="CQ70" s="25" t="s">
        <v>439</v>
      </c>
      <c r="CR70" s="25" t="s">
        <v>431</v>
      </c>
      <c r="CS70" s="25" t="s">
        <v>430</v>
      </c>
      <c r="CT70" s="25" t="s">
        <v>430</v>
      </c>
      <c r="CU70" s="25" t="s">
        <v>598</v>
      </c>
      <c r="CV70" s="25"/>
      <c r="CW70" s="25" t="s">
        <v>460</v>
      </c>
      <c r="CX70" s="25" t="s">
        <v>461</v>
      </c>
      <c r="CY70" s="165">
        <v>44844.555555555555</v>
      </c>
      <c r="CZ70" s="25" t="s">
        <v>430</v>
      </c>
      <c r="DA70" s="25" t="s">
        <v>430</v>
      </c>
      <c r="DB70" s="25" t="s">
        <v>430</v>
      </c>
      <c r="DC70" s="25" t="s">
        <v>430</v>
      </c>
      <c r="DD70" s="25" t="s">
        <v>434</v>
      </c>
      <c r="DE70" s="25" t="s">
        <v>430</v>
      </c>
      <c r="DF70" s="25" t="s">
        <v>430</v>
      </c>
      <c r="DG70" s="25" t="s">
        <v>466</v>
      </c>
      <c r="DH70" s="25" t="s">
        <v>431</v>
      </c>
      <c r="DI70" s="25" t="s">
        <v>473</v>
      </c>
      <c r="DJ70" s="25" t="s">
        <v>430</v>
      </c>
      <c r="DK70" s="25" t="s">
        <v>430</v>
      </c>
      <c r="DL70" s="25" t="s">
        <v>464</v>
      </c>
      <c r="DM70" s="25" t="s">
        <v>430</v>
      </c>
      <c r="DN70" s="25" t="s">
        <v>430</v>
      </c>
      <c r="DO70" s="25" t="s">
        <v>434</v>
      </c>
      <c r="DP70" s="25" t="s">
        <v>430</v>
      </c>
      <c r="DQ70" s="25" t="s">
        <v>430</v>
      </c>
      <c r="DR70" s="25" t="s">
        <v>465</v>
      </c>
      <c r="DS70" s="25" t="s">
        <v>466</v>
      </c>
      <c r="DT70" s="25" t="s">
        <v>466</v>
      </c>
      <c r="DU70" s="25" t="s">
        <v>431</v>
      </c>
      <c r="DV70" s="25">
        <v>1</v>
      </c>
      <c r="DW70" s="166">
        <v>17164567</v>
      </c>
      <c r="DX70" s="25">
        <v>4</v>
      </c>
      <c r="DY70" s="25">
        <v>43</v>
      </c>
      <c r="DZ70" s="166">
        <v>1058403</v>
      </c>
      <c r="EA70" s="25">
        <v>3</v>
      </c>
      <c r="EB70" s="25">
        <v>1</v>
      </c>
      <c r="EC70" s="25">
        <v>10</v>
      </c>
      <c r="ED70" s="25">
        <v>0</v>
      </c>
      <c r="EE70" s="25">
        <v>2</v>
      </c>
      <c r="EF70" s="25">
        <v>1</v>
      </c>
      <c r="EG70" s="25">
        <v>1</v>
      </c>
      <c r="EH70" s="25">
        <v>7</v>
      </c>
      <c r="EI70" s="166">
        <v>293052</v>
      </c>
      <c r="EJ70" s="25">
        <v>0</v>
      </c>
      <c r="EK70" s="25">
        <v>0</v>
      </c>
      <c r="EL70" s="25">
        <v>1</v>
      </c>
      <c r="EM70" s="25">
        <v>0</v>
      </c>
      <c r="EN70" s="25">
        <v>1</v>
      </c>
      <c r="EO70" s="25">
        <v>1</v>
      </c>
      <c r="EP70" s="25">
        <v>1</v>
      </c>
      <c r="EQ70" s="25">
        <v>1</v>
      </c>
      <c r="ER70" s="25">
        <v>65</v>
      </c>
      <c r="ES70" s="25">
        <v>1</v>
      </c>
      <c r="ET70" s="25">
        <v>2</v>
      </c>
      <c r="EU70" s="25">
        <v>0</v>
      </c>
      <c r="EV70" s="25" t="s">
        <v>257</v>
      </c>
    </row>
    <row r="71" spans="12:152" x14ac:dyDescent="0.25">
      <c r="L71" s="25">
        <v>46.372799999999998</v>
      </c>
      <c r="M71" s="25">
        <v>-100.71850000000001</v>
      </c>
      <c r="N71" s="25" t="s">
        <v>591</v>
      </c>
      <c r="O71" s="25">
        <v>2012</v>
      </c>
      <c r="P71" s="25" t="s">
        <v>427</v>
      </c>
      <c r="Q71" s="25" t="s">
        <v>428</v>
      </c>
      <c r="R71" s="25" t="s">
        <v>476</v>
      </c>
      <c r="S71" s="25" t="s">
        <v>430</v>
      </c>
      <c r="T71" s="25" t="s">
        <v>430</v>
      </c>
      <c r="U71" s="25" t="s">
        <v>446</v>
      </c>
      <c r="V71" s="25" t="s">
        <v>599</v>
      </c>
      <c r="W71" s="25" t="s">
        <v>433</v>
      </c>
      <c r="X71" s="25" t="s">
        <v>434</v>
      </c>
      <c r="Y71" s="25" t="s">
        <v>430</v>
      </c>
      <c r="Z71" s="25" t="s">
        <v>430</v>
      </c>
      <c r="AA71" s="25" t="s">
        <v>430</v>
      </c>
      <c r="AB71" s="25" t="s">
        <v>430</v>
      </c>
      <c r="AC71" s="25" t="s">
        <v>600</v>
      </c>
      <c r="AD71" s="25" t="s">
        <v>430</v>
      </c>
      <c r="AE71" s="25" t="s">
        <v>430</v>
      </c>
      <c r="AF71" s="25" t="s">
        <v>437</v>
      </c>
      <c r="AG71" s="164">
        <v>40970</v>
      </c>
      <c r="AH71" s="25" t="s">
        <v>515</v>
      </c>
      <c r="AI71" s="25" t="s">
        <v>439</v>
      </c>
      <c r="AJ71" s="165">
        <v>44963.357638888891</v>
      </c>
      <c r="AK71" s="25" t="s">
        <v>440</v>
      </c>
      <c r="AL71" s="25" t="s">
        <v>441</v>
      </c>
      <c r="AM71" s="164">
        <v>41061</v>
      </c>
      <c r="AN71" s="164">
        <v>40970</v>
      </c>
      <c r="AO71" s="25" t="s">
        <v>506</v>
      </c>
      <c r="AP71" s="25" t="s">
        <v>430</v>
      </c>
      <c r="AQ71" s="25" t="s">
        <v>430</v>
      </c>
      <c r="AR71" s="25" t="s">
        <v>573</v>
      </c>
      <c r="AS71" s="25" t="s">
        <v>430</v>
      </c>
      <c r="AT71" s="25" t="s">
        <v>430</v>
      </c>
      <c r="AU71" s="25" t="s">
        <v>601</v>
      </c>
      <c r="AV71" s="25" t="s">
        <v>430</v>
      </c>
      <c r="AW71" s="25" t="s">
        <v>485</v>
      </c>
      <c r="AX71" s="25" t="s">
        <v>444</v>
      </c>
      <c r="AY71" s="25" t="s">
        <v>430</v>
      </c>
      <c r="AZ71" s="25" t="s">
        <v>430</v>
      </c>
      <c r="BA71" s="25" t="s">
        <v>430</v>
      </c>
      <c r="BB71" s="25" t="s">
        <v>430</v>
      </c>
      <c r="BC71" s="25" t="s">
        <v>430</v>
      </c>
      <c r="BD71" s="25">
        <v>34.08</v>
      </c>
      <c r="BE71" s="25">
        <v>24</v>
      </c>
      <c r="BF71" s="25" t="s">
        <v>430</v>
      </c>
      <c r="BG71" s="25" t="s">
        <v>430</v>
      </c>
      <c r="BH71" s="25" t="s">
        <v>445</v>
      </c>
      <c r="BI71" s="25" t="s">
        <v>446</v>
      </c>
      <c r="BJ71" s="25" t="s">
        <v>447</v>
      </c>
      <c r="BK71" s="25" t="s">
        <v>448</v>
      </c>
      <c r="BL71" s="25" t="s">
        <v>538</v>
      </c>
      <c r="BM71" s="25" t="s">
        <v>430</v>
      </c>
      <c r="BN71" s="25" t="s">
        <v>430</v>
      </c>
      <c r="BO71" s="25">
        <v>0</v>
      </c>
      <c r="BP71" s="25" t="s">
        <v>434</v>
      </c>
      <c r="BQ71" s="25" t="s">
        <v>430</v>
      </c>
      <c r="BR71" s="25" t="s">
        <v>602</v>
      </c>
      <c r="BS71" s="25">
        <v>871</v>
      </c>
      <c r="BT71" s="25">
        <v>45</v>
      </c>
      <c r="BU71" s="25" t="s">
        <v>430</v>
      </c>
      <c r="BV71" s="25" t="s">
        <v>430</v>
      </c>
      <c r="BW71" s="25" t="s">
        <v>603</v>
      </c>
      <c r="BX71" s="25" t="s">
        <v>430</v>
      </c>
      <c r="BY71" s="25" t="s">
        <v>430</v>
      </c>
      <c r="BZ71" s="25" t="s">
        <v>493</v>
      </c>
      <c r="CA71" s="25" t="s">
        <v>430</v>
      </c>
      <c r="CB71" s="25" t="s">
        <v>430</v>
      </c>
      <c r="CC71" s="25" t="s">
        <v>481</v>
      </c>
      <c r="CD71" s="25" t="s">
        <v>430</v>
      </c>
      <c r="CE71" s="25" t="s">
        <v>430</v>
      </c>
      <c r="CF71" s="25" t="s">
        <v>441</v>
      </c>
      <c r="CG71" s="25" t="s">
        <v>430</v>
      </c>
      <c r="CH71" s="25" t="s">
        <v>452</v>
      </c>
      <c r="CI71" s="25" t="s">
        <v>496</v>
      </c>
      <c r="CJ71" s="25" t="s">
        <v>454</v>
      </c>
      <c r="CK71" s="25" t="s">
        <v>455</v>
      </c>
      <c r="CL71" s="25" t="s">
        <v>472</v>
      </c>
      <c r="CM71" s="25" t="s">
        <v>430</v>
      </c>
      <c r="CN71" s="25" t="s">
        <v>523</v>
      </c>
      <c r="CO71" s="25" t="s">
        <v>430</v>
      </c>
      <c r="CP71" s="25" t="s">
        <v>430</v>
      </c>
      <c r="CQ71" s="25">
        <v>8</v>
      </c>
      <c r="CR71" s="25" t="s">
        <v>431</v>
      </c>
      <c r="CS71" s="25" t="s">
        <v>430</v>
      </c>
      <c r="CT71" s="25" t="s">
        <v>430</v>
      </c>
      <c r="CU71" s="25" t="s">
        <v>430</v>
      </c>
      <c r="CV71" s="25" t="s">
        <v>430</v>
      </c>
      <c r="CW71" s="25" t="s">
        <v>460</v>
      </c>
      <c r="CX71" s="25" t="s">
        <v>461</v>
      </c>
      <c r="CY71" s="165">
        <v>44963.002152777779</v>
      </c>
      <c r="CZ71" s="25" t="s">
        <v>430</v>
      </c>
      <c r="DA71" s="25" t="s">
        <v>430</v>
      </c>
      <c r="DB71" s="25">
        <v>34.08</v>
      </c>
      <c r="DC71" s="25" t="s">
        <v>430</v>
      </c>
      <c r="DD71" s="25" t="s">
        <v>434</v>
      </c>
      <c r="DE71" s="25" t="s">
        <v>430</v>
      </c>
      <c r="DF71" s="25" t="s">
        <v>430</v>
      </c>
      <c r="DG71" s="25" t="s">
        <v>462</v>
      </c>
      <c r="DH71" s="25" t="s">
        <v>446</v>
      </c>
      <c r="DI71" s="25" t="s">
        <v>463</v>
      </c>
      <c r="DJ71" s="25" t="s">
        <v>430</v>
      </c>
      <c r="DK71" s="25" t="s">
        <v>430</v>
      </c>
      <c r="DL71" s="25" t="s">
        <v>474</v>
      </c>
      <c r="DM71" s="25" t="s">
        <v>430</v>
      </c>
      <c r="DN71" s="25" t="s">
        <v>430</v>
      </c>
      <c r="DO71" s="25" t="s">
        <v>430</v>
      </c>
      <c r="DP71" s="25" t="s">
        <v>430</v>
      </c>
      <c r="DQ71" s="25" t="s">
        <v>430</v>
      </c>
      <c r="DR71" s="25" t="s">
        <v>465</v>
      </c>
      <c r="DS71" s="25" t="s">
        <v>466</v>
      </c>
      <c r="DT71" s="25" t="s">
        <v>466</v>
      </c>
      <c r="DU71" s="25" t="s">
        <v>431</v>
      </c>
      <c r="DV71" s="25">
        <v>1</v>
      </c>
      <c r="DW71" s="166">
        <v>121570</v>
      </c>
      <c r="DX71" s="25">
        <v>4</v>
      </c>
      <c r="DY71" s="25">
        <v>43</v>
      </c>
      <c r="DZ71" s="166">
        <v>252303</v>
      </c>
      <c r="EA71" s="25">
        <v>1</v>
      </c>
      <c r="EB71" s="25">
        <v>1</v>
      </c>
      <c r="EC71" s="25">
        <v>20</v>
      </c>
      <c r="ED71" s="25">
        <v>2</v>
      </c>
      <c r="EE71" s="25">
        <v>2</v>
      </c>
      <c r="EF71" s="25">
        <v>1</v>
      </c>
      <c r="EG71" s="25">
        <v>1</v>
      </c>
      <c r="EH71" s="25">
        <v>7</v>
      </c>
      <c r="EI71" s="25">
        <v>2</v>
      </c>
      <c r="EJ71" s="25">
        <v>0</v>
      </c>
      <c r="EK71" s="25">
        <v>0</v>
      </c>
      <c r="EL71" s="25">
        <v>1</v>
      </c>
      <c r="EM71" s="25">
        <v>6</v>
      </c>
      <c r="EN71" s="25">
        <v>1</v>
      </c>
      <c r="EO71" s="25">
        <v>1</v>
      </c>
      <c r="EP71" s="25">
        <v>1</v>
      </c>
      <c r="EQ71" s="25">
        <v>1</v>
      </c>
      <c r="ER71" s="25"/>
      <c r="ES71" s="25">
        <v>1</v>
      </c>
      <c r="ET71" s="25">
        <v>2</v>
      </c>
      <c r="EU71" s="25">
        <v>0</v>
      </c>
      <c r="EV71" s="25" t="s">
        <v>257</v>
      </c>
    </row>
    <row r="72" spans="12:152" x14ac:dyDescent="0.25">
      <c r="L72" s="25">
        <v>46.384729999999998</v>
      </c>
      <c r="M72" s="25">
        <v>-100.76599</v>
      </c>
      <c r="N72" s="25" t="s">
        <v>591</v>
      </c>
      <c r="O72" s="25">
        <v>2012</v>
      </c>
      <c r="P72" s="25" t="s">
        <v>427</v>
      </c>
      <c r="Q72" s="25" t="s">
        <v>428</v>
      </c>
      <c r="R72" s="25" t="s">
        <v>476</v>
      </c>
      <c r="S72" s="25" t="s">
        <v>430</v>
      </c>
      <c r="T72" s="25" t="s">
        <v>430</v>
      </c>
      <c r="U72" s="25" t="s">
        <v>446</v>
      </c>
      <c r="V72" s="25" t="s">
        <v>599</v>
      </c>
      <c r="W72" s="25" t="s">
        <v>433</v>
      </c>
      <c r="X72" s="25" t="s">
        <v>434</v>
      </c>
      <c r="Y72" s="25" t="s">
        <v>430</v>
      </c>
      <c r="Z72" s="25" t="s">
        <v>430</v>
      </c>
      <c r="AA72" s="25" t="s">
        <v>430</v>
      </c>
      <c r="AB72" s="25" t="s">
        <v>430</v>
      </c>
      <c r="AC72" s="25" t="s">
        <v>193</v>
      </c>
      <c r="AD72" s="25" t="s">
        <v>430</v>
      </c>
      <c r="AE72" s="25" t="s">
        <v>430</v>
      </c>
      <c r="AF72" s="25" t="s">
        <v>437</v>
      </c>
      <c r="AG72" s="164">
        <v>41221</v>
      </c>
      <c r="AH72" s="25" t="s">
        <v>484</v>
      </c>
      <c r="AI72" s="25" t="s">
        <v>439</v>
      </c>
      <c r="AJ72" s="165">
        <v>44963.495138888888</v>
      </c>
      <c r="AK72" s="25" t="s">
        <v>440</v>
      </c>
      <c r="AL72" s="25" t="s">
        <v>441</v>
      </c>
      <c r="AM72" s="164">
        <v>41257</v>
      </c>
      <c r="AN72" s="164">
        <v>41221</v>
      </c>
      <c r="AO72" s="25" t="s">
        <v>142</v>
      </c>
      <c r="AP72" s="25" t="s">
        <v>430</v>
      </c>
      <c r="AQ72" s="25" t="s">
        <v>430</v>
      </c>
      <c r="AR72" s="25" t="s">
        <v>442</v>
      </c>
      <c r="AS72" s="25" t="s">
        <v>430</v>
      </c>
      <c r="AT72" s="25" t="s">
        <v>430</v>
      </c>
      <c r="AU72" s="25" t="s">
        <v>430</v>
      </c>
      <c r="AV72" s="25" t="s">
        <v>430</v>
      </c>
      <c r="AW72" s="25" t="s">
        <v>485</v>
      </c>
      <c r="AX72" s="25" t="s">
        <v>469</v>
      </c>
      <c r="AY72" s="25" t="s">
        <v>430</v>
      </c>
      <c r="AZ72" s="25" t="s">
        <v>430</v>
      </c>
      <c r="BA72" s="25" t="s">
        <v>430</v>
      </c>
      <c r="BB72" s="25" t="s">
        <v>430</v>
      </c>
      <c r="BC72" s="25" t="s">
        <v>430</v>
      </c>
      <c r="BD72" s="25">
        <v>36.700000000000003</v>
      </c>
      <c r="BE72" s="25">
        <v>24</v>
      </c>
      <c r="BF72" s="25" t="s">
        <v>430</v>
      </c>
      <c r="BG72" s="25" t="s">
        <v>430</v>
      </c>
      <c r="BH72" s="25" t="s">
        <v>445</v>
      </c>
      <c r="BI72" s="25" t="s">
        <v>431</v>
      </c>
      <c r="BJ72" s="25" t="s">
        <v>447</v>
      </c>
      <c r="BK72" s="25" t="s">
        <v>448</v>
      </c>
      <c r="BL72" s="25" t="s">
        <v>538</v>
      </c>
      <c r="BM72" s="25" t="s">
        <v>430</v>
      </c>
      <c r="BN72" s="25" t="s">
        <v>430</v>
      </c>
      <c r="BO72" s="25">
        <v>1</v>
      </c>
      <c r="BP72" s="25" t="s">
        <v>434</v>
      </c>
      <c r="BQ72" s="25" t="s">
        <v>430</v>
      </c>
      <c r="BR72" s="25" t="s">
        <v>430</v>
      </c>
      <c r="BS72" s="25" t="s">
        <v>430</v>
      </c>
      <c r="BT72" s="25">
        <v>28</v>
      </c>
      <c r="BU72" s="25" t="s">
        <v>430</v>
      </c>
      <c r="BV72" s="25" t="s">
        <v>430</v>
      </c>
      <c r="BW72" s="25" t="s">
        <v>603</v>
      </c>
      <c r="BX72" s="25" t="s">
        <v>430</v>
      </c>
      <c r="BY72" s="25" t="s">
        <v>430</v>
      </c>
      <c r="BZ72" s="25" t="s">
        <v>493</v>
      </c>
      <c r="CA72" s="25" t="s">
        <v>430</v>
      </c>
      <c r="CB72" s="25" t="s">
        <v>430</v>
      </c>
      <c r="CC72" s="25" t="s">
        <v>481</v>
      </c>
      <c r="CD72" s="25" t="s">
        <v>430</v>
      </c>
      <c r="CE72" s="25" t="s">
        <v>430</v>
      </c>
      <c r="CF72" s="25" t="s">
        <v>441</v>
      </c>
      <c r="CG72" s="25" t="s">
        <v>430</v>
      </c>
      <c r="CH72" s="25" t="s">
        <v>452</v>
      </c>
      <c r="CI72" s="25" t="s">
        <v>539</v>
      </c>
      <c r="CJ72" s="25" t="s">
        <v>454</v>
      </c>
      <c r="CK72" s="25" t="s">
        <v>455</v>
      </c>
      <c r="CL72" s="25" t="s">
        <v>456</v>
      </c>
      <c r="CM72" s="25" t="s">
        <v>430</v>
      </c>
      <c r="CN72" s="25" t="s">
        <v>604</v>
      </c>
      <c r="CO72" s="25" t="s">
        <v>430</v>
      </c>
      <c r="CP72" s="25" t="s">
        <v>430</v>
      </c>
      <c r="CQ72" s="25">
        <v>11</v>
      </c>
      <c r="CR72" s="25" t="s">
        <v>446</v>
      </c>
      <c r="CS72" s="25" t="s">
        <v>430</v>
      </c>
      <c r="CT72" s="25" t="s">
        <v>430</v>
      </c>
      <c r="CU72" s="25" t="s">
        <v>430</v>
      </c>
      <c r="CV72" s="25" t="s">
        <v>430</v>
      </c>
      <c r="CW72" s="25" t="s">
        <v>460</v>
      </c>
      <c r="CX72" s="25" t="s">
        <v>461</v>
      </c>
      <c r="CY72" s="165">
        <v>44963.495833333334</v>
      </c>
      <c r="CZ72" s="25" t="s">
        <v>430</v>
      </c>
      <c r="DA72" s="25" t="s">
        <v>430</v>
      </c>
      <c r="DB72" s="25">
        <v>36.700000000000003</v>
      </c>
      <c r="DC72" s="25" t="s">
        <v>430</v>
      </c>
      <c r="DD72" s="25" t="s">
        <v>434</v>
      </c>
      <c r="DE72" s="25" t="s">
        <v>430</v>
      </c>
      <c r="DF72" s="25" t="s">
        <v>430</v>
      </c>
      <c r="DG72" s="25" t="s">
        <v>462</v>
      </c>
      <c r="DH72" s="25" t="s">
        <v>431</v>
      </c>
      <c r="DI72" s="25" t="s">
        <v>473</v>
      </c>
      <c r="DJ72" s="25" t="s">
        <v>430</v>
      </c>
      <c r="DK72" s="25" t="s">
        <v>430</v>
      </c>
      <c r="DL72" s="25" t="s">
        <v>605</v>
      </c>
      <c r="DM72" s="25" t="s">
        <v>430</v>
      </c>
      <c r="DN72" s="25" t="s">
        <v>430</v>
      </c>
      <c r="DO72" s="25" t="s">
        <v>430</v>
      </c>
      <c r="DP72" s="25" t="s">
        <v>430</v>
      </c>
      <c r="DQ72" s="25" t="s">
        <v>430</v>
      </c>
      <c r="DR72" s="25" t="s">
        <v>550</v>
      </c>
      <c r="DS72" s="25" t="s">
        <v>466</v>
      </c>
      <c r="DT72" s="25" t="s">
        <v>466</v>
      </c>
      <c r="DU72" s="25" t="s">
        <v>431</v>
      </c>
      <c r="DV72" s="25">
        <v>1</v>
      </c>
      <c r="DW72" s="25"/>
      <c r="DX72" s="25">
        <v>4</v>
      </c>
      <c r="DY72" s="25">
        <v>43</v>
      </c>
      <c r="DZ72" s="166">
        <v>266592</v>
      </c>
      <c r="EA72" s="25">
        <v>1</v>
      </c>
      <c r="EB72" s="25">
        <v>1</v>
      </c>
      <c r="EC72" s="25">
        <v>1</v>
      </c>
      <c r="ED72" s="25">
        <v>2</v>
      </c>
      <c r="EE72" s="25">
        <v>2</v>
      </c>
      <c r="EF72" s="25">
        <v>1</v>
      </c>
      <c r="EG72" s="25">
        <v>1</v>
      </c>
      <c r="EH72" s="25">
        <v>7</v>
      </c>
      <c r="EI72" s="25">
        <v>3</v>
      </c>
      <c r="EJ72" s="25">
        <v>0</v>
      </c>
      <c r="EK72" s="25">
        <v>0</v>
      </c>
      <c r="EL72" s="25">
        <v>1</v>
      </c>
      <c r="EM72" s="25">
        <v>5</v>
      </c>
      <c r="EN72" s="25">
        <v>1</v>
      </c>
      <c r="EO72" s="25">
        <v>1</v>
      </c>
      <c r="EP72" s="25">
        <v>3</v>
      </c>
      <c r="EQ72" s="25">
        <v>1</v>
      </c>
      <c r="ER72" s="25">
        <v>65</v>
      </c>
      <c r="ES72" s="25">
        <v>1</v>
      </c>
      <c r="ET72" s="25">
        <v>2</v>
      </c>
      <c r="EU72" s="25">
        <v>2</v>
      </c>
      <c r="EV72" s="25" t="s">
        <v>257</v>
      </c>
    </row>
    <row r="73" spans="12:152" x14ac:dyDescent="0.25">
      <c r="L73" s="25">
        <v>46.303972000000002</v>
      </c>
      <c r="M73" s="25">
        <v>-100.63549999999999</v>
      </c>
      <c r="N73" s="25" t="s">
        <v>591</v>
      </c>
      <c r="O73" s="25">
        <v>2013</v>
      </c>
      <c r="P73" s="25" t="s">
        <v>427</v>
      </c>
      <c r="Q73" s="25" t="s">
        <v>428</v>
      </c>
      <c r="R73" s="25" t="s">
        <v>476</v>
      </c>
      <c r="S73" s="25" t="s">
        <v>429</v>
      </c>
      <c r="T73" s="25" t="s">
        <v>430</v>
      </c>
      <c r="U73" s="25" t="s">
        <v>446</v>
      </c>
      <c r="V73" s="25" t="s">
        <v>606</v>
      </c>
      <c r="W73" s="25" t="s">
        <v>433</v>
      </c>
      <c r="X73" s="25" t="s">
        <v>434</v>
      </c>
      <c r="Y73" s="25" t="s">
        <v>434</v>
      </c>
      <c r="Z73" s="25" t="s">
        <v>430</v>
      </c>
      <c r="AA73" s="25" t="s">
        <v>430</v>
      </c>
      <c r="AB73" s="25" t="s">
        <v>430</v>
      </c>
      <c r="AC73" s="25" t="s">
        <v>436</v>
      </c>
      <c r="AD73" s="25" t="s">
        <v>436</v>
      </c>
      <c r="AE73" s="25" t="s">
        <v>430</v>
      </c>
      <c r="AF73" s="25" t="s">
        <v>437</v>
      </c>
      <c r="AG73" s="164">
        <v>41335</v>
      </c>
      <c r="AH73" s="25" t="s">
        <v>468</v>
      </c>
      <c r="AI73" s="25" t="s">
        <v>439</v>
      </c>
      <c r="AJ73" s="165">
        <v>44963.728472222225</v>
      </c>
      <c r="AK73" s="25" t="s">
        <v>440</v>
      </c>
      <c r="AL73" s="25" t="s">
        <v>441</v>
      </c>
      <c r="AM73" s="164">
        <v>41368</v>
      </c>
      <c r="AN73" s="164">
        <v>41335</v>
      </c>
      <c r="AO73" s="25" t="s">
        <v>141</v>
      </c>
      <c r="AP73" s="25" t="s">
        <v>140</v>
      </c>
      <c r="AQ73" s="25" t="s">
        <v>430</v>
      </c>
      <c r="AR73" s="25" t="s">
        <v>442</v>
      </c>
      <c r="AS73" s="25" t="s">
        <v>442</v>
      </c>
      <c r="AT73" s="25" t="s">
        <v>430</v>
      </c>
      <c r="AU73" s="25" t="s">
        <v>430</v>
      </c>
      <c r="AV73" s="25" t="s">
        <v>430</v>
      </c>
      <c r="AW73" s="25" t="s">
        <v>443</v>
      </c>
      <c r="AX73" s="25" t="s">
        <v>469</v>
      </c>
      <c r="AY73" s="25" t="s">
        <v>430</v>
      </c>
      <c r="AZ73" s="25" t="s">
        <v>430</v>
      </c>
      <c r="BA73" s="25" t="s">
        <v>430</v>
      </c>
      <c r="BB73" s="25" t="s">
        <v>430</v>
      </c>
      <c r="BC73" s="25" t="s">
        <v>430</v>
      </c>
      <c r="BD73" s="25">
        <v>25.19</v>
      </c>
      <c r="BE73" s="25">
        <v>24</v>
      </c>
      <c r="BF73" s="25" t="s">
        <v>430</v>
      </c>
      <c r="BG73" s="25" t="s">
        <v>430</v>
      </c>
      <c r="BH73" s="25" t="s">
        <v>445</v>
      </c>
      <c r="BI73" s="25" t="s">
        <v>446</v>
      </c>
      <c r="BJ73" s="25" t="s">
        <v>607</v>
      </c>
      <c r="BK73" s="25" t="s">
        <v>509</v>
      </c>
      <c r="BL73" s="25" t="s">
        <v>469</v>
      </c>
      <c r="BM73" s="25" t="s">
        <v>469</v>
      </c>
      <c r="BN73" s="25" t="s">
        <v>430</v>
      </c>
      <c r="BO73" s="25">
        <v>1</v>
      </c>
      <c r="BP73" s="25" t="s">
        <v>434</v>
      </c>
      <c r="BQ73" s="25" t="s">
        <v>22</v>
      </c>
      <c r="BR73" s="25" t="s">
        <v>608</v>
      </c>
      <c r="BS73" s="25">
        <v>520</v>
      </c>
      <c r="BT73" s="25">
        <v>34</v>
      </c>
      <c r="BU73" s="25">
        <v>45</v>
      </c>
      <c r="BV73" s="25" t="s">
        <v>430</v>
      </c>
      <c r="BW73" s="25" t="s">
        <v>609</v>
      </c>
      <c r="BX73" s="25" t="s">
        <v>610</v>
      </c>
      <c r="BY73" s="25" t="s">
        <v>430</v>
      </c>
      <c r="BZ73" s="25" t="s">
        <v>433</v>
      </c>
      <c r="CA73" s="25" t="s">
        <v>493</v>
      </c>
      <c r="CB73" s="25" t="s">
        <v>430</v>
      </c>
      <c r="CC73" s="25" t="s">
        <v>481</v>
      </c>
      <c r="CD73" s="25" t="s">
        <v>544</v>
      </c>
      <c r="CE73" s="25" t="s">
        <v>430</v>
      </c>
      <c r="CF73" s="25" t="s">
        <v>441</v>
      </c>
      <c r="CG73" s="25" t="s">
        <v>430</v>
      </c>
      <c r="CH73" s="25" t="s">
        <v>452</v>
      </c>
      <c r="CI73" s="25" t="s">
        <v>539</v>
      </c>
      <c r="CJ73" s="25" t="s">
        <v>454</v>
      </c>
      <c r="CK73" s="25" t="s">
        <v>455</v>
      </c>
      <c r="CL73" s="25" t="s">
        <v>456</v>
      </c>
      <c r="CM73" s="25" t="s">
        <v>430</v>
      </c>
      <c r="CN73" s="25" t="s">
        <v>457</v>
      </c>
      <c r="CO73" s="25" t="s">
        <v>457</v>
      </c>
      <c r="CP73" s="25" t="s">
        <v>430</v>
      </c>
      <c r="CQ73" s="25">
        <v>17</v>
      </c>
      <c r="CR73" s="25" t="s">
        <v>431</v>
      </c>
      <c r="CS73" s="25" t="s">
        <v>430</v>
      </c>
      <c r="CT73" s="25" t="s">
        <v>430</v>
      </c>
      <c r="CU73" s="25" t="s">
        <v>430</v>
      </c>
      <c r="CV73" s="25" t="s">
        <v>430</v>
      </c>
      <c r="CW73" s="25" t="s">
        <v>460</v>
      </c>
      <c r="CX73" s="25" t="s">
        <v>461</v>
      </c>
      <c r="CY73" s="165">
        <v>44963.728472222225</v>
      </c>
      <c r="CZ73" s="25" t="s">
        <v>430</v>
      </c>
      <c r="DA73" s="25" t="s">
        <v>430</v>
      </c>
      <c r="DB73" s="25">
        <v>25.19</v>
      </c>
      <c r="DC73" s="25" t="s">
        <v>430</v>
      </c>
      <c r="DD73" s="25" t="s">
        <v>434</v>
      </c>
      <c r="DE73" s="25" t="s">
        <v>434</v>
      </c>
      <c r="DF73" s="25" t="s">
        <v>430</v>
      </c>
      <c r="DG73" s="25" t="s">
        <v>611</v>
      </c>
      <c r="DH73" s="25" t="s">
        <v>431</v>
      </c>
      <c r="DI73" s="25" t="s">
        <v>463</v>
      </c>
      <c r="DJ73" s="25" t="s">
        <v>473</v>
      </c>
      <c r="DK73" s="25" t="s">
        <v>430</v>
      </c>
      <c r="DL73" s="25" t="s">
        <v>605</v>
      </c>
      <c r="DM73" s="25" t="s">
        <v>605</v>
      </c>
      <c r="DN73" s="25" t="s">
        <v>430</v>
      </c>
      <c r="DO73" s="25" t="s">
        <v>430</v>
      </c>
      <c r="DP73" s="25" t="s">
        <v>430</v>
      </c>
      <c r="DQ73" s="25" t="s">
        <v>430</v>
      </c>
      <c r="DR73" s="25" t="s">
        <v>502</v>
      </c>
      <c r="DS73" s="25" t="s">
        <v>466</v>
      </c>
      <c r="DT73" s="25" t="s">
        <v>466</v>
      </c>
      <c r="DU73" s="25" t="s">
        <v>431</v>
      </c>
      <c r="DV73" s="25">
        <v>1</v>
      </c>
      <c r="DW73" s="166">
        <v>131882</v>
      </c>
      <c r="DX73" s="25">
        <v>4</v>
      </c>
      <c r="DY73" s="25">
        <v>43</v>
      </c>
      <c r="DZ73" s="166">
        <v>275819</v>
      </c>
      <c r="EA73" s="25">
        <v>1</v>
      </c>
      <c r="EB73" s="25">
        <v>1</v>
      </c>
      <c r="EC73" s="25">
        <v>1</v>
      </c>
      <c r="ED73" s="25">
        <v>2</v>
      </c>
      <c r="EE73" s="25">
        <v>2</v>
      </c>
      <c r="EF73" s="25">
        <v>1</v>
      </c>
      <c r="EG73" s="25">
        <v>3</v>
      </c>
      <c r="EH73" s="25">
        <v>3</v>
      </c>
      <c r="EI73" s="25">
        <v>4</v>
      </c>
      <c r="EJ73" s="25">
        <v>0</v>
      </c>
      <c r="EK73" s="25">
        <v>0</v>
      </c>
      <c r="EL73" s="25">
        <v>1</v>
      </c>
      <c r="EM73" s="25">
        <v>5</v>
      </c>
      <c r="EN73" s="25">
        <v>1</v>
      </c>
      <c r="EO73" s="25">
        <v>1</v>
      </c>
      <c r="EP73" s="25">
        <v>3</v>
      </c>
      <c r="EQ73" s="25">
        <v>1</v>
      </c>
      <c r="ER73" s="25"/>
      <c r="ES73" s="25">
        <v>1</v>
      </c>
      <c r="ET73" s="25">
        <v>2</v>
      </c>
      <c r="EU73" s="25">
        <v>1</v>
      </c>
      <c r="EV73" s="25" t="s">
        <v>257</v>
      </c>
    </row>
    <row r="74" spans="12:152" x14ac:dyDescent="0.25">
      <c r="L74" s="25">
        <v>46.372300000000003</v>
      </c>
      <c r="M74" s="25">
        <v>-100.7116</v>
      </c>
      <c r="N74" s="25" t="s">
        <v>512</v>
      </c>
      <c r="O74" s="25">
        <v>2013</v>
      </c>
      <c r="P74" s="25" t="s">
        <v>427</v>
      </c>
      <c r="Q74" s="25" t="s">
        <v>428</v>
      </c>
      <c r="R74" s="25" t="s">
        <v>429</v>
      </c>
      <c r="S74" s="25" t="s">
        <v>430</v>
      </c>
      <c r="T74" s="25" t="s">
        <v>430</v>
      </c>
      <c r="U74" s="25" t="s">
        <v>431</v>
      </c>
      <c r="V74" s="25" t="s">
        <v>432</v>
      </c>
      <c r="W74" s="25" t="s">
        <v>433</v>
      </c>
      <c r="X74" s="25" t="s">
        <v>434</v>
      </c>
      <c r="Y74" s="25" t="s">
        <v>430</v>
      </c>
      <c r="Z74" s="25" t="s">
        <v>430</v>
      </c>
      <c r="AA74" s="25" t="s">
        <v>430</v>
      </c>
      <c r="AB74" s="25" t="s">
        <v>430</v>
      </c>
      <c r="AC74" s="25" t="s">
        <v>436</v>
      </c>
      <c r="AD74" s="25" t="s">
        <v>430</v>
      </c>
      <c r="AE74" s="25" t="s">
        <v>430</v>
      </c>
      <c r="AF74" s="25" t="s">
        <v>437</v>
      </c>
      <c r="AG74" s="164">
        <v>41365</v>
      </c>
      <c r="AH74" s="25" t="s">
        <v>438</v>
      </c>
      <c r="AI74" s="25" t="s">
        <v>439</v>
      </c>
      <c r="AJ74" s="165">
        <v>44963.500694444447</v>
      </c>
      <c r="AK74" s="25" t="s">
        <v>440</v>
      </c>
      <c r="AL74" s="25" t="s">
        <v>441</v>
      </c>
      <c r="AM74" s="164">
        <v>41388</v>
      </c>
      <c r="AN74" s="164">
        <v>41365</v>
      </c>
      <c r="AO74" s="25" t="s">
        <v>506</v>
      </c>
      <c r="AP74" s="25" t="s">
        <v>430</v>
      </c>
      <c r="AQ74" s="25" t="s">
        <v>430</v>
      </c>
      <c r="AR74" s="25" t="s">
        <v>442</v>
      </c>
      <c r="AS74" s="25" t="s">
        <v>430</v>
      </c>
      <c r="AT74" s="25" t="s">
        <v>430</v>
      </c>
      <c r="AU74" s="25" t="s">
        <v>430</v>
      </c>
      <c r="AV74" s="25" t="s">
        <v>430</v>
      </c>
      <c r="AW74" s="25" t="s">
        <v>530</v>
      </c>
      <c r="AX74" s="25" t="s">
        <v>444</v>
      </c>
      <c r="AY74" s="25" t="s">
        <v>430</v>
      </c>
      <c r="AZ74" s="25" t="s">
        <v>430</v>
      </c>
      <c r="BA74" s="25" t="s">
        <v>430</v>
      </c>
      <c r="BB74" s="25" t="s">
        <v>430</v>
      </c>
      <c r="BC74" s="25" t="s">
        <v>430</v>
      </c>
      <c r="BD74" s="25">
        <v>33.5</v>
      </c>
      <c r="BE74" s="25">
        <v>24</v>
      </c>
      <c r="BF74" s="25">
        <v>80.466999999999999</v>
      </c>
      <c r="BG74" s="25">
        <v>50</v>
      </c>
      <c r="BH74" s="25" t="s">
        <v>445</v>
      </c>
      <c r="BI74" s="25" t="s">
        <v>446</v>
      </c>
      <c r="BJ74" s="25" t="s">
        <v>447</v>
      </c>
      <c r="BK74" s="25" t="s">
        <v>448</v>
      </c>
      <c r="BL74" s="25" t="s">
        <v>430</v>
      </c>
      <c r="BM74" s="25" t="s">
        <v>430</v>
      </c>
      <c r="BN74" s="25" t="s">
        <v>430</v>
      </c>
      <c r="BO74" s="25">
        <v>1</v>
      </c>
      <c r="BP74" s="25" t="s">
        <v>434</v>
      </c>
      <c r="BQ74" s="25" t="s">
        <v>489</v>
      </c>
      <c r="BR74" s="25" t="s">
        <v>490</v>
      </c>
      <c r="BS74" s="25">
        <v>5617</v>
      </c>
      <c r="BT74" s="25">
        <v>18</v>
      </c>
      <c r="BU74" s="25" t="s">
        <v>430</v>
      </c>
      <c r="BV74" s="25" t="s">
        <v>430</v>
      </c>
      <c r="BW74" s="25" t="s">
        <v>582</v>
      </c>
      <c r="BX74" s="25" t="s">
        <v>430</v>
      </c>
      <c r="BY74" s="25" t="s">
        <v>430</v>
      </c>
      <c r="BZ74" s="25" t="s">
        <v>493</v>
      </c>
      <c r="CA74" s="25" t="s">
        <v>430</v>
      </c>
      <c r="CB74" s="25" t="s">
        <v>430</v>
      </c>
      <c r="CC74" s="25" t="s">
        <v>612</v>
      </c>
      <c r="CD74" s="25" t="s">
        <v>430</v>
      </c>
      <c r="CE74" s="25" t="s">
        <v>430</v>
      </c>
      <c r="CF74" s="25" t="s">
        <v>441</v>
      </c>
      <c r="CG74" s="25" t="s">
        <v>430</v>
      </c>
      <c r="CH74" s="25" t="s">
        <v>452</v>
      </c>
      <c r="CI74" s="25" t="s">
        <v>496</v>
      </c>
      <c r="CJ74" s="25" t="s">
        <v>454</v>
      </c>
      <c r="CK74" s="25" t="s">
        <v>455</v>
      </c>
      <c r="CL74" s="25" t="s">
        <v>556</v>
      </c>
      <c r="CM74" s="25" t="s">
        <v>430</v>
      </c>
      <c r="CN74" s="25" t="s">
        <v>457</v>
      </c>
      <c r="CO74" s="25" t="s">
        <v>430</v>
      </c>
      <c r="CP74" s="25" t="s">
        <v>430</v>
      </c>
      <c r="CQ74" s="25">
        <v>12</v>
      </c>
      <c r="CR74" s="25" t="s">
        <v>431</v>
      </c>
      <c r="CS74" s="25" t="s">
        <v>430</v>
      </c>
      <c r="CT74" s="25" t="s">
        <v>430</v>
      </c>
      <c r="CU74" s="25" t="s">
        <v>430</v>
      </c>
      <c r="CV74" s="25" t="s">
        <v>430</v>
      </c>
      <c r="CW74" s="25" t="s">
        <v>460</v>
      </c>
      <c r="CX74" s="25" t="s">
        <v>499</v>
      </c>
      <c r="CY74" s="165">
        <v>44963.000694444447</v>
      </c>
      <c r="CZ74" s="25" t="s">
        <v>430</v>
      </c>
      <c r="DA74" s="25" t="s">
        <v>430</v>
      </c>
      <c r="DB74" s="25">
        <v>34</v>
      </c>
      <c r="DC74" s="25" t="s">
        <v>430</v>
      </c>
      <c r="DD74" s="25" t="s">
        <v>434</v>
      </c>
      <c r="DE74" s="25" t="s">
        <v>430</v>
      </c>
      <c r="DF74" s="25" t="s">
        <v>430</v>
      </c>
      <c r="DG74" s="25" t="s">
        <v>462</v>
      </c>
      <c r="DH74" s="25" t="s">
        <v>431</v>
      </c>
      <c r="DI74" s="25" t="s">
        <v>463</v>
      </c>
      <c r="DJ74" s="25" t="s">
        <v>430</v>
      </c>
      <c r="DK74" s="25" t="s">
        <v>430</v>
      </c>
      <c r="DL74" s="25" t="s">
        <v>605</v>
      </c>
      <c r="DM74" s="25" t="s">
        <v>430</v>
      </c>
      <c r="DN74" s="25" t="s">
        <v>430</v>
      </c>
      <c r="DO74" s="25" t="s">
        <v>430</v>
      </c>
      <c r="DP74" s="25" t="s">
        <v>430</v>
      </c>
      <c r="DQ74" s="25" t="s">
        <v>430</v>
      </c>
      <c r="DR74" s="25" t="s">
        <v>502</v>
      </c>
      <c r="DS74" s="25" t="s">
        <v>466</v>
      </c>
      <c r="DT74" s="25" t="s">
        <v>466</v>
      </c>
      <c r="DU74" s="25" t="s">
        <v>446</v>
      </c>
      <c r="DV74" s="25">
        <v>1</v>
      </c>
      <c r="DW74" s="25"/>
      <c r="DX74" s="25">
        <v>4</v>
      </c>
      <c r="DY74" s="25">
        <v>43</v>
      </c>
      <c r="DZ74" s="166">
        <v>277305</v>
      </c>
      <c r="EA74" s="25">
        <v>2</v>
      </c>
      <c r="EB74" s="25">
        <v>1</v>
      </c>
      <c r="EC74" s="25">
        <v>20</v>
      </c>
      <c r="ED74" s="25">
        <v>2</v>
      </c>
      <c r="EE74" s="25">
        <v>2</v>
      </c>
      <c r="EF74" s="25">
        <v>1</v>
      </c>
      <c r="EG74" s="25">
        <v>1</v>
      </c>
      <c r="EH74" s="25">
        <v>7</v>
      </c>
      <c r="EI74" s="25">
        <v>5</v>
      </c>
      <c r="EJ74" s="25">
        <v>0</v>
      </c>
      <c r="EK74" s="25"/>
      <c r="EL74" s="25">
        <v>1</v>
      </c>
      <c r="EM74" s="25">
        <v>6</v>
      </c>
      <c r="EN74" s="25">
        <v>1</v>
      </c>
      <c r="EO74" s="25">
        <v>1</v>
      </c>
      <c r="EP74" s="25">
        <v>5</v>
      </c>
      <c r="EQ74" s="25">
        <v>1</v>
      </c>
      <c r="ER74" s="25">
        <v>65</v>
      </c>
      <c r="ES74" s="25">
        <v>1</v>
      </c>
      <c r="ET74" s="25">
        <v>1</v>
      </c>
      <c r="EU74" s="25">
        <v>1</v>
      </c>
      <c r="EV74" s="25" t="s">
        <v>257</v>
      </c>
    </row>
    <row r="75" spans="12:152" x14ac:dyDescent="0.25">
      <c r="L75" s="25">
        <v>46.295102</v>
      </c>
      <c r="M75" s="25">
        <v>-100.638865</v>
      </c>
      <c r="N75" s="25" t="s">
        <v>591</v>
      </c>
      <c r="O75" s="25">
        <v>2013</v>
      </c>
      <c r="P75" s="25" t="s">
        <v>427</v>
      </c>
      <c r="Q75" s="25" t="s">
        <v>545</v>
      </c>
      <c r="R75" s="25" t="s">
        <v>476</v>
      </c>
      <c r="S75" s="25" t="s">
        <v>430</v>
      </c>
      <c r="T75" s="25" t="s">
        <v>430</v>
      </c>
      <c r="U75" s="25" t="s">
        <v>446</v>
      </c>
      <c r="V75" s="25" t="s">
        <v>613</v>
      </c>
      <c r="W75" s="25" t="s">
        <v>433</v>
      </c>
      <c r="X75" s="25" t="s">
        <v>434</v>
      </c>
      <c r="Y75" s="25" t="s">
        <v>430</v>
      </c>
      <c r="Z75" s="25" t="s">
        <v>430</v>
      </c>
      <c r="AA75" s="25" t="s">
        <v>430</v>
      </c>
      <c r="AB75" s="25" t="s">
        <v>430</v>
      </c>
      <c r="AC75" s="25" t="s">
        <v>614</v>
      </c>
      <c r="AD75" s="25" t="s">
        <v>430</v>
      </c>
      <c r="AE75" s="25" t="s">
        <v>430</v>
      </c>
      <c r="AF75" s="25" t="s">
        <v>437</v>
      </c>
      <c r="AG75" s="164">
        <v>41399</v>
      </c>
      <c r="AH75" s="25" t="s">
        <v>525</v>
      </c>
      <c r="AI75" s="25" t="s">
        <v>439</v>
      </c>
      <c r="AJ75" s="165">
        <v>44963.350694444445</v>
      </c>
      <c r="AK75" s="25" t="s">
        <v>440</v>
      </c>
      <c r="AL75" s="25" t="s">
        <v>441</v>
      </c>
      <c r="AM75" s="164">
        <v>41403</v>
      </c>
      <c r="AN75" s="164">
        <v>41399</v>
      </c>
      <c r="AO75" s="25" t="s">
        <v>141</v>
      </c>
      <c r="AP75" s="25" t="s">
        <v>430</v>
      </c>
      <c r="AQ75" s="25" t="s">
        <v>430</v>
      </c>
      <c r="AR75" s="25" t="s">
        <v>615</v>
      </c>
      <c r="AS75" s="25" t="s">
        <v>430</v>
      </c>
      <c r="AT75" s="25" t="s">
        <v>430</v>
      </c>
      <c r="AU75" s="25" t="s">
        <v>616</v>
      </c>
      <c r="AV75" s="25">
        <v>41</v>
      </c>
      <c r="AW75" s="25" t="s">
        <v>485</v>
      </c>
      <c r="AX75" s="25" t="s">
        <v>444</v>
      </c>
      <c r="AY75" s="25" t="s">
        <v>430</v>
      </c>
      <c r="AZ75" s="25" t="s">
        <v>430</v>
      </c>
      <c r="BA75" s="25" t="s">
        <v>430</v>
      </c>
      <c r="BB75" s="25" t="s">
        <v>430</v>
      </c>
      <c r="BC75" s="25" t="s">
        <v>430</v>
      </c>
      <c r="BD75" s="25">
        <v>24.55</v>
      </c>
      <c r="BE75" s="25">
        <v>24</v>
      </c>
      <c r="BF75" s="25" t="s">
        <v>430</v>
      </c>
      <c r="BG75" s="25" t="s">
        <v>430</v>
      </c>
      <c r="BH75" s="25" t="s">
        <v>445</v>
      </c>
      <c r="BI75" s="25" t="s">
        <v>446</v>
      </c>
      <c r="BJ75" s="25" t="s">
        <v>447</v>
      </c>
      <c r="BK75" s="25" t="s">
        <v>448</v>
      </c>
      <c r="BL75" s="25" t="s">
        <v>538</v>
      </c>
      <c r="BM75" s="25" t="s">
        <v>430</v>
      </c>
      <c r="BN75" s="25" t="s">
        <v>430</v>
      </c>
      <c r="BO75" s="25">
        <v>1</v>
      </c>
      <c r="BP75" s="25" t="s">
        <v>434</v>
      </c>
      <c r="BQ75" s="25" t="s">
        <v>617</v>
      </c>
      <c r="BR75" s="25" t="s">
        <v>618</v>
      </c>
      <c r="BS75" s="25">
        <v>239</v>
      </c>
      <c r="BT75" s="25">
        <v>45</v>
      </c>
      <c r="BU75" s="25" t="s">
        <v>430</v>
      </c>
      <c r="BV75" s="25" t="s">
        <v>430</v>
      </c>
      <c r="BW75" s="25" t="s">
        <v>619</v>
      </c>
      <c r="BX75" s="25" t="s">
        <v>430</v>
      </c>
      <c r="BY75" s="25" t="s">
        <v>430</v>
      </c>
      <c r="BZ75" s="25" t="s">
        <v>493</v>
      </c>
      <c r="CA75" s="25" t="s">
        <v>430</v>
      </c>
      <c r="CB75" s="25" t="s">
        <v>430</v>
      </c>
      <c r="CC75" s="25" t="s">
        <v>481</v>
      </c>
      <c r="CD75" s="25" t="s">
        <v>430</v>
      </c>
      <c r="CE75" s="25" t="s">
        <v>430</v>
      </c>
      <c r="CF75" s="25" t="s">
        <v>441</v>
      </c>
      <c r="CG75" s="25" t="s">
        <v>430</v>
      </c>
      <c r="CH75" s="25" t="s">
        <v>452</v>
      </c>
      <c r="CI75" s="25" t="s">
        <v>539</v>
      </c>
      <c r="CJ75" s="25" t="s">
        <v>454</v>
      </c>
      <c r="CK75" s="25" t="s">
        <v>455</v>
      </c>
      <c r="CL75" s="25" t="s">
        <v>517</v>
      </c>
      <c r="CM75" s="25" t="s">
        <v>430</v>
      </c>
      <c r="CN75" s="25" t="s">
        <v>523</v>
      </c>
      <c r="CO75" s="25" t="s">
        <v>430</v>
      </c>
      <c r="CP75" s="25" t="s">
        <v>430</v>
      </c>
      <c r="CQ75" s="25">
        <v>8</v>
      </c>
      <c r="CR75" s="25" t="s">
        <v>431</v>
      </c>
      <c r="CS75" s="25" t="s">
        <v>430</v>
      </c>
      <c r="CT75" s="25" t="s">
        <v>430</v>
      </c>
      <c r="CU75" s="25"/>
      <c r="CV75" s="25" t="s">
        <v>430</v>
      </c>
      <c r="CW75" s="25" t="s">
        <v>460</v>
      </c>
      <c r="CX75" s="25" t="s">
        <v>461</v>
      </c>
      <c r="CY75" s="165">
        <v>44963.370833333334</v>
      </c>
      <c r="CZ75" s="25"/>
      <c r="DA75" s="25" t="s">
        <v>430</v>
      </c>
      <c r="DB75" s="25">
        <v>24.55</v>
      </c>
      <c r="DC75" s="25" t="s">
        <v>430</v>
      </c>
      <c r="DD75" s="25" t="s">
        <v>434</v>
      </c>
      <c r="DE75" s="25" t="s">
        <v>430</v>
      </c>
      <c r="DF75" s="25" t="s">
        <v>430</v>
      </c>
      <c r="DG75" s="25" t="s">
        <v>462</v>
      </c>
      <c r="DH75" s="25" t="s">
        <v>446</v>
      </c>
      <c r="DI75" s="25" t="s">
        <v>463</v>
      </c>
      <c r="DJ75" s="25" t="s">
        <v>430</v>
      </c>
      <c r="DK75" s="25" t="s">
        <v>430</v>
      </c>
      <c r="DL75" s="25" t="s">
        <v>474</v>
      </c>
      <c r="DM75" s="25" t="s">
        <v>430</v>
      </c>
      <c r="DN75" s="25" t="s">
        <v>430</v>
      </c>
      <c r="DO75" s="25" t="s">
        <v>434</v>
      </c>
      <c r="DP75" s="25" t="s">
        <v>430</v>
      </c>
      <c r="DQ75" s="25" t="s">
        <v>430</v>
      </c>
      <c r="DR75" s="25" t="s">
        <v>502</v>
      </c>
      <c r="DS75" s="25" t="s">
        <v>466</v>
      </c>
      <c r="DT75" s="25" t="s">
        <v>466</v>
      </c>
      <c r="DU75" s="25" t="s">
        <v>431</v>
      </c>
      <c r="DV75" s="25">
        <v>1</v>
      </c>
      <c r="DW75" s="166">
        <v>3734</v>
      </c>
      <c r="DX75" s="25">
        <v>1</v>
      </c>
      <c r="DY75" s="25">
        <v>43</v>
      </c>
      <c r="DZ75" s="166">
        <v>278301</v>
      </c>
      <c r="EA75" s="25">
        <v>1</v>
      </c>
      <c r="EB75" s="25">
        <v>1</v>
      </c>
      <c r="EC75" s="25">
        <v>20</v>
      </c>
      <c r="ED75" s="25">
        <v>2</v>
      </c>
      <c r="EE75" s="25">
        <v>2</v>
      </c>
      <c r="EF75" s="25">
        <v>1</v>
      </c>
      <c r="EG75" s="25">
        <v>1</v>
      </c>
      <c r="EH75" s="25">
        <v>7</v>
      </c>
      <c r="EI75" s="25">
        <v>6</v>
      </c>
      <c r="EJ75" s="25">
        <v>0</v>
      </c>
      <c r="EK75" s="25">
        <v>0</v>
      </c>
      <c r="EL75" s="25">
        <v>1</v>
      </c>
      <c r="EM75" s="25">
        <v>5</v>
      </c>
      <c r="EN75" s="25">
        <v>1</v>
      </c>
      <c r="EO75" s="25">
        <v>1</v>
      </c>
      <c r="EP75" s="25">
        <v>2</v>
      </c>
      <c r="EQ75" s="25">
        <v>1</v>
      </c>
      <c r="ER75" s="25">
        <v>65</v>
      </c>
      <c r="ES75" s="25">
        <v>1</v>
      </c>
      <c r="ET75" s="25">
        <v>2</v>
      </c>
      <c r="EU75" s="25">
        <v>1</v>
      </c>
      <c r="EV75" s="25" t="s">
        <v>257</v>
      </c>
    </row>
    <row r="76" spans="12:152" x14ac:dyDescent="0.25">
      <c r="L76" s="25">
        <v>46.374042000000003</v>
      </c>
      <c r="M76" s="25">
        <v>-100.888004</v>
      </c>
      <c r="N76" s="25" t="s">
        <v>475</v>
      </c>
      <c r="O76" s="25">
        <v>2013</v>
      </c>
      <c r="P76" s="25" t="s">
        <v>427</v>
      </c>
      <c r="Q76" s="25" t="s">
        <v>545</v>
      </c>
      <c r="R76" s="25" t="s">
        <v>429</v>
      </c>
      <c r="S76" s="25" t="s">
        <v>430</v>
      </c>
      <c r="T76" s="25" t="s">
        <v>430</v>
      </c>
      <c r="U76" s="25" t="s">
        <v>431</v>
      </c>
      <c r="V76" s="25" t="s">
        <v>432</v>
      </c>
      <c r="W76" s="25" t="s">
        <v>433</v>
      </c>
      <c r="X76" s="25" t="s">
        <v>620</v>
      </c>
      <c r="Y76" s="25" t="s">
        <v>430</v>
      </c>
      <c r="Z76" s="25" t="s">
        <v>430</v>
      </c>
      <c r="AA76" s="25" t="s">
        <v>430</v>
      </c>
      <c r="AB76" s="25" t="s">
        <v>430</v>
      </c>
      <c r="AC76" s="25" t="s">
        <v>560</v>
      </c>
      <c r="AD76" s="25" t="s">
        <v>430</v>
      </c>
      <c r="AE76" s="25" t="s">
        <v>430</v>
      </c>
      <c r="AF76" s="25" t="s">
        <v>437</v>
      </c>
      <c r="AG76" s="164">
        <v>41573</v>
      </c>
      <c r="AH76" s="25" t="s">
        <v>468</v>
      </c>
      <c r="AI76" s="25" t="s">
        <v>439</v>
      </c>
      <c r="AJ76" s="165">
        <v>44963.104166666664</v>
      </c>
      <c r="AK76" s="25" t="s">
        <v>440</v>
      </c>
      <c r="AL76" s="25" t="s">
        <v>441</v>
      </c>
      <c r="AM76" s="164">
        <v>41576</v>
      </c>
      <c r="AN76" s="164">
        <v>41573</v>
      </c>
      <c r="AO76" s="25" t="s">
        <v>142</v>
      </c>
      <c r="AP76" s="25" t="s">
        <v>430</v>
      </c>
      <c r="AQ76" s="25" t="s">
        <v>430</v>
      </c>
      <c r="AR76" s="25" t="s">
        <v>573</v>
      </c>
      <c r="AS76" s="25" t="s">
        <v>430</v>
      </c>
      <c r="AT76" s="25" t="s">
        <v>430</v>
      </c>
      <c r="AU76" s="25"/>
      <c r="AV76" s="25" t="s">
        <v>430</v>
      </c>
      <c r="AW76" s="25" t="s">
        <v>443</v>
      </c>
      <c r="AX76" s="25" t="s">
        <v>538</v>
      </c>
      <c r="AY76" s="25" t="s">
        <v>430</v>
      </c>
      <c r="AZ76" s="25" t="s">
        <v>430</v>
      </c>
      <c r="BA76" s="25" t="s">
        <v>430</v>
      </c>
      <c r="BB76" s="25" t="s">
        <v>430</v>
      </c>
      <c r="BC76" s="25" t="s">
        <v>430</v>
      </c>
      <c r="BD76" s="25">
        <v>42.78</v>
      </c>
      <c r="BE76" s="25">
        <v>24</v>
      </c>
      <c r="BF76" s="25" t="s">
        <v>430</v>
      </c>
      <c r="BG76" s="25" t="s">
        <v>430</v>
      </c>
      <c r="BH76" s="25" t="s">
        <v>445</v>
      </c>
      <c r="BI76" s="25" t="s">
        <v>446</v>
      </c>
      <c r="BJ76" s="25" t="s">
        <v>479</v>
      </c>
      <c r="BK76" s="25" t="s">
        <v>448</v>
      </c>
      <c r="BL76" s="25" t="s">
        <v>538</v>
      </c>
      <c r="BM76" s="25" t="s">
        <v>430</v>
      </c>
      <c r="BN76" s="25" t="s">
        <v>430</v>
      </c>
      <c r="BO76" s="25">
        <v>1</v>
      </c>
      <c r="BP76" s="25" t="s">
        <v>434</v>
      </c>
      <c r="BQ76" s="25" t="s">
        <v>548</v>
      </c>
      <c r="BR76" s="25" t="s">
        <v>621</v>
      </c>
      <c r="BS76" s="25">
        <v>283</v>
      </c>
      <c r="BT76" s="25">
        <v>22</v>
      </c>
      <c r="BU76" s="25" t="s">
        <v>430</v>
      </c>
      <c r="BV76" s="25" t="s">
        <v>430</v>
      </c>
      <c r="BW76" s="25" t="s">
        <v>622</v>
      </c>
      <c r="BX76" s="25" t="s">
        <v>430</v>
      </c>
      <c r="BY76" s="25" t="s">
        <v>430</v>
      </c>
      <c r="BZ76" s="25" t="s">
        <v>433</v>
      </c>
      <c r="CA76" s="25" t="s">
        <v>430</v>
      </c>
      <c r="CB76" s="25" t="s">
        <v>430</v>
      </c>
      <c r="CC76" s="25" t="s">
        <v>481</v>
      </c>
      <c r="CD76" s="25" t="s">
        <v>430</v>
      </c>
      <c r="CE76" s="25" t="s">
        <v>430</v>
      </c>
      <c r="CF76" s="25" t="s">
        <v>441</v>
      </c>
      <c r="CG76" s="25" t="s">
        <v>430</v>
      </c>
      <c r="CH76" s="25" t="s">
        <v>452</v>
      </c>
      <c r="CI76" s="25" t="s">
        <v>539</v>
      </c>
      <c r="CJ76" s="25" t="s">
        <v>454</v>
      </c>
      <c r="CK76" s="25" t="s">
        <v>455</v>
      </c>
      <c r="CL76" s="25" t="s">
        <v>472</v>
      </c>
      <c r="CM76" s="25" t="s">
        <v>430</v>
      </c>
      <c r="CN76" s="25" t="s">
        <v>523</v>
      </c>
      <c r="CO76" s="25" t="s">
        <v>430</v>
      </c>
      <c r="CP76" s="25" t="s">
        <v>430</v>
      </c>
      <c r="CQ76" s="25">
        <v>2</v>
      </c>
      <c r="CR76" s="25" t="s">
        <v>431</v>
      </c>
      <c r="CS76" s="25" t="s">
        <v>430</v>
      </c>
      <c r="CT76" s="25" t="s">
        <v>430</v>
      </c>
      <c r="CU76" s="25"/>
      <c r="CV76" s="25" t="s">
        <v>430</v>
      </c>
      <c r="CW76" s="25" t="s">
        <v>460</v>
      </c>
      <c r="CX76" s="25" t="s">
        <v>461</v>
      </c>
      <c r="CY76" s="165">
        <v>44963.689583333333</v>
      </c>
      <c r="CZ76" s="25"/>
      <c r="DA76" s="25" t="s">
        <v>430</v>
      </c>
      <c r="DB76" s="25">
        <v>42.78</v>
      </c>
      <c r="DC76" s="25" t="s">
        <v>430</v>
      </c>
      <c r="DD76" s="25" t="s">
        <v>434</v>
      </c>
      <c r="DE76" s="25" t="s">
        <v>430</v>
      </c>
      <c r="DF76" s="25" t="s">
        <v>430</v>
      </c>
      <c r="DG76" s="25" t="s">
        <v>462</v>
      </c>
      <c r="DH76" s="25" t="s">
        <v>446</v>
      </c>
      <c r="DI76" s="25" t="s">
        <v>473</v>
      </c>
      <c r="DJ76" s="25" t="s">
        <v>430</v>
      </c>
      <c r="DK76" s="25" t="s">
        <v>430</v>
      </c>
      <c r="DL76" s="25" t="s">
        <v>474</v>
      </c>
      <c r="DM76" s="25" t="s">
        <v>430</v>
      </c>
      <c r="DN76" s="25" t="s">
        <v>430</v>
      </c>
      <c r="DO76" s="25" t="s">
        <v>434</v>
      </c>
      <c r="DP76" s="25" t="s">
        <v>430</v>
      </c>
      <c r="DQ76" s="25" t="s">
        <v>430</v>
      </c>
      <c r="DR76" s="25" t="s">
        <v>502</v>
      </c>
      <c r="DS76" s="25" t="s">
        <v>466</v>
      </c>
      <c r="DT76" s="25" t="s">
        <v>466</v>
      </c>
      <c r="DU76" s="25" t="s">
        <v>431</v>
      </c>
      <c r="DV76" s="25">
        <v>1</v>
      </c>
      <c r="DW76" s="166">
        <v>8438</v>
      </c>
      <c r="DX76" s="25">
        <v>1</v>
      </c>
      <c r="DY76" s="25">
        <v>43</v>
      </c>
      <c r="DZ76" s="166">
        <v>289045</v>
      </c>
      <c r="EA76" s="25">
        <v>4</v>
      </c>
      <c r="EB76" s="25">
        <v>1</v>
      </c>
      <c r="EC76" s="25">
        <v>27</v>
      </c>
      <c r="ED76" s="25">
        <v>2</v>
      </c>
      <c r="EE76" s="25">
        <v>2</v>
      </c>
      <c r="EF76" s="25">
        <v>1</v>
      </c>
      <c r="EG76" s="25">
        <v>5</v>
      </c>
      <c r="EH76" s="25">
        <v>7</v>
      </c>
      <c r="EI76" s="25">
        <v>8</v>
      </c>
      <c r="EJ76" s="25">
        <v>0</v>
      </c>
      <c r="EK76" s="25">
        <v>20</v>
      </c>
      <c r="EL76" s="25">
        <v>1</v>
      </c>
      <c r="EM76" s="25">
        <v>5</v>
      </c>
      <c r="EN76" s="25">
        <v>1</v>
      </c>
      <c r="EO76" s="25">
        <v>1</v>
      </c>
      <c r="EP76" s="25">
        <v>1</v>
      </c>
      <c r="EQ76" s="25">
        <v>1</v>
      </c>
      <c r="ER76" s="25">
        <v>65</v>
      </c>
      <c r="ES76" s="25">
        <v>1</v>
      </c>
      <c r="ET76" s="25">
        <v>2</v>
      </c>
      <c r="EU76" s="25">
        <v>1</v>
      </c>
      <c r="EV76" s="25" t="s">
        <v>257</v>
      </c>
    </row>
    <row r="77" spans="12:152" x14ac:dyDescent="0.25">
      <c r="L77" s="25">
        <v>46.385809999999999</v>
      </c>
      <c r="M77" s="25">
        <v>-100.77224</v>
      </c>
      <c r="N77" s="25" t="s">
        <v>591</v>
      </c>
      <c r="O77" s="25">
        <v>2015</v>
      </c>
      <c r="P77" s="25" t="s">
        <v>427</v>
      </c>
      <c r="Q77" s="25" t="s">
        <v>428</v>
      </c>
      <c r="R77" s="25" t="s">
        <v>476</v>
      </c>
      <c r="S77" s="25" t="s">
        <v>430</v>
      </c>
      <c r="T77" s="25" t="s">
        <v>430</v>
      </c>
      <c r="U77" s="25" t="s">
        <v>446</v>
      </c>
      <c r="V77" s="25" t="s">
        <v>623</v>
      </c>
      <c r="W77" s="25" t="s">
        <v>433</v>
      </c>
      <c r="X77" s="25" t="s">
        <v>434</v>
      </c>
      <c r="Y77" s="25" t="s">
        <v>430</v>
      </c>
      <c r="Z77" s="25" t="s">
        <v>430</v>
      </c>
      <c r="AA77" s="25" t="s">
        <v>430</v>
      </c>
      <c r="AB77" s="25" t="s">
        <v>430</v>
      </c>
      <c r="AC77" s="25" t="s">
        <v>193</v>
      </c>
      <c r="AD77" s="25" t="s">
        <v>430</v>
      </c>
      <c r="AE77" s="25" t="s">
        <v>430</v>
      </c>
      <c r="AF77" s="25" t="s">
        <v>437</v>
      </c>
      <c r="AG77" s="164">
        <v>42116</v>
      </c>
      <c r="AH77" s="25" t="s">
        <v>572</v>
      </c>
      <c r="AI77" s="25" t="s">
        <v>439</v>
      </c>
      <c r="AJ77" s="165">
        <v>44963.308333333334</v>
      </c>
      <c r="AK77" s="25" t="s">
        <v>440</v>
      </c>
      <c r="AL77" s="25" t="s">
        <v>441</v>
      </c>
      <c r="AM77" s="164">
        <v>42187</v>
      </c>
      <c r="AN77" s="164">
        <v>42116</v>
      </c>
      <c r="AO77" s="25" t="s">
        <v>506</v>
      </c>
      <c r="AP77" s="25" t="s">
        <v>430</v>
      </c>
      <c r="AQ77" s="25" t="s">
        <v>430</v>
      </c>
      <c r="AR77" s="25" t="s">
        <v>573</v>
      </c>
      <c r="AS77" s="25" t="s">
        <v>430</v>
      </c>
      <c r="AT77" s="25" t="s">
        <v>430</v>
      </c>
      <c r="AU77" s="25" t="s">
        <v>430</v>
      </c>
      <c r="AV77" s="25" t="s">
        <v>430</v>
      </c>
      <c r="AW77" s="25" t="s">
        <v>530</v>
      </c>
      <c r="AX77" s="25" t="s">
        <v>444</v>
      </c>
      <c r="AY77" s="25" t="s">
        <v>430</v>
      </c>
      <c r="AZ77" s="25" t="s">
        <v>430</v>
      </c>
      <c r="BA77" s="25" t="s">
        <v>430</v>
      </c>
      <c r="BB77" s="25" t="s">
        <v>430</v>
      </c>
      <c r="BC77" s="25" t="s">
        <v>430</v>
      </c>
      <c r="BD77" s="25">
        <v>37</v>
      </c>
      <c r="BE77" s="25">
        <v>24</v>
      </c>
      <c r="BF77" s="25" t="s">
        <v>430</v>
      </c>
      <c r="BG77" s="25" t="s">
        <v>430</v>
      </c>
      <c r="BH77" s="25" t="s">
        <v>445</v>
      </c>
      <c r="BI77" s="25" t="s">
        <v>446</v>
      </c>
      <c r="BJ77" s="25" t="s">
        <v>447</v>
      </c>
      <c r="BK77" s="25" t="s">
        <v>448</v>
      </c>
      <c r="BL77" s="25" t="s">
        <v>538</v>
      </c>
      <c r="BM77" s="25" t="s">
        <v>430</v>
      </c>
      <c r="BN77" s="25" t="s">
        <v>430</v>
      </c>
      <c r="BO77" s="25">
        <v>1</v>
      </c>
      <c r="BP77" s="25" t="s">
        <v>434</v>
      </c>
      <c r="BQ77" s="25" t="s">
        <v>430</v>
      </c>
      <c r="BR77" s="25" t="s">
        <v>624</v>
      </c>
      <c r="BS77" s="25" t="s">
        <v>430</v>
      </c>
      <c r="BT77" s="25">
        <v>23</v>
      </c>
      <c r="BU77" s="25" t="s">
        <v>430</v>
      </c>
      <c r="BV77" s="25" t="s">
        <v>430</v>
      </c>
      <c r="BW77" s="25" t="s">
        <v>435</v>
      </c>
      <c r="BX77" s="25" t="s">
        <v>430</v>
      </c>
      <c r="BY77" s="25" t="s">
        <v>430</v>
      </c>
      <c r="BZ77" s="25" t="s">
        <v>493</v>
      </c>
      <c r="CA77" s="25" t="s">
        <v>430</v>
      </c>
      <c r="CB77" s="25" t="s">
        <v>430</v>
      </c>
      <c r="CC77" s="25" t="s">
        <v>481</v>
      </c>
      <c r="CD77" s="25" t="s">
        <v>430</v>
      </c>
      <c r="CE77" s="25" t="s">
        <v>430</v>
      </c>
      <c r="CF77" s="25" t="s">
        <v>441</v>
      </c>
      <c r="CG77" s="25" t="s">
        <v>430</v>
      </c>
      <c r="CH77" s="25" t="s">
        <v>452</v>
      </c>
      <c r="CI77" s="25" t="s">
        <v>516</v>
      </c>
      <c r="CJ77" s="25" t="s">
        <v>454</v>
      </c>
      <c r="CK77" s="25" t="s">
        <v>455</v>
      </c>
      <c r="CL77" s="25" t="s">
        <v>517</v>
      </c>
      <c r="CM77" s="25" t="s">
        <v>430</v>
      </c>
      <c r="CN77" s="25" t="s">
        <v>523</v>
      </c>
      <c r="CO77" s="25" t="s">
        <v>430</v>
      </c>
      <c r="CP77" s="25" t="s">
        <v>430</v>
      </c>
      <c r="CQ77" s="25">
        <v>7</v>
      </c>
      <c r="CR77" s="25" t="s">
        <v>446</v>
      </c>
      <c r="CS77" s="25" t="s">
        <v>430</v>
      </c>
      <c r="CT77" s="25" t="s">
        <v>430</v>
      </c>
      <c r="CU77" s="25" t="s">
        <v>430</v>
      </c>
      <c r="CV77" s="25" t="s">
        <v>430</v>
      </c>
      <c r="CW77" s="25" t="s">
        <v>460</v>
      </c>
      <c r="CX77" s="25" t="s">
        <v>499</v>
      </c>
      <c r="CY77" s="165">
        <v>44963.309027777781</v>
      </c>
      <c r="CZ77" s="25" t="s">
        <v>430</v>
      </c>
      <c r="DA77" s="25" t="s">
        <v>430</v>
      </c>
      <c r="DB77" s="25">
        <v>37</v>
      </c>
      <c r="DC77" s="25" t="s">
        <v>430</v>
      </c>
      <c r="DD77" s="25" t="s">
        <v>625</v>
      </c>
      <c r="DE77" s="25" t="s">
        <v>430</v>
      </c>
      <c r="DF77" s="25" t="s">
        <v>430</v>
      </c>
      <c r="DG77" s="25" t="s">
        <v>462</v>
      </c>
      <c r="DH77" s="25" t="s">
        <v>446</v>
      </c>
      <c r="DI77" s="25" t="s">
        <v>463</v>
      </c>
      <c r="DJ77" s="25" t="s">
        <v>430</v>
      </c>
      <c r="DK77" s="25" t="s">
        <v>430</v>
      </c>
      <c r="DL77" s="25" t="s">
        <v>474</v>
      </c>
      <c r="DM77" s="25" t="s">
        <v>430</v>
      </c>
      <c r="DN77" s="25" t="s">
        <v>430</v>
      </c>
      <c r="DO77" s="25" t="s">
        <v>430</v>
      </c>
      <c r="DP77" s="25" t="s">
        <v>430</v>
      </c>
      <c r="DQ77" s="25" t="s">
        <v>430</v>
      </c>
      <c r="DR77" s="25" t="s">
        <v>502</v>
      </c>
      <c r="DS77" s="25" t="s">
        <v>466</v>
      </c>
      <c r="DT77" s="25" t="s">
        <v>466</v>
      </c>
      <c r="DU77" s="25" t="s">
        <v>431</v>
      </c>
      <c r="DV77" s="25">
        <v>1</v>
      </c>
      <c r="DW77" s="25"/>
      <c r="DX77" s="25">
        <v>4</v>
      </c>
      <c r="DY77" s="25">
        <v>43</v>
      </c>
      <c r="DZ77" s="166">
        <v>329438</v>
      </c>
      <c r="EA77" s="25">
        <v>1</v>
      </c>
      <c r="EB77" s="25">
        <v>1</v>
      </c>
      <c r="EC77" s="25">
        <v>20</v>
      </c>
      <c r="ED77" s="25">
        <v>2</v>
      </c>
      <c r="EE77" s="25">
        <v>2</v>
      </c>
      <c r="EF77" s="25">
        <v>1</v>
      </c>
      <c r="EG77" s="25">
        <v>1</v>
      </c>
      <c r="EH77" s="25">
        <v>7</v>
      </c>
      <c r="EI77" s="25">
        <v>12</v>
      </c>
      <c r="EJ77" s="25">
        <v>0</v>
      </c>
      <c r="EK77" s="25">
        <v>0</v>
      </c>
      <c r="EL77" s="25">
        <v>1</v>
      </c>
      <c r="EM77" s="25">
        <v>1</v>
      </c>
      <c r="EN77" s="25">
        <v>1</v>
      </c>
      <c r="EO77" s="25">
        <v>1</v>
      </c>
      <c r="EP77" s="25">
        <v>2</v>
      </c>
      <c r="EQ77" s="25">
        <v>1</v>
      </c>
      <c r="ER77" s="25"/>
      <c r="ES77" s="25">
        <v>1</v>
      </c>
      <c r="ET77" s="25">
        <v>1</v>
      </c>
      <c r="EU77" s="25">
        <v>1</v>
      </c>
      <c r="EV77" s="25" t="s">
        <v>257</v>
      </c>
    </row>
    <row r="78" spans="12:152" x14ac:dyDescent="0.25">
      <c r="L78" s="25">
        <v>46.361105000000002</v>
      </c>
      <c r="M78" s="25">
        <v>-100.63086</v>
      </c>
      <c r="N78" s="25" t="s">
        <v>24</v>
      </c>
      <c r="O78" s="25">
        <v>2015</v>
      </c>
      <c r="P78" s="25" t="s">
        <v>427</v>
      </c>
      <c r="Q78" s="25" t="s">
        <v>545</v>
      </c>
      <c r="R78" s="25" t="s">
        <v>429</v>
      </c>
      <c r="S78" s="25" t="s">
        <v>429</v>
      </c>
      <c r="T78" s="25" t="s">
        <v>430</v>
      </c>
      <c r="U78" s="25" t="s">
        <v>431</v>
      </c>
      <c r="V78" s="25" t="s">
        <v>432</v>
      </c>
      <c r="W78" s="25" t="s">
        <v>433</v>
      </c>
      <c r="X78" s="25" t="s">
        <v>620</v>
      </c>
      <c r="Y78" s="25" t="s">
        <v>434</v>
      </c>
      <c r="Z78" s="25" t="s">
        <v>430</v>
      </c>
      <c r="AA78" s="25" t="s">
        <v>430</v>
      </c>
      <c r="AB78" s="25" t="s">
        <v>430</v>
      </c>
      <c r="AC78" s="25" t="s">
        <v>514</v>
      </c>
      <c r="AD78" s="25" t="s">
        <v>560</v>
      </c>
      <c r="AE78" s="25" t="s">
        <v>430</v>
      </c>
      <c r="AF78" s="25" t="s">
        <v>437</v>
      </c>
      <c r="AG78" s="164">
        <v>42288</v>
      </c>
      <c r="AH78" s="25" t="s">
        <v>525</v>
      </c>
      <c r="AI78" s="25" t="s">
        <v>439</v>
      </c>
      <c r="AJ78" s="165">
        <v>44963.638888888891</v>
      </c>
      <c r="AK78" s="25" t="s">
        <v>440</v>
      </c>
      <c r="AL78" s="25" t="s">
        <v>441</v>
      </c>
      <c r="AM78" s="164">
        <v>42298</v>
      </c>
      <c r="AN78" s="164">
        <v>42288</v>
      </c>
      <c r="AO78" s="25" t="s">
        <v>141</v>
      </c>
      <c r="AP78" s="25" t="s">
        <v>142</v>
      </c>
      <c r="AQ78" s="25" t="s">
        <v>430</v>
      </c>
      <c r="AR78" s="25" t="s">
        <v>442</v>
      </c>
      <c r="AS78" s="25" t="s">
        <v>442</v>
      </c>
      <c r="AT78" s="25" t="s">
        <v>430</v>
      </c>
      <c r="AU78" s="25" t="s">
        <v>616</v>
      </c>
      <c r="AV78" s="25">
        <v>41</v>
      </c>
      <c r="AW78" s="25" t="s">
        <v>521</v>
      </c>
      <c r="AX78" s="25" t="s">
        <v>469</v>
      </c>
      <c r="AY78" s="25" t="s">
        <v>430</v>
      </c>
      <c r="AZ78" s="25" t="s">
        <v>430</v>
      </c>
      <c r="BA78" s="25" t="s">
        <v>430</v>
      </c>
      <c r="BB78" s="25" t="s">
        <v>430</v>
      </c>
      <c r="BC78" s="25" t="s">
        <v>430</v>
      </c>
      <c r="BD78" s="25">
        <v>29.2</v>
      </c>
      <c r="BE78" s="25">
        <v>24</v>
      </c>
      <c r="BF78" s="25" t="s">
        <v>430</v>
      </c>
      <c r="BG78" s="25" t="s">
        <v>430</v>
      </c>
      <c r="BH78" s="25" t="s">
        <v>445</v>
      </c>
      <c r="BI78" s="25" t="s">
        <v>431</v>
      </c>
      <c r="BJ78" s="25" t="s">
        <v>447</v>
      </c>
      <c r="BK78" s="25" t="s">
        <v>626</v>
      </c>
      <c r="BL78" s="25" t="s">
        <v>469</v>
      </c>
      <c r="BM78" s="25" t="s">
        <v>469</v>
      </c>
      <c r="BN78" s="25" t="s">
        <v>430</v>
      </c>
      <c r="BO78" s="25">
        <v>1</v>
      </c>
      <c r="BP78" s="25" t="s">
        <v>434</v>
      </c>
      <c r="BQ78" s="25" t="s">
        <v>627</v>
      </c>
      <c r="BR78" s="25" t="s">
        <v>628</v>
      </c>
      <c r="BS78" s="25">
        <v>226</v>
      </c>
      <c r="BT78" s="25">
        <v>56</v>
      </c>
      <c r="BU78" s="25" t="s">
        <v>430</v>
      </c>
      <c r="BV78" s="25" t="s">
        <v>430</v>
      </c>
      <c r="BW78" s="25" t="s">
        <v>480</v>
      </c>
      <c r="BX78" s="25" t="s">
        <v>519</v>
      </c>
      <c r="BY78" s="25" t="s">
        <v>430</v>
      </c>
      <c r="BZ78" s="25" t="s">
        <v>493</v>
      </c>
      <c r="CA78" s="25" t="s">
        <v>451</v>
      </c>
      <c r="CB78" s="25" t="s">
        <v>430</v>
      </c>
      <c r="CC78" s="25" t="s">
        <v>481</v>
      </c>
      <c r="CD78" s="25" t="s">
        <v>520</v>
      </c>
      <c r="CE78" s="25" t="s">
        <v>430</v>
      </c>
      <c r="CF78" s="25" t="s">
        <v>441</v>
      </c>
      <c r="CG78" s="25" t="s">
        <v>430</v>
      </c>
      <c r="CH78" s="25" t="s">
        <v>452</v>
      </c>
      <c r="CI78" s="25" t="s">
        <v>453</v>
      </c>
      <c r="CJ78" s="25" t="s">
        <v>454</v>
      </c>
      <c r="CK78" s="25" t="s">
        <v>455</v>
      </c>
      <c r="CL78" s="25" t="s">
        <v>517</v>
      </c>
      <c r="CM78" s="25" t="s">
        <v>430</v>
      </c>
      <c r="CN78" s="25" t="s">
        <v>497</v>
      </c>
      <c r="CO78" s="25" t="s">
        <v>457</v>
      </c>
      <c r="CP78" s="25" t="s">
        <v>430</v>
      </c>
      <c r="CQ78" s="25">
        <v>15</v>
      </c>
      <c r="CR78" s="25" t="s">
        <v>446</v>
      </c>
      <c r="CS78" s="25">
        <v>65</v>
      </c>
      <c r="CT78" s="25" t="s">
        <v>430</v>
      </c>
      <c r="CU78" s="25" t="s">
        <v>430</v>
      </c>
      <c r="CV78" s="25" t="s">
        <v>430</v>
      </c>
      <c r="CW78" s="25" t="s">
        <v>460</v>
      </c>
      <c r="CX78" s="25" t="s">
        <v>461</v>
      </c>
      <c r="CY78" s="165">
        <v>44963.645833333336</v>
      </c>
      <c r="CZ78" s="25" t="s">
        <v>430</v>
      </c>
      <c r="DA78" s="25" t="s">
        <v>430</v>
      </c>
      <c r="DB78" s="25">
        <v>29.2</v>
      </c>
      <c r="DC78" s="25" t="s">
        <v>430</v>
      </c>
      <c r="DD78" s="25" t="s">
        <v>434</v>
      </c>
      <c r="DE78" s="25" t="s">
        <v>434</v>
      </c>
      <c r="DF78" s="25" t="s">
        <v>430</v>
      </c>
      <c r="DG78" s="25" t="s">
        <v>462</v>
      </c>
      <c r="DH78" s="25" t="s">
        <v>431</v>
      </c>
      <c r="DI78" s="25" t="s">
        <v>463</v>
      </c>
      <c r="DJ78" s="25" t="s">
        <v>473</v>
      </c>
      <c r="DK78" s="25" t="s">
        <v>430</v>
      </c>
      <c r="DL78" s="25" t="s">
        <v>474</v>
      </c>
      <c r="DM78" s="25" t="s">
        <v>464</v>
      </c>
      <c r="DN78" s="25" t="s">
        <v>430</v>
      </c>
      <c r="DO78" s="25" t="s">
        <v>434</v>
      </c>
      <c r="DP78" s="25" t="s">
        <v>434</v>
      </c>
      <c r="DQ78" s="25" t="s">
        <v>430</v>
      </c>
      <c r="DR78" s="25" t="s">
        <v>629</v>
      </c>
      <c r="DS78" s="25" t="s">
        <v>466</v>
      </c>
      <c r="DT78" s="25" t="s">
        <v>466</v>
      </c>
      <c r="DU78" s="25" t="s">
        <v>431</v>
      </c>
      <c r="DV78" s="25">
        <v>1</v>
      </c>
      <c r="DW78" s="166">
        <v>15007184</v>
      </c>
      <c r="DX78" s="25">
        <v>1</v>
      </c>
      <c r="DY78" s="25">
        <v>43</v>
      </c>
      <c r="DZ78" s="166">
        <v>334733</v>
      </c>
      <c r="EA78" s="25">
        <v>3</v>
      </c>
      <c r="EB78" s="25">
        <v>1</v>
      </c>
      <c r="EC78" s="25">
        <v>1</v>
      </c>
      <c r="ED78" s="25">
        <v>2</v>
      </c>
      <c r="EE78" s="25">
        <v>1</v>
      </c>
      <c r="EF78" s="25">
        <v>1</v>
      </c>
      <c r="EG78" s="25">
        <v>1</v>
      </c>
      <c r="EH78" s="25">
        <v>10</v>
      </c>
      <c r="EI78" s="25">
        <v>14</v>
      </c>
      <c r="EJ78" s="25">
        <v>0</v>
      </c>
      <c r="EK78" s="25">
        <v>0</v>
      </c>
      <c r="EL78" s="25">
        <v>1</v>
      </c>
      <c r="EM78" s="25">
        <v>0</v>
      </c>
      <c r="EN78" s="25">
        <v>1</v>
      </c>
      <c r="EO78" s="25">
        <v>1</v>
      </c>
      <c r="EP78" s="25">
        <v>2</v>
      </c>
      <c r="EQ78" s="25">
        <v>1</v>
      </c>
      <c r="ER78" s="25">
        <v>65</v>
      </c>
      <c r="ES78" s="25">
        <v>1</v>
      </c>
      <c r="ET78" s="25">
        <v>2</v>
      </c>
      <c r="EU78" s="25">
        <v>8</v>
      </c>
      <c r="EV78" s="25" t="s">
        <v>257</v>
      </c>
    </row>
    <row r="79" spans="12:152" x14ac:dyDescent="0.25">
      <c r="L79" s="25">
        <v>46.168532999999996</v>
      </c>
      <c r="M79" s="25">
        <v>-100.683345</v>
      </c>
      <c r="N79" s="25" t="s">
        <v>24</v>
      </c>
      <c r="O79" s="25">
        <v>2015</v>
      </c>
      <c r="P79" s="25" t="s">
        <v>427</v>
      </c>
      <c r="Q79" s="25" t="s">
        <v>428</v>
      </c>
      <c r="R79" s="25" t="s">
        <v>429</v>
      </c>
      <c r="S79" s="25" t="s">
        <v>430</v>
      </c>
      <c r="T79" s="25" t="s">
        <v>430</v>
      </c>
      <c r="U79" s="25" t="s">
        <v>431</v>
      </c>
      <c r="V79" s="25" t="s">
        <v>432</v>
      </c>
      <c r="W79" s="25" t="s">
        <v>433</v>
      </c>
      <c r="X79" s="25" t="s">
        <v>434</v>
      </c>
      <c r="Y79" s="25" t="s">
        <v>430</v>
      </c>
      <c r="Z79" s="25" t="s">
        <v>430</v>
      </c>
      <c r="AA79" s="25">
        <v>54</v>
      </c>
      <c r="AB79" s="25" t="s">
        <v>435</v>
      </c>
      <c r="AC79" s="25" t="s">
        <v>426</v>
      </c>
      <c r="AD79" s="25" t="s">
        <v>430</v>
      </c>
      <c r="AE79" s="25" t="s">
        <v>430</v>
      </c>
      <c r="AF79" s="25" t="s">
        <v>437</v>
      </c>
      <c r="AG79" s="164">
        <v>42031</v>
      </c>
      <c r="AH79" s="25" t="s">
        <v>568</v>
      </c>
      <c r="AI79" s="25" t="s">
        <v>439</v>
      </c>
      <c r="AJ79" s="165">
        <v>44963.305555555555</v>
      </c>
      <c r="AK79" s="25" t="s">
        <v>440</v>
      </c>
      <c r="AL79" s="25" t="s">
        <v>441</v>
      </c>
      <c r="AM79" s="164">
        <v>42516</v>
      </c>
      <c r="AN79" s="164">
        <v>42031</v>
      </c>
      <c r="AO79" s="25" t="s">
        <v>140</v>
      </c>
      <c r="AP79" s="25" t="s">
        <v>430</v>
      </c>
      <c r="AQ79" s="25" t="s">
        <v>430</v>
      </c>
      <c r="AR79" s="25" t="s">
        <v>442</v>
      </c>
      <c r="AS79" s="25" t="s">
        <v>430</v>
      </c>
      <c r="AT79" s="25" t="s">
        <v>430</v>
      </c>
      <c r="AU79" s="25" t="s">
        <v>430</v>
      </c>
      <c r="AV79" s="25" t="s">
        <v>430</v>
      </c>
      <c r="AW79" s="25" t="s">
        <v>443</v>
      </c>
      <c r="AX79" s="25" t="s">
        <v>577</v>
      </c>
      <c r="AY79" s="25" t="s">
        <v>430</v>
      </c>
      <c r="AZ79" s="25" t="s">
        <v>430</v>
      </c>
      <c r="BA79" s="25" t="s">
        <v>430</v>
      </c>
      <c r="BB79" s="25" t="s">
        <v>430</v>
      </c>
      <c r="BC79" s="25" t="s">
        <v>430</v>
      </c>
      <c r="BD79" s="25">
        <v>15.12</v>
      </c>
      <c r="BE79" s="25">
        <v>24</v>
      </c>
      <c r="BF79" s="25" t="s">
        <v>430</v>
      </c>
      <c r="BG79" s="25" t="s">
        <v>430</v>
      </c>
      <c r="BH79" s="25" t="s">
        <v>445</v>
      </c>
      <c r="BI79" s="25" t="s">
        <v>446</v>
      </c>
      <c r="BJ79" s="25" t="s">
        <v>575</v>
      </c>
      <c r="BK79" s="25" t="s">
        <v>448</v>
      </c>
      <c r="BL79" s="25" t="s">
        <v>538</v>
      </c>
      <c r="BM79" s="25" t="s">
        <v>430</v>
      </c>
      <c r="BN79" s="25" t="s">
        <v>430</v>
      </c>
      <c r="BO79" s="25">
        <v>0</v>
      </c>
      <c r="BP79" s="25" t="s">
        <v>434</v>
      </c>
      <c r="BQ79" s="25" t="s">
        <v>449</v>
      </c>
      <c r="BR79" s="25" t="s">
        <v>450</v>
      </c>
      <c r="BS79" s="25" t="s">
        <v>430</v>
      </c>
      <c r="BT79" s="25" t="s">
        <v>430</v>
      </c>
      <c r="BU79" s="25" t="s">
        <v>430</v>
      </c>
      <c r="BV79" s="25" t="s">
        <v>430</v>
      </c>
      <c r="BW79" s="25" t="s">
        <v>430</v>
      </c>
      <c r="BX79" s="25" t="s">
        <v>430</v>
      </c>
      <c r="BY79" s="25" t="s">
        <v>430</v>
      </c>
      <c r="BZ79" s="25" t="s">
        <v>451</v>
      </c>
      <c r="CA79" s="25" t="s">
        <v>430</v>
      </c>
      <c r="CB79" s="25" t="s">
        <v>430</v>
      </c>
      <c r="CC79" s="25" t="s">
        <v>430</v>
      </c>
      <c r="CD79" s="25" t="s">
        <v>430</v>
      </c>
      <c r="CE79" s="25" t="s">
        <v>430</v>
      </c>
      <c r="CF79" s="25" t="s">
        <v>441</v>
      </c>
      <c r="CG79" s="25" t="s">
        <v>430</v>
      </c>
      <c r="CH79" s="25" t="s">
        <v>452</v>
      </c>
      <c r="CI79" s="25" t="s">
        <v>539</v>
      </c>
      <c r="CJ79" s="25" t="s">
        <v>454</v>
      </c>
      <c r="CK79" s="25" t="s">
        <v>455</v>
      </c>
      <c r="CL79" s="25" t="s">
        <v>630</v>
      </c>
      <c r="CM79" s="25" t="s">
        <v>430</v>
      </c>
      <c r="CN79" s="25" t="s">
        <v>457</v>
      </c>
      <c r="CO79" s="25" t="s">
        <v>430</v>
      </c>
      <c r="CP79" s="25" t="s">
        <v>430</v>
      </c>
      <c r="CQ79" s="25">
        <v>7</v>
      </c>
      <c r="CR79" s="25" t="s">
        <v>431</v>
      </c>
      <c r="CS79" s="25" t="s">
        <v>430</v>
      </c>
      <c r="CT79" s="25" t="s">
        <v>430</v>
      </c>
      <c r="CU79" s="25" t="s">
        <v>430</v>
      </c>
      <c r="CV79" s="25" t="s">
        <v>430</v>
      </c>
      <c r="CW79" s="25" t="s">
        <v>498</v>
      </c>
      <c r="CX79" s="25" t="s">
        <v>461</v>
      </c>
      <c r="CY79" s="165">
        <v>44963.306250000001</v>
      </c>
      <c r="CZ79" s="25" t="s">
        <v>430</v>
      </c>
      <c r="DA79" s="25" t="s">
        <v>430</v>
      </c>
      <c r="DB79" s="25">
        <v>15.12</v>
      </c>
      <c r="DC79" s="25" t="s">
        <v>430</v>
      </c>
      <c r="DD79" s="25" t="s">
        <v>434</v>
      </c>
      <c r="DE79" s="25" t="s">
        <v>430</v>
      </c>
      <c r="DF79" s="25" t="s">
        <v>430</v>
      </c>
      <c r="DG79" s="25" t="s">
        <v>462</v>
      </c>
      <c r="DH79" s="25" t="s">
        <v>431</v>
      </c>
      <c r="DI79" s="25" t="s">
        <v>463</v>
      </c>
      <c r="DJ79" s="25" t="s">
        <v>430</v>
      </c>
      <c r="DK79" s="25" t="s">
        <v>430</v>
      </c>
      <c r="DL79" s="25" t="s">
        <v>464</v>
      </c>
      <c r="DM79" s="25" t="s">
        <v>430</v>
      </c>
      <c r="DN79" s="25" t="s">
        <v>430</v>
      </c>
      <c r="DO79" s="25" t="s">
        <v>434</v>
      </c>
      <c r="DP79" s="25" t="s">
        <v>430</v>
      </c>
      <c r="DQ79" s="25" t="s">
        <v>430</v>
      </c>
      <c r="DR79" s="25" t="s">
        <v>465</v>
      </c>
      <c r="DS79" s="25" t="s">
        <v>466</v>
      </c>
      <c r="DT79" s="25" t="s">
        <v>466</v>
      </c>
      <c r="DU79" s="25" t="s">
        <v>431</v>
      </c>
      <c r="DV79" s="25">
        <v>1</v>
      </c>
      <c r="DW79" s="166">
        <v>15008408</v>
      </c>
      <c r="DX79" s="25">
        <v>4</v>
      </c>
      <c r="DY79" s="25">
        <v>43</v>
      </c>
      <c r="DZ79" s="166">
        <v>1011725</v>
      </c>
      <c r="EA79" s="25">
        <v>3</v>
      </c>
      <c r="EB79" s="25">
        <v>1</v>
      </c>
      <c r="EC79" s="25">
        <v>44</v>
      </c>
      <c r="ED79" s="25">
        <v>6</v>
      </c>
      <c r="EE79" s="25">
        <v>2</v>
      </c>
      <c r="EF79" s="25">
        <v>1</v>
      </c>
      <c r="EG79" s="25">
        <v>2</v>
      </c>
      <c r="EH79" s="25">
        <v>7</v>
      </c>
      <c r="EI79" s="25">
        <v>19</v>
      </c>
      <c r="EJ79" s="25">
        <v>0</v>
      </c>
      <c r="EK79" s="25">
        <v>0</v>
      </c>
      <c r="EL79" s="25">
        <v>1</v>
      </c>
      <c r="EM79" s="25">
        <v>5</v>
      </c>
      <c r="EN79" s="25">
        <v>1</v>
      </c>
      <c r="EO79" s="25">
        <v>1</v>
      </c>
      <c r="EP79" s="25">
        <v>4</v>
      </c>
      <c r="EQ79" s="25">
        <v>1</v>
      </c>
      <c r="ER79" s="25">
        <v>65</v>
      </c>
      <c r="ES79" s="25">
        <v>6</v>
      </c>
      <c r="ET79" s="25">
        <v>2</v>
      </c>
      <c r="EU79" s="25">
        <v>0</v>
      </c>
      <c r="EV79" s="25" t="s">
        <v>257</v>
      </c>
    </row>
    <row r="80" spans="12:152" x14ac:dyDescent="0.25">
      <c r="L80" s="25">
        <v>46.167375999999997</v>
      </c>
      <c r="M80" s="25">
        <v>-100.68356900000001</v>
      </c>
      <c r="N80" s="25" t="s">
        <v>24</v>
      </c>
      <c r="O80" s="25">
        <v>2015</v>
      </c>
      <c r="P80" s="25" t="s">
        <v>427</v>
      </c>
      <c r="Q80" s="25" t="s">
        <v>428</v>
      </c>
      <c r="R80" s="25" t="s">
        <v>482</v>
      </c>
      <c r="S80" s="25" t="s">
        <v>430</v>
      </c>
      <c r="T80" s="25" t="s">
        <v>430</v>
      </c>
      <c r="U80" s="25" t="s">
        <v>431</v>
      </c>
      <c r="V80" s="25" t="s">
        <v>432</v>
      </c>
      <c r="W80" s="25" t="s">
        <v>433</v>
      </c>
      <c r="X80" s="25" t="s">
        <v>434</v>
      </c>
      <c r="Y80" s="25" t="s">
        <v>430</v>
      </c>
      <c r="Z80" s="25" t="s">
        <v>430</v>
      </c>
      <c r="AA80" s="25">
        <v>54</v>
      </c>
      <c r="AB80" s="25" t="s">
        <v>435</v>
      </c>
      <c r="AC80" s="25" t="s">
        <v>426</v>
      </c>
      <c r="AD80" s="25" t="s">
        <v>430</v>
      </c>
      <c r="AE80" s="25" t="s">
        <v>430</v>
      </c>
      <c r="AF80" s="25" t="s">
        <v>437</v>
      </c>
      <c r="AG80" s="164">
        <v>42060</v>
      </c>
      <c r="AH80" s="25" t="s">
        <v>572</v>
      </c>
      <c r="AI80" s="25" t="s">
        <v>439</v>
      </c>
      <c r="AJ80" s="165">
        <v>44963.298611111109</v>
      </c>
      <c r="AK80" s="25" t="s">
        <v>440</v>
      </c>
      <c r="AL80" s="25" t="s">
        <v>441</v>
      </c>
      <c r="AM80" s="164">
        <v>42517</v>
      </c>
      <c r="AN80" s="164">
        <v>42060</v>
      </c>
      <c r="AO80" s="25" t="s">
        <v>140</v>
      </c>
      <c r="AP80" s="25" t="s">
        <v>430</v>
      </c>
      <c r="AQ80" s="25" t="s">
        <v>430</v>
      </c>
      <c r="AR80" s="25" t="s">
        <v>442</v>
      </c>
      <c r="AS80" s="25" t="s">
        <v>430</v>
      </c>
      <c r="AT80" s="25" t="s">
        <v>430</v>
      </c>
      <c r="AU80" s="25" t="s">
        <v>430</v>
      </c>
      <c r="AV80" s="25" t="s">
        <v>430</v>
      </c>
      <c r="AW80" s="25" t="s">
        <v>443</v>
      </c>
      <c r="AX80" s="25" t="s">
        <v>577</v>
      </c>
      <c r="AY80" s="25" t="s">
        <v>430</v>
      </c>
      <c r="AZ80" s="25" t="s">
        <v>430</v>
      </c>
      <c r="BA80" s="25" t="s">
        <v>430</v>
      </c>
      <c r="BB80" s="25" t="s">
        <v>430</v>
      </c>
      <c r="BC80" s="25" t="s">
        <v>430</v>
      </c>
      <c r="BD80" s="25">
        <v>15.3</v>
      </c>
      <c r="BE80" s="25">
        <v>24</v>
      </c>
      <c r="BF80" s="25" t="s">
        <v>430</v>
      </c>
      <c r="BG80" s="25" t="s">
        <v>430</v>
      </c>
      <c r="BH80" s="25" t="s">
        <v>445</v>
      </c>
      <c r="BI80" s="25" t="s">
        <v>446</v>
      </c>
      <c r="BJ80" s="25" t="s">
        <v>575</v>
      </c>
      <c r="BK80" s="25" t="s">
        <v>448</v>
      </c>
      <c r="BL80" s="25" t="s">
        <v>538</v>
      </c>
      <c r="BM80" s="25" t="s">
        <v>430</v>
      </c>
      <c r="BN80" s="25" t="s">
        <v>430</v>
      </c>
      <c r="BO80" s="25">
        <v>0</v>
      </c>
      <c r="BP80" s="25" t="s">
        <v>631</v>
      </c>
      <c r="BQ80" s="25" t="s">
        <v>449</v>
      </c>
      <c r="BR80" s="25" t="s">
        <v>450</v>
      </c>
      <c r="BS80" s="25" t="s">
        <v>430</v>
      </c>
      <c r="BT80" s="25">
        <v>36</v>
      </c>
      <c r="BU80" s="25" t="s">
        <v>430</v>
      </c>
      <c r="BV80" s="25" t="s">
        <v>430</v>
      </c>
      <c r="BW80" s="25" t="s">
        <v>480</v>
      </c>
      <c r="BX80" s="25" t="s">
        <v>430</v>
      </c>
      <c r="BY80" s="25" t="s">
        <v>430</v>
      </c>
      <c r="BZ80" s="25" t="s">
        <v>493</v>
      </c>
      <c r="CA80" s="25" t="s">
        <v>430</v>
      </c>
      <c r="CB80" s="25" t="s">
        <v>430</v>
      </c>
      <c r="CC80" s="25" t="s">
        <v>481</v>
      </c>
      <c r="CD80" s="25" t="s">
        <v>430</v>
      </c>
      <c r="CE80" s="25" t="s">
        <v>430</v>
      </c>
      <c r="CF80" s="25" t="s">
        <v>441</v>
      </c>
      <c r="CG80" s="25" t="s">
        <v>430</v>
      </c>
      <c r="CH80" s="25" t="s">
        <v>452</v>
      </c>
      <c r="CI80" s="25" t="s">
        <v>539</v>
      </c>
      <c r="CJ80" s="25" t="s">
        <v>454</v>
      </c>
      <c r="CK80" s="25" t="s">
        <v>455</v>
      </c>
      <c r="CL80" s="25" t="s">
        <v>630</v>
      </c>
      <c r="CM80" s="25" t="s">
        <v>430</v>
      </c>
      <c r="CN80" s="25" t="s">
        <v>457</v>
      </c>
      <c r="CO80" s="25" t="s">
        <v>430</v>
      </c>
      <c r="CP80" s="25" t="s">
        <v>430</v>
      </c>
      <c r="CQ80" s="25">
        <v>7</v>
      </c>
      <c r="CR80" s="25" t="s">
        <v>431</v>
      </c>
      <c r="CS80" s="25" t="s">
        <v>430</v>
      </c>
      <c r="CT80" s="25" t="s">
        <v>430</v>
      </c>
      <c r="CU80" s="25" t="s">
        <v>430</v>
      </c>
      <c r="CV80" s="25" t="s">
        <v>430</v>
      </c>
      <c r="CW80" s="25" t="s">
        <v>498</v>
      </c>
      <c r="CX80" s="25" t="s">
        <v>461</v>
      </c>
      <c r="CY80" s="165">
        <v>44963.316666666666</v>
      </c>
      <c r="CZ80" s="25" t="s">
        <v>430</v>
      </c>
      <c r="DA80" s="25" t="s">
        <v>430</v>
      </c>
      <c r="DB80" s="25">
        <v>15.3</v>
      </c>
      <c r="DC80" s="25" t="s">
        <v>430</v>
      </c>
      <c r="DD80" s="25" t="s">
        <v>434</v>
      </c>
      <c r="DE80" s="25" t="s">
        <v>430</v>
      </c>
      <c r="DF80" s="25" t="s">
        <v>430</v>
      </c>
      <c r="DG80" s="25" t="s">
        <v>462</v>
      </c>
      <c r="DH80" s="25" t="s">
        <v>431</v>
      </c>
      <c r="DI80" s="25" t="s">
        <v>473</v>
      </c>
      <c r="DJ80" s="25" t="s">
        <v>430</v>
      </c>
      <c r="DK80" s="25" t="s">
        <v>430</v>
      </c>
      <c r="DL80" s="25" t="s">
        <v>605</v>
      </c>
      <c r="DM80" s="25" t="s">
        <v>430</v>
      </c>
      <c r="DN80" s="25" t="s">
        <v>430</v>
      </c>
      <c r="DO80" s="25" t="s">
        <v>434</v>
      </c>
      <c r="DP80" s="25" t="s">
        <v>430</v>
      </c>
      <c r="DQ80" s="25" t="s">
        <v>430</v>
      </c>
      <c r="DR80" s="25" t="s">
        <v>465</v>
      </c>
      <c r="DS80" s="25" t="s">
        <v>466</v>
      </c>
      <c r="DT80" s="25" t="s">
        <v>466</v>
      </c>
      <c r="DU80" s="25" t="s">
        <v>431</v>
      </c>
      <c r="DV80" s="25">
        <v>1</v>
      </c>
      <c r="DW80" s="166">
        <v>15018970</v>
      </c>
      <c r="DX80" s="25">
        <v>4</v>
      </c>
      <c r="DY80" s="25">
        <v>43</v>
      </c>
      <c r="DZ80" s="166">
        <v>1012171</v>
      </c>
      <c r="EA80" s="25">
        <v>3</v>
      </c>
      <c r="EB80" s="25">
        <v>1</v>
      </c>
      <c r="EC80" s="25">
        <v>44</v>
      </c>
      <c r="ED80" s="25">
        <v>6</v>
      </c>
      <c r="EE80" s="25">
        <v>2</v>
      </c>
      <c r="EF80" s="25">
        <v>1</v>
      </c>
      <c r="EG80" s="25">
        <v>2</v>
      </c>
      <c r="EH80" s="25">
        <v>7</v>
      </c>
      <c r="EI80" s="25">
        <v>22</v>
      </c>
      <c r="EJ80" s="25">
        <v>4</v>
      </c>
      <c r="EK80" s="25">
        <v>0</v>
      </c>
      <c r="EL80" s="25">
        <v>1</v>
      </c>
      <c r="EM80" s="25">
        <v>5</v>
      </c>
      <c r="EN80" s="25">
        <v>1</v>
      </c>
      <c r="EO80" s="25">
        <v>1</v>
      </c>
      <c r="EP80" s="25">
        <v>4</v>
      </c>
      <c r="EQ80" s="25">
        <v>1</v>
      </c>
      <c r="ER80" s="25">
        <v>65</v>
      </c>
      <c r="ES80" s="25">
        <v>6</v>
      </c>
      <c r="ET80" s="25">
        <v>2</v>
      </c>
      <c r="EU80" s="25">
        <v>0</v>
      </c>
      <c r="EV80" s="25" t="s">
        <v>257</v>
      </c>
    </row>
    <row r="81" spans="12:152" x14ac:dyDescent="0.25">
      <c r="L81" s="25">
        <v>46.343556</v>
      </c>
      <c r="M81" s="25">
        <v>-100.631096</v>
      </c>
      <c r="N81" s="25" t="s">
        <v>24</v>
      </c>
      <c r="O81" s="25">
        <v>2015</v>
      </c>
      <c r="P81" s="25" t="s">
        <v>427</v>
      </c>
      <c r="Q81" s="25" t="s">
        <v>428</v>
      </c>
      <c r="R81" s="25" t="s">
        <v>476</v>
      </c>
      <c r="S81" s="25" t="s">
        <v>430</v>
      </c>
      <c r="T81" s="25" t="s">
        <v>430</v>
      </c>
      <c r="U81" s="25" t="s">
        <v>446</v>
      </c>
      <c r="V81" s="25" t="s">
        <v>632</v>
      </c>
      <c r="W81" s="25" t="s">
        <v>433</v>
      </c>
      <c r="X81" s="25" t="s">
        <v>477</v>
      </c>
      <c r="Y81" s="25" t="s">
        <v>430</v>
      </c>
      <c r="Z81" s="25" t="s">
        <v>430</v>
      </c>
      <c r="AA81" s="25">
        <v>360</v>
      </c>
      <c r="AB81" s="25" t="s">
        <v>491</v>
      </c>
      <c r="AC81" s="25" t="s">
        <v>560</v>
      </c>
      <c r="AD81" s="25" t="s">
        <v>430</v>
      </c>
      <c r="AE81" s="25" t="s">
        <v>430</v>
      </c>
      <c r="AF81" s="25" t="s">
        <v>437</v>
      </c>
      <c r="AG81" s="164">
        <v>42222</v>
      </c>
      <c r="AH81" s="25" t="s">
        <v>484</v>
      </c>
      <c r="AI81" s="25" t="s">
        <v>439</v>
      </c>
      <c r="AJ81" s="165">
        <v>44963.870138888888</v>
      </c>
      <c r="AK81" s="25" t="s">
        <v>440</v>
      </c>
      <c r="AL81" s="25" t="s">
        <v>441</v>
      </c>
      <c r="AM81" s="164">
        <v>42563</v>
      </c>
      <c r="AN81" s="164">
        <v>42222</v>
      </c>
      <c r="AO81" s="25" t="s">
        <v>141</v>
      </c>
      <c r="AP81" s="25" t="s">
        <v>430</v>
      </c>
      <c r="AQ81" s="25" t="s">
        <v>430</v>
      </c>
      <c r="AR81" s="25" t="s">
        <v>442</v>
      </c>
      <c r="AS81" s="25" t="s">
        <v>430</v>
      </c>
      <c r="AT81" s="25" t="s">
        <v>430</v>
      </c>
      <c r="AU81" s="25" t="s">
        <v>430</v>
      </c>
      <c r="AV81" s="25" t="s">
        <v>430</v>
      </c>
      <c r="AW81" s="25" t="s">
        <v>443</v>
      </c>
      <c r="AX81" s="25" t="s">
        <v>577</v>
      </c>
      <c r="AY81" s="25" t="s">
        <v>430</v>
      </c>
      <c r="AZ81" s="25" t="s">
        <v>430</v>
      </c>
      <c r="BA81" s="25" t="s">
        <v>430</v>
      </c>
      <c r="BB81" s="25" t="s">
        <v>430</v>
      </c>
      <c r="BC81" s="25" t="s">
        <v>430</v>
      </c>
      <c r="BD81" s="25">
        <v>28</v>
      </c>
      <c r="BE81" s="25">
        <v>24</v>
      </c>
      <c r="BF81" s="25" t="s">
        <v>430</v>
      </c>
      <c r="BG81" s="25" t="s">
        <v>430</v>
      </c>
      <c r="BH81" s="25" t="s">
        <v>445</v>
      </c>
      <c r="BI81" s="25" t="s">
        <v>446</v>
      </c>
      <c r="BJ81" s="25" t="s">
        <v>479</v>
      </c>
      <c r="BK81" s="25" t="s">
        <v>448</v>
      </c>
      <c r="BL81" s="25" t="s">
        <v>538</v>
      </c>
      <c r="BM81" s="25" t="s">
        <v>430</v>
      </c>
      <c r="BN81" s="25" t="s">
        <v>430</v>
      </c>
      <c r="BO81" s="25">
        <v>1</v>
      </c>
      <c r="BP81" s="25" t="s">
        <v>434</v>
      </c>
      <c r="BQ81" s="25" t="s">
        <v>449</v>
      </c>
      <c r="BR81" s="25" t="s">
        <v>450</v>
      </c>
      <c r="BS81" s="25" t="s">
        <v>430</v>
      </c>
      <c r="BT81" s="25">
        <v>25</v>
      </c>
      <c r="BU81" s="25" t="s">
        <v>430</v>
      </c>
      <c r="BV81" s="25" t="s">
        <v>430</v>
      </c>
      <c r="BW81" s="25" t="s">
        <v>519</v>
      </c>
      <c r="BX81" s="25" t="s">
        <v>430</v>
      </c>
      <c r="BY81" s="25" t="s">
        <v>430</v>
      </c>
      <c r="BZ81" s="25" t="s">
        <v>493</v>
      </c>
      <c r="CA81" s="25" t="s">
        <v>430</v>
      </c>
      <c r="CB81" s="25" t="s">
        <v>430</v>
      </c>
      <c r="CC81" s="25" t="s">
        <v>481</v>
      </c>
      <c r="CD81" s="25" t="s">
        <v>430</v>
      </c>
      <c r="CE81" s="25" t="s">
        <v>430</v>
      </c>
      <c r="CF81" s="25" t="s">
        <v>441</v>
      </c>
      <c r="CG81" s="25" t="s">
        <v>430</v>
      </c>
      <c r="CH81" s="25" t="s">
        <v>452</v>
      </c>
      <c r="CI81" s="25" t="s">
        <v>516</v>
      </c>
      <c r="CJ81" s="25" t="s">
        <v>454</v>
      </c>
      <c r="CK81" s="25" t="s">
        <v>455</v>
      </c>
      <c r="CL81" s="25" t="s">
        <v>472</v>
      </c>
      <c r="CM81" s="25" t="s">
        <v>430</v>
      </c>
      <c r="CN81" s="25" t="s">
        <v>457</v>
      </c>
      <c r="CO81" s="25" t="s">
        <v>430</v>
      </c>
      <c r="CP81" s="25" t="s">
        <v>430</v>
      </c>
      <c r="CQ81" s="25">
        <v>20</v>
      </c>
      <c r="CR81" s="25" t="s">
        <v>431</v>
      </c>
      <c r="CS81" s="25" t="s">
        <v>430</v>
      </c>
      <c r="CT81" s="25" t="s">
        <v>430</v>
      </c>
      <c r="CU81" s="25" t="s">
        <v>430</v>
      </c>
      <c r="CV81" s="25" t="s">
        <v>430</v>
      </c>
      <c r="CW81" s="25" t="s">
        <v>460</v>
      </c>
      <c r="CX81" s="25" t="s">
        <v>461</v>
      </c>
      <c r="CY81" s="165">
        <v>44963.871527777781</v>
      </c>
      <c r="CZ81" s="25" t="s">
        <v>430</v>
      </c>
      <c r="DA81" s="25" t="s">
        <v>430</v>
      </c>
      <c r="DB81" s="25">
        <v>28</v>
      </c>
      <c r="DC81" s="25" t="s">
        <v>430</v>
      </c>
      <c r="DD81" s="25" t="s">
        <v>434</v>
      </c>
      <c r="DE81" s="25" t="s">
        <v>430</v>
      </c>
      <c r="DF81" s="25" t="s">
        <v>430</v>
      </c>
      <c r="DG81" s="25" t="s">
        <v>462</v>
      </c>
      <c r="DH81" s="25" t="s">
        <v>431</v>
      </c>
      <c r="DI81" s="25" t="s">
        <v>463</v>
      </c>
      <c r="DJ81" s="25" t="s">
        <v>430</v>
      </c>
      <c r="DK81" s="25" t="s">
        <v>430</v>
      </c>
      <c r="DL81" s="25" t="s">
        <v>474</v>
      </c>
      <c r="DM81" s="25" t="s">
        <v>430</v>
      </c>
      <c r="DN81" s="25" t="s">
        <v>430</v>
      </c>
      <c r="DO81" s="25" t="s">
        <v>434</v>
      </c>
      <c r="DP81" s="25" t="s">
        <v>430</v>
      </c>
      <c r="DQ81" s="25" t="s">
        <v>430</v>
      </c>
      <c r="DR81" s="25" t="s">
        <v>502</v>
      </c>
      <c r="DS81" s="25" t="s">
        <v>466</v>
      </c>
      <c r="DT81" s="25" t="s">
        <v>466</v>
      </c>
      <c r="DU81" s="25" t="s">
        <v>431</v>
      </c>
      <c r="DV81" s="25">
        <v>1</v>
      </c>
      <c r="DW81" s="166">
        <v>15087667</v>
      </c>
      <c r="DX81" s="25">
        <v>4</v>
      </c>
      <c r="DY81" s="25">
        <v>43</v>
      </c>
      <c r="DZ81" s="166">
        <v>1013945</v>
      </c>
      <c r="EA81" s="25">
        <v>3</v>
      </c>
      <c r="EB81" s="25">
        <v>1</v>
      </c>
      <c r="EC81" s="25">
        <v>44</v>
      </c>
      <c r="ED81" s="25">
        <v>2</v>
      </c>
      <c r="EE81" s="25">
        <v>2</v>
      </c>
      <c r="EF81" s="25">
        <v>1</v>
      </c>
      <c r="EG81" s="25">
        <v>5</v>
      </c>
      <c r="EH81" s="25">
        <v>7</v>
      </c>
      <c r="EI81" s="25">
        <v>26</v>
      </c>
      <c r="EJ81" s="25">
        <v>0</v>
      </c>
      <c r="EK81" s="25">
        <v>0</v>
      </c>
      <c r="EL81" s="25">
        <v>1</v>
      </c>
      <c r="EM81" s="25">
        <v>1</v>
      </c>
      <c r="EN81" s="25">
        <v>1</v>
      </c>
      <c r="EO81" s="25">
        <v>1</v>
      </c>
      <c r="EP81" s="25">
        <v>1</v>
      </c>
      <c r="EQ81" s="25">
        <v>1</v>
      </c>
      <c r="ER81" s="25">
        <v>65</v>
      </c>
      <c r="ES81" s="25">
        <v>1</v>
      </c>
      <c r="ET81" s="25">
        <v>2</v>
      </c>
      <c r="EU81" s="25">
        <v>1</v>
      </c>
      <c r="EV81" s="25" t="s">
        <v>257</v>
      </c>
    </row>
    <row r="82" spans="12:152" x14ac:dyDescent="0.25">
      <c r="L82" s="25">
        <v>46.167248000000001</v>
      </c>
      <c r="M82" s="25">
        <v>-100.68307299999999</v>
      </c>
      <c r="N82" s="25" t="s">
        <v>512</v>
      </c>
      <c r="O82" s="25">
        <v>2015</v>
      </c>
      <c r="P82" s="25" t="s">
        <v>427</v>
      </c>
      <c r="Q82" s="25" t="s">
        <v>428</v>
      </c>
      <c r="R82" s="25" t="s">
        <v>482</v>
      </c>
      <c r="S82" s="25" t="s">
        <v>430</v>
      </c>
      <c r="T82" s="25" t="s">
        <v>430</v>
      </c>
      <c r="U82" s="25" t="s">
        <v>431</v>
      </c>
      <c r="V82" s="25" t="s">
        <v>432</v>
      </c>
      <c r="W82" s="25" t="s">
        <v>433</v>
      </c>
      <c r="X82" s="25" t="s">
        <v>434</v>
      </c>
      <c r="Y82" s="25" t="s">
        <v>430</v>
      </c>
      <c r="Z82" s="25" t="s">
        <v>430</v>
      </c>
      <c r="AA82" s="25">
        <v>54</v>
      </c>
      <c r="AB82" s="25" t="s">
        <v>435</v>
      </c>
      <c r="AC82" s="25" t="s">
        <v>426</v>
      </c>
      <c r="AD82" s="25" t="s">
        <v>430</v>
      </c>
      <c r="AE82" s="25" t="s">
        <v>430</v>
      </c>
      <c r="AF82" s="25" t="s">
        <v>437</v>
      </c>
      <c r="AG82" s="164">
        <v>42031</v>
      </c>
      <c r="AH82" s="25" t="s">
        <v>568</v>
      </c>
      <c r="AI82" s="25" t="s">
        <v>439</v>
      </c>
      <c r="AJ82" s="165">
        <v>44963.368750000001</v>
      </c>
      <c r="AK82" s="25" t="s">
        <v>440</v>
      </c>
      <c r="AL82" s="25" t="s">
        <v>441</v>
      </c>
      <c r="AM82" s="164">
        <v>42564</v>
      </c>
      <c r="AN82" s="164">
        <v>42031</v>
      </c>
      <c r="AO82" s="25" t="s">
        <v>140</v>
      </c>
      <c r="AP82" s="25" t="s">
        <v>430</v>
      </c>
      <c r="AQ82" s="25" t="s">
        <v>430</v>
      </c>
      <c r="AR82" s="25" t="s">
        <v>442</v>
      </c>
      <c r="AS82" s="25" t="s">
        <v>430</v>
      </c>
      <c r="AT82" s="25" t="s">
        <v>430</v>
      </c>
      <c r="AU82" s="25" t="s">
        <v>430</v>
      </c>
      <c r="AV82" s="25">
        <v>41</v>
      </c>
      <c r="AW82" s="25" t="s">
        <v>521</v>
      </c>
      <c r="AX82" s="25" t="s">
        <v>444</v>
      </c>
      <c r="AY82" s="25" t="s">
        <v>430</v>
      </c>
      <c r="AZ82" s="25" t="s">
        <v>430</v>
      </c>
      <c r="BA82" s="25" t="s">
        <v>430</v>
      </c>
      <c r="BB82" s="25" t="s">
        <v>430</v>
      </c>
      <c r="BC82" s="25" t="s">
        <v>430</v>
      </c>
      <c r="BD82" s="25">
        <v>15</v>
      </c>
      <c r="BE82" s="25">
        <v>24</v>
      </c>
      <c r="BF82" s="25" t="s">
        <v>430</v>
      </c>
      <c r="BG82" s="25" t="s">
        <v>430</v>
      </c>
      <c r="BH82" s="25" t="s">
        <v>445</v>
      </c>
      <c r="BI82" s="25" t="s">
        <v>446</v>
      </c>
      <c r="BJ82" s="25" t="s">
        <v>447</v>
      </c>
      <c r="BK82" s="25" t="s">
        <v>448</v>
      </c>
      <c r="BL82" s="25" t="s">
        <v>538</v>
      </c>
      <c r="BM82" s="25" t="s">
        <v>430</v>
      </c>
      <c r="BN82" s="25" t="s">
        <v>430</v>
      </c>
      <c r="BO82" s="25">
        <v>0</v>
      </c>
      <c r="BP82" s="25" t="s">
        <v>631</v>
      </c>
      <c r="BQ82" s="25" t="s">
        <v>449</v>
      </c>
      <c r="BR82" s="25" t="s">
        <v>450</v>
      </c>
      <c r="BS82" s="25" t="s">
        <v>430</v>
      </c>
      <c r="BT82" s="25">
        <v>62</v>
      </c>
      <c r="BU82" s="25" t="s">
        <v>430</v>
      </c>
      <c r="BV82" s="25" t="s">
        <v>430</v>
      </c>
      <c r="BW82" s="25" t="s">
        <v>519</v>
      </c>
      <c r="BX82" s="25" t="s">
        <v>430</v>
      </c>
      <c r="BY82" s="25" t="s">
        <v>430</v>
      </c>
      <c r="BZ82" s="25" t="s">
        <v>493</v>
      </c>
      <c r="CA82" s="25" t="s">
        <v>430</v>
      </c>
      <c r="CB82" s="25" t="s">
        <v>430</v>
      </c>
      <c r="CC82" s="25" t="s">
        <v>633</v>
      </c>
      <c r="CD82" s="25" t="s">
        <v>430</v>
      </c>
      <c r="CE82" s="25" t="s">
        <v>430</v>
      </c>
      <c r="CF82" s="25" t="s">
        <v>441</v>
      </c>
      <c r="CG82" s="25" t="s">
        <v>430</v>
      </c>
      <c r="CH82" s="25" t="s">
        <v>452</v>
      </c>
      <c r="CI82" s="25" t="s">
        <v>516</v>
      </c>
      <c r="CJ82" s="25" t="s">
        <v>454</v>
      </c>
      <c r="CK82" s="25" t="s">
        <v>455</v>
      </c>
      <c r="CL82" s="25" t="s">
        <v>630</v>
      </c>
      <c r="CM82" s="25" t="s">
        <v>430</v>
      </c>
      <c r="CN82" s="25" t="s">
        <v>497</v>
      </c>
      <c r="CO82" s="25" t="s">
        <v>430</v>
      </c>
      <c r="CP82" s="25" t="s">
        <v>430</v>
      </c>
      <c r="CQ82" s="25">
        <v>8</v>
      </c>
      <c r="CR82" s="25" t="s">
        <v>431</v>
      </c>
      <c r="CS82" s="25" t="s">
        <v>430</v>
      </c>
      <c r="CT82" s="25" t="s">
        <v>430</v>
      </c>
      <c r="CU82" s="25" t="s">
        <v>430</v>
      </c>
      <c r="CV82" s="25" t="s">
        <v>430</v>
      </c>
      <c r="CW82" s="25" t="s">
        <v>584</v>
      </c>
      <c r="CX82" s="25" t="s">
        <v>461</v>
      </c>
      <c r="CY82" s="165">
        <v>44963.369444444441</v>
      </c>
      <c r="CZ82" s="25" t="s">
        <v>430</v>
      </c>
      <c r="DA82" s="25" t="s">
        <v>430</v>
      </c>
      <c r="DB82" s="25">
        <v>15</v>
      </c>
      <c r="DC82" s="25" t="s">
        <v>430</v>
      </c>
      <c r="DD82" s="25" t="s">
        <v>434</v>
      </c>
      <c r="DE82" s="25" t="s">
        <v>430</v>
      </c>
      <c r="DF82" s="25" t="s">
        <v>430</v>
      </c>
      <c r="DG82" s="25" t="s">
        <v>462</v>
      </c>
      <c r="DH82" s="25" t="s">
        <v>431</v>
      </c>
      <c r="DI82" s="25" t="s">
        <v>473</v>
      </c>
      <c r="DJ82" s="25" t="s">
        <v>430</v>
      </c>
      <c r="DK82" s="25" t="s">
        <v>430</v>
      </c>
      <c r="DL82" s="25" t="s">
        <v>535</v>
      </c>
      <c r="DM82" s="25" t="s">
        <v>430</v>
      </c>
      <c r="DN82" s="25" t="s">
        <v>430</v>
      </c>
      <c r="DO82" s="25" t="s">
        <v>434</v>
      </c>
      <c r="DP82" s="25" t="s">
        <v>430</v>
      </c>
      <c r="DQ82" s="25" t="s">
        <v>430</v>
      </c>
      <c r="DR82" s="25" t="s">
        <v>465</v>
      </c>
      <c r="DS82" s="25" t="s">
        <v>466</v>
      </c>
      <c r="DT82" s="25" t="s">
        <v>466</v>
      </c>
      <c r="DU82" s="25" t="s">
        <v>431</v>
      </c>
      <c r="DV82" s="25">
        <v>1</v>
      </c>
      <c r="DW82" s="166">
        <v>15008418</v>
      </c>
      <c r="DX82" s="25">
        <v>4</v>
      </c>
      <c r="DY82" s="25">
        <v>43</v>
      </c>
      <c r="DZ82" s="166">
        <v>1014162</v>
      </c>
      <c r="EA82" s="25">
        <v>2</v>
      </c>
      <c r="EB82" s="25">
        <v>1</v>
      </c>
      <c r="EC82" s="25">
        <v>20</v>
      </c>
      <c r="ED82" s="25">
        <v>6</v>
      </c>
      <c r="EE82" s="25">
        <v>2</v>
      </c>
      <c r="EF82" s="25">
        <v>1</v>
      </c>
      <c r="EG82" s="25">
        <v>1</v>
      </c>
      <c r="EH82" s="25">
        <v>7</v>
      </c>
      <c r="EI82" s="25">
        <v>27</v>
      </c>
      <c r="EJ82" s="25">
        <v>4</v>
      </c>
      <c r="EK82" s="25">
        <v>0</v>
      </c>
      <c r="EL82" s="25">
        <v>1</v>
      </c>
      <c r="EM82" s="25">
        <v>1</v>
      </c>
      <c r="EN82" s="25">
        <v>1</v>
      </c>
      <c r="EO82" s="25">
        <v>1</v>
      </c>
      <c r="EP82" s="25">
        <v>4</v>
      </c>
      <c r="EQ82" s="25">
        <v>1</v>
      </c>
      <c r="ER82" s="25">
        <v>65</v>
      </c>
      <c r="ES82" s="25">
        <v>4</v>
      </c>
      <c r="ET82" s="25">
        <v>2</v>
      </c>
      <c r="EU82" s="25">
        <v>0</v>
      </c>
      <c r="EV82" s="25" t="s">
        <v>257</v>
      </c>
    </row>
    <row r="83" spans="12:152" x14ac:dyDescent="0.25">
      <c r="L83" s="25">
        <v>46.287359000000002</v>
      </c>
      <c r="M83" s="25">
        <v>-100.641891</v>
      </c>
      <c r="N83" s="25" t="s">
        <v>475</v>
      </c>
      <c r="O83" s="25">
        <v>2015</v>
      </c>
      <c r="P83" s="25" t="s">
        <v>427</v>
      </c>
      <c r="Q83" s="25" t="s">
        <v>428</v>
      </c>
      <c r="R83" s="25" t="s">
        <v>476</v>
      </c>
      <c r="S83" s="25" t="s">
        <v>430</v>
      </c>
      <c r="T83" s="25" t="s">
        <v>430</v>
      </c>
      <c r="U83" s="25" t="s">
        <v>446</v>
      </c>
      <c r="V83" s="25" t="s">
        <v>599</v>
      </c>
      <c r="W83" s="25" t="s">
        <v>433</v>
      </c>
      <c r="X83" s="25" t="s">
        <v>434</v>
      </c>
      <c r="Y83" s="25" t="s">
        <v>430</v>
      </c>
      <c r="Z83" s="25" t="s">
        <v>430</v>
      </c>
      <c r="AA83" s="25">
        <v>54</v>
      </c>
      <c r="AB83" s="25" t="s">
        <v>435</v>
      </c>
      <c r="AC83" s="25" t="s">
        <v>193</v>
      </c>
      <c r="AD83" s="25" t="s">
        <v>430</v>
      </c>
      <c r="AE83" s="25" t="s">
        <v>430</v>
      </c>
      <c r="AF83" s="25" t="s">
        <v>437</v>
      </c>
      <c r="AG83" s="164">
        <v>42192</v>
      </c>
      <c r="AH83" s="25" t="s">
        <v>568</v>
      </c>
      <c r="AI83" s="25" t="s">
        <v>439</v>
      </c>
      <c r="AJ83" s="165">
        <v>44963.688888888886</v>
      </c>
      <c r="AK83" s="25" t="s">
        <v>440</v>
      </c>
      <c r="AL83" s="25" t="s">
        <v>441</v>
      </c>
      <c r="AM83" s="164">
        <v>42570</v>
      </c>
      <c r="AN83" s="164">
        <v>42192</v>
      </c>
      <c r="AO83" s="25" t="s">
        <v>141</v>
      </c>
      <c r="AP83" s="25" t="s">
        <v>430</v>
      </c>
      <c r="AQ83" s="25" t="s">
        <v>430</v>
      </c>
      <c r="AR83" s="25" t="s">
        <v>442</v>
      </c>
      <c r="AS83" s="25" t="s">
        <v>430</v>
      </c>
      <c r="AT83" s="25" t="s">
        <v>430</v>
      </c>
      <c r="AU83" s="25" t="s">
        <v>430</v>
      </c>
      <c r="AV83" s="25">
        <v>41</v>
      </c>
      <c r="AW83" s="25" t="s">
        <v>443</v>
      </c>
      <c r="AX83" s="25" t="s">
        <v>444</v>
      </c>
      <c r="AY83" s="25" t="s">
        <v>430</v>
      </c>
      <c r="AZ83" s="25" t="s">
        <v>430</v>
      </c>
      <c r="BA83" s="25" t="s">
        <v>430</v>
      </c>
      <c r="BB83" s="25" t="s">
        <v>430</v>
      </c>
      <c r="BC83" s="25" t="s">
        <v>430</v>
      </c>
      <c r="BD83" s="25">
        <v>24</v>
      </c>
      <c r="BE83" s="25">
        <v>24</v>
      </c>
      <c r="BF83" s="25" t="s">
        <v>430</v>
      </c>
      <c r="BG83" s="25" t="s">
        <v>430</v>
      </c>
      <c r="BH83" s="25" t="s">
        <v>445</v>
      </c>
      <c r="BI83" s="25" t="s">
        <v>446</v>
      </c>
      <c r="BJ83" s="25" t="s">
        <v>447</v>
      </c>
      <c r="BK83" s="25" t="s">
        <v>448</v>
      </c>
      <c r="BL83" s="25" t="s">
        <v>444</v>
      </c>
      <c r="BM83" s="25" t="s">
        <v>430</v>
      </c>
      <c r="BN83" s="25" t="s">
        <v>430</v>
      </c>
      <c r="BO83" s="25">
        <v>1</v>
      </c>
      <c r="BP83" s="25" t="s">
        <v>434</v>
      </c>
      <c r="BQ83" s="25" t="s">
        <v>449</v>
      </c>
      <c r="BR83" s="25" t="s">
        <v>450</v>
      </c>
      <c r="BS83" s="25" t="s">
        <v>430</v>
      </c>
      <c r="BT83" s="25">
        <v>18</v>
      </c>
      <c r="BU83" s="25" t="s">
        <v>430</v>
      </c>
      <c r="BV83" s="25" t="s">
        <v>430</v>
      </c>
      <c r="BW83" s="25" t="s">
        <v>480</v>
      </c>
      <c r="BX83" s="25" t="s">
        <v>430</v>
      </c>
      <c r="BY83" s="25" t="s">
        <v>430</v>
      </c>
      <c r="BZ83" s="25" t="s">
        <v>493</v>
      </c>
      <c r="CA83" s="25" t="s">
        <v>430</v>
      </c>
      <c r="CB83" s="25" t="s">
        <v>430</v>
      </c>
      <c r="CC83" s="25" t="s">
        <v>481</v>
      </c>
      <c r="CD83" s="25" t="s">
        <v>430</v>
      </c>
      <c r="CE83" s="25" t="s">
        <v>430</v>
      </c>
      <c r="CF83" s="25" t="s">
        <v>441</v>
      </c>
      <c r="CG83" s="25" t="s">
        <v>430</v>
      </c>
      <c r="CH83" s="25" t="s">
        <v>452</v>
      </c>
      <c r="CI83" s="25" t="s">
        <v>539</v>
      </c>
      <c r="CJ83" s="25" t="s">
        <v>454</v>
      </c>
      <c r="CK83" s="25" t="s">
        <v>455</v>
      </c>
      <c r="CL83" s="25" t="s">
        <v>456</v>
      </c>
      <c r="CM83" s="25" t="s">
        <v>430</v>
      </c>
      <c r="CN83" s="25" t="s">
        <v>523</v>
      </c>
      <c r="CO83" s="25" t="s">
        <v>430</v>
      </c>
      <c r="CP83" s="25" t="s">
        <v>430</v>
      </c>
      <c r="CQ83" s="25">
        <v>16</v>
      </c>
      <c r="CR83" s="25" t="s">
        <v>446</v>
      </c>
      <c r="CS83" s="25" t="s">
        <v>430</v>
      </c>
      <c r="CT83" s="25" t="s">
        <v>430</v>
      </c>
      <c r="CU83" s="25" t="s">
        <v>430</v>
      </c>
      <c r="CV83" s="25" t="s">
        <v>430</v>
      </c>
      <c r="CW83" s="25" t="s">
        <v>460</v>
      </c>
      <c r="CX83" s="25" t="s">
        <v>461</v>
      </c>
      <c r="CY83" s="165">
        <v>44963.689583333333</v>
      </c>
      <c r="CZ83" s="25" t="s">
        <v>430</v>
      </c>
      <c r="DA83" s="25" t="s">
        <v>430</v>
      </c>
      <c r="DB83" s="25">
        <v>24</v>
      </c>
      <c r="DC83" s="25" t="s">
        <v>430</v>
      </c>
      <c r="DD83" s="25" t="s">
        <v>434</v>
      </c>
      <c r="DE83" s="25" t="s">
        <v>430</v>
      </c>
      <c r="DF83" s="25" t="s">
        <v>430</v>
      </c>
      <c r="DG83" s="25" t="s">
        <v>462</v>
      </c>
      <c r="DH83" s="25" t="s">
        <v>446</v>
      </c>
      <c r="DI83" s="25" t="s">
        <v>473</v>
      </c>
      <c r="DJ83" s="25" t="s">
        <v>430</v>
      </c>
      <c r="DK83" s="25" t="s">
        <v>430</v>
      </c>
      <c r="DL83" s="25" t="s">
        <v>474</v>
      </c>
      <c r="DM83" s="25" t="s">
        <v>430</v>
      </c>
      <c r="DN83" s="25" t="s">
        <v>430</v>
      </c>
      <c r="DO83" s="25" t="s">
        <v>434</v>
      </c>
      <c r="DP83" s="25" t="s">
        <v>430</v>
      </c>
      <c r="DQ83" s="25" t="s">
        <v>430</v>
      </c>
      <c r="DR83" s="25" t="s">
        <v>465</v>
      </c>
      <c r="DS83" s="25" t="s">
        <v>466</v>
      </c>
      <c r="DT83" s="25" t="s">
        <v>466</v>
      </c>
      <c r="DU83" s="25" t="s">
        <v>446</v>
      </c>
      <c r="DV83" s="25">
        <v>1</v>
      </c>
      <c r="DW83" s="166">
        <v>15073696</v>
      </c>
      <c r="DX83" s="25">
        <v>4</v>
      </c>
      <c r="DY83" s="25">
        <v>43</v>
      </c>
      <c r="DZ83" s="166">
        <v>1014492</v>
      </c>
      <c r="EA83" s="25">
        <v>4</v>
      </c>
      <c r="EB83" s="25">
        <v>1</v>
      </c>
      <c r="EC83" s="25">
        <v>20</v>
      </c>
      <c r="ED83" s="25">
        <v>2</v>
      </c>
      <c r="EE83" s="25">
        <v>2</v>
      </c>
      <c r="EF83" s="25">
        <v>1</v>
      </c>
      <c r="EG83" s="25">
        <v>1</v>
      </c>
      <c r="EH83" s="25">
        <v>7</v>
      </c>
      <c r="EI83" s="25">
        <v>38</v>
      </c>
      <c r="EJ83" s="25">
        <v>0</v>
      </c>
      <c r="EK83" s="25">
        <v>0</v>
      </c>
      <c r="EL83" s="25">
        <v>1</v>
      </c>
      <c r="EM83" s="25">
        <v>5</v>
      </c>
      <c r="EN83" s="25">
        <v>1</v>
      </c>
      <c r="EO83" s="25">
        <v>1</v>
      </c>
      <c r="EP83" s="25">
        <v>3</v>
      </c>
      <c r="EQ83" s="25">
        <v>1</v>
      </c>
      <c r="ER83" s="25">
        <v>65</v>
      </c>
      <c r="ES83" s="25">
        <v>1</v>
      </c>
      <c r="ET83" s="25">
        <v>2</v>
      </c>
      <c r="EU83" s="25">
        <v>0</v>
      </c>
      <c r="EV83" s="25" t="s">
        <v>257</v>
      </c>
    </row>
    <row r="84" spans="12:152" x14ac:dyDescent="0.25">
      <c r="L84" s="25">
        <v>46.378627000000002</v>
      </c>
      <c r="M84" s="25">
        <v>-100.740281</v>
      </c>
      <c r="N84" s="25" t="s">
        <v>24</v>
      </c>
      <c r="O84" s="25">
        <v>2015</v>
      </c>
      <c r="P84" s="25" t="s">
        <v>427</v>
      </c>
      <c r="Q84" s="25" t="s">
        <v>428</v>
      </c>
      <c r="R84" s="25" t="s">
        <v>429</v>
      </c>
      <c r="S84" s="25" t="s">
        <v>430</v>
      </c>
      <c r="T84" s="25" t="s">
        <v>430</v>
      </c>
      <c r="U84" s="25" t="s">
        <v>431</v>
      </c>
      <c r="V84" s="25" t="s">
        <v>432</v>
      </c>
      <c r="W84" s="25" t="s">
        <v>433</v>
      </c>
      <c r="X84" s="25" t="s">
        <v>434</v>
      </c>
      <c r="Y84" s="25" t="s">
        <v>430</v>
      </c>
      <c r="Z84" s="25" t="s">
        <v>430</v>
      </c>
      <c r="AA84" s="25">
        <v>209</v>
      </c>
      <c r="AB84" s="25" t="s">
        <v>582</v>
      </c>
      <c r="AC84" s="25" t="s">
        <v>436</v>
      </c>
      <c r="AD84" s="25" t="s">
        <v>430</v>
      </c>
      <c r="AE84" s="25" t="s">
        <v>430</v>
      </c>
      <c r="AF84" s="25" t="s">
        <v>437</v>
      </c>
      <c r="AG84" s="164">
        <v>42242</v>
      </c>
      <c r="AH84" s="25" t="s">
        <v>572</v>
      </c>
      <c r="AI84" s="25" t="s">
        <v>439</v>
      </c>
      <c r="AJ84" s="165">
        <v>44963.922222222223</v>
      </c>
      <c r="AK84" s="25" t="s">
        <v>440</v>
      </c>
      <c r="AL84" s="25" t="s">
        <v>441</v>
      </c>
      <c r="AM84" s="164">
        <v>42571</v>
      </c>
      <c r="AN84" s="164">
        <v>42242</v>
      </c>
      <c r="AO84" s="25" t="s">
        <v>141</v>
      </c>
      <c r="AP84" s="25" t="s">
        <v>430</v>
      </c>
      <c r="AQ84" s="25" t="s">
        <v>430</v>
      </c>
      <c r="AR84" s="25" t="s">
        <v>442</v>
      </c>
      <c r="AS84" s="25" t="s">
        <v>430</v>
      </c>
      <c r="AT84" s="25" t="s">
        <v>430</v>
      </c>
      <c r="AU84" s="25" t="s">
        <v>430</v>
      </c>
      <c r="AV84" s="25" t="s">
        <v>430</v>
      </c>
      <c r="AW84" s="25" t="s">
        <v>443</v>
      </c>
      <c r="AX84" s="25" t="s">
        <v>634</v>
      </c>
      <c r="AY84" s="25" t="s">
        <v>430</v>
      </c>
      <c r="AZ84" s="25" t="s">
        <v>430</v>
      </c>
      <c r="BA84" s="25" t="s">
        <v>430</v>
      </c>
      <c r="BB84" s="25" t="s">
        <v>430</v>
      </c>
      <c r="BC84" s="25" t="s">
        <v>430</v>
      </c>
      <c r="BD84" s="25">
        <v>35</v>
      </c>
      <c r="BE84" s="25">
        <v>24</v>
      </c>
      <c r="BF84" s="25" t="s">
        <v>430</v>
      </c>
      <c r="BG84" s="25" t="s">
        <v>430</v>
      </c>
      <c r="BH84" s="25" t="s">
        <v>445</v>
      </c>
      <c r="BI84" s="25" t="s">
        <v>431</v>
      </c>
      <c r="BJ84" s="25" t="s">
        <v>479</v>
      </c>
      <c r="BK84" s="25" t="s">
        <v>448</v>
      </c>
      <c r="BL84" s="25" t="s">
        <v>634</v>
      </c>
      <c r="BM84" s="25" t="s">
        <v>430</v>
      </c>
      <c r="BN84" s="25" t="s">
        <v>430</v>
      </c>
      <c r="BO84" s="25">
        <v>1</v>
      </c>
      <c r="BP84" s="25" t="s">
        <v>434</v>
      </c>
      <c r="BQ84" s="25" t="s">
        <v>449</v>
      </c>
      <c r="BR84" s="25" t="s">
        <v>450</v>
      </c>
      <c r="BS84" s="25" t="s">
        <v>430</v>
      </c>
      <c r="BT84" s="25" t="s">
        <v>430</v>
      </c>
      <c r="BU84" s="25" t="s">
        <v>430</v>
      </c>
      <c r="BV84" s="25" t="s">
        <v>430</v>
      </c>
      <c r="BW84" s="25" t="s">
        <v>430</v>
      </c>
      <c r="BX84" s="25" t="s">
        <v>430</v>
      </c>
      <c r="BY84" s="25" t="s">
        <v>430</v>
      </c>
      <c r="BZ84" s="25" t="s">
        <v>451</v>
      </c>
      <c r="CA84" s="25" t="s">
        <v>430</v>
      </c>
      <c r="CB84" s="25" t="s">
        <v>430</v>
      </c>
      <c r="CC84" s="25" t="s">
        <v>430</v>
      </c>
      <c r="CD84" s="25" t="s">
        <v>430</v>
      </c>
      <c r="CE84" s="25" t="s">
        <v>430</v>
      </c>
      <c r="CF84" s="25" t="s">
        <v>441</v>
      </c>
      <c r="CG84" s="25" t="s">
        <v>430</v>
      </c>
      <c r="CH84" s="25" t="s">
        <v>452</v>
      </c>
      <c r="CI84" s="25" t="s">
        <v>453</v>
      </c>
      <c r="CJ84" s="25" t="s">
        <v>454</v>
      </c>
      <c r="CK84" s="25" t="s">
        <v>455</v>
      </c>
      <c r="CL84" s="25" t="s">
        <v>472</v>
      </c>
      <c r="CM84" s="25" t="s">
        <v>430</v>
      </c>
      <c r="CN84" s="25" t="s">
        <v>457</v>
      </c>
      <c r="CO84" s="25" t="s">
        <v>430</v>
      </c>
      <c r="CP84" s="25" t="s">
        <v>430</v>
      </c>
      <c r="CQ84" s="25">
        <v>22</v>
      </c>
      <c r="CR84" s="25" t="s">
        <v>431</v>
      </c>
      <c r="CS84" s="25" t="s">
        <v>430</v>
      </c>
      <c r="CT84" s="25" t="s">
        <v>430</v>
      </c>
      <c r="CU84" s="25" t="s">
        <v>430</v>
      </c>
      <c r="CV84" s="25" t="s">
        <v>430</v>
      </c>
      <c r="CW84" s="25" t="s">
        <v>460</v>
      </c>
      <c r="CX84" s="25" t="s">
        <v>461</v>
      </c>
      <c r="CY84" s="165">
        <v>44963.92291666667</v>
      </c>
      <c r="CZ84" s="25" t="s">
        <v>430</v>
      </c>
      <c r="DA84" s="25" t="s">
        <v>430</v>
      </c>
      <c r="DB84" s="25">
        <v>35</v>
      </c>
      <c r="DC84" s="25" t="s">
        <v>430</v>
      </c>
      <c r="DD84" s="25" t="s">
        <v>434</v>
      </c>
      <c r="DE84" s="25" t="s">
        <v>430</v>
      </c>
      <c r="DF84" s="25" t="s">
        <v>430</v>
      </c>
      <c r="DG84" s="25" t="s">
        <v>462</v>
      </c>
      <c r="DH84" s="25" t="s">
        <v>431</v>
      </c>
      <c r="DI84" s="25" t="s">
        <v>473</v>
      </c>
      <c r="DJ84" s="25" t="s">
        <v>430</v>
      </c>
      <c r="DK84" s="25" t="s">
        <v>430</v>
      </c>
      <c r="DL84" s="25" t="s">
        <v>474</v>
      </c>
      <c r="DM84" s="25" t="s">
        <v>430</v>
      </c>
      <c r="DN84" s="25" t="s">
        <v>430</v>
      </c>
      <c r="DO84" s="25" t="s">
        <v>434</v>
      </c>
      <c r="DP84" s="25" t="s">
        <v>430</v>
      </c>
      <c r="DQ84" s="25" t="s">
        <v>430</v>
      </c>
      <c r="DR84" s="25" t="s">
        <v>465</v>
      </c>
      <c r="DS84" s="25" t="s">
        <v>466</v>
      </c>
      <c r="DT84" s="25" t="s">
        <v>466</v>
      </c>
      <c r="DU84" s="25" t="s">
        <v>431</v>
      </c>
      <c r="DV84" s="25">
        <v>1</v>
      </c>
      <c r="DW84" s="166">
        <v>15097804</v>
      </c>
      <c r="DX84" s="25">
        <v>4</v>
      </c>
      <c r="DY84" s="25">
        <v>43</v>
      </c>
      <c r="DZ84" s="166">
        <v>1014577</v>
      </c>
      <c r="EA84" s="25">
        <v>3</v>
      </c>
      <c r="EB84" s="25">
        <v>1</v>
      </c>
      <c r="EC84" s="25">
        <v>28</v>
      </c>
      <c r="ED84" s="25">
        <v>2</v>
      </c>
      <c r="EE84" s="25">
        <v>2</v>
      </c>
      <c r="EF84" s="25">
        <v>1</v>
      </c>
      <c r="EG84" s="25">
        <v>5</v>
      </c>
      <c r="EH84" s="25">
        <v>7</v>
      </c>
      <c r="EI84" s="25">
        <v>44</v>
      </c>
      <c r="EJ84" s="25">
        <v>0</v>
      </c>
      <c r="EK84" s="25">
        <v>0</v>
      </c>
      <c r="EL84" s="25">
        <v>1</v>
      </c>
      <c r="EM84" s="25">
        <v>0</v>
      </c>
      <c r="EN84" s="25">
        <v>1</v>
      </c>
      <c r="EO84" s="25">
        <v>1</v>
      </c>
      <c r="EP84" s="25">
        <v>1</v>
      </c>
      <c r="EQ84" s="25">
        <v>1</v>
      </c>
      <c r="ER84" s="25">
        <v>65</v>
      </c>
      <c r="ES84" s="25">
        <v>1</v>
      </c>
      <c r="ET84" s="25">
        <v>2</v>
      </c>
      <c r="EU84" s="25">
        <v>0</v>
      </c>
      <c r="EV84" s="25" t="s">
        <v>257</v>
      </c>
    </row>
    <row r="85" spans="12:152" x14ac:dyDescent="0.25">
      <c r="L85" s="25">
        <v>46.270218</v>
      </c>
      <c r="M85" s="25">
        <v>-100.641425</v>
      </c>
      <c r="N85" s="25" t="s">
        <v>512</v>
      </c>
      <c r="O85" s="25">
        <v>2015</v>
      </c>
      <c r="P85" s="25" t="s">
        <v>427</v>
      </c>
      <c r="Q85" s="25" t="s">
        <v>428</v>
      </c>
      <c r="R85" s="25" t="s">
        <v>482</v>
      </c>
      <c r="S85" s="25" t="s">
        <v>482</v>
      </c>
      <c r="T85" s="25" t="s">
        <v>430</v>
      </c>
      <c r="U85" s="25" t="s">
        <v>431</v>
      </c>
      <c r="V85" s="25" t="s">
        <v>432</v>
      </c>
      <c r="W85" s="25" t="s">
        <v>433</v>
      </c>
      <c r="X85" s="25" t="s">
        <v>434</v>
      </c>
      <c r="Y85" s="25" t="s">
        <v>434</v>
      </c>
      <c r="Z85" s="25" t="s">
        <v>430</v>
      </c>
      <c r="AA85" s="25">
        <v>54</v>
      </c>
      <c r="AB85" s="25" t="s">
        <v>435</v>
      </c>
      <c r="AC85" s="25" t="s">
        <v>514</v>
      </c>
      <c r="AD85" s="25" t="s">
        <v>426</v>
      </c>
      <c r="AE85" s="25" t="s">
        <v>430</v>
      </c>
      <c r="AF85" s="25" t="s">
        <v>437</v>
      </c>
      <c r="AG85" s="164">
        <v>42249</v>
      </c>
      <c r="AH85" s="25" t="s">
        <v>572</v>
      </c>
      <c r="AI85" s="25" t="s">
        <v>439</v>
      </c>
      <c r="AJ85" s="165">
        <v>44963.320138888892</v>
      </c>
      <c r="AK85" s="25" t="s">
        <v>440</v>
      </c>
      <c r="AL85" s="25" t="s">
        <v>441</v>
      </c>
      <c r="AM85" s="164">
        <v>42572</v>
      </c>
      <c r="AN85" s="164">
        <v>42249</v>
      </c>
      <c r="AO85" s="25" t="s">
        <v>141</v>
      </c>
      <c r="AP85" s="25" t="s">
        <v>142</v>
      </c>
      <c r="AQ85" s="25" t="s">
        <v>430</v>
      </c>
      <c r="AR85" s="25" t="s">
        <v>615</v>
      </c>
      <c r="AS85" s="25" t="s">
        <v>442</v>
      </c>
      <c r="AT85" s="25" t="s">
        <v>430</v>
      </c>
      <c r="AU85" s="25" t="s">
        <v>430</v>
      </c>
      <c r="AV85" s="25">
        <v>81</v>
      </c>
      <c r="AW85" s="25" t="s">
        <v>521</v>
      </c>
      <c r="AX85" s="25" t="s">
        <v>469</v>
      </c>
      <c r="AY85" s="25" t="s">
        <v>430</v>
      </c>
      <c r="AZ85" s="25" t="s">
        <v>430</v>
      </c>
      <c r="BA85" s="25" t="s">
        <v>430</v>
      </c>
      <c r="BB85" s="25" t="s">
        <v>430</v>
      </c>
      <c r="BC85" s="25" t="s">
        <v>430</v>
      </c>
      <c r="BD85" s="25">
        <v>22.9</v>
      </c>
      <c r="BE85" s="25">
        <v>24</v>
      </c>
      <c r="BF85" s="25" t="s">
        <v>430</v>
      </c>
      <c r="BG85" s="25" t="s">
        <v>430</v>
      </c>
      <c r="BH85" s="25" t="s">
        <v>486</v>
      </c>
      <c r="BI85" s="25" t="s">
        <v>431</v>
      </c>
      <c r="BJ85" s="25" t="s">
        <v>575</v>
      </c>
      <c r="BK85" s="25" t="s">
        <v>487</v>
      </c>
      <c r="BL85" s="25" t="s">
        <v>469</v>
      </c>
      <c r="BM85" s="25" t="s">
        <v>469</v>
      </c>
      <c r="BN85" s="25" t="s">
        <v>430</v>
      </c>
      <c r="BO85" s="25" t="s">
        <v>430</v>
      </c>
      <c r="BP85" s="25" t="s">
        <v>434</v>
      </c>
      <c r="BQ85" s="25" t="s">
        <v>449</v>
      </c>
      <c r="BR85" s="25" t="s">
        <v>450</v>
      </c>
      <c r="BS85" s="25" t="s">
        <v>430</v>
      </c>
      <c r="BT85" s="25">
        <v>37</v>
      </c>
      <c r="BU85" s="25">
        <v>44</v>
      </c>
      <c r="BV85" s="25" t="s">
        <v>430</v>
      </c>
      <c r="BW85" s="25" t="s">
        <v>583</v>
      </c>
      <c r="BX85" s="25" t="s">
        <v>527</v>
      </c>
      <c r="BY85" s="25" t="s">
        <v>430</v>
      </c>
      <c r="BZ85" s="25" t="s">
        <v>433</v>
      </c>
      <c r="CA85" s="25" t="s">
        <v>433</v>
      </c>
      <c r="CB85" s="25" t="s">
        <v>430</v>
      </c>
      <c r="CC85" s="25" t="s">
        <v>544</v>
      </c>
      <c r="CD85" s="25" t="s">
        <v>481</v>
      </c>
      <c r="CE85" s="25" t="s">
        <v>430</v>
      </c>
      <c r="CF85" s="25" t="s">
        <v>441</v>
      </c>
      <c r="CG85" s="25" t="s">
        <v>430</v>
      </c>
      <c r="CH85" s="25" t="s">
        <v>495</v>
      </c>
      <c r="CI85" s="25" t="s">
        <v>453</v>
      </c>
      <c r="CJ85" s="25" t="s">
        <v>454</v>
      </c>
      <c r="CK85" s="25" t="s">
        <v>455</v>
      </c>
      <c r="CL85" s="25" t="s">
        <v>472</v>
      </c>
      <c r="CM85" s="25" t="s">
        <v>430</v>
      </c>
      <c r="CN85" s="25" t="s">
        <v>497</v>
      </c>
      <c r="CO85" s="25" t="s">
        <v>497</v>
      </c>
      <c r="CP85" s="25" t="s">
        <v>430</v>
      </c>
      <c r="CQ85" s="25">
        <v>7</v>
      </c>
      <c r="CR85" s="25" t="s">
        <v>446</v>
      </c>
      <c r="CS85" s="25">
        <v>65</v>
      </c>
      <c r="CT85" s="25" t="s">
        <v>430</v>
      </c>
      <c r="CU85" s="25" t="s">
        <v>430</v>
      </c>
      <c r="CV85" s="25" t="s">
        <v>430</v>
      </c>
      <c r="CW85" s="25" t="s">
        <v>635</v>
      </c>
      <c r="CX85" s="25" t="s">
        <v>461</v>
      </c>
      <c r="CY85" s="165">
        <v>44963.320833333331</v>
      </c>
      <c r="CZ85" s="25" t="s">
        <v>430</v>
      </c>
      <c r="DA85" s="25" t="s">
        <v>430</v>
      </c>
      <c r="DB85" s="25">
        <v>22.9</v>
      </c>
      <c r="DC85" s="25" t="s">
        <v>430</v>
      </c>
      <c r="DD85" s="25" t="s">
        <v>434</v>
      </c>
      <c r="DE85" s="25" t="s">
        <v>500</v>
      </c>
      <c r="DF85" s="25" t="s">
        <v>430</v>
      </c>
      <c r="DG85" s="25" t="s">
        <v>462</v>
      </c>
      <c r="DH85" s="25" t="s">
        <v>431</v>
      </c>
      <c r="DI85" s="25" t="s">
        <v>473</v>
      </c>
      <c r="DJ85" s="25" t="s">
        <v>636</v>
      </c>
      <c r="DK85" s="25" t="s">
        <v>430</v>
      </c>
      <c r="DL85" s="25" t="s">
        <v>474</v>
      </c>
      <c r="DM85" s="25" t="s">
        <v>535</v>
      </c>
      <c r="DN85" s="25" t="s">
        <v>430</v>
      </c>
      <c r="DO85" s="25" t="s">
        <v>434</v>
      </c>
      <c r="DP85" s="25" t="s">
        <v>434</v>
      </c>
      <c r="DQ85" s="25" t="s">
        <v>430</v>
      </c>
      <c r="DR85" s="25" t="s">
        <v>637</v>
      </c>
      <c r="DS85" s="25" t="s">
        <v>466</v>
      </c>
      <c r="DT85" s="25" t="s">
        <v>466</v>
      </c>
      <c r="DU85" s="25" t="s">
        <v>431</v>
      </c>
      <c r="DV85" s="25">
        <v>1</v>
      </c>
      <c r="DW85" s="166">
        <v>15100944</v>
      </c>
      <c r="DX85" s="25">
        <v>4</v>
      </c>
      <c r="DY85" s="25">
        <v>43</v>
      </c>
      <c r="DZ85" s="166">
        <v>1014585</v>
      </c>
      <c r="EA85" s="25">
        <v>2</v>
      </c>
      <c r="EB85" s="25">
        <v>1</v>
      </c>
      <c r="EC85" s="25">
        <v>1</v>
      </c>
      <c r="ED85" s="25">
        <v>6</v>
      </c>
      <c r="EE85" s="25">
        <v>2</v>
      </c>
      <c r="EF85" s="25">
        <v>2</v>
      </c>
      <c r="EG85" s="25">
        <v>2</v>
      </c>
      <c r="EH85" s="25">
        <v>1</v>
      </c>
      <c r="EI85" s="25">
        <v>45</v>
      </c>
      <c r="EJ85" s="25">
        <v>0</v>
      </c>
      <c r="EK85" s="25">
        <v>0</v>
      </c>
      <c r="EL85" s="25">
        <v>2</v>
      </c>
      <c r="EM85" s="25">
        <v>0</v>
      </c>
      <c r="EN85" s="25">
        <v>1</v>
      </c>
      <c r="EO85" s="25">
        <v>1</v>
      </c>
      <c r="EP85" s="25">
        <v>1</v>
      </c>
      <c r="EQ85" s="25">
        <v>1</v>
      </c>
      <c r="ER85" s="25">
        <v>65</v>
      </c>
      <c r="ES85" s="25">
        <v>2</v>
      </c>
      <c r="ET85" s="25">
        <v>2</v>
      </c>
      <c r="EU85" s="25">
        <v>7</v>
      </c>
      <c r="EV85" s="25" t="s">
        <v>257</v>
      </c>
    </row>
    <row r="86" spans="12:152" x14ac:dyDescent="0.25">
      <c r="L86" s="25">
        <v>46.388137</v>
      </c>
      <c r="M86" s="25">
        <v>-100.791309</v>
      </c>
      <c r="N86" s="25" t="s">
        <v>24</v>
      </c>
      <c r="O86" s="25">
        <v>2015</v>
      </c>
      <c r="P86" s="25" t="s">
        <v>427</v>
      </c>
      <c r="Q86" s="25" t="s">
        <v>428</v>
      </c>
      <c r="R86" s="25" t="s">
        <v>429</v>
      </c>
      <c r="S86" s="25" t="s">
        <v>430</v>
      </c>
      <c r="T86" s="25" t="s">
        <v>430</v>
      </c>
      <c r="U86" s="25" t="s">
        <v>431</v>
      </c>
      <c r="V86" s="25" t="s">
        <v>432</v>
      </c>
      <c r="W86" s="25" t="s">
        <v>433</v>
      </c>
      <c r="X86" s="25" t="s">
        <v>434</v>
      </c>
      <c r="Y86" s="25" t="s">
        <v>434</v>
      </c>
      <c r="Z86" s="25" t="s">
        <v>430</v>
      </c>
      <c r="AA86" s="25">
        <v>209</v>
      </c>
      <c r="AB86" s="25" t="s">
        <v>582</v>
      </c>
      <c r="AC86" s="25" t="s">
        <v>436</v>
      </c>
      <c r="AD86" s="25" t="s">
        <v>436</v>
      </c>
      <c r="AE86" s="25" t="s">
        <v>430</v>
      </c>
      <c r="AF86" s="25" t="s">
        <v>437</v>
      </c>
      <c r="AG86" s="164">
        <v>42315</v>
      </c>
      <c r="AH86" s="25" t="s">
        <v>468</v>
      </c>
      <c r="AI86" s="25" t="s">
        <v>439</v>
      </c>
      <c r="AJ86" s="165">
        <v>44963.595833333333</v>
      </c>
      <c r="AK86" s="25" t="s">
        <v>440</v>
      </c>
      <c r="AL86" s="25" t="s">
        <v>441</v>
      </c>
      <c r="AM86" s="164">
        <v>42577</v>
      </c>
      <c r="AN86" s="164">
        <v>42315</v>
      </c>
      <c r="AO86" s="25" t="s">
        <v>141</v>
      </c>
      <c r="AP86" s="25" t="s">
        <v>141</v>
      </c>
      <c r="AQ86" s="25" t="s">
        <v>430</v>
      </c>
      <c r="AR86" s="25" t="s">
        <v>442</v>
      </c>
      <c r="AS86" s="25" t="s">
        <v>430</v>
      </c>
      <c r="AT86" s="25" t="s">
        <v>430</v>
      </c>
      <c r="AU86" s="25" t="s">
        <v>430</v>
      </c>
      <c r="AV86" s="25" t="s">
        <v>430</v>
      </c>
      <c r="AW86" s="25" t="s">
        <v>443</v>
      </c>
      <c r="AX86" s="25" t="s">
        <v>469</v>
      </c>
      <c r="AY86" s="25">
        <v>82</v>
      </c>
      <c r="AZ86" s="25" t="s">
        <v>638</v>
      </c>
      <c r="BA86" s="25">
        <v>24.992999999999999</v>
      </c>
      <c r="BB86" s="25" t="s">
        <v>430</v>
      </c>
      <c r="BC86" s="25" t="s">
        <v>430</v>
      </c>
      <c r="BD86" s="25" t="s">
        <v>430</v>
      </c>
      <c r="BE86" s="25" t="s">
        <v>430</v>
      </c>
      <c r="BF86" s="25" t="s">
        <v>430</v>
      </c>
      <c r="BG86" s="25" t="s">
        <v>430</v>
      </c>
      <c r="BH86" s="25" t="s">
        <v>445</v>
      </c>
      <c r="BI86" s="25" t="s">
        <v>431</v>
      </c>
      <c r="BJ86" s="25" t="s">
        <v>447</v>
      </c>
      <c r="BK86" s="25" t="s">
        <v>526</v>
      </c>
      <c r="BL86" s="25" t="s">
        <v>597</v>
      </c>
      <c r="BM86" s="25" t="s">
        <v>469</v>
      </c>
      <c r="BN86" s="25" t="s">
        <v>430</v>
      </c>
      <c r="BO86" s="25" t="s">
        <v>430</v>
      </c>
      <c r="BP86" s="25" t="s">
        <v>434</v>
      </c>
      <c r="BQ86" s="25" t="s">
        <v>449</v>
      </c>
      <c r="BR86" s="25" t="s">
        <v>450</v>
      </c>
      <c r="BS86" s="25" t="s">
        <v>430</v>
      </c>
      <c r="BT86" s="25" t="s">
        <v>430</v>
      </c>
      <c r="BU86" s="25" t="s">
        <v>430</v>
      </c>
      <c r="BV86" s="25" t="s">
        <v>430</v>
      </c>
      <c r="BW86" s="25" t="s">
        <v>430</v>
      </c>
      <c r="BX86" s="25" t="s">
        <v>430</v>
      </c>
      <c r="BY86" s="25" t="s">
        <v>430</v>
      </c>
      <c r="BZ86" s="25" t="s">
        <v>451</v>
      </c>
      <c r="CA86" s="25" t="s">
        <v>430</v>
      </c>
      <c r="CB86" s="25" t="s">
        <v>430</v>
      </c>
      <c r="CC86" s="25" t="s">
        <v>430</v>
      </c>
      <c r="CD86" s="25" t="s">
        <v>430</v>
      </c>
      <c r="CE86" s="25" t="s">
        <v>430</v>
      </c>
      <c r="CF86" s="25" t="s">
        <v>441</v>
      </c>
      <c r="CG86" s="25" t="s">
        <v>430</v>
      </c>
      <c r="CH86" s="25" t="s">
        <v>452</v>
      </c>
      <c r="CI86" s="25" t="s">
        <v>453</v>
      </c>
      <c r="CJ86" s="25" t="s">
        <v>454</v>
      </c>
      <c r="CK86" s="25" t="s">
        <v>455</v>
      </c>
      <c r="CL86" s="25" t="s">
        <v>472</v>
      </c>
      <c r="CM86" s="25" t="s">
        <v>430</v>
      </c>
      <c r="CN86" s="25" t="s">
        <v>457</v>
      </c>
      <c r="CO86" s="25" t="s">
        <v>430</v>
      </c>
      <c r="CP86" s="25" t="s">
        <v>430</v>
      </c>
      <c r="CQ86" s="25">
        <v>14</v>
      </c>
      <c r="CR86" s="25" t="s">
        <v>431</v>
      </c>
      <c r="CS86" s="25">
        <v>25</v>
      </c>
      <c r="CT86" s="25" t="s">
        <v>430</v>
      </c>
      <c r="CU86" s="25" t="s">
        <v>639</v>
      </c>
      <c r="CV86" s="25" t="s">
        <v>430</v>
      </c>
      <c r="CW86" s="25" t="s">
        <v>460</v>
      </c>
      <c r="CX86" s="25" t="s">
        <v>533</v>
      </c>
      <c r="CY86" s="165">
        <v>44963.59652777778</v>
      </c>
      <c r="CZ86" s="25" t="s">
        <v>640</v>
      </c>
      <c r="DA86" s="25" t="s">
        <v>430</v>
      </c>
      <c r="DB86" s="25" t="s">
        <v>430</v>
      </c>
      <c r="DC86" s="25" t="s">
        <v>430</v>
      </c>
      <c r="DD86" s="25" t="s">
        <v>434</v>
      </c>
      <c r="DE86" s="25" t="s">
        <v>434</v>
      </c>
      <c r="DF86" s="25" t="s">
        <v>430</v>
      </c>
      <c r="DG86" s="25" t="s">
        <v>462</v>
      </c>
      <c r="DH86" s="25" t="s">
        <v>431</v>
      </c>
      <c r="DI86" s="25" t="s">
        <v>579</v>
      </c>
      <c r="DJ86" s="25" t="s">
        <v>463</v>
      </c>
      <c r="DK86" s="25" t="s">
        <v>430</v>
      </c>
      <c r="DL86" s="25" t="s">
        <v>464</v>
      </c>
      <c r="DM86" s="25" t="s">
        <v>641</v>
      </c>
      <c r="DN86" s="25" t="s">
        <v>430</v>
      </c>
      <c r="DO86" s="25" t="s">
        <v>434</v>
      </c>
      <c r="DP86" s="25" t="s">
        <v>434</v>
      </c>
      <c r="DQ86" s="25" t="s">
        <v>430</v>
      </c>
      <c r="DR86" s="25" t="s">
        <v>465</v>
      </c>
      <c r="DS86" s="25" t="s">
        <v>466</v>
      </c>
      <c r="DT86" s="25" t="s">
        <v>466</v>
      </c>
      <c r="DU86" s="25" t="s">
        <v>431</v>
      </c>
      <c r="DV86" s="25">
        <v>1</v>
      </c>
      <c r="DW86" s="166">
        <v>15131217</v>
      </c>
      <c r="DX86" s="25">
        <v>4</v>
      </c>
      <c r="DY86" s="25">
        <v>43</v>
      </c>
      <c r="DZ86" s="166">
        <v>1014901</v>
      </c>
      <c r="EA86" s="25">
        <v>3</v>
      </c>
      <c r="EB86" s="25">
        <v>1</v>
      </c>
      <c r="EC86" s="25">
        <v>1</v>
      </c>
      <c r="ED86" s="25">
        <v>0</v>
      </c>
      <c r="EE86" s="25">
        <v>1</v>
      </c>
      <c r="EF86" s="25">
        <v>1</v>
      </c>
      <c r="EG86" s="25">
        <v>1</v>
      </c>
      <c r="EH86" s="25">
        <v>4</v>
      </c>
      <c r="EI86" s="25">
        <v>54</v>
      </c>
      <c r="EJ86" s="25">
        <v>0</v>
      </c>
      <c r="EK86" s="25">
        <v>0</v>
      </c>
      <c r="EL86" s="25">
        <v>1</v>
      </c>
      <c r="EM86" s="25">
        <v>0</v>
      </c>
      <c r="EN86" s="25">
        <v>1</v>
      </c>
      <c r="EO86" s="25">
        <v>1</v>
      </c>
      <c r="EP86" s="25">
        <v>1</v>
      </c>
      <c r="EQ86" s="25">
        <v>1</v>
      </c>
      <c r="ER86" s="25">
        <v>25</v>
      </c>
      <c r="ES86" s="25">
        <v>1</v>
      </c>
      <c r="ET86" s="25">
        <v>3</v>
      </c>
      <c r="EU86" s="25">
        <v>0</v>
      </c>
      <c r="EV86" s="25" t="s">
        <v>257</v>
      </c>
    </row>
    <row r="87" spans="12:152" x14ac:dyDescent="0.25">
      <c r="L87" s="25">
        <v>46.168024000000003</v>
      </c>
      <c r="M87" s="25">
        <v>-100.68327600000001</v>
      </c>
      <c r="N87" s="25" t="s">
        <v>24</v>
      </c>
      <c r="O87" s="25">
        <v>2015</v>
      </c>
      <c r="P87" s="25" t="s">
        <v>427</v>
      </c>
      <c r="Q87" s="25" t="s">
        <v>428</v>
      </c>
      <c r="R87" s="25" t="s">
        <v>482</v>
      </c>
      <c r="S87" s="25" t="s">
        <v>430</v>
      </c>
      <c r="T87" s="25" t="s">
        <v>430</v>
      </c>
      <c r="U87" s="25" t="s">
        <v>431</v>
      </c>
      <c r="V87" s="25" t="s">
        <v>432</v>
      </c>
      <c r="W87" s="25" t="s">
        <v>433</v>
      </c>
      <c r="X87" s="25" t="s">
        <v>434</v>
      </c>
      <c r="Y87" s="25" t="s">
        <v>430</v>
      </c>
      <c r="Z87" s="25" t="s">
        <v>430</v>
      </c>
      <c r="AA87" s="25">
        <v>54</v>
      </c>
      <c r="AB87" s="25" t="s">
        <v>435</v>
      </c>
      <c r="AC87" s="25" t="s">
        <v>514</v>
      </c>
      <c r="AD87" s="25" t="s">
        <v>430</v>
      </c>
      <c r="AE87" s="25" t="s">
        <v>430</v>
      </c>
      <c r="AF87" s="25" t="s">
        <v>437</v>
      </c>
      <c r="AG87" s="164">
        <v>42337</v>
      </c>
      <c r="AH87" s="25" t="s">
        <v>525</v>
      </c>
      <c r="AI87" s="25" t="s">
        <v>439</v>
      </c>
      <c r="AJ87" s="165">
        <v>44963.371527777781</v>
      </c>
      <c r="AK87" s="25" t="s">
        <v>440</v>
      </c>
      <c r="AL87" s="25" t="s">
        <v>441</v>
      </c>
      <c r="AM87" s="164">
        <v>42577</v>
      </c>
      <c r="AN87" s="164">
        <v>42337</v>
      </c>
      <c r="AO87" s="25" t="s">
        <v>140</v>
      </c>
      <c r="AP87" s="25" t="s">
        <v>430</v>
      </c>
      <c r="AQ87" s="25" t="s">
        <v>430</v>
      </c>
      <c r="AR87" s="25" t="s">
        <v>442</v>
      </c>
      <c r="AS87" s="25" t="s">
        <v>430</v>
      </c>
      <c r="AT87" s="25" t="s">
        <v>430</v>
      </c>
      <c r="AU87" s="25" t="s">
        <v>430</v>
      </c>
      <c r="AV87" s="25" t="s">
        <v>430</v>
      </c>
      <c r="AW87" s="25" t="s">
        <v>521</v>
      </c>
      <c r="AX87" s="25" t="s">
        <v>642</v>
      </c>
      <c r="AY87" s="25" t="s">
        <v>430</v>
      </c>
      <c r="AZ87" s="25" t="s">
        <v>430</v>
      </c>
      <c r="BA87" s="25" t="s">
        <v>430</v>
      </c>
      <c r="BB87" s="25" t="s">
        <v>430</v>
      </c>
      <c r="BC87" s="25" t="s">
        <v>430</v>
      </c>
      <c r="BD87" s="25">
        <v>15</v>
      </c>
      <c r="BE87" s="25">
        <v>24</v>
      </c>
      <c r="BF87" s="25" t="s">
        <v>430</v>
      </c>
      <c r="BG87" s="25" t="s">
        <v>430</v>
      </c>
      <c r="BH87" s="25" t="s">
        <v>445</v>
      </c>
      <c r="BI87" s="25" t="s">
        <v>446</v>
      </c>
      <c r="BJ87" s="25" t="s">
        <v>447</v>
      </c>
      <c r="BK87" s="25" t="s">
        <v>448</v>
      </c>
      <c r="BL87" s="25" t="s">
        <v>538</v>
      </c>
      <c r="BM87" s="25" t="s">
        <v>430</v>
      </c>
      <c r="BN87" s="25" t="s">
        <v>430</v>
      </c>
      <c r="BO87" s="25" t="s">
        <v>430</v>
      </c>
      <c r="BP87" s="25" t="s">
        <v>434</v>
      </c>
      <c r="BQ87" s="25" t="s">
        <v>449</v>
      </c>
      <c r="BR87" s="25" t="s">
        <v>450</v>
      </c>
      <c r="BS87" s="25" t="s">
        <v>430</v>
      </c>
      <c r="BT87" s="25">
        <v>30</v>
      </c>
      <c r="BU87" s="25" t="s">
        <v>430</v>
      </c>
      <c r="BV87" s="25" t="s">
        <v>430</v>
      </c>
      <c r="BW87" s="25" t="s">
        <v>480</v>
      </c>
      <c r="BX87" s="25" t="s">
        <v>430</v>
      </c>
      <c r="BY87" s="25" t="s">
        <v>430</v>
      </c>
      <c r="BZ87" s="25" t="s">
        <v>433</v>
      </c>
      <c r="CA87" s="25" t="s">
        <v>430</v>
      </c>
      <c r="CB87" s="25" t="s">
        <v>430</v>
      </c>
      <c r="CC87" s="25" t="s">
        <v>481</v>
      </c>
      <c r="CD87" s="25" t="s">
        <v>430</v>
      </c>
      <c r="CE87" s="25" t="s">
        <v>430</v>
      </c>
      <c r="CF87" s="25" t="s">
        <v>441</v>
      </c>
      <c r="CG87" s="25" t="s">
        <v>430</v>
      </c>
      <c r="CH87" s="25" t="s">
        <v>452</v>
      </c>
      <c r="CI87" s="25" t="s">
        <v>453</v>
      </c>
      <c r="CJ87" s="25" t="s">
        <v>454</v>
      </c>
      <c r="CK87" s="25" t="s">
        <v>455</v>
      </c>
      <c r="CL87" s="25" t="s">
        <v>517</v>
      </c>
      <c r="CM87" s="25" t="s">
        <v>430</v>
      </c>
      <c r="CN87" s="25" t="s">
        <v>457</v>
      </c>
      <c r="CO87" s="25" t="s">
        <v>430</v>
      </c>
      <c r="CP87" s="25" t="s">
        <v>430</v>
      </c>
      <c r="CQ87" s="25">
        <v>8</v>
      </c>
      <c r="CR87" s="25" t="s">
        <v>446</v>
      </c>
      <c r="CS87" s="25" t="s">
        <v>430</v>
      </c>
      <c r="CT87" s="25" t="s">
        <v>430</v>
      </c>
      <c r="CU87" s="25" t="s">
        <v>430</v>
      </c>
      <c r="CV87" s="25" t="s">
        <v>430</v>
      </c>
      <c r="CW87" s="25" t="s">
        <v>498</v>
      </c>
      <c r="CX87" s="25" t="s">
        <v>461</v>
      </c>
      <c r="CY87" s="165">
        <v>44963.37222222222</v>
      </c>
      <c r="CZ87" s="25" t="s">
        <v>430</v>
      </c>
      <c r="DA87" s="25" t="s">
        <v>430</v>
      </c>
      <c r="DB87" s="25">
        <v>15</v>
      </c>
      <c r="DC87" s="25" t="s">
        <v>430</v>
      </c>
      <c r="DD87" s="25" t="s">
        <v>434</v>
      </c>
      <c r="DE87" s="25" t="s">
        <v>430</v>
      </c>
      <c r="DF87" s="25" t="s">
        <v>430</v>
      </c>
      <c r="DG87" s="25" t="s">
        <v>462</v>
      </c>
      <c r="DH87" s="25" t="s">
        <v>431</v>
      </c>
      <c r="DI87" s="25" t="s">
        <v>463</v>
      </c>
      <c r="DJ87" s="25" t="s">
        <v>430</v>
      </c>
      <c r="DK87" s="25" t="s">
        <v>430</v>
      </c>
      <c r="DL87" s="25" t="s">
        <v>474</v>
      </c>
      <c r="DM87" s="25" t="s">
        <v>430</v>
      </c>
      <c r="DN87" s="25" t="s">
        <v>430</v>
      </c>
      <c r="DO87" s="25" t="s">
        <v>434</v>
      </c>
      <c r="DP87" s="25" t="s">
        <v>430</v>
      </c>
      <c r="DQ87" s="25" t="s">
        <v>430</v>
      </c>
      <c r="DR87" s="25" t="s">
        <v>465</v>
      </c>
      <c r="DS87" s="25" t="s">
        <v>466</v>
      </c>
      <c r="DT87" s="25" t="s">
        <v>466</v>
      </c>
      <c r="DU87" s="25" t="s">
        <v>431</v>
      </c>
      <c r="DV87" s="25">
        <v>1</v>
      </c>
      <c r="DW87" s="166">
        <v>15140462</v>
      </c>
      <c r="DX87" s="25">
        <v>4</v>
      </c>
      <c r="DY87" s="25">
        <v>43</v>
      </c>
      <c r="DZ87" s="166">
        <v>1014915</v>
      </c>
      <c r="EA87" s="25">
        <v>3</v>
      </c>
      <c r="EB87" s="25">
        <v>1</v>
      </c>
      <c r="EC87" s="25">
        <v>33</v>
      </c>
      <c r="ED87" s="25">
        <v>6</v>
      </c>
      <c r="EE87" s="25">
        <v>2</v>
      </c>
      <c r="EF87" s="25">
        <v>1</v>
      </c>
      <c r="EG87" s="25">
        <v>1</v>
      </c>
      <c r="EH87" s="25">
        <v>7</v>
      </c>
      <c r="EI87" s="25">
        <v>58</v>
      </c>
      <c r="EJ87" s="25">
        <v>0</v>
      </c>
      <c r="EK87" s="25">
        <v>0</v>
      </c>
      <c r="EL87" s="25">
        <v>1</v>
      </c>
      <c r="EM87" s="25">
        <v>0</v>
      </c>
      <c r="EN87" s="25">
        <v>1</v>
      </c>
      <c r="EO87" s="25">
        <v>1</v>
      </c>
      <c r="EP87" s="25">
        <v>2</v>
      </c>
      <c r="EQ87" s="25">
        <v>1</v>
      </c>
      <c r="ER87" s="25">
        <v>65</v>
      </c>
      <c r="ES87" s="25">
        <v>6</v>
      </c>
      <c r="ET87" s="25">
        <v>2</v>
      </c>
      <c r="EU87" s="25">
        <v>0</v>
      </c>
      <c r="EV87" s="25" t="s">
        <v>257</v>
      </c>
    </row>
    <row r="88" spans="12:152" x14ac:dyDescent="0.25">
      <c r="L88" s="25">
        <v>46.169435</v>
      </c>
      <c r="M88" s="25">
        <v>-100.683015</v>
      </c>
      <c r="N88" s="25" t="s">
        <v>24</v>
      </c>
      <c r="O88" s="25">
        <v>2016</v>
      </c>
      <c r="P88" s="25" t="s">
        <v>427</v>
      </c>
      <c r="Q88" s="25" t="s">
        <v>428</v>
      </c>
      <c r="R88" s="25" t="s">
        <v>482</v>
      </c>
      <c r="S88" s="25" t="s">
        <v>429</v>
      </c>
      <c r="T88" s="25" t="s">
        <v>482</v>
      </c>
      <c r="U88" s="25" t="s">
        <v>431</v>
      </c>
      <c r="V88" s="25" t="s">
        <v>432</v>
      </c>
      <c r="W88" s="25" t="s">
        <v>433</v>
      </c>
      <c r="X88" s="25" t="s">
        <v>513</v>
      </c>
      <c r="Y88" s="25" t="s">
        <v>434</v>
      </c>
      <c r="Z88" s="25" t="s">
        <v>434</v>
      </c>
      <c r="AA88" s="25">
        <v>54</v>
      </c>
      <c r="AB88" s="25" t="s">
        <v>435</v>
      </c>
      <c r="AC88" s="25" t="s">
        <v>426</v>
      </c>
      <c r="AD88" s="25" t="s">
        <v>426</v>
      </c>
      <c r="AE88" s="25" t="s">
        <v>514</v>
      </c>
      <c r="AF88" s="25" t="s">
        <v>437</v>
      </c>
      <c r="AG88" s="164">
        <v>42375</v>
      </c>
      <c r="AH88" s="25" t="s">
        <v>572</v>
      </c>
      <c r="AI88" s="25" t="s">
        <v>439</v>
      </c>
      <c r="AJ88" s="165">
        <v>44963.782638888886</v>
      </c>
      <c r="AK88" s="25" t="s">
        <v>440</v>
      </c>
      <c r="AL88" s="25" t="s">
        <v>441</v>
      </c>
      <c r="AM88" s="164">
        <v>42697</v>
      </c>
      <c r="AN88" s="164">
        <v>42375</v>
      </c>
      <c r="AO88" s="25" t="s">
        <v>140</v>
      </c>
      <c r="AP88" s="25" t="s">
        <v>140</v>
      </c>
      <c r="AQ88" s="25" t="s">
        <v>140</v>
      </c>
      <c r="AR88" s="25" t="s">
        <v>442</v>
      </c>
      <c r="AS88" s="25" t="s">
        <v>442</v>
      </c>
      <c r="AT88" s="25" t="s">
        <v>442</v>
      </c>
      <c r="AU88" s="25" t="s">
        <v>430</v>
      </c>
      <c r="AV88" s="25" t="s">
        <v>430</v>
      </c>
      <c r="AW88" s="25" t="s">
        <v>643</v>
      </c>
      <c r="AX88" s="25" t="s">
        <v>469</v>
      </c>
      <c r="AY88" s="25" t="s">
        <v>430</v>
      </c>
      <c r="AZ88" s="25" t="s">
        <v>430</v>
      </c>
      <c r="BA88" s="25" t="s">
        <v>430</v>
      </c>
      <c r="BB88" s="25" t="s">
        <v>430</v>
      </c>
      <c r="BC88" s="25" t="s">
        <v>430</v>
      </c>
      <c r="BD88" s="25">
        <v>15.18</v>
      </c>
      <c r="BE88" s="25">
        <v>24</v>
      </c>
      <c r="BF88" s="25" t="s">
        <v>430</v>
      </c>
      <c r="BG88" s="25" t="s">
        <v>430</v>
      </c>
      <c r="BH88" s="25" t="s">
        <v>445</v>
      </c>
      <c r="BI88" s="25" t="s">
        <v>431</v>
      </c>
      <c r="BJ88" s="25" t="s">
        <v>479</v>
      </c>
      <c r="BK88" s="25" t="s">
        <v>541</v>
      </c>
      <c r="BL88" s="25" t="s">
        <v>469</v>
      </c>
      <c r="BM88" s="25" t="s">
        <v>469</v>
      </c>
      <c r="BN88" s="25" t="s">
        <v>469</v>
      </c>
      <c r="BO88" s="25" t="s">
        <v>430</v>
      </c>
      <c r="BP88" s="25" t="s">
        <v>434</v>
      </c>
      <c r="BQ88" s="25" t="s">
        <v>449</v>
      </c>
      <c r="BR88" s="25" t="s">
        <v>450</v>
      </c>
      <c r="BS88" s="25" t="s">
        <v>430</v>
      </c>
      <c r="BT88" s="25">
        <v>18</v>
      </c>
      <c r="BU88" s="25" t="s">
        <v>430</v>
      </c>
      <c r="BV88" s="25">
        <v>47</v>
      </c>
      <c r="BW88" s="25" t="s">
        <v>644</v>
      </c>
      <c r="BX88" s="25" t="s">
        <v>430</v>
      </c>
      <c r="BY88" s="25" t="s">
        <v>645</v>
      </c>
      <c r="BZ88" s="25" t="s">
        <v>493</v>
      </c>
      <c r="CA88" s="25" t="s">
        <v>451</v>
      </c>
      <c r="CB88" s="25" t="s">
        <v>433</v>
      </c>
      <c r="CC88" s="25" t="s">
        <v>544</v>
      </c>
      <c r="CD88" s="25" t="s">
        <v>430</v>
      </c>
      <c r="CE88" s="25" t="s">
        <v>578</v>
      </c>
      <c r="CF88" s="25" t="s">
        <v>441</v>
      </c>
      <c r="CG88" s="25" t="s">
        <v>430</v>
      </c>
      <c r="CH88" s="25" t="s">
        <v>452</v>
      </c>
      <c r="CI88" s="25" t="s">
        <v>453</v>
      </c>
      <c r="CJ88" s="25" t="s">
        <v>454</v>
      </c>
      <c r="CK88" s="25" t="s">
        <v>455</v>
      </c>
      <c r="CL88" s="25" t="s">
        <v>517</v>
      </c>
      <c r="CM88" s="25" t="s">
        <v>430</v>
      </c>
      <c r="CN88" s="25" t="s">
        <v>457</v>
      </c>
      <c r="CO88" s="25" t="s">
        <v>457</v>
      </c>
      <c r="CP88" s="25" t="s">
        <v>457</v>
      </c>
      <c r="CQ88" s="25">
        <v>18</v>
      </c>
      <c r="CR88" s="25" t="s">
        <v>446</v>
      </c>
      <c r="CS88" s="25">
        <v>65</v>
      </c>
      <c r="CT88" s="25">
        <v>65</v>
      </c>
      <c r="CU88" s="25" t="s">
        <v>430</v>
      </c>
      <c r="CV88" s="25" t="s">
        <v>430</v>
      </c>
      <c r="CW88" s="25" t="s">
        <v>498</v>
      </c>
      <c r="CX88" s="25" t="s">
        <v>461</v>
      </c>
      <c r="CY88" s="165">
        <v>44963.783333333333</v>
      </c>
      <c r="CZ88" s="25" t="s">
        <v>430</v>
      </c>
      <c r="DA88" s="25" t="s">
        <v>430</v>
      </c>
      <c r="DB88" s="25">
        <v>15.18</v>
      </c>
      <c r="DC88" s="25" t="s">
        <v>430</v>
      </c>
      <c r="DD88" s="25" t="s">
        <v>434</v>
      </c>
      <c r="DE88" s="25" t="s">
        <v>434</v>
      </c>
      <c r="DF88" s="25" t="s">
        <v>434</v>
      </c>
      <c r="DG88" s="25" t="s">
        <v>462</v>
      </c>
      <c r="DH88" s="25" t="s">
        <v>431</v>
      </c>
      <c r="DI88" s="25" t="s">
        <v>463</v>
      </c>
      <c r="DJ88" s="25" t="s">
        <v>579</v>
      </c>
      <c r="DK88" s="25" t="s">
        <v>463</v>
      </c>
      <c r="DL88" s="25" t="s">
        <v>646</v>
      </c>
      <c r="DM88" s="25" t="s">
        <v>474</v>
      </c>
      <c r="DN88" s="25" t="s">
        <v>474</v>
      </c>
      <c r="DO88" s="25" t="s">
        <v>434</v>
      </c>
      <c r="DP88" s="25" t="s">
        <v>434</v>
      </c>
      <c r="DQ88" s="25" t="s">
        <v>434</v>
      </c>
      <c r="DR88" s="25" t="s">
        <v>502</v>
      </c>
      <c r="DS88" s="25" t="s">
        <v>466</v>
      </c>
      <c r="DT88" s="25" t="s">
        <v>466</v>
      </c>
      <c r="DU88" s="25" t="s">
        <v>446</v>
      </c>
      <c r="DV88" s="25">
        <v>1</v>
      </c>
      <c r="DW88" s="166">
        <v>16003187</v>
      </c>
      <c r="DX88" s="25">
        <v>4</v>
      </c>
      <c r="DY88" s="25">
        <v>43</v>
      </c>
      <c r="DZ88" s="166">
        <v>1021605</v>
      </c>
      <c r="EA88" s="25">
        <v>3</v>
      </c>
      <c r="EB88" s="25">
        <v>1</v>
      </c>
      <c r="EC88" s="25">
        <v>1</v>
      </c>
      <c r="ED88" s="25">
        <v>6</v>
      </c>
      <c r="EE88" s="25">
        <v>1</v>
      </c>
      <c r="EF88" s="25">
        <v>1</v>
      </c>
      <c r="EG88" s="25">
        <v>5</v>
      </c>
      <c r="EH88" s="25">
        <v>2</v>
      </c>
      <c r="EI88" s="25">
        <v>74</v>
      </c>
      <c r="EJ88" s="25">
        <v>0</v>
      </c>
      <c r="EK88" s="25">
        <v>0</v>
      </c>
      <c r="EL88" s="25">
        <v>1</v>
      </c>
      <c r="EM88" s="25">
        <v>0</v>
      </c>
      <c r="EN88" s="25">
        <v>1</v>
      </c>
      <c r="EO88" s="25">
        <v>1</v>
      </c>
      <c r="EP88" s="25">
        <v>2</v>
      </c>
      <c r="EQ88" s="25">
        <v>1</v>
      </c>
      <c r="ER88" s="25">
        <v>65</v>
      </c>
      <c r="ES88" s="25">
        <v>6</v>
      </c>
      <c r="ET88" s="25">
        <v>2</v>
      </c>
      <c r="EU88" s="25">
        <v>1</v>
      </c>
      <c r="EV88" s="25" t="s">
        <v>257</v>
      </c>
    </row>
    <row r="89" spans="12:152" x14ac:dyDescent="0.25">
      <c r="L89" s="25">
        <v>46.371526000000003</v>
      </c>
      <c r="M89" s="25">
        <v>-100.63088999999999</v>
      </c>
      <c r="N89" s="25" t="s">
        <v>512</v>
      </c>
      <c r="O89" s="25">
        <v>2016</v>
      </c>
      <c r="P89" s="25" t="s">
        <v>427</v>
      </c>
      <c r="Q89" s="25" t="s">
        <v>428</v>
      </c>
      <c r="R89" s="25" t="s">
        <v>476</v>
      </c>
      <c r="S89" s="25" t="s">
        <v>430</v>
      </c>
      <c r="T89" s="25" t="s">
        <v>430</v>
      </c>
      <c r="U89" s="25" t="s">
        <v>446</v>
      </c>
      <c r="V89" s="25" t="s">
        <v>647</v>
      </c>
      <c r="W89" s="25" t="s">
        <v>433</v>
      </c>
      <c r="X89" s="25" t="s">
        <v>477</v>
      </c>
      <c r="Y89" s="25" t="s">
        <v>430</v>
      </c>
      <c r="Z89" s="25" t="s">
        <v>430</v>
      </c>
      <c r="AA89" s="25">
        <v>360</v>
      </c>
      <c r="AB89" s="25" t="s">
        <v>491</v>
      </c>
      <c r="AC89" s="25" t="s">
        <v>560</v>
      </c>
      <c r="AD89" s="25" t="s">
        <v>430</v>
      </c>
      <c r="AE89" s="25" t="s">
        <v>430</v>
      </c>
      <c r="AF89" s="25" t="s">
        <v>437</v>
      </c>
      <c r="AG89" s="164">
        <v>42393</v>
      </c>
      <c r="AH89" s="25" t="s">
        <v>525</v>
      </c>
      <c r="AI89" s="25" t="s">
        <v>439</v>
      </c>
      <c r="AJ89" s="165">
        <v>44963.107638888891</v>
      </c>
      <c r="AK89" s="25" t="s">
        <v>440</v>
      </c>
      <c r="AL89" s="25" t="s">
        <v>441</v>
      </c>
      <c r="AM89" s="164">
        <v>42714</v>
      </c>
      <c r="AN89" s="164">
        <v>42393</v>
      </c>
      <c r="AO89" s="25" t="s">
        <v>141</v>
      </c>
      <c r="AP89" s="25" t="s">
        <v>430</v>
      </c>
      <c r="AQ89" s="25" t="s">
        <v>430</v>
      </c>
      <c r="AR89" s="25" t="s">
        <v>442</v>
      </c>
      <c r="AS89" s="25" t="s">
        <v>430</v>
      </c>
      <c r="AT89" s="25" t="s">
        <v>430</v>
      </c>
      <c r="AU89" s="25" t="s">
        <v>430</v>
      </c>
      <c r="AV89" s="25">
        <v>41</v>
      </c>
      <c r="AW89" s="25" t="s">
        <v>443</v>
      </c>
      <c r="AX89" s="25" t="s">
        <v>648</v>
      </c>
      <c r="AY89" s="25" t="s">
        <v>430</v>
      </c>
      <c r="AZ89" s="25" t="s">
        <v>430</v>
      </c>
      <c r="BA89" s="25" t="s">
        <v>430</v>
      </c>
      <c r="BB89" s="25" t="s">
        <v>430</v>
      </c>
      <c r="BC89" s="25" t="s">
        <v>430</v>
      </c>
      <c r="BD89" s="25">
        <v>29.934000000000001</v>
      </c>
      <c r="BE89" s="25">
        <v>1806</v>
      </c>
      <c r="BF89" s="25" t="s">
        <v>430</v>
      </c>
      <c r="BG89" s="25" t="s">
        <v>430</v>
      </c>
      <c r="BH89" s="25" t="s">
        <v>486</v>
      </c>
      <c r="BI89" s="25" t="s">
        <v>446</v>
      </c>
      <c r="BJ89" s="25" t="s">
        <v>479</v>
      </c>
      <c r="BK89" s="25" t="s">
        <v>448</v>
      </c>
      <c r="BL89" s="25" t="s">
        <v>538</v>
      </c>
      <c r="BM89" s="25" t="s">
        <v>430</v>
      </c>
      <c r="BN89" s="25" t="s">
        <v>430</v>
      </c>
      <c r="BO89" s="25" t="s">
        <v>430</v>
      </c>
      <c r="BP89" s="25" t="s">
        <v>434</v>
      </c>
      <c r="BQ89" s="25" t="s">
        <v>449</v>
      </c>
      <c r="BR89" s="25" t="s">
        <v>450</v>
      </c>
      <c r="BS89" s="25" t="s">
        <v>430</v>
      </c>
      <c r="BT89" s="25">
        <v>24</v>
      </c>
      <c r="BU89" s="25" t="s">
        <v>430</v>
      </c>
      <c r="BV89" s="25" t="s">
        <v>430</v>
      </c>
      <c r="BW89" s="25" t="s">
        <v>649</v>
      </c>
      <c r="BX89" s="25" t="s">
        <v>430</v>
      </c>
      <c r="BY89" s="25" t="s">
        <v>430</v>
      </c>
      <c r="BZ89" s="25" t="s">
        <v>433</v>
      </c>
      <c r="CA89" s="25" t="s">
        <v>430</v>
      </c>
      <c r="CB89" s="25" t="s">
        <v>430</v>
      </c>
      <c r="CC89" s="25" t="s">
        <v>544</v>
      </c>
      <c r="CD89" s="25" t="s">
        <v>430</v>
      </c>
      <c r="CE89" s="25" t="s">
        <v>430</v>
      </c>
      <c r="CF89" s="25" t="s">
        <v>441</v>
      </c>
      <c r="CG89" s="25" t="s">
        <v>430</v>
      </c>
      <c r="CH89" s="25" t="s">
        <v>495</v>
      </c>
      <c r="CI89" s="25" t="s">
        <v>539</v>
      </c>
      <c r="CJ89" s="25" t="s">
        <v>454</v>
      </c>
      <c r="CK89" s="25" t="s">
        <v>455</v>
      </c>
      <c r="CL89" s="25" t="s">
        <v>472</v>
      </c>
      <c r="CM89" s="25" t="s">
        <v>430</v>
      </c>
      <c r="CN89" s="25" t="s">
        <v>457</v>
      </c>
      <c r="CO89" s="25" t="s">
        <v>430</v>
      </c>
      <c r="CP89" s="25" t="s">
        <v>430</v>
      </c>
      <c r="CQ89" s="25">
        <v>2</v>
      </c>
      <c r="CR89" s="25" t="s">
        <v>431</v>
      </c>
      <c r="CS89" s="25" t="s">
        <v>430</v>
      </c>
      <c r="CT89" s="25" t="s">
        <v>430</v>
      </c>
      <c r="CU89" s="25" t="s">
        <v>430</v>
      </c>
      <c r="CV89" s="25" t="s">
        <v>430</v>
      </c>
      <c r="CW89" s="25" t="s">
        <v>460</v>
      </c>
      <c r="CX89" s="25" t="s">
        <v>461</v>
      </c>
      <c r="CY89" s="165">
        <v>44963.10833333333</v>
      </c>
      <c r="CZ89" s="25" t="s">
        <v>430</v>
      </c>
      <c r="DA89" s="25" t="s">
        <v>430</v>
      </c>
      <c r="DB89" s="25">
        <v>29.934000000000001</v>
      </c>
      <c r="DC89" s="25" t="s">
        <v>430</v>
      </c>
      <c r="DD89" s="25" t="s">
        <v>500</v>
      </c>
      <c r="DE89" s="25" t="s">
        <v>430</v>
      </c>
      <c r="DF89" s="25" t="s">
        <v>430</v>
      </c>
      <c r="DG89" s="25" t="s">
        <v>462</v>
      </c>
      <c r="DH89" s="25" t="s">
        <v>431</v>
      </c>
      <c r="DI89" s="25" t="s">
        <v>473</v>
      </c>
      <c r="DJ89" s="25" t="s">
        <v>430</v>
      </c>
      <c r="DK89" s="25" t="s">
        <v>430</v>
      </c>
      <c r="DL89" s="25" t="s">
        <v>464</v>
      </c>
      <c r="DM89" s="25" t="s">
        <v>430</v>
      </c>
      <c r="DN89" s="25" t="s">
        <v>430</v>
      </c>
      <c r="DO89" s="25" t="s">
        <v>434</v>
      </c>
      <c r="DP89" s="25" t="s">
        <v>430</v>
      </c>
      <c r="DQ89" s="25" t="s">
        <v>430</v>
      </c>
      <c r="DR89" s="25" t="s">
        <v>465</v>
      </c>
      <c r="DS89" s="25" t="s">
        <v>466</v>
      </c>
      <c r="DT89" s="25" t="s">
        <v>466</v>
      </c>
      <c r="DU89" s="25" t="s">
        <v>431</v>
      </c>
      <c r="DV89" s="25">
        <v>1</v>
      </c>
      <c r="DW89" s="166">
        <v>16011509</v>
      </c>
      <c r="DX89" s="25">
        <v>4</v>
      </c>
      <c r="DY89" s="25">
        <v>43</v>
      </c>
      <c r="DZ89" s="166">
        <v>1022916</v>
      </c>
      <c r="EA89" s="25">
        <v>2</v>
      </c>
      <c r="EB89" s="25">
        <v>1</v>
      </c>
      <c r="EC89" s="25">
        <v>40</v>
      </c>
      <c r="ED89" s="25">
        <v>0</v>
      </c>
      <c r="EE89" s="25">
        <v>2</v>
      </c>
      <c r="EF89" s="25">
        <v>2</v>
      </c>
      <c r="EG89" s="25">
        <v>5</v>
      </c>
      <c r="EH89" s="25">
        <v>7</v>
      </c>
      <c r="EI89" s="25">
        <v>76</v>
      </c>
      <c r="EJ89" s="25">
        <v>0</v>
      </c>
      <c r="EK89" s="25">
        <v>0</v>
      </c>
      <c r="EL89" s="25">
        <v>2</v>
      </c>
      <c r="EM89" s="25">
        <v>5</v>
      </c>
      <c r="EN89" s="25">
        <v>1</v>
      </c>
      <c r="EO89" s="25">
        <v>1</v>
      </c>
      <c r="EP89" s="25">
        <v>1</v>
      </c>
      <c r="EQ89" s="25">
        <v>1</v>
      </c>
      <c r="ER89" s="25">
        <v>65</v>
      </c>
      <c r="ES89" s="25">
        <v>1</v>
      </c>
      <c r="ET89" s="25">
        <v>2</v>
      </c>
      <c r="EU89" s="25">
        <v>0</v>
      </c>
      <c r="EV89" s="25" t="s">
        <v>257</v>
      </c>
    </row>
    <row r="90" spans="12:152" x14ac:dyDescent="0.25">
      <c r="L90" s="25">
        <v>46.245666999999997</v>
      </c>
      <c r="M90" s="25">
        <v>-100.648933</v>
      </c>
      <c r="N90" s="25" t="s">
        <v>24</v>
      </c>
      <c r="O90" s="25">
        <v>2016</v>
      </c>
      <c r="P90" s="25" t="s">
        <v>427</v>
      </c>
      <c r="Q90" s="25" t="s">
        <v>428</v>
      </c>
      <c r="R90" s="25" t="s">
        <v>429</v>
      </c>
      <c r="S90" s="25" t="s">
        <v>430</v>
      </c>
      <c r="T90" s="25" t="s">
        <v>430</v>
      </c>
      <c r="U90" s="25" t="s">
        <v>431</v>
      </c>
      <c r="V90" s="25" t="s">
        <v>432</v>
      </c>
      <c r="W90" s="25" t="s">
        <v>433</v>
      </c>
      <c r="X90" s="25" t="s">
        <v>483</v>
      </c>
      <c r="Y90" s="25" t="s">
        <v>430</v>
      </c>
      <c r="Z90" s="25" t="s">
        <v>430</v>
      </c>
      <c r="AA90" s="25">
        <v>54</v>
      </c>
      <c r="AB90" s="25" t="s">
        <v>435</v>
      </c>
      <c r="AC90" s="25" t="s">
        <v>436</v>
      </c>
      <c r="AD90" s="25" t="s">
        <v>430</v>
      </c>
      <c r="AE90" s="25" t="s">
        <v>430</v>
      </c>
      <c r="AF90" s="25" t="s">
        <v>437</v>
      </c>
      <c r="AG90" s="164">
        <v>42521</v>
      </c>
      <c r="AH90" s="25" t="s">
        <v>568</v>
      </c>
      <c r="AI90" s="25" t="s">
        <v>439</v>
      </c>
      <c r="AJ90" s="165">
        <v>44963.291666666664</v>
      </c>
      <c r="AK90" s="25" t="s">
        <v>440</v>
      </c>
      <c r="AL90" s="25" t="s">
        <v>441</v>
      </c>
      <c r="AM90" s="164">
        <v>42721</v>
      </c>
      <c r="AN90" s="164">
        <v>42521</v>
      </c>
      <c r="AO90" s="25" t="s">
        <v>141</v>
      </c>
      <c r="AP90" s="25" t="s">
        <v>430</v>
      </c>
      <c r="AQ90" s="25" t="s">
        <v>430</v>
      </c>
      <c r="AR90" s="25" t="s">
        <v>429</v>
      </c>
      <c r="AS90" s="25" t="s">
        <v>430</v>
      </c>
      <c r="AT90" s="25" t="s">
        <v>430</v>
      </c>
      <c r="AU90" s="25" t="s">
        <v>430</v>
      </c>
      <c r="AV90" s="25" t="s">
        <v>430</v>
      </c>
      <c r="AW90" s="25" t="s">
        <v>443</v>
      </c>
      <c r="AX90" s="25" t="s">
        <v>444</v>
      </c>
      <c r="AY90" s="25" t="s">
        <v>430</v>
      </c>
      <c r="AZ90" s="25" t="s">
        <v>430</v>
      </c>
      <c r="BA90" s="25" t="s">
        <v>430</v>
      </c>
      <c r="BB90" s="25" t="s">
        <v>430</v>
      </c>
      <c r="BC90" s="25" t="s">
        <v>430</v>
      </c>
      <c r="BD90" s="25">
        <v>21</v>
      </c>
      <c r="BE90" s="25">
        <v>24</v>
      </c>
      <c r="BF90" s="25" t="s">
        <v>430</v>
      </c>
      <c r="BG90" s="25" t="s">
        <v>430</v>
      </c>
      <c r="BH90" s="25" t="s">
        <v>445</v>
      </c>
      <c r="BI90" s="25" t="s">
        <v>446</v>
      </c>
      <c r="BJ90" s="25" t="s">
        <v>447</v>
      </c>
      <c r="BK90" s="25" t="s">
        <v>448</v>
      </c>
      <c r="BL90" s="25" t="s">
        <v>444</v>
      </c>
      <c r="BM90" s="25" t="s">
        <v>430</v>
      </c>
      <c r="BN90" s="25" t="s">
        <v>430</v>
      </c>
      <c r="BO90" s="25" t="s">
        <v>430</v>
      </c>
      <c r="BP90" s="25" t="s">
        <v>434</v>
      </c>
      <c r="BQ90" s="25" t="s">
        <v>449</v>
      </c>
      <c r="BR90" s="25" t="s">
        <v>450</v>
      </c>
      <c r="BS90" s="25" t="s">
        <v>430</v>
      </c>
      <c r="BT90" s="25">
        <v>23</v>
      </c>
      <c r="BU90" s="25" t="s">
        <v>430</v>
      </c>
      <c r="BV90" s="25" t="s">
        <v>430</v>
      </c>
      <c r="BW90" s="25" t="s">
        <v>588</v>
      </c>
      <c r="BX90" s="25" t="s">
        <v>430</v>
      </c>
      <c r="BY90" s="25" t="s">
        <v>430</v>
      </c>
      <c r="BZ90" s="25" t="s">
        <v>493</v>
      </c>
      <c r="CA90" s="25" t="s">
        <v>430</v>
      </c>
      <c r="CB90" s="25" t="s">
        <v>430</v>
      </c>
      <c r="CC90" s="25" t="s">
        <v>481</v>
      </c>
      <c r="CD90" s="25" t="s">
        <v>430</v>
      </c>
      <c r="CE90" s="25" t="s">
        <v>430</v>
      </c>
      <c r="CF90" s="25" t="s">
        <v>441</v>
      </c>
      <c r="CG90" s="25" t="s">
        <v>430</v>
      </c>
      <c r="CH90" s="25" t="s">
        <v>452</v>
      </c>
      <c r="CI90" s="25" t="s">
        <v>453</v>
      </c>
      <c r="CJ90" s="25" t="s">
        <v>454</v>
      </c>
      <c r="CK90" s="25" t="s">
        <v>455</v>
      </c>
      <c r="CL90" s="25" t="s">
        <v>472</v>
      </c>
      <c r="CM90" s="25" t="s">
        <v>430</v>
      </c>
      <c r="CN90" s="25" t="s">
        <v>457</v>
      </c>
      <c r="CO90" s="25" t="s">
        <v>430</v>
      </c>
      <c r="CP90" s="25" t="s">
        <v>430</v>
      </c>
      <c r="CQ90" s="25">
        <v>7</v>
      </c>
      <c r="CR90" s="25" t="s">
        <v>431</v>
      </c>
      <c r="CS90" s="25" t="s">
        <v>430</v>
      </c>
      <c r="CT90" s="25" t="s">
        <v>430</v>
      </c>
      <c r="CU90" s="25" t="s">
        <v>430</v>
      </c>
      <c r="CV90" s="25" t="s">
        <v>430</v>
      </c>
      <c r="CW90" s="25" t="s">
        <v>460</v>
      </c>
      <c r="CX90" s="25" t="s">
        <v>461</v>
      </c>
      <c r="CY90" s="165">
        <v>44963.292361111111</v>
      </c>
      <c r="CZ90" s="25" t="s">
        <v>430</v>
      </c>
      <c r="DA90" s="25" t="s">
        <v>430</v>
      </c>
      <c r="DB90" s="25">
        <v>21</v>
      </c>
      <c r="DC90" s="25" t="s">
        <v>430</v>
      </c>
      <c r="DD90" s="25" t="s">
        <v>434</v>
      </c>
      <c r="DE90" s="25" t="s">
        <v>430</v>
      </c>
      <c r="DF90" s="25" t="s">
        <v>430</v>
      </c>
      <c r="DG90" s="25" t="s">
        <v>462</v>
      </c>
      <c r="DH90" s="25" t="s">
        <v>431</v>
      </c>
      <c r="DI90" s="25" t="s">
        <v>463</v>
      </c>
      <c r="DJ90" s="25" t="s">
        <v>430</v>
      </c>
      <c r="DK90" s="25" t="s">
        <v>430</v>
      </c>
      <c r="DL90" s="25" t="s">
        <v>585</v>
      </c>
      <c r="DM90" s="25" t="s">
        <v>430</v>
      </c>
      <c r="DN90" s="25" t="s">
        <v>430</v>
      </c>
      <c r="DO90" s="25" t="s">
        <v>434</v>
      </c>
      <c r="DP90" s="25" t="s">
        <v>430</v>
      </c>
      <c r="DQ90" s="25" t="s">
        <v>430</v>
      </c>
      <c r="DR90" s="25" t="s">
        <v>465</v>
      </c>
      <c r="DS90" s="25" t="s">
        <v>466</v>
      </c>
      <c r="DT90" s="25" t="s">
        <v>466</v>
      </c>
      <c r="DU90" s="25" t="s">
        <v>431</v>
      </c>
      <c r="DV90" s="25">
        <v>1</v>
      </c>
      <c r="DW90" s="166">
        <v>16073749</v>
      </c>
      <c r="DX90" s="25">
        <v>4</v>
      </c>
      <c r="DY90" s="25">
        <v>43</v>
      </c>
      <c r="DZ90" s="166">
        <v>1023829</v>
      </c>
      <c r="EA90" s="25">
        <v>3</v>
      </c>
      <c r="EB90" s="25">
        <v>1</v>
      </c>
      <c r="EC90" s="25">
        <v>20</v>
      </c>
      <c r="ED90" s="25">
        <v>6</v>
      </c>
      <c r="EE90" s="25">
        <v>2</v>
      </c>
      <c r="EF90" s="25">
        <v>1</v>
      </c>
      <c r="EG90" s="25">
        <v>1</v>
      </c>
      <c r="EH90" s="25">
        <v>7</v>
      </c>
      <c r="EI90" s="25">
        <v>93</v>
      </c>
      <c r="EJ90" s="25">
        <v>0</v>
      </c>
      <c r="EK90" s="25">
        <v>0</v>
      </c>
      <c r="EL90" s="25">
        <v>1</v>
      </c>
      <c r="EM90" s="25">
        <v>0</v>
      </c>
      <c r="EN90" s="25">
        <v>1</v>
      </c>
      <c r="EO90" s="25">
        <v>1</v>
      </c>
      <c r="EP90" s="25">
        <v>1</v>
      </c>
      <c r="EQ90" s="25">
        <v>1</v>
      </c>
      <c r="ER90" s="25">
        <v>65</v>
      </c>
      <c r="ES90" s="25">
        <v>1</v>
      </c>
      <c r="ET90" s="25">
        <v>2</v>
      </c>
      <c r="EU90" s="25">
        <v>0</v>
      </c>
      <c r="EV90" s="25" t="s">
        <v>257</v>
      </c>
    </row>
    <row r="91" spans="12:152" x14ac:dyDescent="0.25">
      <c r="L91" s="25">
        <v>46.168900999999998</v>
      </c>
      <c r="M91" s="25">
        <v>-100.683211</v>
      </c>
      <c r="N91" s="25" t="s">
        <v>587</v>
      </c>
      <c r="O91" s="25">
        <v>2016</v>
      </c>
      <c r="P91" s="25" t="s">
        <v>427</v>
      </c>
      <c r="Q91" s="25" t="s">
        <v>428</v>
      </c>
      <c r="R91" s="25" t="s">
        <v>504</v>
      </c>
      <c r="S91" s="25" t="s">
        <v>430</v>
      </c>
      <c r="T91" s="25" t="s">
        <v>430</v>
      </c>
      <c r="U91" s="25" t="s">
        <v>431</v>
      </c>
      <c r="V91" s="25" t="s">
        <v>432</v>
      </c>
      <c r="W91" s="25" t="s">
        <v>433</v>
      </c>
      <c r="X91" s="25" t="s">
        <v>560</v>
      </c>
      <c r="Y91" s="25" t="s">
        <v>430</v>
      </c>
      <c r="Z91" s="25" t="s">
        <v>430</v>
      </c>
      <c r="AA91" s="25">
        <v>54</v>
      </c>
      <c r="AB91" s="25" t="s">
        <v>435</v>
      </c>
      <c r="AC91" s="25" t="s">
        <v>560</v>
      </c>
      <c r="AD91" s="25" t="s">
        <v>430</v>
      </c>
      <c r="AE91" s="25" t="s">
        <v>430</v>
      </c>
      <c r="AF91" s="25" t="s">
        <v>437</v>
      </c>
      <c r="AG91" s="164">
        <v>42646</v>
      </c>
      <c r="AH91" s="25" t="s">
        <v>438</v>
      </c>
      <c r="AI91" s="25" t="s">
        <v>439</v>
      </c>
      <c r="AJ91" s="165">
        <v>44963.95416666667</v>
      </c>
      <c r="AK91" s="25" t="s">
        <v>440</v>
      </c>
      <c r="AL91" s="25" t="s">
        <v>441</v>
      </c>
      <c r="AM91" s="164">
        <v>42774</v>
      </c>
      <c r="AN91" s="164">
        <v>42646</v>
      </c>
      <c r="AO91" s="25" t="s">
        <v>141</v>
      </c>
      <c r="AP91" s="25" t="s">
        <v>430</v>
      </c>
      <c r="AQ91" s="25" t="s">
        <v>430</v>
      </c>
      <c r="AR91" s="25" t="s">
        <v>442</v>
      </c>
      <c r="AS91" s="25" t="s">
        <v>430</v>
      </c>
      <c r="AT91" s="25" t="s">
        <v>430</v>
      </c>
      <c r="AU91" s="25" t="s">
        <v>430</v>
      </c>
      <c r="AV91" s="25" t="s">
        <v>430</v>
      </c>
      <c r="AW91" s="25" t="s">
        <v>443</v>
      </c>
      <c r="AX91" s="25" t="s">
        <v>577</v>
      </c>
      <c r="AY91" s="25" t="s">
        <v>430</v>
      </c>
      <c r="AZ91" s="25" t="s">
        <v>430</v>
      </c>
      <c r="BA91" s="25" t="s">
        <v>430</v>
      </c>
      <c r="BB91" s="25" t="s">
        <v>430</v>
      </c>
      <c r="BC91" s="25" t="s">
        <v>430</v>
      </c>
      <c r="BD91" s="25">
        <v>15.14</v>
      </c>
      <c r="BE91" s="25">
        <v>24</v>
      </c>
      <c r="BF91" s="25" t="s">
        <v>430</v>
      </c>
      <c r="BG91" s="25" t="s">
        <v>430</v>
      </c>
      <c r="BH91" s="25" t="s">
        <v>445</v>
      </c>
      <c r="BI91" s="25" t="s">
        <v>446</v>
      </c>
      <c r="BJ91" s="25" t="s">
        <v>479</v>
      </c>
      <c r="BK91" s="25" t="s">
        <v>448</v>
      </c>
      <c r="BL91" s="25" t="s">
        <v>577</v>
      </c>
      <c r="BM91" s="25" t="s">
        <v>430</v>
      </c>
      <c r="BN91" s="25" t="s">
        <v>430</v>
      </c>
      <c r="BO91" s="25" t="s">
        <v>430</v>
      </c>
      <c r="BP91" s="25" t="s">
        <v>434</v>
      </c>
      <c r="BQ91" s="25" t="s">
        <v>449</v>
      </c>
      <c r="BR91" s="25" t="s">
        <v>450</v>
      </c>
      <c r="BS91" s="25" t="s">
        <v>430</v>
      </c>
      <c r="BT91" s="25">
        <v>27</v>
      </c>
      <c r="BU91" s="25" t="s">
        <v>430</v>
      </c>
      <c r="BV91" s="25" t="s">
        <v>430</v>
      </c>
      <c r="BW91" s="25" t="s">
        <v>589</v>
      </c>
      <c r="BX91" s="25" t="s">
        <v>430</v>
      </c>
      <c r="BY91" s="25" t="s">
        <v>430</v>
      </c>
      <c r="BZ91" s="25" t="s">
        <v>433</v>
      </c>
      <c r="CA91" s="25" t="s">
        <v>430</v>
      </c>
      <c r="CB91" s="25" t="s">
        <v>430</v>
      </c>
      <c r="CC91" s="25" t="s">
        <v>590</v>
      </c>
      <c r="CD91" s="25" t="s">
        <v>430</v>
      </c>
      <c r="CE91" s="25" t="s">
        <v>430</v>
      </c>
      <c r="CF91" s="25" t="s">
        <v>441</v>
      </c>
      <c r="CG91" s="25" t="s">
        <v>430</v>
      </c>
      <c r="CH91" s="25" t="s">
        <v>452</v>
      </c>
      <c r="CI91" s="25" t="s">
        <v>516</v>
      </c>
      <c r="CJ91" s="25" t="s">
        <v>454</v>
      </c>
      <c r="CK91" s="25" t="s">
        <v>455</v>
      </c>
      <c r="CL91" s="25" t="s">
        <v>556</v>
      </c>
      <c r="CM91" s="25" t="s">
        <v>430</v>
      </c>
      <c r="CN91" s="25" t="s">
        <v>457</v>
      </c>
      <c r="CO91" s="25" t="s">
        <v>430</v>
      </c>
      <c r="CP91" s="25" t="s">
        <v>430</v>
      </c>
      <c r="CQ91" s="25">
        <v>22</v>
      </c>
      <c r="CR91" s="25" t="s">
        <v>431</v>
      </c>
      <c r="CS91" s="25" t="s">
        <v>430</v>
      </c>
      <c r="CT91" s="25" t="s">
        <v>430</v>
      </c>
      <c r="CU91" s="25" t="s">
        <v>430</v>
      </c>
      <c r="CV91" s="25" t="s">
        <v>430</v>
      </c>
      <c r="CW91" s="25" t="s">
        <v>635</v>
      </c>
      <c r="CX91" s="25" t="s">
        <v>461</v>
      </c>
      <c r="CY91" s="165">
        <v>44963.954861111109</v>
      </c>
      <c r="CZ91" s="25" t="s">
        <v>430</v>
      </c>
      <c r="DA91" s="25" t="s">
        <v>430</v>
      </c>
      <c r="DB91" s="25">
        <v>15.14</v>
      </c>
      <c r="DC91" s="25" t="s">
        <v>430</v>
      </c>
      <c r="DD91" s="25" t="s">
        <v>434</v>
      </c>
      <c r="DE91" s="25" t="s">
        <v>430</v>
      </c>
      <c r="DF91" s="25" t="s">
        <v>430</v>
      </c>
      <c r="DG91" s="25" t="s">
        <v>462</v>
      </c>
      <c r="DH91" s="25" t="s">
        <v>431</v>
      </c>
      <c r="DI91" s="25" t="s">
        <v>473</v>
      </c>
      <c r="DJ91" s="25" t="s">
        <v>430</v>
      </c>
      <c r="DK91" s="25" t="s">
        <v>430</v>
      </c>
      <c r="DL91" s="25" t="s">
        <v>474</v>
      </c>
      <c r="DM91" s="25" t="s">
        <v>430</v>
      </c>
      <c r="DN91" s="25" t="s">
        <v>430</v>
      </c>
      <c r="DO91" s="25" t="s">
        <v>434</v>
      </c>
      <c r="DP91" s="25" t="s">
        <v>430</v>
      </c>
      <c r="DQ91" s="25" t="s">
        <v>430</v>
      </c>
      <c r="DR91" s="25" t="s">
        <v>650</v>
      </c>
      <c r="DS91" s="25" t="s">
        <v>466</v>
      </c>
      <c r="DT91" s="25" t="s">
        <v>466</v>
      </c>
      <c r="DU91" s="25" t="s">
        <v>431</v>
      </c>
      <c r="DV91" s="25">
        <v>1</v>
      </c>
      <c r="DW91" s="166">
        <v>16135603</v>
      </c>
      <c r="DX91" s="25">
        <v>4</v>
      </c>
      <c r="DY91" s="25">
        <v>43</v>
      </c>
      <c r="DZ91" s="166">
        <v>1028632</v>
      </c>
      <c r="EA91" s="25">
        <v>5</v>
      </c>
      <c r="EB91" s="25">
        <v>1</v>
      </c>
      <c r="EC91" s="25">
        <v>44</v>
      </c>
      <c r="ED91" s="25">
        <v>6</v>
      </c>
      <c r="EE91" s="25">
        <v>2</v>
      </c>
      <c r="EF91" s="25">
        <v>1</v>
      </c>
      <c r="EG91" s="25">
        <v>5</v>
      </c>
      <c r="EH91" s="25">
        <v>7</v>
      </c>
      <c r="EI91" s="25">
        <v>104</v>
      </c>
      <c r="EJ91" s="25">
        <v>0</v>
      </c>
      <c r="EK91" s="25">
        <v>0</v>
      </c>
      <c r="EL91" s="25">
        <v>1</v>
      </c>
      <c r="EM91" s="25">
        <v>1</v>
      </c>
      <c r="EN91" s="25">
        <v>1</v>
      </c>
      <c r="EO91" s="25">
        <v>1</v>
      </c>
      <c r="EP91" s="25">
        <v>5</v>
      </c>
      <c r="EQ91" s="25">
        <v>1</v>
      </c>
      <c r="ER91" s="25">
        <v>65</v>
      </c>
      <c r="ES91" s="25">
        <v>2</v>
      </c>
      <c r="ET91" s="25">
        <v>2</v>
      </c>
      <c r="EU91" s="25">
        <v>3</v>
      </c>
      <c r="EV91" s="25" t="s">
        <v>257</v>
      </c>
    </row>
    <row r="92" spans="12:152" x14ac:dyDescent="0.25">
      <c r="L92" s="25">
        <v>46.169497999999997</v>
      </c>
      <c r="M92" s="25">
        <v>-100.68298900000001</v>
      </c>
      <c r="N92" s="25" t="s">
        <v>475</v>
      </c>
      <c r="O92" s="25">
        <v>2016</v>
      </c>
      <c r="P92" s="25" t="s">
        <v>427</v>
      </c>
      <c r="Q92" s="25" t="s">
        <v>428</v>
      </c>
      <c r="R92" s="25" t="s">
        <v>429</v>
      </c>
      <c r="S92" s="25" t="s">
        <v>430</v>
      </c>
      <c r="T92" s="25" t="s">
        <v>430</v>
      </c>
      <c r="U92" s="25" t="s">
        <v>431</v>
      </c>
      <c r="V92" s="25" t="s">
        <v>432</v>
      </c>
      <c r="W92" s="25" t="s">
        <v>433</v>
      </c>
      <c r="X92" s="25" t="s">
        <v>434</v>
      </c>
      <c r="Y92" s="25" t="s">
        <v>430</v>
      </c>
      <c r="Z92" s="25" t="s">
        <v>430</v>
      </c>
      <c r="AA92" s="25">
        <v>54</v>
      </c>
      <c r="AB92" s="25" t="s">
        <v>435</v>
      </c>
      <c r="AC92" s="25" t="s">
        <v>436</v>
      </c>
      <c r="AD92" s="25" t="s">
        <v>430</v>
      </c>
      <c r="AE92" s="25" t="s">
        <v>430</v>
      </c>
      <c r="AF92" s="25" t="s">
        <v>437</v>
      </c>
      <c r="AG92" s="164">
        <v>42662</v>
      </c>
      <c r="AH92" s="25" t="s">
        <v>572</v>
      </c>
      <c r="AI92" s="25" t="s">
        <v>439</v>
      </c>
      <c r="AJ92" s="165">
        <v>44963.838888888888</v>
      </c>
      <c r="AK92" s="25" t="s">
        <v>440</v>
      </c>
      <c r="AL92" s="25" t="s">
        <v>441</v>
      </c>
      <c r="AM92" s="164">
        <v>42775</v>
      </c>
      <c r="AN92" s="164">
        <v>42662</v>
      </c>
      <c r="AO92" s="25" t="s">
        <v>141</v>
      </c>
      <c r="AP92" s="25" t="s">
        <v>430</v>
      </c>
      <c r="AQ92" s="25" t="s">
        <v>430</v>
      </c>
      <c r="AR92" s="25" t="s">
        <v>442</v>
      </c>
      <c r="AS92" s="25" t="s">
        <v>430</v>
      </c>
      <c r="AT92" s="25" t="s">
        <v>430</v>
      </c>
      <c r="AU92" s="25" t="s">
        <v>430</v>
      </c>
      <c r="AV92" s="25" t="s">
        <v>430</v>
      </c>
      <c r="AW92" s="25" t="s">
        <v>443</v>
      </c>
      <c r="AX92" s="25" t="s">
        <v>444</v>
      </c>
      <c r="AY92" s="25" t="s">
        <v>430</v>
      </c>
      <c r="AZ92" s="25" t="s">
        <v>430</v>
      </c>
      <c r="BA92" s="25" t="s">
        <v>430</v>
      </c>
      <c r="BB92" s="25" t="s">
        <v>430</v>
      </c>
      <c r="BC92" s="25" t="s">
        <v>430</v>
      </c>
      <c r="BD92" s="25">
        <v>15.18</v>
      </c>
      <c r="BE92" s="25">
        <v>24</v>
      </c>
      <c r="BF92" s="25" t="s">
        <v>430</v>
      </c>
      <c r="BG92" s="25" t="s">
        <v>430</v>
      </c>
      <c r="BH92" s="25" t="s">
        <v>445</v>
      </c>
      <c r="BI92" s="25" t="s">
        <v>446</v>
      </c>
      <c r="BJ92" s="25" t="s">
        <v>479</v>
      </c>
      <c r="BK92" s="25" t="s">
        <v>448</v>
      </c>
      <c r="BL92" s="25" t="s">
        <v>444</v>
      </c>
      <c r="BM92" s="25" t="s">
        <v>430</v>
      </c>
      <c r="BN92" s="25" t="s">
        <v>430</v>
      </c>
      <c r="BO92" s="25" t="s">
        <v>430</v>
      </c>
      <c r="BP92" s="25" t="s">
        <v>434</v>
      </c>
      <c r="BQ92" s="25" t="s">
        <v>449</v>
      </c>
      <c r="BR92" s="25" t="s">
        <v>450</v>
      </c>
      <c r="BS92" s="25" t="s">
        <v>430</v>
      </c>
      <c r="BT92" s="25" t="s">
        <v>430</v>
      </c>
      <c r="BU92" s="25" t="s">
        <v>430</v>
      </c>
      <c r="BV92" s="25" t="s">
        <v>430</v>
      </c>
      <c r="BW92" s="25" t="s">
        <v>430</v>
      </c>
      <c r="BX92" s="25" t="s">
        <v>430</v>
      </c>
      <c r="BY92" s="25" t="s">
        <v>430</v>
      </c>
      <c r="BZ92" s="25" t="s">
        <v>451</v>
      </c>
      <c r="CA92" s="25" t="s">
        <v>430</v>
      </c>
      <c r="CB92" s="25" t="s">
        <v>430</v>
      </c>
      <c r="CC92" s="25" t="s">
        <v>430</v>
      </c>
      <c r="CD92" s="25" t="s">
        <v>430</v>
      </c>
      <c r="CE92" s="25" t="s">
        <v>430</v>
      </c>
      <c r="CF92" s="25" t="s">
        <v>441</v>
      </c>
      <c r="CG92" s="25" t="s">
        <v>430</v>
      </c>
      <c r="CH92" s="25" t="s">
        <v>452</v>
      </c>
      <c r="CI92" s="25" t="s">
        <v>516</v>
      </c>
      <c r="CJ92" s="25" t="s">
        <v>454</v>
      </c>
      <c r="CK92" s="25" t="s">
        <v>455</v>
      </c>
      <c r="CL92" s="25" t="s">
        <v>630</v>
      </c>
      <c r="CM92" s="25" t="s">
        <v>430</v>
      </c>
      <c r="CN92" s="25" t="s">
        <v>457</v>
      </c>
      <c r="CO92" s="25" t="s">
        <v>430</v>
      </c>
      <c r="CP92" s="25" t="s">
        <v>430</v>
      </c>
      <c r="CQ92" s="25">
        <v>20</v>
      </c>
      <c r="CR92" s="25" t="s">
        <v>431</v>
      </c>
      <c r="CS92" s="25" t="s">
        <v>430</v>
      </c>
      <c r="CT92" s="25" t="s">
        <v>430</v>
      </c>
      <c r="CU92" s="25" t="s">
        <v>430</v>
      </c>
      <c r="CV92" s="25" t="s">
        <v>430</v>
      </c>
      <c r="CW92" s="25" t="s">
        <v>460</v>
      </c>
      <c r="CX92" s="25" t="s">
        <v>461</v>
      </c>
      <c r="CY92" s="165">
        <v>44963.839583333334</v>
      </c>
      <c r="CZ92" s="25" t="s">
        <v>430</v>
      </c>
      <c r="DA92" s="25" t="s">
        <v>430</v>
      </c>
      <c r="DB92" s="25">
        <v>15.18</v>
      </c>
      <c r="DC92" s="25" t="s">
        <v>430</v>
      </c>
      <c r="DD92" s="25" t="s">
        <v>434</v>
      </c>
      <c r="DE92" s="25" t="s">
        <v>430</v>
      </c>
      <c r="DF92" s="25" t="s">
        <v>430</v>
      </c>
      <c r="DG92" s="25" t="s">
        <v>462</v>
      </c>
      <c r="DH92" s="25" t="s">
        <v>431</v>
      </c>
      <c r="DI92" s="25" t="s">
        <v>463</v>
      </c>
      <c r="DJ92" s="25" t="s">
        <v>430</v>
      </c>
      <c r="DK92" s="25" t="s">
        <v>430</v>
      </c>
      <c r="DL92" s="25" t="s">
        <v>464</v>
      </c>
      <c r="DM92" s="25" t="s">
        <v>430</v>
      </c>
      <c r="DN92" s="25" t="s">
        <v>430</v>
      </c>
      <c r="DO92" s="25" t="s">
        <v>434</v>
      </c>
      <c r="DP92" s="25" t="s">
        <v>430</v>
      </c>
      <c r="DQ92" s="25" t="s">
        <v>430</v>
      </c>
      <c r="DR92" s="25" t="s">
        <v>465</v>
      </c>
      <c r="DS92" s="25" t="s">
        <v>466</v>
      </c>
      <c r="DT92" s="25" t="s">
        <v>466</v>
      </c>
      <c r="DU92" s="25" t="s">
        <v>431</v>
      </c>
      <c r="DV92" s="25">
        <v>1</v>
      </c>
      <c r="DW92" s="166">
        <v>16143301</v>
      </c>
      <c r="DX92" s="25">
        <v>4</v>
      </c>
      <c r="DY92" s="25">
        <v>43</v>
      </c>
      <c r="DZ92" s="166">
        <v>1028753</v>
      </c>
      <c r="EA92" s="25">
        <v>4</v>
      </c>
      <c r="EB92" s="25">
        <v>1</v>
      </c>
      <c r="EC92" s="25">
        <v>20</v>
      </c>
      <c r="ED92" s="25">
        <v>6</v>
      </c>
      <c r="EE92" s="25">
        <v>2</v>
      </c>
      <c r="EF92" s="25">
        <v>1</v>
      </c>
      <c r="EG92" s="25">
        <v>5</v>
      </c>
      <c r="EH92" s="25">
        <v>7</v>
      </c>
      <c r="EI92" s="25">
        <v>109</v>
      </c>
      <c r="EJ92" s="25">
        <v>0</v>
      </c>
      <c r="EK92" s="25">
        <v>0</v>
      </c>
      <c r="EL92" s="25">
        <v>1</v>
      </c>
      <c r="EM92" s="25">
        <v>1</v>
      </c>
      <c r="EN92" s="25">
        <v>1</v>
      </c>
      <c r="EO92" s="25">
        <v>1</v>
      </c>
      <c r="EP92" s="25">
        <v>4</v>
      </c>
      <c r="EQ92" s="25">
        <v>1</v>
      </c>
      <c r="ER92" s="25">
        <v>65</v>
      </c>
      <c r="ES92" s="25">
        <v>1</v>
      </c>
      <c r="ET92" s="25">
        <v>2</v>
      </c>
      <c r="EU92" s="25">
        <v>0</v>
      </c>
      <c r="EV92" s="25" t="s">
        <v>257</v>
      </c>
    </row>
    <row r="93" spans="12:152" x14ac:dyDescent="0.25">
      <c r="L93" s="25">
        <v>46.202176000000001</v>
      </c>
      <c r="M93" s="25">
        <v>-100.648888</v>
      </c>
      <c r="N93" s="25" t="s">
        <v>512</v>
      </c>
      <c r="O93" s="25">
        <v>2016</v>
      </c>
      <c r="P93" s="25" t="s">
        <v>427</v>
      </c>
      <c r="Q93" s="25" t="s">
        <v>428</v>
      </c>
      <c r="R93" s="25" t="s">
        <v>482</v>
      </c>
      <c r="S93" s="25" t="s">
        <v>430</v>
      </c>
      <c r="T93" s="25" t="s">
        <v>430</v>
      </c>
      <c r="U93" s="25" t="s">
        <v>431</v>
      </c>
      <c r="V93" s="25" t="s">
        <v>432</v>
      </c>
      <c r="W93" s="25" t="s">
        <v>433</v>
      </c>
      <c r="X93" s="25" t="s">
        <v>434</v>
      </c>
      <c r="Y93" s="25" t="s">
        <v>430</v>
      </c>
      <c r="Z93" s="25" t="s">
        <v>430</v>
      </c>
      <c r="AA93" s="25">
        <v>54</v>
      </c>
      <c r="AB93" s="25" t="s">
        <v>435</v>
      </c>
      <c r="AC93" s="25" t="s">
        <v>436</v>
      </c>
      <c r="AD93" s="25" t="s">
        <v>430</v>
      </c>
      <c r="AE93" s="25" t="s">
        <v>430</v>
      </c>
      <c r="AF93" s="25" t="s">
        <v>437</v>
      </c>
      <c r="AG93" s="164">
        <v>42692</v>
      </c>
      <c r="AH93" s="25" t="s">
        <v>515</v>
      </c>
      <c r="AI93" s="25" t="s">
        <v>439</v>
      </c>
      <c r="AJ93" s="165">
        <v>44963.997916666667</v>
      </c>
      <c r="AK93" s="25" t="s">
        <v>440</v>
      </c>
      <c r="AL93" s="25" t="s">
        <v>441</v>
      </c>
      <c r="AM93" s="164">
        <v>42831</v>
      </c>
      <c r="AN93" s="164">
        <v>42692</v>
      </c>
      <c r="AO93" s="25" t="s">
        <v>141</v>
      </c>
      <c r="AP93" s="25" t="s">
        <v>430</v>
      </c>
      <c r="AQ93" s="25" t="s">
        <v>430</v>
      </c>
      <c r="AR93" s="25" t="s">
        <v>442</v>
      </c>
      <c r="AS93" s="25" t="s">
        <v>430</v>
      </c>
      <c r="AT93" s="25" t="s">
        <v>430</v>
      </c>
      <c r="AU93" s="25" t="s">
        <v>430</v>
      </c>
      <c r="AV93" s="25">
        <v>81</v>
      </c>
      <c r="AW93" s="25" t="s">
        <v>443</v>
      </c>
      <c r="AX93" s="25" t="s">
        <v>522</v>
      </c>
      <c r="AY93" s="25" t="s">
        <v>430</v>
      </c>
      <c r="AZ93" s="25" t="s">
        <v>430</v>
      </c>
      <c r="BA93" s="25" t="s">
        <v>430</v>
      </c>
      <c r="BB93" s="25" t="s">
        <v>430</v>
      </c>
      <c r="BC93" s="25" t="s">
        <v>430</v>
      </c>
      <c r="BD93" s="25">
        <v>18</v>
      </c>
      <c r="BE93" s="25">
        <v>24</v>
      </c>
      <c r="BF93" s="25" t="s">
        <v>430</v>
      </c>
      <c r="BG93" s="25" t="s">
        <v>430</v>
      </c>
      <c r="BH93" s="25" t="s">
        <v>445</v>
      </c>
      <c r="BI93" s="25" t="s">
        <v>431</v>
      </c>
      <c r="BJ93" s="25" t="s">
        <v>479</v>
      </c>
      <c r="BK93" s="25" t="s">
        <v>448</v>
      </c>
      <c r="BL93" s="25" t="s">
        <v>522</v>
      </c>
      <c r="BM93" s="25" t="s">
        <v>430</v>
      </c>
      <c r="BN93" s="25" t="s">
        <v>430</v>
      </c>
      <c r="BO93" s="25" t="s">
        <v>430</v>
      </c>
      <c r="BP93" s="25" t="s">
        <v>434</v>
      </c>
      <c r="BQ93" s="25" t="s">
        <v>449</v>
      </c>
      <c r="BR93" s="25" t="s">
        <v>450</v>
      </c>
      <c r="BS93" s="25" t="s">
        <v>430</v>
      </c>
      <c r="BT93" s="25">
        <v>31</v>
      </c>
      <c r="BU93" s="25" t="s">
        <v>430</v>
      </c>
      <c r="BV93" s="25" t="s">
        <v>430</v>
      </c>
      <c r="BW93" s="25" t="s">
        <v>519</v>
      </c>
      <c r="BX93" s="25" t="s">
        <v>430</v>
      </c>
      <c r="BY93" s="25" t="s">
        <v>430</v>
      </c>
      <c r="BZ93" s="25" t="s">
        <v>433</v>
      </c>
      <c r="CA93" s="25" t="s">
        <v>430</v>
      </c>
      <c r="CB93" s="25" t="s">
        <v>430</v>
      </c>
      <c r="CC93" s="25" t="s">
        <v>544</v>
      </c>
      <c r="CD93" s="25" t="s">
        <v>430</v>
      </c>
      <c r="CE93" s="25" t="s">
        <v>430</v>
      </c>
      <c r="CF93" s="25" t="s">
        <v>441</v>
      </c>
      <c r="CG93" s="25" t="s">
        <v>430</v>
      </c>
      <c r="CH93" s="25" t="s">
        <v>452</v>
      </c>
      <c r="CI93" s="25" t="s">
        <v>453</v>
      </c>
      <c r="CJ93" s="25" t="s">
        <v>454</v>
      </c>
      <c r="CK93" s="25" t="s">
        <v>455</v>
      </c>
      <c r="CL93" s="25" t="s">
        <v>472</v>
      </c>
      <c r="CM93" s="25" t="s">
        <v>430</v>
      </c>
      <c r="CN93" s="25" t="s">
        <v>457</v>
      </c>
      <c r="CO93" s="25" t="s">
        <v>430</v>
      </c>
      <c r="CP93" s="25" t="s">
        <v>430</v>
      </c>
      <c r="CQ93" s="25">
        <v>23</v>
      </c>
      <c r="CR93" s="25" t="s">
        <v>431</v>
      </c>
      <c r="CS93" s="25" t="s">
        <v>430</v>
      </c>
      <c r="CT93" s="25" t="s">
        <v>430</v>
      </c>
      <c r="CU93" s="25" t="s">
        <v>430</v>
      </c>
      <c r="CV93" s="25" t="s">
        <v>430</v>
      </c>
      <c r="CW93" s="25" t="s">
        <v>460</v>
      </c>
      <c r="CX93" s="25" t="s">
        <v>461</v>
      </c>
      <c r="CY93" s="165">
        <v>44963.998611111114</v>
      </c>
      <c r="CZ93" s="25" t="s">
        <v>430</v>
      </c>
      <c r="DA93" s="25" t="s">
        <v>430</v>
      </c>
      <c r="DB93" s="25">
        <v>18</v>
      </c>
      <c r="DC93" s="25" t="s">
        <v>430</v>
      </c>
      <c r="DD93" s="25" t="s">
        <v>434</v>
      </c>
      <c r="DE93" s="25" t="s">
        <v>430</v>
      </c>
      <c r="DF93" s="25" t="s">
        <v>430</v>
      </c>
      <c r="DG93" s="25" t="s">
        <v>462</v>
      </c>
      <c r="DH93" s="25" t="s">
        <v>431</v>
      </c>
      <c r="DI93" s="25" t="s">
        <v>473</v>
      </c>
      <c r="DJ93" s="25" t="s">
        <v>430</v>
      </c>
      <c r="DK93" s="25" t="s">
        <v>430</v>
      </c>
      <c r="DL93" s="25" t="s">
        <v>474</v>
      </c>
      <c r="DM93" s="25" t="s">
        <v>430</v>
      </c>
      <c r="DN93" s="25" t="s">
        <v>430</v>
      </c>
      <c r="DO93" s="25" t="s">
        <v>434</v>
      </c>
      <c r="DP93" s="25" t="s">
        <v>430</v>
      </c>
      <c r="DQ93" s="25" t="s">
        <v>430</v>
      </c>
      <c r="DR93" s="25" t="s">
        <v>465</v>
      </c>
      <c r="DS93" s="25" t="s">
        <v>466</v>
      </c>
      <c r="DT93" s="25" t="s">
        <v>466</v>
      </c>
      <c r="DU93" s="25" t="s">
        <v>431</v>
      </c>
      <c r="DV93" s="25">
        <v>1</v>
      </c>
      <c r="DW93" s="166">
        <v>16158058</v>
      </c>
      <c r="DX93" s="25">
        <v>4</v>
      </c>
      <c r="DY93" s="25">
        <v>43</v>
      </c>
      <c r="DZ93" s="166">
        <v>1031761</v>
      </c>
      <c r="EA93" s="25">
        <v>2</v>
      </c>
      <c r="EB93" s="25">
        <v>1</v>
      </c>
      <c r="EC93" s="25">
        <v>6</v>
      </c>
      <c r="ED93" s="25">
        <v>6</v>
      </c>
      <c r="EE93" s="25">
        <v>2</v>
      </c>
      <c r="EF93" s="25">
        <v>1</v>
      </c>
      <c r="EG93" s="25">
        <v>5</v>
      </c>
      <c r="EH93" s="25">
        <v>7</v>
      </c>
      <c r="EI93" s="25">
        <v>115</v>
      </c>
      <c r="EJ93" s="25">
        <v>0</v>
      </c>
      <c r="EK93" s="25">
        <v>0</v>
      </c>
      <c r="EL93" s="25">
        <v>1</v>
      </c>
      <c r="EM93" s="25">
        <v>0</v>
      </c>
      <c r="EN93" s="25">
        <v>1</v>
      </c>
      <c r="EO93" s="25">
        <v>1</v>
      </c>
      <c r="EP93" s="25">
        <v>1</v>
      </c>
      <c r="EQ93" s="25">
        <v>1</v>
      </c>
      <c r="ER93" s="25">
        <v>65</v>
      </c>
      <c r="ES93" s="25">
        <v>1</v>
      </c>
      <c r="ET93" s="25">
        <v>2</v>
      </c>
      <c r="EU93" s="25">
        <v>0</v>
      </c>
      <c r="EV93" s="25" t="s">
        <v>257</v>
      </c>
    </row>
    <row r="94" spans="12:152" x14ac:dyDescent="0.25">
      <c r="L94" s="25">
        <v>46.301219000000003</v>
      </c>
      <c r="M94" s="25">
        <v>-100.635884</v>
      </c>
      <c r="N94" s="25" t="s">
        <v>512</v>
      </c>
      <c r="O94" s="25">
        <v>2016</v>
      </c>
      <c r="P94" s="25" t="s">
        <v>427</v>
      </c>
      <c r="Q94" s="25" t="s">
        <v>428</v>
      </c>
      <c r="R94" s="25" t="s">
        <v>429</v>
      </c>
      <c r="S94" s="25" t="s">
        <v>482</v>
      </c>
      <c r="T94" s="25" t="s">
        <v>430</v>
      </c>
      <c r="U94" s="25" t="s">
        <v>431</v>
      </c>
      <c r="V94" s="25" t="s">
        <v>432</v>
      </c>
      <c r="W94" s="25" t="s">
        <v>433</v>
      </c>
      <c r="X94" s="25" t="s">
        <v>434</v>
      </c>
      <c r="Y94" s="25" t="s">
        <v>434</v>
      </c>
      <c r="Z94" s="25" t="s">
        <v>430</v>
      </c>
      <c r="AA94" s="25">
        <v>360</v>
      </c>
      <c r="AB94" s="25" t="s">
        <v>491</v>
      </c>
      <c r="AC94" s="25" t="s">
        <v>436</v>
      </c>
      <c r="AD94" s="25" t="s">
        <v>436</v>
      </c>
      <c r="AE94" s="25" t="s">
        <v>430</v>
      </c>
      <c r="AF94" s="25" t="s">
        <v>437</v>
      </c>
      <c r="AG94" s="164">
        <v>42705</v>
      </c>
      <c r="AH94" s="25" t="s">
        <v>484</v>
      </c>
      <c r="AI94" s="25" t="s">
        <v>439</v>
      </c>
      <c r="AJ94" s="165">
        <v>44963.902777777781</v>
      </c>
      <c r="AK94" s="25" t="s">
        <v>440</v>
      </c>
      <c r="AL94" s="25" t="s">
        <v>441</v>
      </c>
      <c r="AM94" s="164">
        <v>42837</v>
      </c>
      <c r="AN94" s="164">
        <v>42705</v>
      </c>
      <c r="AO94" s="25" t="s">
        <v>141</v>
      </c>
      <c r="AP94" s="25" t="s">
        <v>141</v>
      </c>
      <c r="AQ94" s="25" t="s">
        <v>430</v>
      </c>
      <c r="AR94" s="25" t="s">
        <v>442</v>
      </c>
      <c r="AS94" s="25" t="s">
        <v>442</v>
      </c>
      <c r="AT94" s="25" t="s">
        <v>430</v>
      </c>
      <c r="AU94" s="25" t="s">
        <v>430</v>
      </c>
      <c r="AV94" s="25" t="s">
        <v>430</v>
      </c>
      <c r="AW94" s="25" t="s">
        <v>443</v>
      </c>
      <c r="AX94" s="25" t="s">
        <v>469</v>
      </c>
      <c r="AY94" s="25" t="s">
        <v>430</v>
      </c>
      <c r="AZ94" s="25" t="s">
        <v>430</v>
      </c>
      <c r="BA94" s="25" t="s">
        <v>430</v>
      </c>
      <c r="BB94" s="25" t="s">
        <v>430</v>
      </c>
      <c r="BC94" s="25" t="s">
        <v>430</v>
      </c>
      <c r="BD94" s="25">
        <v>25</v>
      </c>
      <c r="BE94" s="25">
        <v>24</v>
      </c>
      <c r="BF94" s="25" t="s">
        <v>430</v>
      </c>
      <c r="BG94" s="25" t="s">
        <v>430</v>
      </c>
      <c r="BH94" s="25" t="s">
        <v>445</v>
      </c>
      <c r="BI94" s="25" t="s">
        <v>431</v>
      </c>
      <c r="BJ94" s="25" t="s">
        <v>479</v>
      </c>
      <c r="BK94" s="25" t="s">
        <v>541</v>
      </c>
      <c r="BL94" s="25" t="s">
        <v>469</v>
      </c>
      <c r="BM94" s="25" t="s">
        <v>469</v>
      </c>
      <c r="BN94" s="25" t="s">
        <v>430</v>
      </c>
      <c r="BO94" s="25">
        <v>1</v>
      </c>
      <c r="BP94" s="25" t="s">
        <v>434</v>
      </c>
      <c r="BQ94" s="25" t="s">
        <v>449</v>
      </c>
      <c r="BR94" s="25" t="s">
        <v>450</v>
      </c>
      <c r="BS94" s="25" t="s">
        <v>430</v>
      </c>
      <c r="BT94" s="25">
        <v>18</v>
      </c>
      <c r="BU94" s="25">
        <v>38</v>
      </c>
      <c r="BV94" s="25" t="s">
        <v>430</v>
      </c>
      <c r="BW94" s="25" t="s">
        <v>527</v>
      </c>
      <c r="BX94" s="25" t="s">
        <v>651</v>
      </c>
      <c r="BY94" s="25" t="s">
        <v>430</v>
      </c>
      <c r="BZ94" s="25" t="s">
        <v>433</v>
      </c>
      <c r="CA94" s="25" t="s">
        <v>433</v>
      </c>
      <c r="CB94" s="25" t="s">
        <v>430</v>
      </c>
      <c r="CC94" s="25" t="s">
        <v>481</v>
      </c>
      <c r="CD94" s="25" t="s">
        <v>652</v>
      </c>
      <c r="CE94" s="25" t="s">
        <v>430</v>
      </c>
      <c r="CF94" s="25" t="s">
        <v>441</v>
      </c>
      <c r="CG94" s="25" t="s">
        <v>430</v>
      </c>
      <c r="CH94" s="25" t="s">
        <v>452</v>
      </c>
      <c r="CI94" s="25" t="s">
        <v>453</v>
      </c>
      <c r="CJ94" s="25" t="s">
        <v>454</v>
      </c>
      <c r="CK94" s="25" t="s">
        <v>455</v>
      </c>
      <c r="CL94" s="25" t="s">
        <v>456</v>
      </c>
      <c r="CM94" s="25" t="s">
        <v>430</v>
      </c>
      <c r="CN94" s="25" t="s">
        <v>457</v>
      </c>
      <c r="CO94" s="25" t="s">
        <v>457</v>
      </c>
      <c r="CP94" s="25" t="s">
        <v>430</v>
      </c>
      <c r="CQ94" s="25">
        <v>21</v>
      </c>
      <c r="CR94" s="25" t="s">
        <v>431</v>
      </c>
      <c r="CS94" s="25">
        <v>65</v>
      </c>
      <c r="CT94" s="25" t="s">
        <v>430</v>
      </c>
      <c r="CU94" s="25" t="s">
        <v>430</v>
      </c>
      <c r="CV94" s="25" t="s">
        <v>430</v>
      </c>
      <c r="CW94" s="25" t="s">
        <v>460</v>
      </c>
      <c r="CX94" s="25" t="s">
        <v>461</v>
      </c>
      <c r="CY94" s="165">
        <v>44963.90625</v>
      </c>
      <c r="CZ94" s="25" t="s">
        <v>430</v>
      </c>
      <c r="DA94" s="25" t="s">
        <v>430</v>
      </c>
      <c r="DB94" s="25">
        <v>25</v>
      </c>
      <c r="DC94" s="25" t="s">
        <v>430</v>
      </c>
      <c r="DD94" s="25" t="s">
        <v>434</v>
      </c>
      <c r="DE94" s="25" t="s">
        <v>434</v>
      </c>
      <c r="DF94" s="25" t="s">
        <v>430</v>
      </c>
      <c r="DG94" s="25" t="s">
        <v>462</v>
      </c>
      <c r="DH94" s="25" t="s">
        <v>431</v>
      </c>
      <c r="DI94" s="25" t="s">
        <v>473</v>
      </c>
      <c r="DJ94" s="25" t="s">
        <v>473</v>
      </c>
      <c r="DK94" s="25" t="s">
        <v>430</v>
      </c>
      <c r="DL94" s="25" t="s">
        <v>474</v>
      </c>
      <c r="DM94" s="25" t="s">
        <v>474</v>
      </c>
      <c r="DN94" s="25" t="s">
        <v>430</v>
      </c>
      <c r="DO94" s="25" t="s">
        <v>434</v>
      </c>
      <c r="DP94" s="25" t="s">
        <v>434</v>
      </c>
      <c r="DQ94" s="25" t="s">
        <v>430</v>
      </c>
      <c r="DR94" s="25" t="s">
        <v>465</v>
      </c>
      <c r="DS94" s="25" t="s">
        <v>466</v>
      </c>
      <c r="DT94" s="25" t="s">
        <v>466</v>
      </c>
      <c r="DU94" s="25" t="s">
        <v>446</v>
      </c>
      <c r="DV94" s="25">
        <v>1</v>
      </c>
      <c r="DW94" s="166">
        <v>16164056</v>
      </c>
      <c r="DX94" s="25">
        <v>4</v>
      </c>
      <c r="DY94" s="25">
        <v>43</v>
      </c>
      <c r="DZ94" s="166">
        <v>1032016</v>
      </c>
      <c r="EA94" s="25">
        <v>2</v>
      </c>
      <c r="EB94" s="25">
        <v>1</v>
      </c>
      <c r="EC94" s="25">
        <v>1</v>
      </c>
      <c r="ED94" s="25">
        <v>2</v>
      </c>
      <c r="EE94" s="25">
        <v>2</v>
      </c>
      <c r="EF94" s="25">
        <v>1</v>
      </c>
      <c r="EG94" s="25">
        <v>5</v>
      </c>
      <c r="EH94" s="25">
        <v>2</v>
      </c>
      <c r="EI94" s="25">
        <v>120</v>
      </c>
      <c r="EJ94" s="25">
        <v>0</v>
      </c>
      <c r="EK94" s="25">
        <v>0</v>
      </c>
      <c r="EL94" s="25">
        <v>1</v>
      </c>
      <c r="EM94" s="25">
        <v>0</v>
      </c>
      <c r="EN94" s="25">
        <v>1</v>
      </c>
      <c r="EO94" s="25">
        <v>1</v>
      </c>
      <c r="EP94" s="25">
        <v>3</v>
      </c>
      <c r="EQ94" s="25">
        <v>1</v>
      </c>
      <c r="ER94" s="25">
        <v>65</v>
      </c>
      <c r="ES94" s="25">
        <v>1</v>
      </c>
      <c r="ET94" s="25">
        <v>2</v>
      </c>
      <c r="EU94" s="25">
        <v>0</v>
      </c>
      <c r="EV94" s="25" t="s">
        <v>257</v>
      </c>
    </row>
    <row r="95" spans="12:152" x14ac:dyDescent="0.25">
      <c r="L95" s="25">
        <v>46.260269000000001</v>
      </c>
      <c r="M95" s="25">
        <v>-100.64892999999999</v>
      </c>
      <c r="N95" s="25" t="s">
        <v>24</v>
      </c>
      <c r="O95" s="25">
        <v>2016</v>
      </c>
      <c r="P95" s="25" t="s">
        <v>427</v>
      </c>
      <c r="Q95" s="25" t="s">
        <v>428</v>
      </c>
      <c r="R95" s="25" t="s">
        <v>482</v>
      </c>
      <c r="S95" s="25" t="s">
        <v>430</v>
      </c>
      <c r="T95" s="25" t="s">
        <v>430</v>
      </c>
      <c r="U95" s="25" t="s">
        <v>431</v>
      </c>
      <c r="V95" s="25" t="s">
        <v>432</v>
      </c>
      <c r="W95" s="25" t="s">
        <v>433</v>
      </c>
      <c r="X95" s="25" t="s">
        <v>434</v>
      </c>
      <c r="Y95" s="25" t="s">
        <v>434</v>
      </c>
      <c r="Z95" s="25" t="s">
        <v>430</v>
      </c>
      <c r="AA95" s="25">
        <v>54</v>
      </c>
      <c r="AB95" s="25" t="s">
        <v>435</v>
      </c>
      <c r="AC95" s="25" t="s">
        <v>653</v>
      </c>
      <c r="AD95" s="25" t="s">
        <v>426</v>
      </c>
      <c r="AE95" s="25" t="s">
        <v>430</v>
      </c>
      <c r="AF95" s="25" t="s">
        <v>437</v>
      </c>
      <c r="AG95" s="164">
        <v>42710</v>
      </c>
      <c r="AH95" s="25" t="s">
        <v>568</v>
      </c>
      <c r="AI95" s="25" t="s">
        <v>439</v>
      </c>
      <c r="AJ95" s="165">
        <v>44963.645833333336</v>
      </c>
      <c r="AK95" s="25" t="s">
        <v>440</v>
      </c>
      <c r="AL95" s="25" t="s">
        <v>441</v>
      </c>
      <c r="AM95" s="164">
        <v>42837</v>
      </c>
      <c r="AN95" s="164">
        <v>42710</v>
      </c>
      <c r="AO95" s="25" t="s">
        <v>141</v>
      </c>
      <c r="AP95" s="25" t="s">
        <v>141</v>
      </c>
      <c r="AQ95" s="25" t="s">
        <v>430</v>
      </c>
      <c r="AR95" s="25" t="s">
        <v>442</v>
      </c>
      <c r="AS95" s="25" t="s">
        <v>430</v>
      </c>
      <c r="AT95" s="25" t="s">
        <v>430</v>
      </c>
      <c r="AU95" s="25" t="s">
        <v>430</v>
      </c>
      <c r="AV95" s="25" t="s">
        <v>430</v>
      </c>
      <c r="AW95" s="25" t="s">
        <v>443</v>
      </c>
      <c r="AX95" s="25" t="s">
        <v>654</v>
      </c>
      <c r="AY95" s="25" t="s">
        <v>430</v>
      </c>
      <c r="AZ95" s="25" t="s">
        <v>430</v>
      </c>
      <c r="BA95" s="25" t="s">
        <v>430</v>
      </c>
      <c r="BB95" s="25" t="s">
        <v>430</v>
      </c>
      <c r="BC95" s="25" t="s">
        <v>430</v>
      </c>
      <c r="BD95" s="25">
        <v>22</v>
      </c>
      <c r="BE95" s="25">
        <v>24</v>
      </c>
      <c r="BF95" s="25" t="s">
        <v>430</v>
      </c>
      <c r="BG95" s="25" t="s">
        <v>430</v>
      </c>
      <c r="BH95" s="25" t="s">
        <v>445</v>
      </c>
      <c r="BI95" s="25" t="s">
        <v>431</v>
      </c>
      <c r="BJ95" s="25" t="s">
        <v>447</v>
      </c>
      <c r="BK95" s="25" t="s">
        <v>448</v>
      </c>
      <c r="BL95" s="25" t="s">
        <v>597</v>
      </c>
      <c r="BM95" s="25" t="s">
        <v>654</v>
      </c>
      <c r="BN95" s="25" t="s">
        <v>430</v>
      </c>
      <c r="BO95" s="25" t="s">
        <v>430</v>
      </c>
      <c r="BP95" s="25" t="s">
        <v>434</v>
      </c>
      <c r="BQ95" s="25" t="s">
        <v>449</v>
      </c>
      <c r="BR95" s="25" t="s">
        <v>450</v>
      </c>
      <c r="BS95" s="25" t="s">
        <v>430</v>
      </c>
      <c r="BT95" s="25">
        <v>59</v>
      </c>
      <c r="BU95" s="25" t="s">
        <v>430</v>
      </c>
      <c r="BV95" s="25" t="s">
        <v>430</v>
      </c>
      <c r="BW95" s="25" t="s">
        <v>570</v>
      </c>
      <c r="BX95" s="25" t="s">
        <v>430</v>
      </c>
      <c r="BY95" s="25" t="s">
        <v>430</v>
      </c>
      <c r="BZ95" s="25" t="s">
        <v>433</v>
      </c>
      <c r="CA95" s="25" t="s">
        <v>430</v>
      </c>
      <c r="CB95" s="25" t="s">
        <v>430</v>
      </c>
      <c r="CC95" s="25" t="s">
        <v>481</v>
      </c>
      <c r="CD95" s="25" t="s">
        <v>430</v>
      </c>
      <c r="CE95" s="25" t="s">
        <v>430</v>
      </c>
      <c r="CF95" s="25" t="s">
        <v>441</v>
      </c>
      <c r="CG95" s="25" t="s">
        <v>430</v>
      </c>
      <c r="CH95" s="25" t="s">
        <v>452</v>
      </c>
      <c r="CI95" s="25" t="s">
        <v>453</v>
      </c>
      <c r="CJ95" s="25" t="s">
        <v>454</v>
      </c>
      <c r="CK95" s="25" t="s">
        <v>455</v>
      </c>
      <c r="CL95" s="25" t="s">
        <v>472</v>
      </c>
      <c r="CM95" s="25" t="s">
        <v>430</v>
      </c>
      <c r="CN95" s="25" t="s">
        <v>457</v>
      </c>
      <c r="CO95" s="25" t="s">
        <v>430</v>
      </c>
      <c r="CP95" s="25" t="s">
        <v>430</v>
      </c>
      <c r="CQ95" s="25">
        <v>15</v>
      </c>
      <c r="CR95" s="25" t="s">
        <v>431</v>
      </c>
      <c r="CS95" s="25">
        <v>65</v>
      </c>
      <c r="CT95" s="25" t="s">
        <v>430</v>
      </c>
      <c r="CU95" s="25" t="s">
        <v>430</v>
      </c>
      <c r="CV95" s="25" t="s">
        <v>430</v>
      </c>
      <c r="CW95" s="25" t="s">
        <v>584</v>
      </c>
      <c r="CX95" s="25" t="s">
        <v>461</v>
      </c>
      <c r="CY95" s="165">
        <v>44963.649305555555</v>
      </c>
      <c r="CZ95" s="25" t="s">
        <v>430</v>
      </c>
      <c r="DA95" s="25" t="s">
        <v>430</v>
      </c>
      <c r="DB95" s="25">
        <v>22</v>
      </c>
      <c r="DC95" s="25" t="s">
        <v>430</v>
      </c>
      <c r="DD95" s="25" t="s">
        <v>434</v>
      </c>
      <c r="DE95" s="25" t="s">
        <v>434</v>
      </c>
      <c r="DF95" s="25" t="s">
        <v>430</v>
      </c>
      <c r="DG95" s="25" t="s">
        <v>462</v>
      </c>
      <c r="DH95" s="25" t="s">
        <v>431</v>
      </c>
      <c r="DI95" s="25" t="s">
        <v>463</v>
      </c>
      <c r="DJ95" s="25" t="s">
        <v>473</v>
      </c>
      <c r="DK95" s="25" t="s">
        <v>430</v>
      </c>
      <c r="DL95" s="25" t="s">
        <v>585</v>
      </c>
      <c r="DM95" s="25" t="s">
        <v>641</v>
      </c>
      <c r="DN95" s="25" t="s">
        <v>430</v>
      </c>
      <c r="DO95" s="25" t="s">
        <v>434</v>
      </c>
      <c r="DP95" s="25" t="s">
        <v>434</v>
      </c>
      <c r="DQ95" s="25" t="s">
        <v>430</v>
      </c>
      <c r="DR95" s="25" t="s">
        <v>584</v>
      </c>
      <c r="DS95" s="25" t="s">
        <v>466</v>
      </c>
      <c r="DT95" s="25" t="s">
        <v>466</v>
      </c>
      <c r="DU95" s="25" t="s">
        <v>431</v>
      </c>
      <c r="DV95" s="25">
        <v>1</v>
      </c>
      <c r="DW95" s="166">
        <v>16166247</v>
      </c>
      <c r="DX95" s="25">
        <v>4</v>
      </c>
      <c r="DY95" s="25">
        <v>43</v>
      </c>
      <c r="DZ95" s="166">
        <v>1032019</v>
      </c>
      <c r="EA95" s="25">
        <v>3</v>
      </c>
      <c r="EB95" s="25">
        <v>1</v>
      </c>
      <c r="EC95" s="25">
        <v>12</v>
      </c>
      <c r="ED95" s="25">
        <v>6</v>
      </c>
      <c r="EE95" s="25">
        <v>2</v>
      </c>
      <c r="EF95" s="25">
        <v>1</v>
      </c>
      <c r="EG95" s="25">
        <v>1</v>
      </c>
      <c r="EH95" s="25">
        <v>7</v>
      </c>
      <c r="EI95" s="25">
        <v>121</v>
      </c>
      <c r="EJ95" s="25">
        <v>0</v>
      </c>
      <c r="EK95" s="25">
        <v>0</v>
      </c>
      <c r="EL95" s="25">
        <v>1</v>
      </c>
      <c r="EM95" s="25">
        <v>0</v>
      </c>
      <c r="EN95" s="25">
        <v>1</v>
      </c>
      <c r="EO95" s="25">
        <v>1</v>
      </c>
      <c r="EP95" s="25">
        <v>1</v>
      </c>
      <c r="EQ95" s="25">
        <v>1</v>
      </c>
      <c r="ER95" s="25">
        <v>65</v>
      </c>
      <c r="ES95" s="25">
        <v>4</v>
      </c>
      <c r="ET95" s="25">
        <v>2</v>
      </c>
      <c r="EU95" s="25">
        <v>4</v>
      </c>
      <c r="EV95" s="25" t="s">
        <v>257</v>
      </c>
    </row>
    <row r="96" spans="12:152" x14ac:dyDescent="0.25">
      <c r="L96" s="25">
        <v>46.216602999999999</v>
      </c>
      <c r="M96" s="25">
        <v>-100.648903</v>
      </c>
      <c r="N96" s="25" t="s">
        <v>24</v>
      </c>
      <c r="O96" s="25">
        <v>2016</v>
      </c>
      <c r="P96" s="25" t="s">
        <v>427</v>
      </c>
      <c r="Q96" s="25" t="s">
        <v>428</v>
      </c>
      <c r="R96" s="25" t="s">
        <v>482</v>
      </c>
      <c r="S96" s="25" t="s">
        <v>482</v>
      </c>
      <c r="T96" s="25" t="s">
        <v>430</v>
      </c>
      <c r="U96" s="25" t="s">
        <v>431</v>
      </c>
      <c r="V96" s="25" t="s">
        <v>432</v>
      </c>
      <c r="W96" s="25" t="s">
        <v>433</v>
      </c>
      <c r="X96" s="25" t="s">
        <v>655</v>
      </c>
      <c r="Y96" s="25" t="s">
        <v>434</v>
      </c>
      <c r="Z96" s="25" t="s">
        <v>430</v>
      </c>
      <c r="AA96" s="25">
        <v>54</v>
      </c>
      <c r="AB96" s="25" t="s">
        <v>435</v>
      </c>
      <c r="AC96" s="25" t="s">
        <v>656</v>
      </c>
      <c r="AD96" s="25" t="s">
        <v>426</v>
      </c>
      <c r="AE96" s="25" t="s">
        <v>430</v>
      </c>
      <c r="AF96" s="25" t="s">
        <v>437</v>
      </c>
      <c r="AG96" s="164">
        <v>42713</v>
      </c>
      <c r="AH96" s="25" t="s">
        <v>515</v>
      </c>
      <c r="AI96" s="25" t="s">
        <v>439</v>
      </c>
      <c r="AJ96" s="165">
        <v>44963.680555555555</v>
      </c>
      <c r="AK96" s="25" t="s">
        <v>440</v>
      </c>
      <c r="AL96" s="25" t="s">
        <v>441</v>
      </c>
      <c r="AM96" s="164">
        <v>42838</v>
      </c>
      <c r="AN96" s="164">
        <v>42713</v>
      </c>
      <c r="AO96" s="25" t="s">
        <v>141</v>
      </c>
      <c r="AP96" s="25" t="s">
        <v>141</v>
      </c>
      <c r="AQ96" s="25" t="s">
        <v>430</v>
      </c>
      <c r="AR96" s="25" t="s">
        <v>442</v>
      </c>
      <c r="AS96" s="25" t="s">
        <v>442</v>
      </c>
      <c r="AT96" s="25" t="s">
        <v>430</v>
      </c>
      <c r="AU96" s="25" t="s">
        <v>430</v>
      </c>
      <c r="AV96" s="25" t="s">
        <v>430</v>
      </c>
      <c r="AW96" s="25" t="s">
        <v>443</v>
      </c>
      <c r="AX96" s="25" t="s">
        <v>469</v>
      </c>
      <c r="AY96" s="25" t="s">
        <v>430</v>
      </c>
      <c r="AZ96" s="25" t="s">
        <v>430</v>
      </c>
      <c r="BA96" s="25" t="s">
        <v>430</v>
      </c>
      <c r="BB96" s="25" t="s">
        <v>430</v>
      </c>
      <c r="BC96" s="25" t="s">
        <v>430</v>
      </c>
      <c r="BD96" s="25">
        <v>18.98</v>
      </c>
      <c r="BE96" s="25">
        <v>24</v>
      </c>
      <c r="BF96" s="25" t="s">
        <v>430</v>
      </c>
      <c r="BG96" s="25" t="s">
        <v>430</v>
      </c>
      <c r="BH96" s="25" t="s">
        <v>445</v>
      </c>
      <c r="BI96" s="25" t="s">
        <v>431</v>
      </c>
      <c r="BJ96" s="25" t="s">
        <v>447</v>
      </c>
      <c r="BK96" s="25" t="s">
        <v>541</v>
      </c>
      <c r="BL96" s="25" t="s">
        <v>469</v>
      </c>
      <c r="BM96" s="25" t="s">
        <v>469</v>
      </c>
      <c r="BN96" s="25" t="s">
        <v>430</v>
      </c>
      <c r="BO96" s="25" t="s">
        <v>430</v>
      </c>
      <c r="BP96" s="25" t="s">
        <v>434</v>
      </c>
      <c r="BQ96" s="25" t="s">
        <v>449</v>
      </c>
      <c r="BR96" s="25" t="s">
        <v>450</v>
      </c>
      <c r="BS96" s="25" t="s">
        <v>430</v>
      </c>
      <c r="BT96" s="25">
        <v>28</v>
      </c>
      <c r="BU96" s="25">
        <v>51</v>
      </c>
      <c r="BV96" s="25" t="s">
        <v>430</v>
      </c>
      <c r="BW96" s="25" t="s">
        <v>657</v>
      </c>
      <c r="BX96" s="25" t="s">
        <v>658</v>
      </c>
      <c r="BY96" s="25" t="s">
        <v>430</v>
      </c>
      <c r="BZ96" s="25" t="s">
        <v>433</v>
      </c>
      <c r="CA96" s="25" t="s">
        <v>433</v>
      </c>
      <c r="CB96" s="25" t="s">
        <v>430</v>
      </c>
      <c r="CC96" s="25" t="s">
        <v>544</v>
      </c>
      <c r="CD96" s="25" t="s">
        <v>659</v>
      </c>
      <c r="CE96" s="25" t="s">
        <v>430</v>
      </c>
      <c r="CF96" s="25" t="s">
        <v>441</v>
      </c>
      <c r="CG96" s="25" t="s">
        <v>430</v>
      </c>
      <c r="CH96" s="25" t="s">
        <v>452</v>
      </c>
      <c r="CI96" s="25" t="s">
        <v>453</v>
      </c>
      <c r="CJ96" s="25" t="s">
        <v>454</v>
      </c>
      <c r="CK96" s="25" t="s">
        <v>455</v>
      </c>
      <c r="CL96" s="25" t="s">
        <v>472</v>
      </c>
      <c r="CM96" s="25" t="s">
        <v>430</v>
      </c>
      <c r="CN96" s="25" t="s">
        <v>457</v>
      </c>
      <c r="CO96" s="25" t="s">
        <v>457</v>
      </c>
      <c r="CP96" s="25" t="s">
        <v>430</v>
      </c>
      <c r="CQ96" s="25">
        <v>16</v>
      </c>
      <c r="CR96" s="25" t="s">
        <v>431</v>
      </c>
      <c r="CS96" s="25">
        <v>65</v>
      </c>
      <c r="CT96" s="25" t="s">
        <v>430</v>
      </c>
      <c r="CU96" s="25" t="s">
        <v>430</v>
      </c>
      <c r="CV96" s="25" t="s">
        <v>430</v>
      </c>
      <c r="CW96" s="25" t="s">
        <v>460</v>
      </c>
      <c r="CX96" s="25" t="s">
        <v>461</v>
      </c>
      <c r="CY96" s="165">
        <v>44963.683333333334</v>
      </c>
      <c r="CZ96" s="25" t="s">
        <v>430</v>
      </c>
      <c r="DA96" s="25" t="s">
        <v>430</v>
      </c>
      <c r="DB96" s="25">
        <v>18.98</v>
      </c>
      <c r="DC96" s="25" t="s">
        <v>430</v>
      </c>
      <c r="DD96" s="25" t="s">
        <v>434</v>
      </c>
      <c r="DE96" s="25" t="s">
        <v>434</v>
      </c>
      <c r="DF96" s="25" t="s">
        <v>430</v>
      </c>
      <c r="DG96" s="25" t="s">
        <v>462</v>
      </c>
      <c r="DH96" s="25" t="s">
        <v>431</v>
      </c>
      <c r="DI96" s="25" t="s">
        <v>463</v>
      </c>
      <c r="DJ96" s="25" t="s">
        <v>473</v>
      </c>
      <c r="DK96" s="25" t="s">
        <v>430</v>
      </c>
      <c r="DL96" s="25" t="s">
        <v>535</v>
      </c>
      <c r="DM96" s="25" t="s">
        <v>474</v>
      </c>
      <c r="DN96" s="25" t="s">
        <v>430</v>
      </c>
      <c r="DO96" s="25" t="s">
        <v>434</v>
      </c>
      <c r="DP96" s="25" t="s">
        <v>434</v>
      </c>
      <c r="DQ96" s="25" t="s">
        <v>430</v>
      </c>
      <c r="DR96" s="25" t="s">
        <v>465</v>
      </c>
      <c r="DS96" s="25" t="s">
        <v>466</v>
      </c>
      <c r="DT96" s="25" t="s">
        <v>466</v>
      </c>
      <c r="DU96" s="25" t="s">
        <v>431</v>
      </c>
      <c r="DV96" s="25">
        <v>1</v>
      </c>
      <c r="DW96" s="166">
        <v>16165429</v>
      </c>
      <c r="DX96" s="25">
        <v>4</v>
      </c>
      <c r="DY96" s="25">
        <v>43</v>
      </c>
      <c r="DZ96" s="166">
        <v>1032022</v>
      </c>
      <c r="EA96" s="25">
        <v>3</v>
      </c>
      <c r="EB96" s="25">
        <v>1</v>
      </c>
      <c r="EC96" s="25">
        <v>1</v>
      </c>
      <c r="ED96" s="25">
        <v>6</v>
      </c>
      <c r="EE96" s="25">
        <v>2</v>
      </c>
      <c r="EF96" s="25">
        <v>1</v>
      </c>
      <c r="EG96" s="25">
        <v>1</v>
      </c>
      <c r="EH96" s="25">
        <v>2</v>
      </c>
      <c r="EI96" s="25">
        <v>122</v>
      </c>
      <c r="EJ96" s="25">
        <v>0</v>
      </c>
      <c r="EK96" s="25">
        <v>0</v>
      </c>
      <c r="EL96" s="25">
        <v>1</v>
      </c>
      <c r="EM96" s="25">
        <v>0</v>
      </c>
      <c r="EN96" s="25">
        <v>1</v>
      </c>
      <c r="EO96" s="25">
        <v>1</v>
      </c>
      <c r="EP96" s="25">
        <v>1</v>
      </c>
      <c r="EQ96" s="25">
        <v>1</v>
      </c>
      <c r="ER96" s="25">
        <v>65</v>
      </c>
      <c r="ES96" s="25">
        <v>1</v>
      </c>
      <c r="ET96" s="25">
        <v>2</v>
      </c>
      <c r="EU96" s="25">
        <v>0</v>
      </c>
      <c r="EV96" s="25" t="s">
        <v>257</v>
      </c>
    </row>
    <row r="97" spans="1:152" s="167" customFormat="1" ht="15.75" thickBot="1" x14ac:dyDescent="0.3">
      <c r="A97"/>
      <c r="B97"/>
      <c r="C97"/>
      <c r="D97"/>
      <c r="E97"/>
      <c r="F97"/>
      <c r="G97"/>
      <c r="H97"/>
      <c r="I97"/>
      <c r="J97"/>
      <c r="K97"/>
      <c r="L97" s="25">
        <v>46.231108999999996</v>
      </c>
      <c r="M97" s="25">
        <v>-100.648903</v>
      </c>
      <c r="N97" s="25" t="s">
        <v>24</v>
      </c>
      <c r="O97" s="25">
        <v>2016</v>
      </c>
      <c r="P97" s="25" t="s">
        <v>427</v>
      </c>
      <c r="Q97" s="25" t="s">
        <v>428</v>
      </c>
      <c r="R97" s="25" t="s">
        <v>482</v>
      </c>
      <c r="S97" s="25" t="s">
        <v>430</v>
      </c>
      <c r="T97" s="25" t="s">
        <v>430</v>
      </c>
      <c r="U97" s="25" t="s">
        <v>431</v>
      </c>
      <c r="V97" s="25" t="s">
        <v>432</v>
      </c>
      <c r="W97" s="25" t="s">
        <v>433</v>
      </c>
      <c r="X97" s="25" t="s">
        <v>434</v>
      </c>
      <c r="Y97" s="25" t="s">
        <v>430</v>
      </c>
      <c r="Z97" s="25" t="s">
        <v>430</v>
      </c>
      <c r="AA97" s="25">
        <v>54</v>
      </c>
      <c r="AB97" s="25" t="s">
        <v>435</v>
      </c>
      <c r="AC97" s="25" t="s">
        <v>426</v>
      </c>
      <c r="AD97" s="25" t="s">
        <v>430</v>
      </c>
      <c r="AE97" s="25" t="s">
        <v>430</v>
      </c>
      <c r="AF97" s="25" t="s">
        <v>437</v>
      </c>
      <c r="AG97" s="164">
        <v>42710</v>
      </c>
      <c r="AH97" s="25" t="s">
        <v>568</v>
      </c>
      <c r="AI97" s="25" t="s">
        <v>439</v>
      </c>
      <c r="AJ97" s="165">
        <v>44963.599305555559</v>
      </c>
      <c r="AK97" s="25" t="s">
        <v>440</v>
      </c>
      <c r="AL97" s="25" t="s">
        <v>441</v>
      </c>
      <c r="AM97" s="164">
        <v>42849</v>
      </c>
      <c r="AN97" s="164">
        <v>42710</v>
      </c>
      <c r="AO97" s="25" t="s">
        <v>140</v>
      </c>
      <c r="AP97" s="25" t="s">
        <v>430</v>
      </c>
      <c r="AQ97" s="25" t="s">
        <v>430</v>
      </c>
      <c r="AR97" s="25" t="s">
        <v>442</v>
      </c>
      <c r="AS97" s="25" t="s">
        <v>430</v>
      </c>
      <c r="AT97" s="25" t="s">
        <v>430</v>
      </c>
      <c r="AU97" s="25" t="s">
        <v>430</v>
      </c>
      <c r="AV97" s="25" t="s">
        <v>430</v>
      </c>
      <c r="AW97" s="25" t="s">
        <v>443</v>
      </c>
      <c r="AX97" s="25" t="s">
        <v>444</v>
      </c>
      <c r="AY97" s="25" t="s">
        <v>430</v>
      </c>
      <c r="AZ97" s="25" t="s">
        <v>430</v>
      </c>
      <c r="BA97" s="25" t="s">
        <v>430</v>
      </c>
      <c r="BB97" s="25" t="s">
        <v>430</v>
      </c>
      <c r="BC97" s="25" t="s">
        <v>430</v>
      </c>
      <c r="BD97" s="25">
        <v>20</v>
      </c>
      <c r="BE97" s="25">
        <v>24</v>
      </c>
      <c r="BF97" s="25" t="s">
        <v>430</v>
      </c>
      <c r="BG97" s="25" t="s">
        <v>430</v>
      </c>
      <c r="BH97" s="25" t="s">
        <v>445</v>
      </c>
      <c r="BI97" s="25" t="s">
        <v>446</v>
      </c>
      <c r="BJ97" s="25" t="s">
        <v>447</v>
      </c>
      <c r="BK97" s="25" t="s">
        <v>448</v>
      </c>
      <c r="BL97" s="25" t="s">
        <v>444</v>
      </c>
      <c r="BM97" s="25" t="s">
        <v>430</v>
      </c>
      <c r="BN97" s="25" t="s">
        <v>430</v>
      </c>
      <c r="BO97" s="25" t="s">
        <v>430</v>
      </c>
      <c r="BP97" s="25" t="s">
        <v>434</v>
      </c>
      <c r="BQ97" s="25" t="s">
        <v>449</v>
      </c>
      <c r="BR97" s="25" t="s">
        <v>450</v>
      </c>
      <c r="BS97" s="25" t="s">
        <v>430</v>
      </c>
      <c r="BT97" s="25">
        <v>30</v>
      </c>
      <c r="BU97" s="25" t="s">
        <v>430</v>
      </c>
      <c r="BV97" s="25" t="s">
        <v>430</v>
      </c>
      <c r="BW97" s="25" t="s">
        <v>480</v>
      </c>
      <c r="BX97" s="25" t="s">
        <v>430</v>
      </c>
      <c r="BY97" s="25" t="s">
        <v>430</v>
      </c>
      <c r="BZ97" s="25" t="s">
        <v>433</v>
      </c>
      <c r="CA97" s="25" t="s">
        <v>430</v>
      </c>
      <c r="CB97" s="25" t="s">
        <v>430</v>
      </c>
      <c r="CC97" s="25" t="s">
        <v>481</v>
      </c>
      <c r="CD97" s="25" t="s">
        <v>430</v>
      </c>
      <c r="CE97" s="25" t="s">
        <v>430</v>
      </c>
      <c r="CF97" s="25" t="s">
        <v>441</v>
      </c>
      <c r="CG97" s="25" t="s">
        <v>430</v>
      </c>
      <c r="CH97" s="25" t="s">
        <v>452</v>
      </c>
      <c r="CI97" s="25" t="s">
        <v>516</v>
      </c>
      <c r="CJ97" s="25" t="s">
        <v>454</v>
      </c>
      <c r="CK97" s="25" t="s">
        <v>455</v>
      </c>
      <c r="CL97" s="25" t="s">
        <v>472</v>
      </c>
      <c r="CM97" s="25" t="s">
        <v>430</v>
      </c>
      <c r="CN97" s="25" t="s">
        <v>457</v>
      </c>
      <c r="CO97" s="25" t="s">
        <v>430</v>
      </c>
      <c r="CP97" s="25" t="s">
        <v>430</v>
      </c>
      <c r="CQ97" s="25">
        <v>14</v>
      </c>
      <c r="CR97" s="25" t="s">
        <v>431</v>
      </c>
      <c r="CS97" s="25" t="s">
        <v>430</v>
      </c>
      <c r="CT97" s="25" t="s">
        <v>430</v>
      </c>
      <c r="CU97" s="25" t="s">
        <v>430</v>
      </c>
      <c r="CV97" s="25" t="s">
        <v>430</v>
      </c>
      <c r="CW97" s="25" t="s">
        <v>498</v>
      </c>
      <c r="CX97" s="25" t="s">
        <v>461</v>
      </c>
      <c r="CY97" s="165">
        <v>44963.6</v>
      </c>
      <c r="CZ97" s="25" t="s">
        <v>430</v>
      </c>
      <c r="DA97" s="25" t="s">
        <v>430</v>
      </c>
      <c r="DB97" s="25">
        <v>20</v>
      </c>
      <c r="DC97" s="25" t="s">
        <v>430</v>
      </c>
      <c r="DD97" s="25" t="s">
        <v>434</v>
      </c>
      <c r="DE97" s="25" t="s">
        <v>430</v>
      </c>
      <c r="DF97" s="25" t="s">
        <v>430</v>
      </c>
      <c r="DG97" s="25" t="s">
        <v>462</v>
      </c>
      <c r="DH97" s="25" t="s">
        <v>431</v>
      </c>
      <c r="DI97" s="25" t="s">
        <v>473</v>
      </c>
      <c r="DJ97" s="25" t="s">
        <v>430</v>
      </c>
      <c r="DK97" s="25" t="s">
        <v>430</v>
      </c>
      <c r="DL97" s="25" t="s">
        <v>474</v>
      </c>
      <c r="DM97" s="25" t="s">
        <v>430</v>
      </c>
      <c r="DN97" s="25" t="s">
        <v>430</v>
      </c>
      <c r="DO97" s="25" t="s">
        <v>434</v>
      </c>
      <c r="DP97" s="25" t="s">
        <v>430</v>
      </c>
      <c r="DQ97" s="25" t="s">
        <v>430</v>
      </c>
      <c r="DR97" s="25" t="s">
        <v>518</v>
      </c>
      <c r="DS97" s="25" t="s">
        <v>466</v>
      </c>
      <c r="DT97" s="25" t="s">
        <v>466</v>
      </c>
      <c r="DU97" s="25" t="s">
        <v>431</v>
      </c>
      <c r="DV97" s="25">
        <v>1</v>
      </c>
      <c r="DW97" s="166">
        <v>16166981</v>
      </c>
      <c r="DX97" s="25">
        <v>4</v>
      </c>
      <c r="DY97" s="25">
        <v>43</v>
      </c>
      <c r="DZ97" s="166">
        <v>1032477</v>
      </c>
      <c r="EA97" s="25">
        <v>3</v>
      </c>
      <c r="EB97" s="25">
        <v>1</v>
      </c>
      <c r="EC97" s="25">
        <v>20</v>
      </c>
      <c r="ED97" s="25">
        <v>6</v>
      </c>
      <c r="EE97" s="25">
        <v>2</v>
      </c>
      <c r="EF97" s="25">
        <v>1</v>
      </c>
      <c r="EG97" s="25">
        <v>1</v>
      </c>
      <c r="EH97" s="25">
        <v>7</v>
      </c>
      <c r="EI97" s="25">
        <v>123</v>
      </c>
      <c r="EJ97" s="25">
        <v>0</v>
      </c>
      <c r="EK97" s="25">
        <v>0</v>
      </c>
      <c r="EL97" s="25">
        <v>1</v>
      </c>
      <c r="EM97" s="25">
        <v>1</v>
      </c>
      <c r="EN97" s="25">
        <v>1</v>
      </c>
      <c r="EO97" s="25">
        <v>1</v>
      </c>
      <c r="EP97" s="25">
        <v>1</v>
      </c>
      <c r="EQ97" s="25">
        <v>1</v>
      </c>
      <c r="ER97" s="25">
        <v>65</v>
      </c>
      <c r="ES97" s="25">
        <v>6</v>
      </c>
      <c r="ET97" s="25">
        <v>2</v>
      </c>
      <c r="EU97" s="25">
        <v>5</v>
      </c>
      <c r="EV97" s="25" t="s">
        <v>257</v>
      </c>
    </row>
    <row r="98" spans="1:152" ht="15.75" thickTop="1" x14ac:dyDescent="0.25">
      <c r="L98" s="25">
        <v>46.202213999999998</v>
      </c>
      <c r="M98" s="25">
        <v>-100.648888</v>
      </c>
      <c r="N98" s="25" t="s">
        <v>24</v>
      </c>
      <c r="O98" s="25">
        <v>2016</v>
      </c>
      <c r="P98" s="25" t="s">
        <v>427</v>
      </c>
      <c r="Q98" s="25" t="s">
        <v>428</v>
      </c>
      <c r="R98" s="25" t="s">
        <v>429</v>
      </c>
      <c r="S98" s="25" t="s">
        <v>430</v>
      </c>
      <c r="T98" s="25" t="s">
        <v>430</v>
      </c>
      <c r="U98" s="25" t="s">
        <v>431</v>
      </c>
      <c r="V98" s="25" t="s">
        <v>432</v>
      </c>
      <c r="W98" s="25" t="s">
        <v>433</v>
      </c>
      <c r="X98" s="25" t="s">
        <v>434</v>
      </c>
      <c r="Y98" s="25" t="s">
        <v>430</v>
      </c>
      <c r="Z98" s="25" t="s">
        <v>430</v>
      </c>
      <c r="AA98" s="25">
        <v>54</v>
      </c>
      <c r="AB98" s="25" t="s">
        <v>435</v>
      </c>
      <c r="AC98" s="25" t="s">
        <v>426</v>
      </c>
      <c r="AD98" s="25" t="s">
        <v>430</v>
      </c>
      <c r="AE98" s="25" t="s">
        <v>430</v>
      </c>
      <c r="AF98" s="25" t="s">
        <v>437</v>
      </c>
      <c r="AG98" s="164">
        <v>42725</v>
      </c>
      <c r="AH98" s="25" t="s">
        <v>572</v>
      </c>
      <c r="AI98" s="25" t="s">
        <v>439</v>
      </c>
      <c r="AJ98" s="165">
        <v>44963.145833333336</v>
      </c>
      <c r="AK98" s="25" t="s">
        <v>440</v>
      </c>
      <c r="AL98" s="25" t="s">
        <v>441</v>
      </c>
      <c r="AM98" s="164">
        <v>42849</v>
      </c>
      <c r="AN98" s="164">
        <v>42725</v>
      </c>
      <c r="AO98" s="25" t="s">
        <v>141</v>
      </c>
      <c r="AP98" s="25" t="s">
        <v>430</v>
      </c>
      <c r="AQ98" s="25" t="s">
        <v>430</v>
      </c>
      <c r="AR98" s="25" t="s">
        <v>442</v>
      </c>
      <c r="AS98" s="25" t="s">
        <v>430</v>
      </c>
      <c r="AT98" s="25" t="s">
        <v>430</v>
      </c>
      <c r="AU98" s="25" t="s">
        <v>430</v>
      </c>
      <c r="AV98" s="25" t="s">
        <v>430</v>
      </c>
      <c r="AW98" s="25" t="s">
        <v>443</v>
      </c>
      <c r="AX98" s="25" t="s">
        <v>444</v>
      </c>
      <c r="AY98" s="25" t="s">
        <v>430</v>
      </c>
      <c r="AZ98" s="25" t="s">
        <v>430</v>
      </c>
      <c r="BA98" s="25" t="s">
        <v>430</v>
      </c>
      <c r="BB98" s="25" t="s">
        <v>430</v>
      </c>
      <c r="BC98" s="25" t="s">
        <v>430</v>
      </c>
      <c r="BD98" s="25">
        <v>18</v>
      </c>
      <c r="BE98" s="25">
        <v>24</v>
      </c>
      <c r="BF98" s="25" t="s">
        <v>430</v>
      </c>
      <c r="BG98" s="25" t="s">
        <v>430</v>
      </c>
      <c r="BH98" s="25" t="s">
        <v>445</v>
      </c>
      <c r="BI98" s="25" t="s">
        <v>446</v>
      </c>
      <c r="BJ98" s="25" t="s">
        <v>479</v>
      </c>
      <c r="BK98" s="25" t="s">
        <v>448</v>
      </c>
      <c r="BL98" s="25" t="s">
        <v>444</v>
      </c>
      <c r="BM98" s="25" t="s">
        <v>430</v>
      </c>
      <c r="BN98" s="25" t="s">
        <v>430</v>
      </c>
      <c r="BO98" s="25" t="s">
        <v>430</v>
      </c>
      <c r="BP98" s="25" t="s">
        <v>434</v>
      </c>
      <c r="BQ98" s="25" t="s">
        <v>449</v>
      </c>
      <c r="BR98" s="25" t="s">
        <v>450</v>
      </c>
      <c r="BS98" s="25" t="s">
        <v>430</v>
      </c>
      <c r="BT98" s="25" t="s">
        <v>430</v>
      </c>
      <c r="BU98" s="25" t="s">
        <v>430</v>
      </c>
      <c r="BV98" s="25" t="s">
        <v>430</v>
      </c>
      <c r="BW98" s="25" t="s">
        <v>430</v>
      </c>
      <c r="BX98" s="25" t="s">
        <v>430</v>
      </c>
      <c r="BY98" s="25" t="s">
        <v>430</v>
      </c>
      <c r="BZ98" s="25" t="s">
        <v>451</v>
      </c>
      <c r="CA98" s="25" t="s">
        <v>430</v>
      </c>
      <c r="CB98" s="25" t="s">
        <v>430</v>
      </c>
      <c r="CC98" s="25" t="s">
        <v>430</v>
      </c>
      <c r="CD98" s="25" t="s">
        <v>430</v>
      </c>
      <c r="CE98" s="25" t="s">
        <v>430</v>
      </c>
      <c r="CF98" s="25" t="s">
        <v>441</v>
      </c>
      <c r="CG98" s="25" t="s">
        <v>430</v>
      </c>
      <c r="CH98" s="25" t="s">
        <v>452</v>
      </c>
      <c r="CI98" s="25" t="s">
        <v>516</v>
      </c>
      <c r="CJ98" s="25" t="s">
        <v>454</v>
      </c>
      <c r="CK98" s="25" t="s">
        <v>455</v>
      </c>
      <c r="CL98" s="25" t="s">
        <v>472</v>
      </c>
      <c r="CM98" s="25" t="s">
        <v>430</v>
      </c>
      <c r="CN98" s="25" t="s">
        <v>457</v>
      </c>
      <c r="CO98" s="25" t="s">
        <v>430</v>
      </c>
      <c r="CP98" s="25" t="s">
        <v>430</v>
      </c>
      <c r="CQ98" s="25">
        <v>3</v>
      </c>
      <c r="CR98" s="25" t="s">
        <v>431</v>
      </c>
      <c r="CS98" s="25" t="s">
        <v>430</v>
      </c>
      <c r="CT98" s="25" t="s">
        <v>430</v>
      </c>
      <c r="CU98" s="25" t="s">
        <v>430</v>
      </c>
      <c r="CV98" s="25" t="s">
        <v>430</v>
      </c>
      <c r="CW98" s="25" t="s">
        <v>498</v>
      </c>
      <c r="CX98" s="25" t="s">
        <v>461</v>
      </c>
      <c r="CY98" s="165">
        <v>44963.147222222222</v>
      </c>
      <c r="CZ98" s="25" t="s">
        <v>430</v>
      </c>
      <c r="DA98" s="25" t="s">
        <v>430</v>
      </c>
      <c r="DB98" s="25">
        <v>18</v>
      </c>
      <c r="DC98" s="25" t="s">
        <v>430</v>
      </c>
      <c r="DD98" s="25" t="s">
        <v>434</v>
      </c>
      <c r="DE98" s="25" t="s">
        <v>430</v>
      </c>
      <c r="DF98" s="25" t="s">
        <v>430</v>
      </c>
      <c r="DG98" s="25" t="s">
        <v>462</v>
      </c>
      <c r="DH98" s="25" t="s">
        <v>431</v>
      </c>
      <c r="DI98" s="25" t="s">
        <v>473</v>
      </c>
      <c r="DJ98" s="25" t="s">
        <v>430</v>
      </c>
      <c r="DK98" s="25" t="s">
        <v>430</v>
      </c>
      <c r="DL98" s="25" t="s">
        <v>474</v>
      </c>
      <c r="DM98" s="25" t="s">
        <v>430</v>
      </c>
      <c r="DN98" s="25" t="s">
        <v>430</v>
      </c>
      <c r="DO98" s="25" t="s">
        <v>434</v>
      </c>
      <c r="DP98" s="25" t="s">
        <v>430</v>
      </c>
      <c r="DQ98" s="25" t="s">
        <v>430</v>
      </c>
      <c r="DR98" s="25" t="s">
        <v>465</v>
      </c>
      <c r="DS98" s="25" t="s">
        <v>466</v>
      </c>
      <c r="DT98" s="25" t="s">
        <v>466</v>
      </c>
      <c r="DU98" s="25" t="s">
        <v>431</v>
      </c>
      <c r="DV98" s="25">
        <v>1</v>
      </c>
      <c r="DW98" s="166">
        <v>16172989</v>
      </c>
      <c r="DX98" s="25">
        <v>4</v>
      </c>
      <c r="DY98" s="25">
        <v>43</v>
      </c>
      <c r="DZ98" s="166">
        <v>1032483</v>
      </c>
      <c r="EA98" s="25">
        <v>3</v>
      </c>
      <c r="EB98" s="25">
        <v>1</v>
      </c>
      <c r="EC98" s="25">
        <v>20</v>
      </c>
      <c r="ED98" s="25">
        <v>6</v>
      </c>
      <c r="EE98" s="25">
        <v>2</v>
      </c>
      <c r="EF98" s="25">
        <v>1</v>
      </c>
      <c r="EG98" s="25">
        <v>5</v>
      </c>
      <c r="EH98" s="25">
        <v>7</v>
      </c>
      <c r="EI98" s="25">
        <v>125</v>
      </c>
      <c r="EJ98" s="25">
        <v>0</v>
      </c>
      <c r="EK98" s="25">
        <v>0</v>
      </c>
      <c r="EL98" s="25">
        <v>1</v>
      </c>
      <c r="EM98" s="25">
        <v>1</v>
      </c>
      <c r="EN98" s="25">
        <v>1</v>
      </c>
      <c r="EO98" s="25">
        <v>1</v>
      </c>
      <c r="EP98" s="25">
        <v>1</v>
      </c>
      <c r="EQ98" s="25">
        <v>1</v>
      </c>
      <c r="ER98" s="25">
        <v>65</v>
      </c>
      <c r="ES98" s="25">
        <v>6</v>
      </c>
      <c r="ET98" s="25">
        <v>2</v>
      </c>
      <c r="EU98" s="25">
        <v>0</v>
      </c>
      <c r="EV98" s="25" t="s">
        <v>257</v>
      </c>
    </row>
    <row r="99" spans="1:152" x14ac:dyDescent="0.25">
      <c r="L99" s="25">
        <v>46.343639000000003</v>
      </c>
      <c r="M99" s="25">
        <v>-100.630966</v>
      </c>
      <c r="N99" s="25" t="s">
        <v>24</v>
      </c>
      <c r="O99" s="25">
        <v>2016</v>
      </c>
      <c r="P99" s="25" t="s">
        <v>427</v>
      </c>
      <c r="Q99" s="25" t="s">
        <v>428</v>
      </c>
      <c r="R99" s="25" t="s">
        <v>429</v>
      </c>
      <c r="S99" s="25" t="s">
        <v>430</v>
      </c>
      <c r="T99" s="25" t="s">
        <v>430</v>
      </c>
      <c r="U99" s="25" t="s">
        <v>431</v>
      </c>
      <c r="V99" s="25" t="s">
        <v>432</v>
      </c>
      <c r="W99" s="25" t="s">
        <v>433</v>
      </c>
      <c r="X99" s="25" t="s">
        <v>434</v>
      </c>
      <c r="Y99" s="25" t="s">
        <v>430</v>
      </c>
      <c r="Z99" s="25" t="s">
        <v>430</v>
      </c>
      <c r="AA99" s="25">
        <v>360</v>
      </c>
      <c r="AB99" s="25" t="s">
        <v>491</v>
      </c>
      <c r="AC99" s="25" t="s">
        <v>436</v>
      </c>
      <c r="AD99" s="25" t="s">
        <v>430</v>
      </c>
      <c r="AE99" s="25" t="s">
        <v>430</v>
      </c>
      <c r="AF99" s="25" t="s">
        <v>437</v>
      </c>
      <c r="AG99" s="164">
        <v>42726</v>
      </c>
      <c r="AH99" s="25" t="s">
        <v>484</v>
      </c>
      <c r="AI99" s="25" t="s">
        <v>439</v>
      </c>
      <c r="AJ99" s="165">
        <v>44963.540972222225</v>
      </c>
      <c r="AK99" s="25" t="s">
        <v>440</v>
      </c>
      <c r="AL99" s="25" t="s">
        <v>441</v>
      </c>
      <c r="AM99" s="164">
        <v>42849</v>
      </c>
      <c r="AN99" s="164">
        <v>42726</v>
      </c>
      <c r="AO99" s="25" t="s">
        <v>141</v>
      </c>
      <c r="AP99" s="25" t="s">
        <v>430</v>
      </c>
      <c r="AQ99" s="25" t="s">
        <v>430</v>
      </c>
      <c r="AR99" s="25" t="s">
        <v>442</v>
      </c>
      <c r="AS99" s="25" t="s">
        <v>430</v>
      </c>
      <c r="AT99" s="25" t="s">
        <v>430</v>
      </c>
      <c r="AU99" s="25" t="s">
        <v>430</v>
      </c>
      <c r="AV99" s="25" t="s">
        <v>430</v>
      </c>
      <c r="AW99" s="25" t="s">
        <v>443</v>
      </c>
      <c r="AX99" s="25" t="s">
        <v>660</v>
      </c>
      <c r="AY99" s="25" t="s">
        <v>430</v>
      </c>
      <c r="AZ99" s="25" t="s">
        <v>430</v>
      </c>
      <c r="BA99" s="25" t="s">
        <v>430</v>
      </c>
      <c r="BB99" s="25" t="s">
        <v>430</v>
      </c>
      <c r="BC99" s="25" t="s">
        <v>430</v>
      </c>
      <c r="BD99" s="25">
        <v>28</v>
      </c>
      <c r="BE99" s="25">
        <v>24</v>
      </c>
      <c r="BF99" s="25" t="s">
        <v>430</v>
      </c>
      <c r="BG99" s="25" t="s">
        <v>430</v>
      </c>
      <c r="BH99" s="25" t="s">
        <v>445</v>
      </c>
      <c r="BI99" s="25" t="s">
        <v>446</v>
      </c>
      <c r="BJ99" s="25" t="s">
        <v>447</v>
      </c>
      <c r="BK99" s="25" t="s">
        <v>448</v>
      </c>
      <c r="BL99" s="25" t="s">
        <v>660</v>
      </c>
      <c r="BM99" s="25" t="s">
        <v>430</v>
      </c>
      <c r="BN99" s="25" t="s">
        <v>430</v>
      </c>
      <c r="BO99" s="25">
        <v>1</v>
      </c>
      <c r="BP99" s="25" t="s">
        <v>434</v>
      </c>
      <c r="BQ99" s="25" t="s">
        <v>449</v>
      </c>
      <c r="BR99" s="25" t="s">
        <v>450</v>
      </c>
      <c r="BS99" s="25" t="s">
        <v>430</v>
      </c>
      <c r="BT99" s="25" t="s">
        <v>430</v>
      </c>
      <c r="BU99" s="25" t="s">
        <v>430</v>
      </c>
      <c r="BV99" s="25" t="s">
        <v>430</v>
      </c>
      <c r="BW99" s="25" t="s">
        <v>430</v>
      </c>
      <c r="BX99" s="25" t="s">
        <v>430</v>
      </c>
      <c r="BY99" s="25" t="s">
        <v>430</v>
      </c>
      <c r="BZ99" s="25" t="s">
        <v>451</v>
      </c>
      <c r="CA99" s="25" t="s">
        <v>430</v>
      </c>
      <c r="CB99" s="25" t="s">
        <v>430</v>
      </c>
      <c r="CC99" s="25" t="s">
        <v>430</v>
      </c>
      <c r="CD99" s="25" t="s">
        <v>430</v>
      </c>
      <c r="CE99" s="25" t="s">
        <v>430</v>
      </c>
      <c r="CF99" s="25" t="s">
        <v>441</v>
      </c>
      <c r="CG99" s="25" t="s">
        <v>430</v>
      </c>
      <c r="CH99" s="25" t="s">
        <v>562</v>
      </c>
      <c r="CI99" s="25" t="s">
        <v>516</v>
      </c>
      <c r="CJ99" s="25" t="s">
        <v>454</v>
      </c>
      <c r="CK99" s="25" t="s">
        <v>455</v>
      </c>
      <c r="CL99" s="25" t="s">
        <v>472</v>
      </c>
      <c r="CM99" s="25" t="s">
        <v>430</v>
      </c>
      <c r="CN99" s="25" t="s">
        <v>457</v>
      </c>
      <c r="CO99" s="25" t="s">
        <v>430</v>
      </c>
      <c r="CP99" s="25" t="s">
        <v>430</v>
      </c>
      <c r="CQ99" s="25">
        <v>12</v>
      </c>
      <c r="CR99" s="25" t="s">
        <v>431</v>
      </c>
      <c r="CS99" s="25" t="s">
        <v>430</v>
      </c>
      <c r="CT99" s="25" t="s">
        <v>430</v>
      </c>
      <c r="CU99" s="25" t="s">
        <v>430</v>
      </c>
      <c r="CV99" s="25" t="s">
        <v>430</v>
      </c>
      <c r="CW99" s="25" t="s">
        <v>460</v>
      </c>
      <c r="CX99" s="25" t="s">
        <v>461</v>
      </c>
      <c r="CY99" s="165">
        <v>44963.541666666664</v>
      </c>
      <c r="CZ99" s="25" t="s">
        <v>430</v>
      </c>
      <c r="DA99" s="25" t="s">
        <v>430</v>
      </c>
      <c r="DB99" s="25">
        <v>28</v>
      </c>
      <c r="DC99" s="25" t="s">
        <v>430</v>
      </c>
      <c r="DD99" s="25" t="s">
        <v>434</v>
      </c>
      <c r="DE99" s="25" t="s">
        <v>430</v>
      </c>
      <c r="DF99" s="25" t="s">
        <v>430</v>
      </c>
      <c r="DG99" s="25" t="s">
        <v>462</v>
      </c>
      <c r="DH99" s="25" t="s">
        <v>431</v>
      </c>
      <c r="DI99" s="25" t="s">
        <v>473</v>
      </c>
      <c r="DJ99" s="25" t="s">
        <v>430</v>
      </c>
      <c r="DK99" s="25" t="s">
        <v>430</v>
      </c>
      <c r="DL99" s="25" t="s">
        <v>474</v>
      </c>
      <c r="DM99" s="25" t="s">
        <v>430</v>
      </c>
      <c r="DN99" s="25" t="s">
        <v>430</v>
      </c>
      <c r="DO99" s="25" t="s">
        <v>434</v>
      </c>
      <c r="DP99" s="25" t="s">
        <v>430</v>
      </c>
      <c r="DQ99" s="25" t="s">
        <v>430</v>
      </c>
      <c r="DR99" s="25" t="s">
        <v>465</v>
      </c>
      <c r="DS99" s="25" t="s">
        <v>466</v>
      </c>
      <c r="DT99" s="25" t="s">
        <v>466</v>
      </c>
      <c r="DU99" s="25" t="s">
        <v>431</v>
      </c>
      <c r="DV99" s="25">
        <v>1</v>
      </c>
      <c r="DW99" s="166">
        <v>16174456</v>
      </c>
      <c r="DX99" s="25">
        <v>4</v>
      </c>
      <c r="DY99" s="25">
        <v>43</v>
      </c>
      <c r="DZ99" s="166">
        <v>1032490</v>
      </c>
      <c r="EA99" s="25">
        <v>3</v>
      </c>
      <c r="EB99" s="25">
        <v>1</v>
      </c>
      <c r="EC99" s="25">
        <v>47</v>
      </c>
      <c r="ED99" s="25">
        <v>2</v>
      </c>
      <c r="EE99" s="25">
        <v>2</v>
      </c>
      <c r="EF99" s="25">
        <v>1</v>
      </c>
      <c r="EG99" s="25">
        <v>1</v>
      </c>
      <c r="EH99" s="25">
        <v>7</v>
      </c>
      <c r="EI99" s="25">
        <v>127</v>
      </c>
      <c r="EJ99" s="25">
        <v>0</v>
      </c>
      <c r="EK99" s="25">
        <v>0</v>
      </c>
      <c r="EL99" s="25">
        <v>4</v>
      </c>
      <c r="EM99" s="25">
        <v>1</v>
      </c>
      <c r="EN99" s="25">
        <v>1</v>
      </c>
      <c r="EO99" s="25">
        <v>1</v>
      </c>
      <c r="EP99" s="25">
        <v>1</v>
      </c>
      <c r="EQ99" s="25">
        <v>1</v>
      </c>
      <c r="ER99" s="25">
        <v>65</v>
      </c>
      <c r="ES99" s="25">
        <v>1</v>
      </c>
      <c r="ET99" s="25">
        <v>2</v>
      </c>
      <c r="EU99" s="25">
        <v>0</v>
      </c>
      <c r="EV99" s="25" t="s">
        <v>257</v>
      </c>
    </row>
    <row r="101" spans="1:152" s="167" customFormat="1" ht="15.75" thickBot="1" x14ac:dyDescent="0.3"/>
    <row r="102" spans="1:152" ht="15.75" thickTop="1" x14ac:dyDescent="0.25"/>
    <row r="103" spans="1:152" ht="21" x14ac:dyDescent="0.35">
      <c r="C103" s="285" t="s">
        <v>771</v>
      </c>
    </row>
    <row r="105" spans="1:152" x14ac:dyDescent="0.25">
      <c r="L105" s="1" t="s">
        <v>285</v>
      </c>
    </row>
    <row r="106" spans="1:152" x14ac:dyDescent="0.25">
      <c r="L106" s="25" t="s">
        <v>247</v>
      </c>
      <c r="M106" s="26" t="s">
        <v>248</v>
      </c>
      <c r="N106" s="26" t="s">
        <v>249</v>
      </c>
      <c r="O106" s="26" t="s">
        <v>191</v>
      </c>
      <c r="P106" s="26" t="s">
        <v>53</v>
      </c>
    </row>
    <row r="107" spans="1:152" x14ac:dyDescent="0.25">
      <c r="L107" s="25" t="s">
        <v>250</v>
      </c>
      <c r="M107" s="26">
        <v>1</v>
      </c>
      <c r="N107" s="146">
        <v>48449</v>
      </c>
      <c r="O107" s="147">
        <f t="shared" ref="O107:O113" si="0">N107/5280</f>
        <v>9.1759469696969695</v>
      </c>
      <c r="P107" s="146">
        <v>170</v>
      </c>
    </row>
    <row r="108" spans="1:152" x14ac:dyDescent="0.25">
      <c r="L108" s="25" t="s">
        <v>250</v>
      </c>
      <c r="M108" s="26">
        <v>2</v>
      </c>
      <c r="N108" s="146">
        <v>20939</v>
      </c>
      <c r="O108" s="147">
        <f t="shared" si="0"/>
        <v>3.9657196969696971</v>
      </c>
      <c r="P108" s="146">
        <v>205</v>
      </c>
    </row>
    <row r="109" spans="1:152" x14ac:dyDescent="0.25">
      <c r="L109" s="25" t="s">
        <v>253</v>
      </c>
      <c r="M109" s="26">
        <v>7</v>
      </c>
      <c r="N109" s="146">
        <v>2595</v>
      </c>
      <c r="O109" s="147">
        <f t="shared" si="0"/>
        <v>0.49147727272727271</v>
      </c>
      <c r="P109" s="146">
        <v>2595</v>
      </c>
    </row>
    <row r="110" spans="1:152" x14ac:dyDescent="0.25">
      <c r="L110" s="25" t="s">
        <v>253</v>
      </c>
      <c r="M110" s="26">
        <v>8</v>
      </c>
      <c r="N110" s="146">
        <v>2410</v>
      </c>
      <c r="O110" s="147">
        <f t="shared" si="0"/>
        <v>0.45643939393939392</v>
      </c>
      <c r="P110" s="146">
        <v>2410</v>
      </c>
    </row>
    <row r="111" spans="1:152" x14ac:dyDescent="0.25">
      <c r="L111" s="25" t="s">
        <v>253</v>
      </c>
      <c r="M111" s="26">
        <v>9</v>
      </c>
      <c r="N111" s="146">
        <v>2210</v>
      </c>
      <c r="O111" s="147">
        <f t="shared" si="0"/>
        <v>0.41856060606060608</v>
      </c>
      <c r="P111" s="146">
        <v>2210</v>
      </c>
    </row>
    <row r="112" spans="1:152" x14ac:dyDescent="0.25">
      <c r="L112" s="25" t="s">
        <v>253</v>
      </c>
      <c r="M112" s="26">
        <v>10</v>
      </c>
      <c r="N112" s="146">
        <v>2010</v>
      </c>
      <c r="O112" s="147">
        <f t="shared" si="0"/>
        <v>0.38068181818181818</v>
      </c>
      <c r="P112" s="146">
        <v>2010</v>
      </c>
    </row>
    <row r="113" spans="12:152" x14ac:dyDescent="0.25">
      <c r="L113" s="25" t="s">
        <v>253</v>
      </c>
      <c r="M113" s="26">
        <v>11</v>
      </c>
      <c r="N113" s="146">
        <v>1750</v>
      </c>
      <c r="O113" s="147">
        <f t="shared" si="0"/>
        <v>0.33143939393939392</v>
      </c>
      <c r="P113" s="146">
        <v>1750</v>
      </c>
    </row>
    <row r="114" spans="12:152" x14ac:dyDescent="0.25">
      <c r="O114" s="2" t="s">
        <v>251</v>
      </c>
      <c r="P114" s="148">
        <f>SUMPRODUCT($O$107:$O$113,$P$107:$P$113)</f>
        <v>7018.4943181818171</v>
      </c>
    </row>
    <row r="115" spans="12:152" x14ac:dyDescent="0.25">
      <c r="O115" s="2" t="s">
        <v>252</v>
      </c>
      <c r="P115" s="148">
        <f>P114*365</f>
        <v>2561750.4261363633</v>
      </c>
    </row>
    <row r="117" spans="12:152" x14ac:dyDescent="0.25">
      <c r="L117" s="1" t="s">
        <v>286</v>
      </c>
    </row>
    <row r="118" spans="12:152" x14ac:dyDescent="0.25">
      <c r="L118" s="25" t="s">
        <v>287</v>
      </c>
      <c r="M118" s="25" t="s">
        <v>288</v>
      </c>
      <c r="N118" s="25" t="s">
        <v>289</v>
      </c>
      <c r="O118" s="25" t="s">
        <v>290</v>
      </c>
      <c r="P118" s="25" t="s">
        <v>291</v>
      </c>
      <c r="Q118" s="25" t="s">
        <v>292</v>
      </c>
      <c r="R118" s="25" t="s">
        <v>293</v>
      </c>
      <c r="S118" s="25" t="s">
        <v>294</v>
      </c>
      <c r="T118" s="25" t="s">
        <v>295</v>
      </c>
      <c r="U118" s="25" t="s">
        <v>296</v>
      </c>
      <c r="V118" s="25" t="s">
        <v>297</v>
      </c>
      <c r="W118" s="25" t="s">
        <v>298</v>
      </c>
      <c r="X118" s="25" t="s">
        <v>299</v>
      </c>
      <c r="Y118" s="25" t="s">
        <v>300</v>
      </c>
      <c r="Z118" s="25" t="s">
        <v>301</v>
      </c>
      <c r="AA118" s="25" t="s">
        <v>302</v>
      </c>
      <c r="AB118" s="25" t="s">
        <v>303</v>
      </c>
      <c r="AC118" s="25" t="s">
        <v>304</v>
      </c>
      <c r="AD118" s="25" t="s">
        <v>305</v>
      </c>
      <c r="AE118" s="25" t="s">
        <v>306</v>
      </c>
      <c r="AF118" s="25" t="s">
        <v>307</v>
      </c>
      <c r="AG118" s="25" t="s">
        <v>308</v>
      </c>
      <c r="AH118" s="25" t="s">
        <v>309</v>
      </c>
      <c r="AI118" s="25" t="s">
        <v>310</v>
      </c>
      <c r="AJ118" s="25" t="s">
        <v>311</v>
      </c>
      <c r="AK118" s="25" t="s">
        <v>312</v>
      </c>
      <c r="AL118" s="25" t="s">
        <v>313</v>
      </c>
      <c r="AM118" s="25" t="s">
        <v>314</v>
      </c>
      <c r="AN118" s="25" t="s">
        <v>315</v>
      </c>
      <c r="AO118" s="25" t="s">
        <v>316</v>
      </c>
      <c r="AP118" s="25" t="s">
        <v>317</v>
      </c>
      <c r="AQ118" s="25" t="s">
        <v>318</v>
      </c>
      <c r="AR118" s="25" t="s">
        <v>319</v>
      </c>
      <c r="AS118" s="25" t="s">
        <v>320</v>
      </c>
      <c r="AT118" s="25" t="s">
        <v>321</v>
      </c>
      <c r="AU118" s="25" t="s">
        <v>322</v>
      </c>
      <c r="AV118" s="25" t="s">
        <v>323</v>
      </c>
      <c r="AW118" s="25" t="s">
        <v>324</v>
      </c>
      <c r="AX118" s="25" t="s">
        <v>325</v>
      </c>
      <c r="AY118" s="25" t="s">
        <v>326</v>
      </c>
      <c r="AZ118" s="25" t="s">
        <v>327</v>
      </c>
      <c r="BA118" s="25" t="s">
        <v>328</v>
      </c>
      <c r="BB118" s="25" t="s">
        <v>329</v>
      </c>
      <c r="BC118" s="25" t="s">
        <v>330</v>
      </c>
      <c r="BD118" s="25" t="s">
        <v>331</v>
      </c>
      <c r="BE118" s="25" t="s">
        <v>332</v>
      </c>
      <c r="BF118" s="25" t="s">
        <v>333</v>
      </c>
      <c r="BG118" s="25" t="s">
        <v>334</v>
      </c>
      <c r="BH118" s="25" t="s">
        <v>335</v>
      </c>
      <c r="BI118" s="25" t="s">
        <v>336</v>
      </c>
      <c r="BJ118" s="25" t="s">
        <v>337</v>
      </c>
      <c r="BK118" s="25" t="s">
        <v>338</v>
      </c>
      <c r="BL118" s="25" t="s">
        <v>339</v>
      </c>
      <c r="BM118" s="25" t="s">
        <v>340</v>
      </c>
      <c r="BN118" s="25" t="s">
        <v>341</v>
      </c>
      <c r="BO118" s="25" t="s">
        <v>342</v>
      </c>
      <c r="BP118" s="25" t="s">
        <v>343</v>
      </c>
      <c r="BQ118" s="25" t="s">
        <v>344</v>
      </c>
      <c r="BR118" s="25" t="s">
        <v>345</v>
      </c>
      <c r="BS118" s="25" t="s">
        <v>346</v>
      </c>
      <c r="BT118" s="25" t="s">
        <v>347</v>
      </c>
      <c r="BU118" s="25" t="s">
        <v>348</v>
      </c>
      <c r="BV118" s="25" t="s">
        <v>349</v>
      </c>
      <c r="BW118" s="25" t="s">
        <v>350</v>
      </c>
      <c r="BX118" s="25" t="s">
        <v>351</v>
      </c>
      <c r="BY118" s="25" t="s">
        <v>352</v>
      </c>
      <c r="BZ118" s="25" t="s">
        <v>353</v>
      </c>
      <c r="CA118" s="25" t="s">
        <v>354</v>
      </c>
      <c r="CB118" s="25" t="s">
        <v>355</v>
      </c>
      <c r="CC118" s="25" t="s">
        <v>356</v>
      </c>
      <c r="CD118" s="25" t="s">
        <v>357</v>
      </c>
      <c r="CE118" s="25" t="s">
        <v>358</v>
      </c>
      <c r="CF118" s="25" t="s">
        <v>359</v>
      </c>
      <c r="CG118" s="25" t="s">
        <v>360</v>
      </c>
      <c r="CH118" s="25" t="s">
        <v>361</v>
      </c>
      <c r="CI118" s="25" t="s">
        <v>362</v>
      </c>
      <c r="CJ118" s="25" t="s">
        <v>363</v>
      </c>
      <c r="CK118" s="25" t="s">
        <v>364</v>
      </c>
      <c r="CL118" s="25" t="s">
        <v>365</v>
      </c>
      <c r="CM118" s="25" t="s">
        <v>366</v>
      </c>
      <c r="CN118" s="25" t="s">
        <v>367</v>
      </c>
      <c r="CO118" s="25" t="s">
        <v>368</v>
      </c>
      <c r="CP118" s="25" t="s">
        <v>369</v>
      </c>
      <c r="CQ118" s="25" t="s">
        <v>370</v>
      </c>
      <c r="CR118" s="25" t="s">
        <v>371</v>
      </c>
      <c r="CS118" s="25" t="s">
        <v>372</v>
      </c>
      <c r="CT118" s="25" t="s">
        <v>373</v>
      </c>
      <c r="CU118" s="25" t="s">
        <v>374</v>
      </c>
      <c r="CV118" s="25" t="s">
        <v>375</v>
      </c>
      <c r="CW118" s="25" t="s">
        <v>376</v>
      </c>
      <c r="CX118" s="25" t="s">
        <v>377</v>
      </c>
      <c r="CY118" s="25" t="s">
        <v>378</v>
      </c>
      <c r="CZ118" s="25" t="s">
        <v>379</v>
      </c>
      <c r="DA118" s="25" t="s">
        <v>380</v>
      </c>
      <c r="DB118" s="25" t="s">
        <v>381</v>
      </c>
      <c r="DC118" s="25" t="s">
        <v>382</v>
      </c>
      <c r="DD118" s="25" t="s">
        <v>383</v>
      </c>
      <c r="DE118" s="25" t="s">
        <v>384</v>
      </c>
      <c r="DF118" s="25" t="s">
        <v>385</v>
      </c>
      <c r="DG118" s="25" t="s">
        <v>386</v>
      </c>
      <c r="DH118" s="25" t="s">
        <v>387</v>
      </c>
      <c r="DI118" s="25" t="s">
        <v>388</v>
      </c>
      <c r="DJ118" s="25" t="s">
        <v>389</v>
      </c>
      <c r="DK118" s="25" t="s">
        <v>390</v>
      </c>
      <c r="DL118" s="25" t="s">
        <v>391</v>
      </c>
      <c r="DM118" s="25" t="s">
        <v>392</v>
      </c>
      <c r="DN118" s="25" t="s">
        <v>393</v>
      </c>
      <c r="DO118" s="25" t="s">
        <v>394</v>
      </c>
      <c r="DP118" s="25" t="s">
        <v>395</v>
      </c>
      <c r="DQ118" s="25" t="s">
        <v>396</v>
      </c>
      <c r="DR118" s="25" t="s">
        <v>397</v>
      </c>
      <c r="DS118" s="25" t="s">
        <v>398</v>
      </c>
      <c r="DT118" s="25" t="s">
        <v>399</v>
      </c>
      <c r="DU118" s="25" t="s">
        <v>400</v>
      </c>
      <c r="DV118" s="25" t="s">
        <v>401</v>
      </c>
      <c r="DW118" s="25" t="s">
        <v>402</v>
      </c>
      <c r="DX118" s="25" t="s">
        <v>403</v>
      </c>
      <c r="DY118" s="25" t="s">
        <v>404</v>
      </c>
      <c r="DZ118" s="25" t="s">
        <v>405</v>
      </c>
      <c r="EA118" s="25" t="s">
        <v>406</v>
      </c>
      <c r="EB118" s="25" t="s">
        <v>407</v>
      </c>
      <c r="EC118" s="25" t="s">
        <v>408</v>
      </c>
      <c r="ED118" s="25" t="s">
        <v>409</v>
      </c>
      <c r="EE118" s="25" t="s">
        <v>410</v>
      </c>
      <c r="EF118" s="25" t="s">
        <v>411</v>
      </c>
      <c r="EG118" s="25" t="s">
        <v>412</v>
      </c>
      <c r="EH118" s="25" t="s">
        <v>413</v>
      </c>
      <c r="EI118" s="25" t="s">
        <v>414</v>
      </c>
      <c r="EJ118" s="25" t="s">
        <v>415</v>
      </c>
      <c r="EK118" s="25" t="s">
        <v>416</v>
      </c>
      <c r="EL118" s="25" t="s">
        <v>417</v>
      </c>
      <c r="EM118" s="25" t="s">
        <v>418</v>
      </c>
      <c r="EN118" s="25" t="s">
        <v>419</v>
      </c>
      <c r="EO118" s="25" t="s">
        <v>420</v>
      </c>
      <c r="EP118" s="25" t="s">
        <v>421</v>
      </c>
      <c r="EQ118" s="25" t="s">
        <v>422</v>
      </c>
      <c r="ER118" s="25" t="s">
        <v>423</v>
      </c>
      <c r="ES118" s="25" t="s">
        <v>424</v>
      </c>
      <c r="ET118" s="25" t="s">
        <v>425</v>
      </c>
      <c r="EU118" s="25" t="s">
        <v>426</v>
      </c>
      <c r="EV118" s="25" t="s">
        <v>366</v>
      </c>
    </row>
    <row r="119" spans="12:152" x14ac:dyDescent="0.25">
      <c r="L119" s="25">
        <v>46.155182000000003</v>
      </c>
      <c r="M119" s="25">
        <v>-100.683172</v>
      </c>
      <c r="N119" s="25" t="s">
        <v>24</v>
      </c>
      <c r="O119" s="25">
        <v>2017</v>
      </c>
      <c r="P119" s="25" t="s">
        <v>427</v>
      </c>
      <c r="Q119" s="25" t="s">
        <v>428</v>
      </c>
      <c r="R119" s="25" t="s">
        <v>429</v>
      </c>
      <c r="S119" s="25" t="s">
        <v>430</v>
      </c>
      <c r="T119" s="25" t="s">
        <v>430</v>
      </c>
      <c r="U119" s="25" t="s">
        <v>431</v>
      </c>
      <c r="V119" s="25" t="s">
        <v>432</v>
      </c>
      <c r="W119" s="25" t="s">
        <v>433</v>
      </c>
      <c r="X119" s="25" t="s">
        <v>434</v>
      </c>
      <c r="Y119" s="25" t="s">
        <v>430</v>
      </c>
      <c r="Z119" s="25" t="s">
        <v>430</v>
      </c>
      <c r="AA119" s="25">
        <v>54</v>
      </c>
      <c r="AB119" s="25" t="s">
        <v>435</v>
      </c>
      <c r="AC119" s="25" t="s">
        <v>436</v>
      </c>
      <c r="AD119" s="25" t="s">
        <v>430</v>
      </c>
      <c r="AE119" s="25" t="s">
        <v>430</v>
      </c>
      <c r="AF119" s="25" t="s">
        <v>437</v>
      </c>
      <c r="AG119" s="164">
        <v>42777</v>
      </c>
      <c r="AH119" s="25" t="s">
        <v>468</v>
      </c>
      <c r="AI119" s="25">
        <v>9</v>
      </c>
      <c r="AJ119" s="165">
        <v>44844.390972222223</v>
      </c>
      <c r="AK119" s="25" t="s">
        <v>440</v>
      </c>
      <c r="AL119" s="25" t="s">
        <v>441</v>
      </c>
      <c r="AM119" s="164">
        <v>43304</v>
      </c>
      <c r="AN119" s="164">
        <v>42777</v>
      </c>
      <c r="AO119" s="25" t="s">
        <v>141</v>
      </c>
      <c r="AP119" s="25" t="s">
        <v>430</v>
      </c>
      <c r="AQ119" s="25" t="s">
        <v>430</v>
      </c>
      <c r="AR119" s="25" t="s">
        <v>442</v>
      </c>
      <c r="AS119" s="25" t="s">
        <v>430</v>
      </c>
      <c r="AT119" s="25" t="s">
        <v>430</v>
      </c>
      <c r="AU119" s="25" t="s">
        <v>430</v>
      </c>
      <c r="AV119" s="25" t="s">
        <v>430</v>
      </c>
      <c r="AW119" s="25" t="s">
        <v>443</v>
      </c>
      <c r="AX119" s="25" t="s">
        <v>444</v>
      </c>
      <c r="AY119" s="25" t="s">
        <v>430</v>
      </c>
      <c r="AZ119" s="25" t="s">
        <v>430</v>
      </c>
      <c r="BA119" s="25" t="s">
        <v>430</v>
      </c>
      <c r="BB119" s="25" t="s">
        <v>430</v>
      </c>
      <c r="BC119" s="25" t="s">
        <v>430</v>
      </c>
      <c r="BD119" s="25">
        <v>14.17</v>
      </c>
      <c r="BE119" s="25">
        <v>24</v>
      </c>
      <c r="BF119" s="25" t="s">
        <v>430</v>
      </c>
      <c r="BG119" s="25" t="s">
        <v>430</v>
      </c>
      <c r="BH119" s="25" t="s">
        <v>445</v>
      </c>
      <c r="BI119" s="25" t="s">
        <v>446</v>
      </c>
      <c r="BJ119" s="25" t="s">
        <v>447</v>
      </c>
      <c r="BK119" s="25" t="s">
        <v>448</v>
      </c>
      <c r="BL119" s="25" t="s">
        <v>469</v>
      </c>
      <c r="BM119" s="25" t="s">
        <v>430</v>
      </c>
      <c r="BN119" s="25" t="s">
        <v>430</v>
      </c>
      <c r="BO119" s="25">
        <v>0</v>
      </c>
      <c r="BP119" s="25" t="s">
        <v>434</v>
      </c>
      <c r="BQ119" s="25" t="s">
        <v>470</v>
      </c>
      <c r="BR119" s="25" t="s">
        <v>471</v>
      </c>
      <c r="BS119" s="25" t="s">
        <v>430</v>
      </c>
      <c r="BT119" s="25" t="s">
        <v>430</v>
      </c>
      <c r="BU119" s="25" t="s">
        <v>430</v>
      </c>
      <c r="BV119" s="25" t="s">
        <v>430</v>
      </c>
      <c r="BW119" s="25" t="s">
        <v>430</v>
      </c>
      <c r="BX119" s="25" t="s">
        <v>430</v>
      </c>
      <c r="BY119" s="25" t="s">
        <v>430</v>
      </c>
      <c r="BZ119" s="25" t="s">
        <v>451</v>
      </c>
      <c r="CA119" s="25" t="s">
        <v>430</v>
      </c>
      <c r="CB119" s="25" t="s">
        <v>430</v>
      </c>
      <c r="CC119" s="25" t="s">
        <v>430</v>
      </c>
      <c r="CD119" s="25" t="s">
        <v>430</v>
      </c>
      <c r="CE119" s="25" t="s">
        <v>430</v>
      </c>
      <c r="CF119" s="25" t="s">
        <v>441</v>
      </c>
      <c r="CG119" s="25" t="s">
        <v>430</v>
      </c>
      <c r="CH119" s="25" t="s">
        <v>452</v>
      </c>
      <c r="CI119" s="25" t="s">
        <v>453</v>
      </c>
      <c r="CJ119" s="25" t="s">
        <v>454</v>
      </c>
      <c r="CK119" s="25" t="s">
        <v>455</v>
      </c>
      <c r="CL119" s="25" t="s">
        <v>472</v>
      </c>
      <c r="CM119" s="25" t="s">
        <v>430</v>
      </c>
      <c r="CN119" s="25" t="s">
        <v>457</v>
      </c>
      <c r="CO119" s="25" t="s">
        <v>430</v>
      </c>
      <c r="CP119" s="25" t="s">
        <v>430</v>
      </c>
      <c r="CQ119" s="25" t="s">
        <v>439</v>
      </c>
      <c r="CR119" s="25" t="s">
        <v>431</v>
      </c>
      <c r="CS119" s="25" t="s">
        <v>430</v>
      </c>
      <c r="CT119" s="25" t="s">
        <v>430</v>
      </c>
      <c r="CU119" s="25" t="s">
        <v>430</v>
      </c>
      <c r="CV119" s="25" t="s">
        <v>430</v>
      </c>
      <c r="CW119" s="25" t="s">
        <v>460</v>
      </c>
      <c r="CX119" s="25" t="s">
        <v>461</v>
      </c>
      <c r="CY119" s="165">
        <v>44844.39166666667</v>
      </c>
      <c r="CZ119" s="25" t="s">
        <v>430</v>
      </c>
      <c r="DA119" s="25" t="s">
        <v>430</v>
      </c>
      <c r="DB119" s="25">
        <v>14.17</v>
      </c>
      <c r="DC119" s="25" t="s">
        <v>430</v>
      </c>
      <c r="DD119" s="25" t="s">
        <v>434</v>
      </c>
      <c r="DE119" s="25" t="s">
        <v>430</v>
      </c>
      <c r="DF119" s="25" t="s">
        <v>430</v>
      </c>
      <c r="DG119" s="25" t="s">
        <v>462</v>
      </c>
      <c r="DH119" s="25" t="s">
        <v>431</v>
      </c>
      <c r="DI119" s="25" t="s">
        <v>473</v>
      </c>
      <c r="DJ119" s="25" t="s">
        <v>430</v>
      </c>
      <c r="DK119" s="25" t="s">
        <v>430</v>
      </c>
      <c r="DL119" s="25" t="s">
        <v>474</v>
      </c>
      <c r="DM119" s="25" t="s">
        <v>430</v>
      </c>
      <c r="DN119" s="25" t="s">
        <v>430</v>
      </c>
      <c r="DO119" s="25" t="s">
        <v>434</v>
      </c>
      <c r="DP119" s="25" t="s">
        <v>430</v>
      </c>
      <c r="DQ119" s="25" t="s">
        <v>430</v>
      </c>
      <c r="DR119" s="25" t="s">
        <v>465</v>
      </c>
      <c r="DS119" s="25" t="s">
        <v>466</v>
      </c>
      <c r="DT119" s="25" t="s">
        <v>466</v>
      </c>
      <c r="DU119" s="25" t="s">
        <v>431</v>
      </c>
      <c r="DV119" s="25">
        <v>1</v>
      </c>
      <c r="DW119" s="166">
        <v>17019264</v>
      </c>
      <c r="DX119" s="25">
        <v>4</v>
      </c>
      <c r="DY119" s="25">
        <v>43</v>
      </c>
      <c r="DZ119" s="166">
        <v>1058880</v>
      </c>
      <c r="EA119" s="25">
        <v>3</v>
      </c>
      <c r="EB119" s="25">
        <v>1</v>
      </c>
      <c r="EC119" s="25">
        <v>20</v>
      </c>
      <c r="ED119" s="25">
        <v>6</v>
      </c>
      <c r="EE119" s="25">
        <v>2</v>
      </c>
      <c r="EF119" s="25">
        <v>1</v>
      </c>
      <c r="EG119" s="25">
        <v>1</v>
      </c>
      <c r="EH119" s="25">
        <v>7</v>
      </c>
      <c r="EI119" s="166">
        <v>293500</v>
      </c>
      <c r="EJ119" s="25">
        <v>0</v>
      </c>
      <c r="EK119" s="25">
        <v>0</v>
      </c>
      <c r="EL119" s="25">
        <v>1</v>
      </c>
      <c r="EM119" s="25">
        <v>0</v>
      </c>
      <c r="EN119" s="25">
        <v>1</v>
      </c>
      <c r="EO119" s="25">
        <v>1</v>
      </c>
      <c r="EP119" s="25">
        <v>1</v>
      </c>
      <c r="EQ119" s="25">
        <v>1</v>
      </c>
      <c r="ER119" s="25">
        <v>65</v>
      </c>
      <c r="ES119" s="25">
        <v>1</v>
      </c>
      <c r="ET119" s="25">
        <v>2</v>
      </c>
      <c r="EU119" s="25">
        <v>0</v>
      </c>
      <c r="EV119" s="25" t="s">
        <v>246</v>
      </c>
    </row>
    <row r="120" spans="12:152" x14ac:dyDescent="0.25">
      <c r="L120" s="25">
        <v>46.095959999999998</v>
      </c>
      <c r="M120" s="25">
        <v>-100.675011</v>
      </c>
      <c r="N120" s="25" t="s">
        <v>475</v>
      </c>
      <c r="O120" s="25">
        <v>2017</v>
      </c>
      <c r="P120" s="25" t="s">
        <v>427</v>
      </c>
      <c r="Q120" s="25" t="s">
        <v>428</v>
      </c>
      <c r="R120" s="25" t="s">
        <v>476</v>
      </c>
      <c r="S120" s="25" t="s">
        <v>430</v>
      </c>
      <c r="T120" s="25" t="s">
        <v>430</v>
      </c>
      <c r="U120" s="25" t="s">
        <v>446</v>
      </c>
      <c r="V120" s="25" t="s">
        <v>432</v>
      </c>
      <c r="W120" s="25" t="s">
        <v>433</v>
      </c>
      <c r="X120" s="25" t="s">
        <v>477</v>
      </c>
      <c r="Y120" s="25" t="s">
        <v>430</v>
      </c>
      <c r="Z120" s="25" t="s">
        <v>430</v>
      </c>
      <c r="AA120" s="25">
        <v>54</v>
      </c>
      <c r="AB120" s="25" t="s">
        <v>435</v>
      </c>
      <c r="AC120" s="25" t="s">
        <v>478</v>
      </c>
      <c r="AD120" s="25" t="s">
        <v>430</v>
      </c>
      <c r="AE120" s="25" t="s">
        <v>430</v>
      </c>
      <c r="AF120" s="25" t="s">
        <v>437</v>
      </c>
      <c r="AG120" s="164">
        <v>42905</v>
      </c>
      <c r="AH120" s="25" t="s">
        <v>438</v>
      </c>
      <c r="AI120" s="25">
        <v>3</v>
      </c>
      <c r="AJ120" s="165">
        <v>44844.129861111112</v>
      </c>
      <c r="AK120" s="25" t="s">
        <v>440</v>
      </c>
      <c r="AL120" s="25" t="s">
        <v>441</v>
      </c>
      <c r="AM120" s="164">
        <v>43716</v>
      </c>
      <c r="AN120" s="164">
        <v>42905</v>
      </c>
      <c r="AO120" s="25" t="s">
        <v>141</v>
      </c>
      <c r="AP120" s="25" t="s">
        <v>430</v>
      </c>
      <c r="AQ120" s="25" t="s">
        <v>430</v>
      </c>
      <c r="AR120" s="25" t="s">
        <v>442</v>
      </c>
      <c r="AS120" s="25" t="s">
        <v>430</v>
      </c>
      <c r="AT120" s="25" t="s">
        <v>430</v>
      </c>
      <c r="AU120" s="25" t="s">
        <v>430</v>
      </c>
      <c r="AV120" s="25">
        <v>41</v>
      </c>
      <c r="AW120" s="25" t="s">
        <v>443</v>
      </c>
      <c r="AX120" s="25" t="s">
        <v>444</v>
      </c>
      <c r="AY120" s="25" t="s">
        <v>430</v>
      </c>
      <c r="AZ120" s="25" t="s">
        <v>430</v>
      </c>
      <c r="BA120" s="25" t="s">
        <v>430</v>
      </c>
      <c r="BB120" s="25" t="s">
        <v>430</v>
      </c>
      <c r="BC120" s="25" t="s">
        <v>430</v>
      </c>
      <c r="BD120" s="25">
        <v>10.029999999999999</v>
      </c>
      <c r="BE120" s="25">
        <v>24</v>
      </c>
      <c r="BF120" s="25" t="s">
        <v>430</v>
      </c>
      <c r="BG120" s="25" t="s">
        <v>430</v>
      </c>
      <c r="BH120" s="25" t="s">
        <v>445</v>
      </c>
      <c r="BI120" s="25" t="s">
        <v>446</v>
      </c>
      <c r="BJ120" s="25" t="s">
        <v>479</v>
      </c>
      <c r="BK120" s="25" t="s">
        <v>448</v>
      </c>
      <c r="BL120" s="25" t="s">
        <v>444</v>
      </c>
      <c r="BM120" s="25" t="s">
        <v>430</v>
      </c>
      <c r="BN120" s="25" t="s">
        <v>430</v>
      </c>
      <c r="BO120" s="25">
        <v>0</v>
      </c>
      <c r="BP120" s="25" t="s">
        <v>434</v>
      </c>
      <c r="BQ120" s="25" t="s">
        <v>449</v>
      </c>
      <c r="BR120" s="25" t="s">
        <v>450</v>
      </c>
      <c r="BS120" s="25" t="s">
        <v>430</v>
      </c>
      <c r="BT120" s="25">
        <v>35</v>
      </c>
      <c r="BU120" s="25" t="s">
        <v>430</v>
      </c>
      <c r="BV120" s="25" t="s">
        <v>430</v>
      </c>
      <c r="BW120" s="25" t="s">
        <v>480</v>
      </c>
      <c r="BX120" s="25" t="s">
        <v>430</v>
      </c>
      <c r="BY120" s="25" t="s">
        <v>430</v>
      </c>
      <c r="BZ120" s="25" t="s">
        <v>433</v>
      </c>
      <c r="CA120" s="25" t="s">
        <v>430</v>
      </c>
      <c r="CB120" s="25" t="s">
        <v>430</v>
      </c>
      <c r="CC120" s="25" t="s">
        <v>481</v>
      </c>
      <c r="CD120" s="25" t="s">
        <v>430</v>
      </c>
      <c r="CE120" s="25" t="s">
        <v>430</v>
      </c>
      <c r="CF120" s="25" t="s">
        <v>441</v>
      </c>
      <c r="CG120" s="25" t="s">
        <v>430</v>
      </c>
      <c r="CH120" s="25" t="s">
        <v>452</v>
      </c>
      <c r="CI120" s="25" t="s">
        <v>453</v>
      </c>
      <c r="CJ120" s="25" t="s">
        <v>454</v>
      </c>
      <c r="CK120" s="25" t="s">
        <v>455</v>
      </c>
      <c r="CL120" s="25" t="s">
        <v>472</v>
      </c>
      <c r="CM120" s="25" t="s">
        <v>430</v>
      </c>
      <c r="CN120" s="25" t="s">
        <v>457</v>
      </c>
      <c r="CO120" s="25" t="s">
        <v>430</v>
      </c>
      <c r="CP120" s="25" t="s">
        <v>430</v>
      </c>
      <c r="CQ120" s="25" t="s">
        <v>439</v>
      </c>
      <c r="CR120" s="25" t="s">
        <v>431</v>
      </c>
      <c r="CS120" s="25" t="s">
        <v>430</v>
      </c>
      <c r="CT120" s="25" t="s">
        <v>430</v>
      </c>
      <c r="CU120" s="25" t="s">
        <v>430</v>
      </c>
      <c r="CV120" s="25" t="s">
        <v>430</v>
      </c>
      <c r="CW120" s="25" t="s">
        <v>460</v>
      </c>
      <c r="CX120" s="25" t="s">
        <v>461</v>
      </c>
      <c r="CY120" s="165">
        <v>44844.130555555559</v>
      </c>
      <c r="CZ120" s="25" t="s">
        <v>430</v>
      </c>
      <c r="DA120" s="25" t="s">
        <v>430</v>
      </c>
      <c r="DB120" s="25">
        <v>10.029999999999999</v>
      </c>
      <c r="DC120" s="25" t="s">
        <v>430</v>
      </c>
      <c r="DD120" s="25" t="s">
        <v>434</v>
      </c>
      <c r="DE120" s="25" t="s">
        <v>430</v>
      </c>
      <c r="DF120" s="25" t="s">
        <v>430</v>
      </c>
      <c r="DG120" s="25" t="s">
        <v>462</v>
      </c>
      <c r="DH120" s="25" t="s">
        <v>431</v>
      </c>
      <c r="DI120" s="25" t="s">
        <v>463</v>
      </c>
      <c r="DJ120" s="25" t="s">
        <v>430</v>
      </c>
      <c r="DK120" s="25" t="s">
        <v>430</v>
      </c>
      <c r="DL120" s="25" t="s">
        <v>474</v>
      </c>
      <c r="DM120" s="25" t="s">
        <v>430</v>
      </c>
      <c r="DN120" s="25" t="s">
        <v>430</v>
      </c>
      <c r="DO120" s="25" t="s">
        <v>434</v>
      </c>
      <c r="DP120" s="25" t="s">
        <v>430</v>
      </c>
      <c r="DQ120" s="25" t="s">
        <v>430</v>
      </c>
      <c r="DR120" s="25" t="s">
        <v>465</v>
      </c>
      <c r="DS120" s="25" t="s">
        <v>466</v>
      </c>
      <c r="DT120" s="25" t="s">
        <v>466</v>
      </c>
      <c r="DU120" s="25" t="s">
        <v>431</v>
      </c>
      <c r="DV120" s="25">
        <v>1</v>
      </c>
      <c r="DW120" s="166">
        <v>17079878</v>
      </c>
      <c r="DX120" s="25">
        <v>4</v>
      </c>
      <c r="DY120" s="25">
        <v>43</v>
      </c>
      <c r="DZ120" s="166">
        <v>1083392</v>
      </c>
      <c r="EA120" s="25">
        <v>4</v>
      </c>
      <c r="EB120" s="25">
        <v>1</v>
      </c>
      <c r="EC120" s="25">
        <v>20</v>
      </c>
      <c r="ED120" s="25">
        <v>6</v>
      </c>
      <c r="EE120" s="25">
        <v>2</v>
      </c>
      <c r="EF120" s="25">
        <v>1</v>
      </c>
      <c r="EG120" s="25">
        <v>5</v>
      </c>
      <c r="EH120" s="25">
        <v>7</v>
      </c>
      <c r="EI120" s="166">
        <v>316448</v>
      </c>
      <c r="EJ120" s="25">
        <v>0</v>
      </c>
      <c r="EK120" s="25">
        <v>0</v>
      </c>
      <c r="EL120" s="25">
        <v>1</v>
      </c>
      <c r="EM120" s="25">
        <v>0</v>
      </c>
      <c r="EN120" s="25">
        <v>1</v>
      </c>
      <c r="EO120" s="25">
        <v>1</v>
      </c>
      <c r="EP120" s="25">
        <v>1</v>
      </c>
      <c r="EQ120" s="25">
        <v>1</v>
      </c>
      <c r="ER120" s="25">
        <v>65</v>
      </c>
      <c r="ES120" s="25">
        <v>1</v>
      </c>
      <c r="ET120" s="25">
        <v>2</v>
      </c>
      <c r="EU120" s="25">
        <v>0</v>
      </c>
      <c r="EV120" s="25" t="s">
        <v>246</v>
      </c>
    </row>
    <row r="121" spans="12:152" x14ac:dyDescent="0.25">
      <c r="L121" s="25">
        <v>46.124499999999998</v>
      </c>
      <c r="M121" s="25">
        <v>-100.68</v>
      </c>
      <c r="N121" s="25" t="s">
        <v>24</v>
      </c>
      <c r="O121" s="25">
        <v>2012</v>
      </c>
      <c r="P121" s="25" t="s">
        <v>427</v>
      </c>
      <c r="Q121" s="25" t="s">
        <v>428</v>
      </c>
      <c r="R121" s="25" t="s">
        <v>482</v>
      </c>
      <c r="S121" s="25" t="s">
        <v>482</v>
      </c>
      <c r="T121" s="25" t="s">
        <v>430</v>
      </c>
      <c r="U121" s="25" t="s">
        <v>431</v>
      </c>
      <c r="V121" s="25" t="s">
        <v>432</v>
      </c>
      <c r="W121" s="25" t="s">
        <v>433</v>
      </c>
      <c r="X121" s="25" t="s">
        <v>483</v>
      </c>
      <c r="Y121" s="25" t="s">
        <v>434</v>
      </c>
      <c r="Z121" s="25" t="s">
        <v>430</v>
      </c>
      <c r="AA121" s="25">
        <v>54</v>
      </c>
      <c r="AB121" s="25" t="s">
        <v>435</v>
      </c>
      <c r="AC121" s="25" t="s">
        <v>193</v>
      </c>
      <c r="AD121" s="25" t="s">
        <v>436</v>
      </c>
      <c r="AE121" s="25" t="s">
        <v>430</v>
      </c>
      <c r="AF121" s="25" t="s">
        <v>437</v>
      </c>
      <c r="AG121" s="164">
        <v>40934</v>
      </c>
      <c r="AH121" s="25" t="s">
        <v>484</v>
      </c>
      <c r="AI121" s="25" t="s">
        <v>439</v>
      </c>
      <c r="AJ121" s="165">
        <v>44963.336805555555</v>
      </c>
      <c r="AK121" s="25" t="s">
        <v>440</v>
      </c>
      <c r="AL121" s="25" t="s">
        <v>441</v>
      </c>
      <c r="AM121" s="164">
        <v>40955</v>
      </c>
      <c r="AN121" s="164">
        <v>40934</v>
      </c>
      <c r="AO121" s="25" t="s">
        <v>142</v>
      </c>
      <c r="AP121" s="25" t="s">
        <v>141</v>
      </c>
      <c r="AQ121" s="25" t="s">
        <v>430</v>
      </c>
      <c r="AR121" s="25" t="s">
        <v>442</v>
      </c>
      <c r="AS121" s="25" t="s">
        <v>442</v>
      </c>
      <c r="AT121" s="25" t="s">
        <v>430</v>
      </c>
      <c r="AU121" s="25" t="s">
        <v>430</v>
      </c>
      <c r="AV121" s="25" t="s">
        <v>430</v>
      </c>
      <c r="AW121" s="25" t="s">
        <v>485</v>
      </c>
      <c r="AX121" s="25" t="s">
        <v>469</v>
      </c>
      <c r="AY121" s="25" t="s">
        <v>430</v>
      </c>
      <c r="AZ121" s="25" t="s">
        <v>430</v>
      </c>
      <c r="BA121" s="25" t="s">
        <v>430</v>
      </c>
      <c r="BB121" s="25" t="s">
        <v>430</v>
      </c>
      <c r="BC121" s="25" t="s">
        <v>430</v>
      </c>
      <c r="BD121" s="25">
        <v>12</v>
      </c>
      <c r="BE121" s="25">
        <v>24</v>
      </c>
      <c r="BF121" s="25" t="s">
        <v>430</v>
      </c>
      <c r="BG121" s="25" t="s">
        <v>430</v>
      </c>
      <c r="BH121" s="25" t="s">
        <v>486</v>
      </c>
      <c r="BI121" s="25" t="s">
        <v>431</v>
      </c>
      <c r="BJ121" s="25" t="s">
        <v>447</v>
      </c>
      <c r="BK121" s="25" t="s">
        <v>487</v>
      </c>
      <c r="BL121" s="25" t="s">
        <v>469</v>
      </c>
      <c r="BM121" s="25" t="s">
        <v>469</v>
      </c>
      <c r="BN121" s="25" t="s">
        <v>430</v>
      </c>
      <c r="BO121" s="25">
        <v>0</v>
      </c>
      <c r="BP121" s="25" t="s">
        <v>488</v>
      </c>
      <c r="BQ121" s="25" t="s">
        <v>489</v>
      </c>
      <c r="BR121" s="25" t="s">
        <v>490</v>
      </c>
      <c r="BS121" s="25">
        <v>5615</v>
      </c>
      <c r="BT121" s="25">
        <v>25</v>
      </c>
      <c r="BU121" s="25">
        <v>56</v>
      </c>
      <c r="BV121" s="25" t="s">
        <v>430</v>
      </c>
      <c r="BW121" s="25" t="s">
        <v>491</v>
      </c>
      <c r="BX121" s="25" t="s">
        <v>492</v>
      </c>
      <c r="BY121" s="25" t="s">
        <v>430</v>
      </c>
      <c r="BZ121" s="25" t="s">
        <v>493</v>
      </c>
      <c r="CA121" s="25" t="s">
        <v>433</v>
      </c>
      <c r="CB121" s="25" t="s">
        <v>430</v>
      </c>
      <c r="CC121" s="25" t="s">
        <v>481</v>
      </c>
      <c r="CD121" s="25" t="s">
        <v>494</v>
      </c>
      <c r="CE121" s="25" t="s">
        <v>430</v>
      </c>
      <c r="CF121" s="25" t="s">
        <v>441</v>
      </c>
      <c r="CG121" s="25" t="s">
        <v>430</v>
      </c>
      <c r="CH121" s="25" t="s">
        <v>495</v>
      </c>
      <c r="CI121" s="25" t="s">
        <v>496</v>
      </c>
      <c r="CJ121" s="25" t="s">
        <v>454</v>
      </c>
      <c r="CK121" s="25" t="s">
        <v>455</v>
      </c>
      <c r="CL121" s="25" t="s">
        <v>472</v>
      </c>
      <c r="CM121" s="25" t="s">
        <v>430</v>
      </c>
      <c r="CN121" s="25" t="s">
        <v>497</v>
      </c>
      <c r="CO121" s="25" t="s">
        <v>497</v>
      </c>
      <c r="CP121" s="25" t="s">
        <v>430</v>
      </c>
      <c r="CQ121" s="25">
        <v>8</v>
      </c>
      <c r="CR121" s="25" t="s">
        <v>446</v>
      </c>
      <c r="CS121" s="25">
        <v>65</v>
      </c>
      <c r="CT121" s="25" t="s">
        <v>430</v>
      </c>
      <c r="CU121" s="25" t="s">
        <v>430</v>
      </c>
      <c r="CV121" s="25" t="s">
        <v>430</v>
      </c>
      <c r="CW121" s="25" t="s">
        <v>498</v>
      </c>
      <c r="CX121" s="25" t="s">
        <v>499</v>
      </c>
      <c r="CY121" s="165">
        <v>44963.339583333334</v>
      </c>
      <c r="CZ121" s="25" t="s">
        <v>430</v>
      </c>
      <c r="DA121" s="25" t="s">
        <v>430</v>
      </c>
      <c r="DB121" s="25">
        <v>12</v>
      </c>
      <c r="DC121" s="25" t="s">
        <v>430</v>
      </c>
      <c r="DD121" s="25" t="s">
        <v>500</v>
      </c>
      <c r="DE121" s="25" t="s">
        <v>434</v>
      </c>
      <c r="DF121" s="25" t="s">
        <v>430</v>
      </c>
      <c r="DG121" s="25" t="s">
        <v>462</v>
      </c>
      <c r="DH121" s="25" t="s">
        <v>431</v>
      </c>
      <c r="DI121" s="25" t="s">
        <v>473</v>
      </c>
      <c r="DJ121" s="25" t="s">
        <v>473</v>
      </c>
      <c r="DK121" s="25" t="s">
        <v>430</v>
      </c>
      <c r="DL121" s="25" t="s">
        <v>501</v>
      </c>
      <c r="DM121" s="25" t="s">
        <v>474</v>
      </c>
      <c r="DN121" s="25" t="s">
        <v>430</v>
      </c>
      <c r="DO121" s="25" t="s">
        <v>430</v>
      </c>
      <c r="DP121" s="25" t="s">
        <v>430</v>
      </c>
      <c r="DQ121" s="25" t="s">
        <v>430</v>
      </c>
      <c r="DR121" s="25" t="s">
        <v>502</v>
      </c>
      <c r="DS121" s="25" t="s">
        <v>466</v>
      </c>
      <c r="DT121" s="25" t="s">
        <v>466</v>
      </c>
      <c r="DU121" s="25" t="s">
        <v>431</v>
      </c>
      <c r="DV121" s="25">
        <v>1</v>
      </c>
      <c r="DW121" s="25"/>
      <c r="DX121" s="25">
        <v>4</v>
      </c>
      <c r="DY121" s="25">
        <v>43</v>
      </c>
      <c r="DZ121" s="166">
        <v>246170</v>
      </c>
      <c r="EA121" s="25">
        <v>3</v>
      </c>
      <c r="EB121" s="25">
        <v>1</v>
      </c>
      <c r="EC121" s="25">
        <v>1</v>
      </c>
      <c r="ED121" s="25">
        <v>6</v>
      </c>
      <c r="EE121" s="25">
        <v>1</v>
      </c>
      <c r="EF121" s="25">
        <v>2</v>
      </c>
      <c r="EG121" s="25">
        <v>1</v>
      </c>
      <c r="EH121" s="25">
        <v>1</v>
      </c>
      <c r="EI121" s="25">
        <v>1</v>
      </c>
      <c r="EJ121" s="25">
        <v>10</v>
      </c>
      <c r="EK121" s="25">
        <v>0</v>
      </c>
      <c r="EL121" s="25">
        <v>2</v>
      </c>
      <c r="EM121" s="25">
        <v>6</v>
      </c>
      <c r="EN121" s="25">
        <v>1</v>
      </c>
      <c r="EO121" s="25">
        <v>1</v>
      </c>
      <c r="EP121" s="25">
        <v>1</v>
      </c>
      <c r="EQ121" s="25">
        <v>1</v>
      </c>
      <c r="ER121" s="25">
        <v>55</v>
      </c>
      <c r="ES121" s="25">
        <v>6</v>
      </c>
      <c r="ET121" s="25">
        <v>1</v>
      </c>
      <c r="EU121" s="25">
        <v>1</v>
      </c>
      <c r="EV121" s="25" t="s">
        <v>246</v>
      </c>
    </row>
    <row r="122" spans="12:152" x14ac:dyDescent="0.25">
      <c r="L122" s="25">
        <v>46.187821999999997</v>
      </c>
      <c r="M122" s="25">
        <v>-100.73429</v>
      </c>
      <c r="N122" s="25" t="s">
        <v>24</v>
      </c>
      <c r="O122" s="25">
        <v>2015</v>
      </c>
      <c r="P122" s="25" t="s">
        <v>427</v>
      </c>
      <c r="Q122" s="25" t="s">
        <v>428</v>
      </c>
      <c r="R122" s="25" t="s">
        <v>429</v>
      </c>
      <c r="S122" s="25" t="s">
        <v>430</v>
      </c>
      <c r="T122" s="25" t="s">
        <v>430</v>
      </c>
      <c r="U122" s="25" t="s">
        <v>431</v>
      </c>
      <c r="V122" s="25" t="s">
        <v>432</v>
      </c>
      <c r="W122" s="25" t="s">
        <v>433</v>
      </c>
      <c r="X122" s="25" t="s">
        <v>434</v>
      </c>
      <c r="Y122" s="25" t="s">
        <v>430</v>
      </c>
      <c r="Z122" s="25" t="s">
        <v>430</v>
      </c>
      <c r="AA122" s="25">
        <v>54</v>
      </c>
      <c r="AB122" s="25" t="s">
        <v>435</v>
      </c>
      <c r="AC122" s="25" t="s">
        <v>436</v>
      </c>
      <c r="AD122" s="25" t="s">
        <v>430</v>
      </c>
      <c r="AE122" s="25" t="s">
        <v>430</v>
      </c>
      <c r="AF122" s="25" t="s">
        <v>437</v>
      </c>
      <c r="AG122" s="164">
        <v>42184</v>
      </c>
      <c r="AH122" s="25" t="s">
        <v>438</v>
      </c>
      <c r="AI122" s="25" t="s">
        <v>439</v>
      </c>
      <c r="AJ122" s="165">
        <v>44963.573611111111</v>
      </c>
      <c r="AK122" s="25" t="s">
        <v>440</v>
      </c>
      <c r="AL122" s="25" t="s">
        <v>441</v>
      </c>
      <c r="AM122" s="164">
        <v>42570</v>
      </c>
      <c r="AN122" s="164">
        <v>42184</v>
      </c>
      <c r="AO122" s="25" t="s">
        <v>141</v>
      </c>
      <c r="AP122" s="25" t="s">
        <v>430</v>
      </c>
      <c r="AQ122" s="25" t="s">
        <v>430</v>
      </c>
      <c r="AR122" s="25" t="s">
        <v>442</v>
      </c>
      <c r="AS122" s="25" t="s">
        <v>430</v>
      </c>
      <c r="AT122" s="25" t="s">
        <v>430</v>
      </c>
      <c r="AU122" s="25" t="s">
        <v>430</v>
      </c>
      <c r="AV122" s="25" t="s">
        <v>430</v>
      </c>
      <c r="AW122" s="25" t="s">
        <v>443</v>
      </c>
      <c r="AX122" s="25" t="s">
        <v>444</v>
      </c>
      <c r="AY122" s="25">
        <v>0</v>
      </c>
      <c r="AZ122" s="25" t="s">
        <v>430</v>
      </c>
      <c r="BA122" s="25">
        <v>0</v>
      </c>
      <c r="BB122" s="25" t="s">
        <v>430</v>
      </c>
      <c r="BC122" s="25" t="s">
        <v>430</v>
      </c>
      <c r="BD122" s="25" t="s">
        <v>430</v>
      </c>
      <c r="BE122" s="25" t="s">
        <v>430</v>
      </c>
      <c r="BF122" s="25" t="s">
        <v>430</v>
      </c>
      <c r="BG122" s="25" t="s">
        <v>430</v>
      </c>
      <c r="BH122" s="25" t="s">
        <v>445</v>
      </c>
      <c r="BI122" s="25" t="s">
        <v>446</v>
      </c>
      <c r="BJ122" s="25" t="s">
        <v>447</v>
      </c>
      <c r="BK122" s="25" t="s">
        <v>448</v>
      </c>
      <c r="BL122" s="25" t="s">
        <v>444</v>
      </c>
      <c r="BM122" s="25" t="s">
        <v>430</v>
      </c>
      <c r="BN122" s="25" t="s">
        <v>430</v>
      </c>
      <c r="BO122" s="25" t="s">
        <v>430</v>
      </c>
      <c r="BP122" s="25" t="s">
        <v>434</v>
      </c>
      <c r="BQ122" s="25" t="s">
        <v>449</v>
      </c>
      <c r="BR122" s="25" t="s">
        <v>450</v>
      </c>
      <c r="BS122" s="25" t="s">
        <v>430</v>
      </c>
      <c r="BT122" s="25" t="s">
        <v>430</v>
      </c>
      <c r="BU122" s="25" t="s">
        <v>430</v>
      </c>
      <c r="BV122" s="25" t="s">
        <v>430</v>
      </c>
      <c r="BW122" s="25" t="s">
        <v>430</v>
      </c>
      <c r="BX122" s="25" t="s">
        <v>430</v>
      </c>
      <c r="BY122" s="25" t="s">
        <v>430</v>
      </c>
      <c r="BZ122" s="25" t="s">
        <v>451</v>
      </c>
      <c r="CA122" s="25" t="s">
        <v>430</v>
      </c>
      <c r="CB122" s="25" t="s">
        <v>430</v>
      </c>
      <c r="CC122" s="25" t="s">
        <v>430</v>
      </c>
      <c r="CD122" s="25" t="s">
        <v>430</v>
      </c>
      <c r="CE122" s="25" t="s">
        <v>430</v>
      </c>
      <c r="CF122" s="25" t="s">
        <v>441</v>
      </c>
      <c r="CG122" s="25" t="s">
        <v>430</v>
      </c>
      <c r="CH122" s="25" t="s">
        <v>452</v>
      </c>
      <c r="CI122" s="25" t="s">
        <v>453</v>
      </c>
      <c r="CJ122" s="25" t="s">
        <v>454</v>
      </c>
      <c r="CK122" s="25" t="s">
        <v>455</v>
      </c>
      <c r="CL122" s="25" t="s">
        <v>456</v>
      </c>
      <c r="CM122" s="25" t="s">
        <v>430</v>
      </c>
      <c r="CN122" s="25" t="s">
        <v>457</v>
      </c>
      <c r="CO122" s="25" t="s">
        <v>430</v>
      </c>
      <c r="CP122" s="25" t="s">
        <v>430</v>
      </c>
      <c r="CQ122" s="25">
        <v>13</v>
      </c>
      <c r="CR122" s="25" t="s">
        <v>431</v>
      </c>
      <c r="CS122" s="25" t="s">
        <v>430</v>
      </c>
      <c r="CT122" s="25" t="s">
        <v>430</v>
      </c>
      <c r="CU122" s="25" t="s">
        <v>458</v>
      </c>
      <c r="CV122" s="25" t="s">
        <v>459</v>
      </c>
      <c r="CW122" s="25" t="s">
        <v>460</v>
      </c>
      <c r="CX122" s="25" t="s">
        <v>461</v>
      </c>
      <c r="CY122" s="165">
        <v>44963.574305555558</v>
      </c>
      <c r="CZ122" s="25" t="s">
        <v>430</v>
      </c>
      <c r="DA122" s="25" t="s">
        <v>430</v>
      </c>
      <c r="DB122" s="25" t="s">
        <v>430</v>
      </c>
      <c r="DC122" s="25" t="s">
        <v>430</v>
      </c>
      <c r="DD122" s="25" t="s">
        <v>434</v>
      </c>
      <c r="DE122" s="25" t="s">
        <v>430</v>
      </c>
      <c r="DF122" s="25" t="s">
        <v>430</v>
      </c>
      <c r="DG122" s="25" t="s">
        <v>462</v>
      </c>
      <c r="DH122" s="25" t="s">
        <v>431</v>
      </c>
      <c r="DI122" s="25" t="s">
        <v>463</v>
      </c>
      <c r="DJ122" s="25" t="s">
        <v>430</v>
      </c>
      <c r="DK122" s="25" t="s">
        <v>430</v>
      </c>
      <c r="DL122" s="25" t="s">
        <v>464</v>
      </c>
      <c r="DM122" s="25" t="s">
        <v>430</v>
      </c>
      <c r="DN122" s="25" t="s">
        <v>430</v>
      </c>
      <c r="DO122" s="25" t="s">
        <v>434</v>
      </c>
      <c r="DP122" s="25" t="s">
        <v>430</v>
      </c>
      <c r="DQ122" s="25" t="s">
        <v>430</v>
      </c>
      <c r="DR122" s="25" t="s">
        <v>465</v>
      </c>
      <c r="DS122" s="25" t="s">
        <v>466</v>
      </c>
      <c r="DT122" s="25" t="s">
        <v>466</v>
      </c>
      <c r="DU122" s="25" t="s">
        <v>431</v>
      </c>
      <c r="DV122" s="25">
        <v>1</v>
      </c>
      <c r="DW122" s="166">
        <v>15070088</v>
      </c>
      <c r="DX122" s="25">
        <v>4</v>
      </c>
      <c r="DY122" s="25">
        <v>43</v>
      </c>
      <c r="DZ122" s="166">
        <v>1014320</v>
      </c>
      <c r="EA122" s="25">
        <v>3</v>
      </c>
      <c r="EB122" s="25">
        <v>1</v>
      </c>
      <c r="EC122" s="25">
        <v>20</v>
      </c>
      <c r="ED122" s="25">
        <v>9</v>
      </c>
      <c r="EE122" s="25">
        <v>2</v>
      </c>
      <c r="EF122" s="25">
        <v>1</v>
      </c>
      <c r="EG122" s="25">
        <v>1</v>
      </c>
      <c r="EH122" s="25">
        <v>7</v>
      </c>
      <c r="EI122" s="25">
        <v>36</v>
      </c>
      <c r="EJ122" s="25">
        <v>0</v>
      </c>
      <c r="EK122" s="25">
        <v>0</v>
      </c>
      <c r="EL122" s="25">
        <v>1</v>
      </c>
      <c r="EM122" s="25">
        <v>0</v>
      </c>
      <c r="EN122" s="25">
        <v>1</v>
      </c>
      <c r="EO122" s="25">
        <v>1</v>
      </c>
      <c r="EP122" s="25">
        <v>3</v>
      </c>
      <c r="EQ122" s="25">
        <v>1</v>
      </c>
      <c r="ER122" s="25">
        <v>65</v>
      </c>
      <c r="ES122" s="25">
        <v>1</v>
      </c>
      <c r="ET122" s="25">
        <v>2</v>
      </c>
      <c r="EU122" s="25">
        <v>0</v>
      </c>
      <c r="EV122" s="25" t="s">
        <v>246</v>
      </c>
    </row>
    <row r="123" spans="12:152" x14ac:dyDescent="0.25">
      <c r="L123" s="25">
        <v>46.088366000000001</v>
      </c>
      <c r="M123" s="25">
        <v>-100.67014399999999</v>
      </c>
      <c r="N123" s="25" t="s">
        <v>24</v>
      </c>
      <c r="O123" s="25">
        <v>2015</v>
      </c>
      <c r="P123" s="25" t="s">
        <v>427</v>
      </c>
      <c r="Q123" s="25" t="s">
        <v>503</v>
      </c>
      <c r="R123" s="25" t="s">
        <v>504</v>
      </c>
      <c r="S123" s="25" t="s">
        <v>482</v>
      </c>
      <c r="T123" s="25" t="s">
        <v>430</v>
      </c>
      <c r="U123" s="25" t="s">
        <v>431</v>
      </c>
      <c r="V123" s="25" t="s">
        <v>432</v>
      </c>
      <c r="W123" s="25" t="s">
        <v>433</v>
      </c>
      <c r="X123" s="25" t="s">
        <v>505</v>
      </c>
      <c r="Y123" s="25" t="s">
        <v>434</v>
      </c>
      <c r="Z123" s="25" t="s">
        <v>430</v>
      </c>
      <c r="AA123" s="25">
        <v>54</v>
      </c>
      <c r="AB123" s="25" t="s">
        <v>435</v>
      </c>
      <c r="AC123" s="25" t="s">
        <v>478</v>
      </c>
      <c r="AD123" s="25" t="s">
        <v>436</v>
      </c>
      <c r="AE123" s="25" t="s">
        <v>430</v>
      </c>
      <c r="AF123" s="25" t="s">
        <v>437</v>
      </c>
      <c r="AG123" s="164">
        <v>42035</v>
      </c>
      <c r="AH123" s="25" t="s">
        <v>468</v>
      </c>
      <c r="AI123" s="25" t="s">
        <v>439</v>
      </c>
      <c r="AJ123" s="165">
        <v>44963.243055555555</v>
      </c>
      <c r="AK123" s="25" t="s">
        <v>440</v>
      </c>
      <c r="AL123" s="25" t="s">
        <v>441</v>
      </c>
      <c r="AM123" s="164">
        <v>42655</v>
      </c>
      <c r="AN123" s="164">
        <v>42035</v>
      </c>
      <c r="AO123" s="25" t="s">
        <v>506</v>
      </c>
      <c r="AP123" s="25" t="s">
        <v>506</v>
      </c>
      <c r="AQ123" s="25" t="s">
        <v>430</v>
      </c>
      <c r="AR123" s="25" t="s">
        <v>442</v>
      </c>
      <c r="AS123" s="25" t="s">
        <v>442</v>
      </c>
      <c r="AT123" s="25" t="s">
        <v>430</v>
      </c>
      <c r="AU123" s="25" t="s">
        <v>430</v>
      </c>
      <c r="AV123" s="25" t="s">
        <v>430</v>
      </c>
      <c r="AW123" s="25" t="s">
        <v>443</v>
      </c>
      <c r="AX123" s="25" t="s">
        <v>469</v>
      </c>
      <c r="AY123" s="25" t="s">
        <v>430</v>
      </c>
      <c r="AZ123" s="25" t="s">
        <v>430</v>
      </c>
      <c r="BA123" s="25" t="s">
        <v>430</v>
      </c>
      <c r="BB123" s="25" t="s">
        <v>430</v>
      </c>
      <c r="BC123" s="25" t="s">
        <v>430</v>
      </c>
      <c r="BD123" s="25">
        <v>9.4499999999999993</v>
      </c>
      <c r="BE123" s="25">
        <v>24</v>
      </c>
      <c r="BF123" s="25" t="s">
        <v>430</v>
      </c>
      <c r="BG123" s="25" t="s">
        <v>430</v>
      </c>
      <c r="BH123" s="25" t="s">
        <v>507</v>
      </c>
      <c r="BI123" s="25" t="s">
        <v>446</v>
      </c>
      <c r="BJ123" s="25" t="s">
        <v>508</v>
      </c>
      <c r="BK123" s="25" t="s">
        <v>509</v>
      </c>
      <c r="BL123" s="25" t="s">
        <v>469</v>
      </c>
      <c r="BM123" s="25" t="s">
        <v>469</v>
      </c>
      <c r="BN123" s="25" t="s">
        <v>430</v>
      </c>
      <c r="BO123" s="25">
        <v>0</v>
      </c>
      <c r="BP123" s="25" t="s">
        <v>434</v>
      </c>
      <c r="BQ123" s="25" t="s">
        <v>449</v>
      </c>
      <c r="BR123" s="25" t="s">
        <v>450</v>
      </c>
      <c r="BS123" s="25" t="s">
        <v>430</v>
      </c>
      <c r="BT123" s="25">
        <v>41</v>
      </c>
      <c r="BU123" s="25">
        <v>37</v>
      </c>
      <c r="BV123" s="25" t="s">
        <v>430</v>
      </c>
      <c r="BW123" s="25" t="s">
        <v>480</v>
      </c>
      <c r="BX123" s="25" t="s">
        <v>480</v>
      </c>
      <c r="BY123" s="25" t="s">
        <v>430</v>
      </c>
      <c r="BZ123" s="25" t="s">
        <v>493</v>
      </c>
      <c r="CA123" s="25" t="s">
        <v>433</v>
      </c>
      <c r="CB123" s="25" t="s">
        <v>430</v>
      </c>
      <c r="CC123" s="25" t="s">
        <v>481</v>
      </c>
      <c r="CD123" s="25" t="s">
        <v>481</v>
      </c>
      <c r="CE123" s="25" t="s">
        <v>430</v>
      </c>
      <c r="CF123" s="25" t="s">
        <v>441</v>
      </c>
      <c r="CG123" s="25" t="s">
        <v>430</v>
      </c>
      <c r="CH123" s="25" t="s">
        <v>495</v>
      </c>
      <c r="CI123" s="25" t="s">
        <v>453</v>
      </c>
      <c r="CJ123" s="25" t="s">
        <v>454</v>
      </c>
      <c r="CK123" s="25" t="s">
        <v>455</v>
      </c>
      <c r="CL123" s="25" t="s">
        <v>472</v>
      </c>
      <c r="CM123" s="25" t="s">
        <v>430</v>
      </c>
      <c r="CN123" s="25" t="s">
        <v>497</v>
      </c>
      <c r="CO123" s="25" t="s">
        <v>497</v>
      </c>
      <c r="CP123" s="25" t="s">
        <v>430</v>
      </c>
      <c r="CQ123" s="25">
        <v>5</v>
      </c>
      <c r="CR123" s="25" t="s">
        <v>431</v>
      </c>
      <c r="CS123" s="25">
        <v>40</v>
      </c>
      <c r="CT123" s="25" t="s">
        <v>430</v>
      </c>
      <c r="CU123" s="25" t="s">
        <v>430</v>
      </c>
      <c r="CV123" s="25" t="s">
        <v>430</v>
      </c>
      <c r="CW123" s="25" t="s">
        <v>460</v>
      </c>
      <c r="CX123" s="25" t="s">
        <v>461</v>
      </c>
      <c r="CY123" s="165">
        <v>44963.243750000001</v>
      </c>
      <c r="CZ123" s="25" t="s">
        <v>430</v>
      </c>
      <c r="DA123" s="25" t="s">
        <v>430</v>
      </c>
      <c r="DB123" s="25">
        <v>9.4499999999999993</v>
      </c>
      <c r="DC123" s="25" t="s">
        <v>430</v>
      </c>
      <c r="DD123" s="25" t="s">
        <v>510</v>
      </c>
      <c r="DE123" s="25" t="s">
        <v>434</v>
      </c>
      <c r="DF123" s="25" t="s">
        <v>430</v>
      </c>
      <c r="DG123" s="25" t="s">
        <v>462</v>
      </c>
      <c r="DH123" s="25" t="s">
        <v>431</v>
      </c>
      <c r="DI123" s="25" t="s">
        <v>463</v>
      </c>
      <c r="DJ123" s="25" t="s">
        <v>463</v>
      </c>
      <c r="DK123" s="25" t="s">
        <v>430</v>
      </c>
      <c r="DL123" s="25" t="s">
        <v>511</v>
      </c>
      <c r="DM123" s="25" t="s">
        <v>511</v>
      </c>
      <c r="DN123" s="25" t="s">
        <v>430</v>
      </c>
      <c r="DO123" s="25" t="s">
        <v>434</v>
      </c>
      <c r="DP123" s="25" t="s">
        <v>434</v>
      </c>
      <c r="DQ123" s="25" t="s">
        <v>430</v>
      </c>
      <c r="DR123" s="25" t="s">
        <v>502</v>
      </c>
      <c r="DS123" s="25" t="s">
        <v>466</v>
      </c>
      <c r="DT123" s="25" t="s">
        <v>466</v>
      </c>
      <c r="DU123" s="25" t="s">
        <v>431</v>
      </c>
      <c r="DV123" s="25">
        <v>1</v>
      </c>
      <c r="DW123" s="25">
        <v>0</v>
      </c>
      <c r="DX123" s="25">
        <v>3</v>
      </c>
      <c r="DY123" s="25">
        <v>43</v>
      </c>
      <c r="DZ123" s="166">
        <v>1015057</v>
      </c>
      <c r="EA123" s="25">
        <v>3</v>
      </c>
      <c r="EB123" s="25">
        <v>1</v>
      </c>
      <c r="EC123" s="25">
        <v>1</v>
      </c>
      <c r="ED123" s="25">
        <v>6</v>
      </c>
      <c r="EE123" s="25">
        <v>2</v>
      </c>
      <c r="EF123" s="25">
        <v>3</v>
      </c>
      <c r="EG123" s="25">
        <v>4</v>
      </c>
      <c r="EH123" s="25">
        <v>3</v>
      </c>
      <c r="EI123" s="25">
        <v>68</v>
      </c>
      <c r="EJ123" s="25">
        <v>0</v>
      </c>
      <c r="EK123" s="25">
        <v>0</v>
      </c>
      <c r="EL123" s="25">
        <v>2</v>
      </c>
      <c r="EM123" s="25">
        <v>0</v>
      </c>
      <c r="EN123" s="25">
        <v>1</v>
      </c>
      <c r="EO123" s="25">
        <v>1</v>
      </c>
      <c r="EP123" s="25">
        <v>1</v>
      </c>
      <c r="EQ123" s="25">
        <v>1</v>
      </c>
      <c r="ER123" s="25">
        <v>40</v>
      </c>
      <c r="ES123" s="25">
        <v>1</v>
      </c>
      <c r="ET123" s="25">
        <v>2</v>
      </c>
      <c r="EU123" s="25">
        <v>1</v>
      </c>
      <c r="EV123" s="25" t="s">
        <v>246</v>
      </c>
    </row>
    <row r="124" spans="12:152" x14ac:dyDescent="0.25">
      <c r="L124" s="25">
        <v>46.124012999999998</v>
      </c>
      <c r="M124" s="25">
        <v>-100.679992</v>
      </c>
      <c r="N124" s="25" t="s">
        <v>512</v>
      </c>
      <c r="O124" s="25">
        <v>2016</v>
      </c>
      <c r="P124" s="25" t="s">
        <v>427</v>
      </c>
      <c r="Q124" s="25" t="s">
        <v>428</v>
      </c>
      <c r="R124" s="25" t="s">
        <v>482</v>
      </c>
      <c r="S124" s="25" t="s">
        <v>430</v>
      </c>
      <c r="T124" s="25" t="s">
        <v>430</v>
      </c>
      <c r="U124" s="25" t="s">
        <v>431</v>
      </c>
      <c r="V124" s="25" t="s">
        <v>432</v>
      </c>
      <c r="W124" s="25" t="s">
        <v>433</v>
      </c>
      <c r="X124" s="25" t="s">
        <v>513</v>
      </c>
      <c r="Y124" s="25" t="s">
        <v>430</v>
      </c>
      <c r="Z124" s="25" t="s">
        <v>430</v>
      </c>
      <c r="AA124" s="25">
        <v>54</v>
      </c>
      <c r="AB124" s="25" t="s">
        <v>435</v>
      </c>
      <c r="AC124" s="25" t="s">
        <v>514</v>
      </c>
      <c r="AD124" s="25" t="s">
        <v>430</v>
      </c>
      <c r="AE124" s="25" t="s">
        <v>430</v>
      </c>
      <c r="AF124" s="25" t="s">
        <v>437</v>
      </c>
      <c r="AG124" s="164">
        <v>42447</v>
      </c>
      <c r="AH124" s="25" t="s">
        <v>515</v>
      </c>
      <c r="AI124" s="25" t="s">
        <v>439</v>
      </c>
      <c r="AJ124" s="165">
        <v>44963.788888888892</v>
      </c>
      <c r="AK124" s="25" t="s">
        <v>440</v>
      </c>
      <c r="AL124" s="25" t="s">
        <v>441</v>
      </c>
      <c r="AM124" s="164">
        <v>42719</v>
      </c>
      <c r="AN124" s="164">
        <v>42447</v>
      </c>
      <c r="AO124" s="25" t="s">
        <v>141</v>
      </c>
      <c r="AP124" s="25" t="s">
        <v>430</v>
      </c>
      <c r="AQ124" s="25" t="s">
        <v>430</v>
      </c>
      <c r="AR124" s="25" t="s">
        <v>442</v>
      </c>
      <c r="AS124" s="25" t="s">
        <v>430</v>
      </c>
      <c r="AT124" s="25" t="s">
        <v>430</v>
      </c>
      <c r="AU124" s="25" t="s">
        <v>430</v>
      </c>
      <c r="AV124" s="25">
        <v>41</v>
      </c>
      <c r="AW124" s="25" t="s">
        <v>443</v>
      </c>
      <c r="AX124" s="25" t="s">
        <v>444</v>
      </c>
      <c r="AY124" s="25" t="s">
        <v>430</v>
      </c>
      <c r="AZ124" s="25" t="s">
        <v>430</v>
      </c>
      <c r="BA124" s="25" t="s">
        <v>430</v>
      </c>
      <c r="BB124" s="25" t="s">
        <v>430</v>
      </c>
      <c r="BC124" s="25" t="s">
        <v>430</v>
      </c>
      <c r="BD124" s="25">
        <v>11.99</v>
      </c>
      <c r="BE124" s="25">
        <v>24</v>
      </c>
      <c r="BF124" s="25" t="s">
        <v>430</v>
      </c>
      <c r="BG124" s="25" t="s">
        <v>430</v>
      </c>
      <c r="BH124" s="25" t="s">
        <v>445</v>
      </c>
      <c r="BI124" s="25" t="s">
        <v>446</v>
      </c>
      <c r="BJ124" s="25" t="s">
        <v>479</v>
      </c>
      <c r="BK124" s="25" t="s">
        <v>448</v>
      </c>
      <c r="BL124" s="25" t="s">
        <v>444</v>
      </c>
      <c r="BM124" s="25" t="s">
        <v>430</v>
      </c>
      <c r="BN124" s="25" t="s">
        <v>430</v>
      </c>
      <c r="BO124" s="25" t="s">
        <v>430</v>
      </c>
      <c r="BP124" s="25" t="s">
        <v>434</v>
      </c>
      <c r="BQ124" s="25" t="s">
        <v>449</v>
      </c>
      <c r="BR124" s="25" t="s">
        <v>450</v>
      </c>
      <c r="BS124" s="25" t="s">
        <v>430</v>
      </c>
      <c r="BT124" s="25">
        <v>17</v>
      </c>
      <c r="BU124" s="25" t="s">
        <v>430</v>
      </c>
      <c r="BV124" s="25" t="s">
        <v>430</v>
      </c>
      <c r="BW124" s="25" t="s">
        <v>480</v>
      </c>
      <c r="BX124" s="25" t="s">
        <v>430</v>
      </c>
      <c r="BY124" s="25" t="s">
        <v>430</v>
      </c>
      <c r="BZ124" s="25" t="s">
        <v>493</v>
      </c>
      <c r="CA124" s="25" t="s">
        <v>430</v>
      </c>
      <c r="CB124" s="25" t="s">
        <v>430</v>
      </c>
      <c r="CC124" s="25" t="s">
        <v>481</v>
      </c>
      <c r="CD124" s="25" t="s">
        <v>430</v>
      </c>
      <c r="CE124" s="25" t="s">
        <v>430</v>
      </c>
      <c r="CF124" s="25" t="s">
        <v>441</v>
      </c>
      <c r="CG124" s="25" t="s">
        <v>430</v>
      </c>
      <c r="CH124" s="25" t="s">
        <v>452</v>
      </c>
      <c r="CI124" s="25" t="s">
        <v>516</v>
      </c>
      <c r="CJ124" s="25" t="s">
        <v>454</v>
      </c>
      <c r="CK124" s="25" t="s">
        <v>455</v>
      </c>
      <c r="CL124" s="25" t="s">
        <v>517</v>
      </c>
      <c r="CM124" s="25" t="s">
        <v>430</v>
      </c>
      <c r="CN124" s="25" t="s">
        <v>497</v>
      </c>
      <c r="CO124" s="25" t="s">
        <v>430</v>
      </c>
      <c r="CP124" s="25" t="s">
        <v>430</v>
      </c>
      <c r="CQ124" s="25">
        <v>18</v>
      </c>
      <c r="CR124" s="25" t="s">
        <v>446</v>
      </c>
      <c r="CS124" s="25" t="s">
        <v>430</v>
      </c>
      <c r="CT124" s="25" t="s">
        <v>430</v>
      </c>
      <c r="CU124" s="25" t="s">
        <v>430</v>
      </c>
      <c r="CV124" s="25" t="s">
        <v>430</v>
      </c>
      <c r="CW124" s="25" t="s">
        <v>498</v>
      </c>
      <c r="CX124" s="25" t="s">
        <v>461</v>
      </c>
      <c r="CY124" s="165">
        <v>44963.789583333331</v>
      </c>
      <c r="CZ124" s="25" t="s">
        <v>430</v>
      </c>
      <c r="DA124" s="25" t="s">
        <v>430</v>
      </c>
      <c r="DB124" s="25">
        <v>11.99</v>
      </c>
      <c r="DC124" s="25" t="s">
        <v>430</v>
      </c>
      <c r="DD124" s="25" t="s">
        <v>434</v>
      </c>
      <c r="DE124" s="25" t="s">
        <v>430</v>
      </c>
      <c r="DF124" s="25" t="s">
        <v>430</v>
      </c>
      <c r="DG124" s="25" t="s">
        <v>462</v>
      </c>
      <c r="DH124" s="25" t="s">
        <v>431</v>
      </c>
      <c r="DI124" s="25" t="s">
        <v>473</v>
      </c>
      <c r="DJ124" s="25" t="s">
        <v>430</v>
      </c>
      <c r="DK124" s="25" t="s">
        <v>430</v>
      </c>
      <c r="DL124" s="25" t="s">
        <v>474</v>
      </c>
      <c r="DM124" s="25" t="s">
        <v>430</v>
      </c>
      <c r="DN124" s="25" t="s">
        <v>430</v>
      </c>
      <c r="DO124" s="25" t="s">
        <v>434</v>
      </c>
      <c r="DP124" s="25" t="s">
        <v>430</v>
      </c>
      <c r="DQ124" s="25" t="s">
        <v>430</v>
      </c>
      <c r="DR124" s="25" t="s">
        <v>518</v>
      </c>
      <c r="DS124" s="25" t="s">
        <v>466</v>
      </c>
      <c r="DT124" s="25" t="s">
        <v>466</v>
      </c>
      <c r="DU124" s="25" t="s">
        <v>446</v>
      </c>
      <c r="DV124" s="25">
        <v>1</v>
      </c>
      <c r="DW124" s="166">
        <v>16037239</v>
      </c>
      <c r="DX124" s="25">
        <v>4</v>
      </c>
      <c r="DY124" s="25">
        <v>43</v>
      </c>
      <c r="DZ124" s="166">
        <v>1023514</v>
      </c>
      <c r="EA124" s="25">
        <v>2</v>
      </c>
      <c r="EB124" s="25">
        <v>1</v>
      </c>
      <c r="EC124" s="25">
        <v>20</v>
      </c>
      <c r="ED124" s="25">
        <v>6</v>
      </c>
      <c r="EE124" s="25">
        <v>2</v>
      </c>
      <c r="EF124" s="25">
        <v>1</v>
      </c>
      <c r="EG124" s="25">
        <v>5</v>
      </c>
      <c r="EH124" s="25">
        <v>7</v>
      </c>
      <c r="EI124" s="25">
        <v>84</v>
      </c>
      <c r="EJ124" s="25">
        <v>0</v>
      </c>
      <c r="EK124" s="25">
        <v>0</v>
      </c>
      <c r="EL124" s="25">
        <v>1</v>
      </c>
      <c r="EM124" s="25">
        <v>1</v>
      </c>
      <c r="EN124" s="25">
        <v>1</v>
      </c>
      <c r="EO124" s="25">
        <v>1</v>
      </c>
      <c r="EP124" s="25">
        <v>2</v>
      </c>
      <c r="EQ124" s="25">
        <v>1</v>
      </c>
      <c r="ER124" s="25">
        <v>65</v>
      </c>
      <c r="ES124" s="25">
        <v>6</v>
      </c>
      <c r="ET124" s="25">
        <v>2</v>
      </c>
      <c r="EU124" s="25">
        <v>5</v>
      </c>
      <c r="EV124" s="25" t="s">
        <v>246</v>
      </c>
    </row>
    <row r="125" spans="12:152" x14ac:dyDescent="0.25">
      <c r="L125" s="25">
        <v>46.124093999999999</v>
      </c>
      <c r="M125" s="25">
        <v>-100.679993</v>
      </c>
      <c r="N125" s="25" t="s">
        <v>24</v>
      </c>
      <c r="O125" s="25">
        <v>2016</v>
      </c>
      <c r="P125" s="25" t="s">
        <v>427</v>
      </c>
      <c r="Q125" s="25" t="s">
        <v>428</v>
      </c>
      <c r="R125" s="25" t="s">
        <v>482</v>
      </c>
      <c r="S125" s="25" t="s">
        <v>430</v>
      </c>
      <c r="T125" s="25" t="s">
        <v>430</v>
      </c>
      <c r="U125" s="25" t="s">
        <v>431</v>
      </c>
      <c r="V125" s="25" t="s">
        <v>432</v>
      </c>
      <c r="W125" s="25" t="s">
        <v>433</v>
      </c>
      <c r="X125" s="25" t="s">
        <v>434</v>
      </c>
      <c r="Y125" s="25" t="s">
        <v>430</v>
      </c>
      <c r="Z125" s="25" t="s">
        <v>430</v>
      </c>
      <c r="AA125" s="25">
        <v>54</v>
      </c>
      <c r="AB125" s="25" t="s">
        <v>435</v>
      </c>
      <c r="AC125" s="25" t="s">
        <v>426</v>
      </c>
      <c r="AD125" s="25" t="s">
        <v>430</v>
      </c>
      <c r="AE125" s="25" t="s">
        <v>430</v>
      </c>
      <c r="AF125" s="25" t="s">
        <v>437</v>
      </c>
      <c r="AG125" s="164">
        <v>42447</v>
      </c>
      <c r="AH125" s="25" t="s">
        <v>515</v>
      </c>
      <c r="AI125" s="25" t="s">
        <v>439</v>
      </c>
      <c r="AJ125" s="165">
        <v>44963.926388888889</v>
      </c>
      <c r="AK125" s="25" t="s">
        <v>440</v>
      </c>
      <c r="AL125" s="25" t="s">
        <v>441</v>
      </c>
      <c r="AM125" s="164">
        <v>42719</v>
      </c>
      <c r="AN125" s="164">
        <v>42447</v>
      </c>
      <c r="AO125" s="25" t="s">
        <v>141</v>
      </c>
      <c r="AP125" s="25" t="s">
        <v>430</v>
      </c>
      <c r="AQ125" s="25" t="s">
        <v>430</v>
      </c>
      <c r="AR125" s="25" t="s">
        <v>442</v>
      </c>
      <c r="AS125" s="25" t="s">
        <v>430</v>
      </c>
      <c r="AT125" s="25" t="s">
        <v>430</v>
      </c>
      <c r="AU125" s="25" t="s">
        <v>430</v>
      </c>
      <c r="AV125" s="25" t="s">
        <v>430</v>
      </c>
      <c r="AW125" s="25" t="s">
        <v>443</v>
      </c>
      <c r="AX125" s="25" t="s">
        <v>444</v>
      </c>
      <c r="AY125" s="25" t="s">
        <v>430</v>
      </c>
      <c r="AZ125" s="25" t="s">
        <v>430</v>
      </c>
      <c r="BA125" s="25" t="s">
        <v>430</v>
      </c>
      <c r="BB125" s="25" t="s">
        <v>430</v>
      </c>
      <c r="BC125" s="25" t="s">
        <v>430</v>
      </c>
      <c r="BD125" s="25">
        <v>11.99</v>
      </c>
      <c r="BE125" s="25">
        <v>24</v>
      </c>
      <c r="BF125" s="25" t="s">
        <v>430</v>
      </c>
      <c r="BG125" s="25" t="s">
        <v>430</v>
      </c>
      <c r="BH125" s="25" t="s">
        <v>445</v>
      </c>
      <c r="BI125" s="25" t="s">
        <v>446</v>
      </c>
      <c r="BJ125" s="25" t="s">
        <v>479</v>
      </c>
      <c r="BK125" s="25" t="s">
        <v>448</v>
      </c>
      <c r="BL125" s="25" t="s">
        <v>444</v>
      </c>
      <c r="BM125" s="25" t="s">
        <v>430</v>
      </c>
      <c r="BN125" s="25" t="s">
        <v>430</v>
      </c>
      <c r="BO125" s="25" t="s">
        <v>430</v>
      </c>
      <c r="BP125" s="25" t="s">
        <v>434</v>
      </c>
      <c r="BQ125" s="25" t="s">
        <v>449</v>
      </c>
      <c r="BR125" s="25" t="s">
        <v>450</v>
      </c>
      <c r="BS125" s="25" t="s">
        <v>430</v>
      </c>
      <c r="BT125" s="25">
        <v>34</v>
      </c>
      <c r="BU125" s="25" t="s">
        <v>430</v>
      </c>
      <c r="BV125" s="25" t="s">
        <v>430</v>
      </c>
      <c r="BW125" s="25" t="s">
        <v>519</v>
      </c>
      <c r="BX125" s="25" t="s">
        <v>430</v>
      </c>
      <c r="BY125" s="25" t="s">
        <v>430</v>
      </c>
      <c r="BZ125" s="25" t="s">
        <v>493</v>
      </c>
      <c r="CA125" s="25" t="s">
        <v>430</v>
      </c>
      <c r="CB125" s="25" t="s">
        <v>430</v>
      </c>
      <c r="CC125" s="25" t="s">
        <v>520</v>
      </c>
      <c r="CD125" s="25" t="s">
        <v>430</v>
      </c>
      <c r="CE125" s="25" t="s">
        <v>430</v>
      </c>
      <c r="CF125" s="25" t="s">
        <v>441</v>
      </c>
      <c r="CG125" s="25" t="s">
        <v>430</v>
      </c>
      <c r="CH125" s="25" t="s">
        <v>452</v>
      </c>
      <c r="CI125" s="25" t="s">
        <v>516</v>
      </c>
      <c r="CJ125" s="25" t="s">
        <v>454</v>
      </c>
      <c r="CK125" s="25" t="s">
        <v>455</v>
      </c>
      <c r="CL125" s="25" t="s">
        <v>517</v>
      </c>
      <c r="CM125" s="25" t="s">
        <v>430</v>
      </c>
      <c r="CN125" s="25" t="s">
        <v>457</v>
      </c>
      <c r="CO125" s="25" t="s">
        <v>430</v>
      </c>
      <c r="CP125" s="25" t="s">
        <v>430</v>
      </c>
      <c r="CQ125" s="25">
        <v>22</v>
      </c>
      <c r="CR125" s="25" t="s">
        <v>431</v>
      </c>
      <c r="CS125" s="25" t="s">
        <v>430</v>
      </c>
      <c r="CT125" s="25" t="s">
        <v>430</v>
      </c>
      <c r="CU125" s="25" t="s">
        <v>430</v>
      </c>
      <c r="CV125" s="25" t="s">
        <v>430</v>
      </c>
      <c r="CW125" s="25" t="s">
        <v>498</v>
      </c>
      <c r="CX125" s="25" t="s">
        <v>461</v>
      </c>
      <c r="CY125" s="165">
        <v>44963.927083333336</v>
      </c>
      <c r="CZ125" s="25" t="s">
        <v>430</v>
      </c>
      <c r="DA125" s="25" t="s">
        <v>430</v>
      </c>
      <c r="DB125" s="25">
        <v>11.99</v>
      </c>
      <c r="DC125" s="25" t="s">
        <v>430</v>
      </c>
      <c r="DD125" s="25" t="s">
        <v>434</v>
      </c>
      <c r="DE125" s="25" t="s">
        <v>430</v>
      </c>
      <c r="DF125" s="25" t="s">
        <v>430</v>
      </c>
      <c r="DG125" s="25" t="s">
        <v>462</v>
      </c>
      <c r="DH125" s="25" t="s">
        <v>431</v>
      </c>
      <c r="DI125" s="25" t="s">
        <v>463</v>
      </c>
      <c r="DJ125" s="25" t="s">
        <v>430</v>
      </c>
      <c r="DK125" s="25" t="s">
        <v>430</v>
      </c>
      <c r="DL125" s="25" t="s">
        <v>474</v>
      </c>
      <c r="DM125" s="25" t="s">
        <v>430</v>
      </c>
      <c r="DN125" s="25" t="s">
        <v>430</v>
      </c>
      <c r="DO125" s="25" t="s">
        <v>434</v>
      </c>
      <c r="DP125" s="25" t="s">
        <v>430</v>
      </c>
      <c r="DQ125" s="25" t="s">
        <v>430</v>
      </c>
      <c r="DR125" s="25" t="s">
        <v>518</v>
      </c>
      <c r="DS125" s="25" t="s">
        <v>466</v>
      </c>
      <c r="DT125" s="25" t="s">
        <v>466</v>
      </c>
      <c r="DU125" s="25" t="s">
        <v>431</v>
      </c>
      <c r="DV125" s="25">
        <v>1</v>
      </c>
      <c r="DW125" s="166">
        <v>16037320</v>
      </c>
      <c r="DX125" s="25">
        <v>4</v>
      </c>
      <c r="DY125" s="25">
        <v>43</v>
      </c>
      <c r="DZ125" s="166">
        <v>1023518</v>
      </c>
      <c r="EA125" s="25">
        <v>3</v>
      </c>
      <c r="EB125" s="25">
        <v>1</v>
      </c>
      <c r="EC125" s="25">
        <v>20</v>
      </c>
      <c r="ED125" s="25">
        <v>6</v>
      </c>
      <c r="EE125" s="25">
        <v>2</v>
      </c>
      <c r="EF125" s="25">
        <v>1</v>
      </c>
      <c r="EG125" s="25">
        <v>5</v>
      </c>
      <c r="EH125" s="25">
        <v>7</v>
      </c>
      <c r="EI125" s="25">
        <v>85</v>
      </c>
      <c r="EJ125" s="25">
        <v>0</v>
      </c>
      <c r="EK125" s="25">
        <v>0</v>
      </c>
      <c r="EL125" s="25">
        <v>1</v>
      </c>
      <c r="EM125" s="25">
        <v>1</v>
      </c>
      <c r="EN125" s="25">
        <v>1</v>
      </c>
      <c r="EO125" s="25">
        <v>1</v>
      </c>
      <c r="EP125" s="25">
        <v>2</v>
      </c>
      <c r="EQ125" s="25">
        <v>1</v>
      </c>
      <c r="ER125" s="25">
        <v>65</v>
      </c>
      <c r="ES125" s="25">
        <v>6</v>
      </c>
      <c r="ET125" s="25">
        <v>2</v>
      </c>
      <c r="EU125" s="25">
        <v>5</v>
      </c>
      <c r="EV125" s="25" t="s">
        <v>246</v>
      </c>
    </row>
    <row r="126" spans="12:152" x14ac:dyDescent="0.25">
      <c r="L126" s="25">
        <v>46.121906000000003</v>
      </c>
      <c r="M126" s="25">
        <v>-100.679993</v>
      </c>
      <c r="N126" s="25" t="s">
        <v>475</v>
      </c>
      <c r="O126" s="25">
        <v>2016</v>
      </c>
      <c r="P126" s="25" t="s">
        <v>427</v>
      </c>
      <c r="Q126" s="25" t="s">
        <v>428</v>
      </c>
      <c r="R126" s="25" t="s">
        <v>482</v>
      </c>
      <c r="S126" s="25" t="s">
        <v>430</v>
      </c>
      <c r="T126" s="25" t="s">
        <v>430</v>
      </c>
      <c r="U126" s="25" t="s">
        <v>431</v>
      </c>
      <c r="V126" s="25" t="s">
        <v>432</v>
      </c>
      <c r="W126" s="25" t="s">
        <v>433</v>
      </c>
      <c r="X126" s="25" t="s">
        <v>434</v>
      </c>
      <c r="Y126" s="25" t="s">
        <v>430</v>
      </c>
      <c r="Z126" s="25" t="s">
        <v>430</v>
      </c>
      <c r="AA126" s="25">
        <v>54</v>
      </c>
      <c r="AB126" s="25" t="s">
        <v>435</v>
      </c>
      <c r="AC126" s="25" t="s">
        <v>436</v>
      </c>
      <c r="AD126" s="25" t="s">
        <v>430</v>
      </c>
      <c r="AE126" s="25" t="s">
        <v>430</v>
      </c>
      <c r="AF126" s="25" t="s">
        <v>437</v>
      </c>
      <c r="AG126" s="164">
        <v>42574</v>
      </c>
      <c r="AH126" s="25" t="s">
        <v>468</v>
      </c>
      <c r="AI126" s="25" t="s">
        <v>439</v>
      </c>
      <c r="AJ126" s="165">
        <v>44963.958333333336</v>
      </c>
      <c r="AK126" s="25" t="s">
        <v>440</v>
      </c>
      <c r="AL126" s="25" t="s">
        <v>441</v>
      </c>
      <c r="AM126" s="164">
        <v>42763</v>
      </c>
      <c r="AN126" s="164">
        <v>42574</v>
      </c>
      <c r="AO126" s="25" t="s">
        <v>140</v>
      </c>
      <c r="AP126" s="25" t="s">
        <v>430</v>
      </c>
      <c r="AQ126" s="25" t="s">
        <v>430</v>
      </c>
      <c r="AR126" s="25" t="s">
        <v>429</v>
      </c>
      <c r="AS126" s="25" t="s">
        <v>430</v>
      </c>
      <c r="AT126" s="25" t="s">
        <v>430</v>
      </c>
      <c r="AU126" s="25" t="s">
        <v>430</v>
      </c>
      <c r="AV126" s="25" t="s">
        <v>430</v>
      </c>
      <c r="AW126" s="25" t="s">
        <v>521</v>
      </c>
      <c r="AX126" s="25" t="s">
        <v>522</v>
      </c>
      <c r="AY126" s="25" t="s">
        <v>430</v>
      </c>
      <c r="AZ126" s="25" t="s">
        <v>430</v>
      </c>
      <c r="BA126" s="25" t="s">
        <v>430</v>
      </c>
      <c r="BB126" s="25" t="s">
        <v>430</v>
      </c>
      <c r="BC126" s="25" t="s">
        <v>430</v>
      </c>
      <c r="BD126" s="25">
        <v>11.85</v>
      </c>
      <c r="BE126" s="25">
        <v>24</v>
      </c>
      <c r="BF126" s="25" t="s">
        <v>430</v>
      </c>
      <c r="BG126" s="25" t="s">
        <v>430</v>
      </c>
      <c r="BH126" s="25" t="s">
        <v>445</v>
      </c>
      <c r="BI126" s="25" t="s">
        <v>431</v>
      </c>
      <c r="BJ126" s="25" t="s">
        <v>479</v>
      </c>
      <c r="BK126" s="25" t="s">
        <v>448</v>
      </c>
      <c r="BL126" s="25" t="s">
        <v>522</v>
      </c>
      <c r="BM126" s="25" t="s">
        <v>430</v>
      </c>
      <c r="BN126" s="25" t="s">
        <v>430</v>
      </c>
      <c r="BO126" s="25" t="s">
        <v>430</v>
      </c>
      <c r="BP126" s="25" t="s">
        <v>434</v>
      </c>
      <c r="BQ126" s="25" t="s">
        <v>449</v>
      </c>
      <c r="BR126" s="25" t="s">
        <v>450</v>
      </c>
      <c r="BS126" s="25" t="s">
        <v>430</v>
      </c>
      <c r="BT126" s="25">
        <v>33</v>
      </c>
      <c r="BU126" s="25" t="s">
        <v>430</v>
      </c>
      <c r="BV126" s="25" t="s">
        <v>430</v>
      </c>
      <c r="BW126" s="25" t="s">
        <v>480</v>
      </c>
      <c r="BX126" s="25" t="s">
        <v>430</v>
      </c>
      <c r="BY126" s="25" t="s">
        <v>430</v>
      </c>
      <c r="BZ126" s="25" t="s">
        <v>433</v>
      </c>
      <c r="CA126" s="25" t="s">
        <v>430</v>
      </c>
      <c r="CB126" s="25" t="s">
        <v>430</v>
      </c>
      <c r="CC126" s="25" t="s">
        <v>481</v>
      </c>
      <c r="CD126" s="25" t="s">
        <v>430</v>
      </c>
      <c r="CE126" s="25" t="s">
        <v>430</v>
      </c>
      <c r="CF126" s="25" t="s">
        <v>441</v>
      </c>
      <c r="CG126" s="25" t="s">
        <v>430</v>
      </c>
      <c r="CH126" s="25" t="s">
        <v>452</v>
      </c>
      <c r="CI126" s="25" t="s">
        <v>453</v>
      </c>
      <c r="CJ126" s="25" t="s">
        <v>454</v>
      </c>
      <c r="CK126" s="25" t="s">
        <v>455</v>
      </c>
      <c r="CL126" s="25" t="s">
        <v>472</v>
      </c>
      <c r="CM126" s="25" t="s">
        <v>430</v>
      </c>
      <c r="CN126" s="25" t="s">
        <v>523</v>
      </c>
      <c r="CO126" s="25" t="s">
        <v>430</v>
      </c>
      <c r="CP126" s="25" t="s">
        <v>430</v>
      </c>
      <c r="CQ126" s="25">
        <v>23</v>
      </c>
      <c r="CR126" s="25" t="s">
        <v>431</v>
      </c>
      <c r="CS126" s="25" t="s">
        <v>430</v>
      </c>
      <c r="CT126" s="25" t="s">
        <v>430</v>
      </c>
      <c r="CU126" s="25" t="s">
        <v>430</v>
      </c>
      <c r="CV126" s="25" t="s">
        <v>430</v>
      </c>
      <c r="CW126" s="25" t="s">
        <v>460</v>
      </c>
      <c r="CX126" s="25" t="s">
        <v>461</v>
      </c>
      <c r="CY126" s="165">
        <v>44963.959027777775</v>
      </c>
      <c r="CZ126" s="25" t="s">
        <v>430</v>
      </c>
      <c r="DA126" s="25" t="s">
        <v>430</v>
      </c>
      <c r="DB126" s="25">
        <v>11.85</v>
      </c>
      <c r="DC126" s="25" t="s">
        <v>430</v>
      </c>
      <c r="DD126" s="25" t="s">
        <v>434</v>
      </c>
      <c r="DE126" s="25" t="s">
        <v>430</v>
      </c>
      <c r="DF126" s="25" t="s">
        <v>430</v>
      </c>
      <c r="DG126" s="25" t="s">
        <v>462</v>
      </c>
      <c r="DH126" s="25" t="s">
        <v>446</v>
      </c>
      <c r="DI126" s="25" t="s">
        <v>38</v>
      </c>
      <c r="DJ126" s="25" t="s">
        <v>430</v>
      </c>
      <c r="DK126" s="25" t="s">
        <v>430</v>
      </c>
      <c r="DL126" s="25" t="s">
        <v>474</v>
      </c>
      <c r="DM126" s="25" t="s">
        <v>430</v>
      </c>
      <c r="DN126" s="25" t="s">
        <v>430</v>
      </c>
      <c r="DO126" s="25" t="s">
        <v>434</v>
      </c>
      <c r="DP126" s="25" t="s">
        <v>430</v>
      </c>
      <c r="DQ126" s="25" t="s">
        <v>430</v>
      </c>
      <c r="DR126" s="25" t="s">
        <v>502</v>
      </c>
      <c r="DS126" s="25" t="s">
        <v>466</v>
      </c>
      <c r="DT126" s="25" t="s">
        <v>466</v>
      </c>
      <c r="DU126" s="25" t="s">
        <v>431</v>
      </c>
      <c r="DV126" s="25">
        <v>1</v>
      </c>
      <c r="DW126" s="166">
        <v>16101183</v>
      </c>
      <c r="DX126" s="25">
        <v>4</v>
      </c>
      <c r="DY126" s="25">
        <v>43</v>
      </c>
      <c r="DZ126" s="166">
        <v>1027859</v>
      </c>
      <c r="EA126" s="25">
        <v>4</v>
      </c>
      <c r="EB126" s="25">
        <v>1</v>
      </c>
      <c r="EC126" s="25">
        <v>6</v>
      </c>
      <c r="ED126" s="25">
        <v>6</v>
      </c>
      <c r="EE126" s="25">
        <v>2</v>
      </c>
      <c r="EF126" s="25">
        <v>1</v>
      </c>
      <c r="EG126" s="25">
        <v>5</v>
      </c>
      <c r="EH126" s="25">
        <v>7</v>
      </c>
      <c r="EI126" s="25">
        <v>97</v>
      </c>
      <c r="EJ126" s="25">
        <v>0</v>
      </c>
      <c r="EK126" s="25">
        <v>0</v>
      </c>
      <c r="EL126" s="25">
        <v>1</v>
      </c>
      <c r="EM126" s="25">
        <v>0</v>
      </c>
      <c r="EN126" s="25">
        <v>1</v>
      </c>
      <c r="EO126" s="25">
        <v>1</v>
      </c>
      <c r="EP126" s="25">
        <v>1</v>
      </c>
      <c r="EQ126" s="25">
        <v>1</v>
      </c>
      <c r="ER126" s="25">
        <v>65</v>
      </c>
      <c r="ES126" s="25">
        <v>1</v>
      </c>
      <c r="ET126" s="25">
        <v>2</v>
      </c>
      <c r="EU126" s="25">
        <v>1</v>
      </c>
      <c r="EV126" s="25" t="s">
        <v>246</v>
      </c>
    </row>
    <row r="127" spans="12:152" x14ac:dyDescent="0.25">
      <c r="L127" s="25">
        <v>46.188631999999998</v>
      </c>
      <c r="M127" s="25">
        <v>-100.939719</v>
      </c>
      <c r="N127" s="25" t="s">
        <v>24</v>
      </c>
      <c r="O127" s="25">
        <v>2016</v>
      </c>
      <c r="P127" s="25" t="s">
        <v>427</v>
      </c>
      <c r="Q127" s="25" t="s">
        <v>428</v>
      </c>
      <c r="R127" s="25" t="s">
        <v>504</v>
      </c>
      <c r="S127" s="25" t="s">
        <v>482</v>
      </c>
      <c r="T127" s="25" t="s">
        <v>430</v>
      </c>
      <c r="U127" s="25" t="s">
        <v>431</v>
      </c>
      <c r="V127" s="25" t="s">
        <v>432</v>
      </c>
      <c r="W127" s="25" t="s">
        <v>433</v>
      </c>
      <c r="X127" s="25" t="s">
        <v>505</v>
      </c>
      <c r="Y127" s="25" t="s">
        <v>434</v>
      </c>
      <c r="Z127" s="25" t="s">
        <v>430</v>
      </c>
      <c r="AA127" s="25">
        <v>139</v>
      </c>
      <c r="AB127" s="25" t="s">
        <v>524</v>
      </c>
      <c r="AC127" s="25" t="s">
        <v>436</v>
      </c>
      <c r="AD127" s="25" t="s">
        <v>436</v>
      </c>
      <c r="AE127" s="25" t="s">
        <v>430</v>
      </c>
      <c r="AF127" s="25" t="s">
        <v>437</v>
      </c>
      <c r="AG127" s="164">
        <v>42603</v>
      </c>
      <c r="AH127" s="25" t="s">
        <v>525</v>
      </c>
      <c r="AI127" s="25" t="s">
        <v>439</v>
      </c>
      <c r="AJ127" s="165">
        <v>44963.843055555553</v>
      </c>
      <c r="AK127" s="25" t="s">
        <v>440</v>
      </c>
      <c r="AL127" s="25" t="s">
        <v>441</v>
      </c>
      <c r="AM127" s="164">
        <v>42769</v>
      </c>
      <c r="AN127" s="164">
        <v>42603</v>
      </c>
      <c r="AO127" s="25" t="s">
        <v>141</v>
      </c>
      <c r="AP127" s="25" t="s">
        <v>141</v>
      </c>
      <c r="AQ127" s="25" t="s">
        <v>430</v>
      </c>
      <c r="AR127" s="25" t="s">
        <v>442</v>
      </c>
      <c r="AS127" s="25" t="s">
        <v>442</v>
      </c>
      <c r="AT127" s="25" t="s">
        <v>430</v>
      </c>
      <c r="AU127" s="25" t="s">
        <v>430</v>
      </c>
      <c r="AV127" s="25" t="s">
        <v>430</v>
      </c>
      <c r="AW127" s="25" t="s">
        <v>443</v>
      </c>
      <c r="AX127" s="25" t="s">
        <v>469</v>
      </c>
      <c r="AY127" s="25" t="s">
        <v>430</v>
      </c>
      <c r="AZ127" s="25" t="s">
        <v>430</v>
      </c>
      <c r="BA127" s="25" t="s">
        <v>430</v>
      </c>
      <c r="BB127" s="25" t="s">
        <v>430</v>
      </c>
      <c r="BC127" s="25" t="s">
        <v>430</v>
      </c>
      <c r="BD127" s="25">
        <v>22.01</v>
      </c>
      <c r="BE127" s="25">
        <v>6</v>
      </c>
      <c r="BF127" s="25" t="s">
        <v>430</v>
      </c>
      <c r="BG127" s="25" t="s">
        <v>430</v>
      </c>
      <c r="BH127" s="25" t="s">
        <v>486</v>
      </c>
      <c r="BI127" s="25" t="s">
        <v>431</v>
      </c>
      <c r="BJ127" s="25" t="s">
        <v>447</v>
      </c>
      <c r="BK127" s="25" t="s">
        <v>526</v>
      </c>
      <c r="BL127" s="25" t="s">
        <v>469</v>
      </c>
      <c r="BM127" s="25" t="s">
        <v>469</v>
      </c>
      <c r="BN127" s="25" t="s">
        <v>430</v>
      </c>
      <c r="BO127" s="25" t="s">
        <v>430</v>
      </c>
      <c r="BP127" s="25" t="s">
        <v>434</v>
      </c>
      <c r="BQ127" s="25" t="s">
        <v>449</v>
      </c>
      <c r="BR127" s="25" t="s">
        <v>450</v>
      </c>
      <c r="BS127" s="25" t="s">
        <v>430</v>
      </c>
      <c r="BT127" s="25">
        <v>29</v>
      </c>
      <c r="BU127" s="25">
        <v>54</v>
      </c>
      <c r="BV127" s="25" t="s">
        <v>430</v>
      </c>
      <c r="BW127" s="25" t="s">
        <v>527</v>
      </c>
      <c r="BX127" s="25" t="s">
        <v>528</v>
      </c>
      <c r="BY127" s="25" t="s">
        <v>430</v>
      </c>
      <c r="BZ127" s="25" t="s">
        <v>493</v>
      </c>
      <c r="CA127" s="25" t="s">
        <v>433</v>
      </c>
      <c r="CB127" s="25" t="s">
        <v>430</v>
      </c>
      <c r="CC127" s="25" t="s">
        <v>481</v>
      </c>
      <c r="CD127" s="25" t="s">
        <v>481</v>
      </c>
      <c r="CE127" s="25" t="s">
        <v>430</v>
      </c>
      <c r="CF127" s="25" t="s">
        <v>441</v>
      </c>
      <c r="CG127" s="25" t="s">
        <v>430</v>
      </c>
      <c r="CH127" s="25" t="s">
        <v>529</v>
      </c>
      <c r="CI127" s="25" t="s">
        <v>453</v>
      </c>
      <c r="CJ127" s="25" t="s">
        <v>454</v>
      </c>
      <c r="CK127" s="25" t="s">
        <v>455</v>
      </c>
      <c r="CL127" s="25" t="s">
        <v>472</v>
      </c>
      <c r="CM127" s="25" t="s">
        <v>430</v>
      </c>
      <c r="CN127" s="25" t="s">
        <v>457</v>
      </c>
      <c r="CO127" s="25" t="s">
        <v>457</v>
      </c>
      <c r="CP127" s="25" t="s">
        <v>430</v>
      </c>
      <c r="CQ127" s="25">
        <v>20</v>
      </c>
      <c r="CR127" s="25" t="s">
        <v>431</v>
      </c>
      <c r="CS127" s="25">
        <v>65</v>
      </c>
      <c r="CT127" s="25" t="s">
        <v>430</v>
      </c>
      <c r="CU127" s="25" t="s">
        <v>430</v>
      </c>
      <c r="CV127" s="25" t="s">
        <v>430</v>
      </c>
      <c r="CW127" s="25" t="s">
        <v>460</v>
      </c>
      <c r="CX127" s="25" t="s">
        <v>461</v>
      </c>
      <c r="CY127" s="165">
        <v>44963.84375</v>
      </c>
      <c r="CZ127" s="25" t="s">
        <v>430</v>
      </c>
      <c r="DA127" s="25" t="s">
        <v>430</v>
      </c>
      <c r="DB127" s="25">
        <v>22.01</v>
      </c>
      <c r="DC127" s="25" t="s">
        <v>430</v>
      </c>
      <c r="DD127" s="25" t="s">
        <v>434</v>
      </c>
      <c r="DE127" s="25" t="s">
        <v>434</v>
      </c>
      <c r="DF127" s="25" t="s">
        <v>430</v>
      </c>
      <c r="DG127" s="25" t="s">
        <v>462</v>
      </c>
      <c r="DH127" s="25" t="s">
        <v>431</v>
      </c>
      <c r="DI127" s="25" t="s">
        <v>463</v>
      </c>
      <c r="DJ127" s="25" t="s">
        <v>473</v>
      </c>
      <c r="DK127" s="25" t="s">
        <v>430</v>
      </c>
      <c r="DL127" s="25" t="s">
        <v>464</v>
      </c>
      <c r="DM127" s="25" t="s">
        <v>464</v>
      </c>
      <c r="DN127" s="25" t="s">
        <v>430</v>
      </c>
      <c r="DO127" s="25" t="s">
        <v>434</v>
      </c>
      <c r="DP127" s="25" t="s">
        <v>434</v>
      </c>
      <c r="DQ127" s="25" t="s">
        <v>430</v>
      </c>
      <c r="DR127" s="25" t="s">
        <v>465</v>
      </c>
      <c r="DS127" s="25" t="s">
        <v>466</v>
      </c>
      <c r="DT127" s="25" t="s">
        <v>466</v>
      </c>
      <c r="DU127" s="25" t="s">
        <v>431</v>
      </c>
      <c r="DV127" s="25">
        <v>1</v>
      </c>
      <c r="DW127" s="166">
        <v>16115137</v>
      </c>
      <c r="DX127" s="25">
        <v>4</v>
      </c>
      <c r="DY127" s="25">
        <v>43</v>
      </c>
      <c r="DZ127" s="166">
        <v>1028262</v>
      </c>
      <c r="EA127" s="25">
        <v>3</v>
      </c>
      <c r="EB127" s="25">
        <v>1</v>
      </c>
      <c r="EC127" s="25">
        <v>1</v>
      </c>
      <c r="ED127" s="25">
        <v>7</v>
      </c>
      <c r="EE127" s="25">
        <v>2</v>
      </c>
      <c r="EF127" s="25">
        <v>2</v>
      </c>
      <c r="EG127" s="25">
        <v>1</v>
      </c>
      <c r="EH127" s="25">
        <v>4</v>
      </c>
      <c r="EI127" s="25">
        <v>101</v>
      </c>
      <c r="EJ127" s="25">
        <v>0</v>
      </c>
      <c r="EK127" s="25">
        <v>0</v>
      </c>
      <c r="EL127" s="25">
        <v>8</v>
      </c>
      <c r="EM127" s="25">
        <v>0</v>
      </c>
      <c r="EN127" s="25">
        <v>1</v>
      </c>
      <c r="EO127" s="25">
        <v>1</v>
      </c>
      <c r="EP127" s="25">
        <v>1</v>
      </c>
      <c r="EQ127" s="25">
        <v>1</v>
      </c>
      <c r="ER127" s="25">
        <v>65</v>
      </c>
      <c r="ES127" s="25">
        <v>1</v>
      </c>
      <c r="ET127" s="25">
        <v>2</v>
      </c>
      <c r="EU127" s="25">
        <v>0</v>
      </c>
      <c r="EV127" s="25" t="s">
        <v>246</v>
      </c>
    </row>
    <row r="128" spans="12:152" x14ac:dyDescent="0.25">
      <c r="L128" s="25">
        <v>46.192157999999999</v>
      </c>
      <c r="M128" s="25">
        <v>-100.87621</v>
      </c>
      <c r="N128" s="25" t="s">
        <v>24</v>
      </c>
      <c r="O128" s="25">
        <v>2016</v>
      </c>
      <c r="P128" s="25" t="s">
        <v>427</v>
      </c>
      <c r="Q128" s="25" t="s">
        <v>428</v>
      </c>
      <c r="R128" s="25" t="s">
        <v>482</v>
      </c>
      <c r="S128" s="25" t="s">
        <v>430</v>
      </c>
      <c r="T128" s="25" t="s">
        <v>430</v>
      </c>
      <c r="U128" s="25" t="s">
        <v>431</v>
      </c>
      <c r="V128" s="25" t="s">
        <v>432</v>
      </c>
      <c r="W128" s="25" t="s">
        <v>433</v>
      </c>
      <c r="X128" s="25" t="s">
        <v>434</v>
      </c>
      <c r="Y128" s="25" t="s">
        <v>430</v>
      </c>
      <c r="Z128" s="25" t="s">
        <v>430</v>
      </c>
      <c r="AA128" s="25">
        <v>139</v>
      </c>
      <c r="AB128" s="25" t="s">
        <v>524</v>
      </c>
      <c r="AC128" s="25" t="s">
        <v>514</v>
      </c>
      <c r="AD128" s="25" t="s">
        <v>430</v>
      </c>
      <c r="AE128" s="25" t="s">
        <v>430</v>
      </c>
      <c r="AF128" s="25" t="s">
        <v>437</v>
      </c>
      <c r="AG128" s="164">
        <v>42650</v>
      </c>
      <c r="AH128" s="25" t="s">
        <v>515</v>
      </c>
      <c r="AI128" s="25" t="s">
        <v>439</v>
      </c>
      <c r="AJ128" s="165">
        <v>44963.029861111114</v>
      </c>
      <c r="AK128" s="25" t="s">
        <v>440</v>
      </c>
      <c r="AL128" s="25" t="s">
        <v>441</v>
      </c>
      <c r="AM128" s="164">
        <v>42775</v>
      </c>
      <c r="AN128" s="164">
        <v>42650</v>
      </c>
      <c r="AO128" s="25" t="s">
        <v>140</v>
      </c>
      <c r="AP128" s="25" t="s">
        <v>430</v>
      </c>
      <c r="AQ128" s="25" t="s">
        <v>430</v>
      </c>
      <c r="AR128" s="25" t="s">
        <v>442</v>
      </c>
      <c r="AS128" s="25" t="s">
        <v>430</v>
      </c>
      <c r="AT128" s="25" t="s">
        <v>430</v>
      </c>
      <c r="AU128" s="25" t="s">
        <v>430</v>
      </c>
      <c r="AV128" s="25" t="s">
        <v>430</v>
      </c>
      <c r="AW128" s="25" t="s">
        <v>530</v>
      </c>
      <c r="AX128" s="25" t="s">
        <v>531</v>
      </c>
      <c r="AY128" s="25">
        <v>902</v>
      </c>
      <c r="AZ128" s="25" t="s">
        <v>174</v>
      </c>
      <c r="BA128" s="25">
        <v>274.92899999999997</v>
      </c>
      <c r="BB128" s="25" t="s">
        <v>430</v>
      </c>
      <c r="BC128" s="25" t="s">
        <v>430</v>
      </c>
      <c r="BD128" s="25" t="s">
        <v>430</v>
      </c>
      <c r="BE128" s="25" t="s">
        <v>430</v>
      </c>
      <c r="BF128" s="25" t="s">
        <v>430</v>
      </c>
      <c r="BG128" s="25" t="s">
        <v>430</v>
      </c>
      <c r="BH128" s="25" t="s">
        <v>445</v>
      </c>
      <c r="BI128" s="25" t="s">
        <v>446</v>
      </c>
      <c r="BJ128" s="25" t="s">
        <v>479</v>
      </c>
      <c r="BK128" s="25" t="s">
        <v>448</v>
      </c>
      <c r="BL128" s="25" t="s">
        <v>531</v>
      </c>
      <c r="BM128" s="25" t="s">
        <v>430</v>
      </c>
      <c r="BN128" s="25" t="s">
        <v>430</v>
      </c>
      <c r="BO128" s="25" t="s">
        <v>430</v>
      </c>
      <c r="BP128" s="25" t="s">
        <v>434</v>
      </c>
      <c r="BQ128" s="25" t="s">
        <v>449</v>
      </c>
      <c r="BR128" s="25" t="s">
        <v>450</v>
      </c>
      <c r="BS128" s="25" t="s">
        <v>430</v>
      </c>
      <c r="BT128" s="25">
        <v>23</v>
      </c>
      <c r="BU128" s="25" t="s">
        <v>430</v>
      </c>
      <c r="BV128" s="25" t="s">
        <v>430</v>
      </c>
      <c r="BW128" s="25" t="s">
        <v>519</v>
      </c>
      <c r="BX128" s="25" t="s">
        <v>430</v>
      </c>
      <c r="BY128" s="25" t="s">
        <v>430</v>
      </c>
      <c r="BZ128" s="25" t="s">
        <v>433</v>
      </c>
      <c r="CA128" s="25" t="s">
        <v>430</v>
      </c>
      <c r="CB128" s="25" t="s">
        <v>430</v>
      </c>
      <c r="CC128" s="25" t="s">
        <v>481</v>
      </c>
      <c r="CD128" s="25" t="s">
        <v>430</v>
      </c>
      <c r="CE128" s="25" t="s">
        <v>430</v>
      </c>
      <c r="CF128" s="25" t="s">
        <v>441</v>
      </c>
      <c r="CG128" s="25" t="s">
        <v>430</v>
      </c>
      <c r="CH128" s="25" t="s">
        <v>452</v>
      </c>
      <c r="CI128" s="25" t="s">
        <v>516</v>
      </c>
      <c r="CJ128" s="25" t="s">
        <v>454</v>
      </c>
      <c r="CK128" s="25" t="s">
        <v>455</v>
      </c>
      <c r="CL128" s="25" t="s">
        <v>456</v>
      </c>
      <c r="CM128" s="25" t="s">
        <v>430</v>
      </c>
      <c r="CN128" s="25" t="s">
        <v>457</v>
      </c>
      <c r="CO128" s="25" t="s">
        <v>430</v>
      </c>
      <c r="CP128" s="25" t="s">
        <v>430</v>
      </c>
      <c r="CQ128" s="25">
        <v>0</v>
      </c>
      <c r="CR128" s="25" t="s">
        <v>446</v>
      </c>
      <c r="CS128" s="25" t="s">
        <v>430</v>
      </c>
      <c r="CT128" s="25" t="s">
        <v>430</v>
      </c>
      <c r="CU128" s="25" t="s">
        <v>532</v>
      </c>
      <c r="CV128" s="25" t="s">
        <v>430</v>
      </c>
      <c r="CW128" s="25" t="s">
        <v>460</v>
      </c>
      <c r="CX128" s="25" t="s">
        <v>533</v>
      </c>
      <c r="CY128" s="165">
        <v>44963.143055555556</v>
      </c>
      <c r="CZ128" s="25" t="s">
        <v>534</v>
      </c>
      <c r="DA128" s="25" t="s">
        <v>430</v>
      </c>
      <c r="DB128" s="25" t="s">
        <v>430</v>
      </c>
      <c r="DC128" s="25" t="s">
        <v>430</v>
      </c>
      <c r="DD128" s="25" t="s">
        <v>434</v>
      </c>
      <c r="DE128" s="25" t="s">
        <v>430</v>
      </c>
      <c r="DF128" s="25" t="s">
        <v>430</v>
      </c>
      <c r="DG128" s="25" t="s">
        <v>462</v>
      </c>
      <c r="DH128" s="25" t="s">
        <v>431</v>
      </c>
      <c r="DI128" s="25" t="s">
        <v>473</v>
      </c>
      <c r="DJ128" s="25" t="s">
        <v>430</v>
      </c>
      <c r="DK128" s="25" t="s">
        <v>430</v>
      </c>
      <c r="DL128" s="25" t="s">
        <v>535</v>
      </c>
      <c r="DM128" s="25" t="s">
        <v>430</v>
      </c>
      <c r="DN128" s="25" t="s">
        <v>430</v>
      </c>
      <c r="DO128" s="25" t="s">
        <v>434</v>
      </c>
      <c r="DP128" s="25" t="s">
        <v>430</v>
      </c>
      <c r="DQ128" s="25" t="s">
        <v>430</v>
      </c>
      <c r="DR128" s="25" t="s">
        <v>465</v>
      </c>
      <c r="DS128" s="25" t="s">
        <v>466</v>
      </c>
      <c r="DT128" s="25" t="s">
        <v>466</v>
      </c>
      <c r="DU128" s="25" t="s">
        <v>431</v>
      </c>
      <c r="DV128" s="25">
        <v>1</v>
      </c>
      <c r="DW128" s="166">
        <v>16137114</v>
      </c>
      <c r="DX128" s="25">
        <v>4</v>
      </c>
      <c r="DY128" s="25">
        <v>43</v>
      </c>
      <c r="DZ128" s="166">
        <v>1028735</v>
      </c>
      <c r="EA128" s="25">
        <v>3</v>
      </c>
      <c r="EB128" s="25">
        <v>1</v>
      </c>
      <c r="EC128" s="25">
        <v>45</v>
      </c>
      <c r="ED128" s="25">
        <v>0</v>
      </c>
      <c r="EE128" s="25">
        <v>2</v>
      </c>
      <c r="EF128" s="25">
        <v>1</v>
      </c>
      <c r="EG128" s="25">
        <v>5</v>
      </c>
      <c r="EH128" s="25">
        <v>7</v>
      </c>
      <c r="EI128" s="25">
        <v>105</v>
      </c>
      <c r="EJ128" s="25">
        <v>0</v>
      </c>
      <c r="EK128" s="25">
        <v>0</v>
      </c>
      <c r="EL128" s="25">
        <v>1</v>
      </c>
      <c r="EM128" s="25">
        <v>1</v>
      </c>
      <c r="EN128" s="25">
        <v>1</v>
      </c>
      <c r="EO128" s="25">
        <v>1</v>
      </c>
      <c r="EP128" s="25">
        <v>3</v>
      </c>
      <c r="EQ128" s="25">
        <v>1</v>
      </c>
      <c r="ER128" s="25">
        <v>55</v>
      </c>
      <c r="ES128" s="25">
        <v>1</v>
      </c>
      <c r="ET128" s="25">
        <v>3</v>
      </c>
      <c r="EU128" s="25">
        <v>0</v>
      </c>
      <c r="EV128" s="25" t="s">
        <v>246</v>
      </c>
    </row>
    <row r="129" spans="12:152" x14ac:dyDescent="0.25">
      <c r="L129" s="25">
        <v>46.124073000000003</v>
      </c>
      <c r="M129" s="25">
        <v>-100.679993</v>
      </c>
      <c r="N129" s="25" t="s">
        <v>512</v>
      </c>
      <c r="O129" s="25">
        <v>2016</v>
      </c>
      <c r="P129" s="25" t="s">
        <v>427</v>
      </c>
      <c r="Q129" s="25" t="s">
        <v>428</v>
      </c>
      <c r="R129" s="25" t="s">
        <v>482</v>
      </c>
      <c r="S129" s="25" t="s">
        <v>430</v>
      </c>
      <c r="T129" s="25" t="s">
        <v>430</v>
      </c>
      <c r="U129" s="25" t="s">
        <v>431</v>
      </c>
      <c r="V129" s="25" t="s">
        <v>432</v>
      </c>
      <c r="W129" s="25" t="s">
        <v>433</v>
      </c>
      <c r="X129" s="25" t="s">
        <v>434</v>
      </c>
      <c r="Y129" s="25" t="s">
        <v>430</v>
      </c>
      <c r="Z129" s="25" t="s">
        <v>430</v>
      </c>
      <c r="AA129" s="25">
        <v>54</v>
      </c>
      <c r="AB129" s="25" t="s">
        <v>435</v>
      </c>
      <c r="AC129" s="25" t="s">
        <v>536</v>
      </c>
      <c r="AD129" s="25" t="s">
        <v>430</v>
      </c>
      <c r="AE129" s="25" t="s">
        <v>430</v>
      </c>
      <c r="AF129" s="25" t="s">
        <v>437</v>
      </c>
      <c r="AG129" s="164">
        <v>42720</v>
      </c>
      <c r="AH129" s="25" t="s">
        <v>515</v>
      </c>
      <c r="AI129" s="25" t="s">
        <v>439</v>
      </c>
      <c r="AJ129" s="165">
        <v>44963.825694444444</v>
      </c>
      <c r="AK129" s="25" t="s">
        <v>440</v>
      </c>
      <c r="AL129" s="25" t="s">
        <v>441</v>
      </c>
      <c r="AM129" s="164">
        <v>42850</v>
      </c>
      <c r="AN129" s="164">
        <v>42720</v>
      </c>
      <c r="AO129" s="25" t="s">
        <v>141</v>
      </c>
      <c r="AP129" s="25" t="s">
        <v>430</v>
      </c>
      <c r="AQ129" s="25" t="s">
        <v>430</v>
      </c>
      <c r="AR129" s="25" t="s">
        <v>442</v>
      </c>
      <c r="AS129" s="25" t="s">
        <v>430</v>
      </c>
      <c r="AT129" s="25" t="s">
        <v>430</v>
      </c>
      <c r="AU129" s="25" t="s">
        <v>430</v>
      </c>
      <c r="AV129" s="25">
        <v>41</v>
      </c>
      <c r="AW129" s="25" t="s">
        <v>443</v>
      </c>
      <c r="AX129" s="25" t="s">
        <v>522</v>
      </c>
      <c r="AY129" s="25" t="s">
        <v>430</v>
      </c>
      <c r="AZ129" s="25" t="s">
        <v>430</v>
      </c>
      <c r="BA129" s="25" t="s">
        <v>430</v>
      </c>
      <c r="BB129" s="25" t="s">
        <v>430</v>
      </c>
      <c r="BC129" s="25" t="s">
        <v>430</v>
      </c>
      <c r="BD129" s="25">
        <v>11.99</v>
      </c>
      <c r="BE129" s="25">
        <v>24</v>
      </c>
      <c r="BF129" s="25" t="s">
        <v>430</v>
      </c>
      <c r="BG129" s="25" t="s">
        <v>430</v>
      </c>
      <c r="BH129" s="25" t="s">
        <v>445</v>
      </c>
      <c r="BI129" s="25" t="s">
        <v>431</v>
      </c>
      <c r="BJ129" s="25" t="s">
        <v>479</v>
      </c>
      <c r="BK129" s="25" t="s">
        <v>448</v>
      </c>
      <c r="BL129" s="25" t="s">
        <v>522</v>
      </c>
      <c r="BM129" s="25" t="s">
        <v>430</v>
      </c>
      <c r="BN129" s="25" t="s">
        <v>430</v>
      </c>
      <c r="BO129" s="25" t="s">
        <v>430</v>
      </c>
      <c r="BP129" s="25" t="s">
        <v>434</v>
      </c>
      <c r="BQ129" s="25" t="s">
        <v>449</v>
      </c>
      <c r="BR129" s="25" t="s">
        <v>450</v>
      </c>
      <c r="BS129" s="25" t="s">
        <v>430</v>
      </c>
      <c r="BT129" s="25">
        <v>66</v>
      </c>
      <c r="BU129" s="25" t="s">
        <v>430</v>
      </c>
      <c r="BV129" s="25" t="s">
        <v>430</v>
      </c>
      <c r="BW129" s="25" t="s">
        <v>519</v>
      </c>
      <c r="BX129" s="25" t="s">
        <v>430</v>
      </c>
      <c r="BY129" s="25" t="s">
        <v>430</v>
      </c>
      <c r="BZ129" s="25" t="s">
        <v>451</v>
      </c>
      <c r="CA129" s="25" t="s">
        <v>430</v>
      </c>
      <c r="CB129" s="25" t="s">
        <v>430</v>
      </c>
      <c r="CC129" s="25" t="s">
        <v>520</v>
      </c>
      <c r="CD129" s="25" t="s">
        <v>430</v>
      </c>
      <c r="CE129" s="25" t="s">
        <v>430</v>
      </c>
      <c r="CF129" s="25" t="s">
        <v>441</v>
      </c>
      <c r="CG129" s="25" t="s">
        <v>430</v>
      </c>
      <c r="CH129" s="25" t="s">
        <v>452</v>
      </c>
      <c r="CI129" s="25" t="s">
        <v>453</v>
      </c>
      <c r="CJ129" s="25" t="s">
        <v>537</v>
      </c>
      <c r="CK129" s="25" t="s">
        <v>455</v>
      </c>
      <c r="CL129" s="25" t="s">
        <v>472</v>
      </c>
      <c r="CM129" s="25" t="s">
        <v>430</v>
      </c>
      <c r="CN129" s="25" t="s">
        <v>497</v>
      </c>
      <c r="CO129" s="25" t="s">
        <v>430</v>
      </c>
      <c r="CP129" s="25" t="s">
        <v>430</v>
      </c>
      <c r="CQ129" s="25">
        <v>19</v>
      </c>
      <c r="CR129" s="25" t="s">
        <v>431</v>
      </c>
      <c r="CS129" s="25" t="s">
        <v>430</v>
      </c>
      <c r="CT129" s="25" t="s">
        <v>430</v>
      </c>
      <c r="CU129" s="25" t="s">
        <v>430</v>
      </c>
      <c r="CV129" s="25" t="s">
        <v>430</v>
      </c>
      <c r="CW129" s="25" t="s">
        <v>460</v>
      </c>
      <c r="CX129" s="25" t="s">
        <v>461</v>
      </c>
      <c r="CY129" s="165">
        <v>44963.826388888891</v>
      </c>
      <c r="CZ129" s="25" t="s">
        <v>430</v>
      </c>
      <c r="DA129" s="25" t="s">
        <v>430</v>
      </c>
      <c r="DB129" s="25">
        <v>11.99</v>
      </c>
      <c r="DC129" s="25" t="s">
        <v>430</v>
      </c>
      <c r="DD129" s="25" t="s">
        <v>434</v>
      </c>
      <c r="DE129" s="25" t="s">
        <v>430</v>
      </c>
      <c r="DF129" s="25" t="s">
        <v>430</v>
      </c>
      <c r="DG129" s="25" t="s">
        <v>462</v>
      </c>
      <c r="DH129" s="25" t="s">
        <v>431</v>
      </c>
      <c r="DI129" s="25" t="s">
        <v>473</v>
      </c>
      <c r="DJ129" s="25" t="s">
        <v>430</v>
      </c>
      <c r="DK129" s="25" t="s">
        <v>430</v>
      </c>
      <c r="DL129" s="25" t="s">
        <v>474</v>
      </c>
      <c r="DM129" s="25" t="s">
        <v>430</v>
      </c>
      <c r="DN129" s="25" t="s">
        <v>430</v>
      </c>
      <c r="DO129" s="25" t="s">
        <v>434</v>
      </c>
      <c r="DP129" s="25" t="s">
        <v>430</v>
      </c>
      <c r="DQ129" s="25" t="s">
        <v>430</v>
      </c>
      <c r="DR129" s="25" t="s">
        <v>465</v>
      </c>
      <c r="DS129" s="25" t="s">
        <v>466</v>
      </c>
      <c r="DT129" s="25" t="s">
        <v>466</v>
      </c>
      <c r="DU129" s="25" t="s">
        <v>431</v>
      </c>
      <c r="DV129" s="25">
        <v>1</v>
      </c>
      <c r="DW129" s="166">
        <v>16171094</v>
      </c>
      <c r="DX129" s="25">
        <v>4</v>
      </c>
      <c r="DY129" s="25">
        <v>43</v>
      </c>
      <c r="DZ129" s="166">
        <v>1032480</v>
      </c>
      <c r="EA129" s="25">
        <v>2</v>
      </c>
      <c r="EB129" s="25">
        <v>1</v>
      </c>
      <c r="EC129" s="25">
        <v>6</v>
      </c>
      <c r="ED129" s="25">
        <v>6</v>
      </c>
      <c r="EE129" s="25">
        <v>2</v>
      </c>
      <c r="EF129" s="25">
        <v>1</v>
      </c>
      <c r="EG129" s="25">
        <v>5</v>
      </c>
      <c r="EH129" s="25">
        <v>7</v>
      </c>
      <c r="EI129" s="25">
        <v>124</v>
      </c>
      <c r="EJ129" s="25">
        <v>0</v>
      </c>
      <c r="EK129" s="25">
        <v>0</v>
      </c>
      <c r="EL129" s="25">
        <v>1</v>
      </c>
      <c r="EM129" s="25">
        <v>0</v>
      </c>
      <c r="EN129" s="25">
        <v>2</v>
      </c>
      <c r="EO129" s="25">
        <v>1</v>
      </c>
      <c r="EP129" s="25">
        <v>1</v>
      </c>
      <c r="EQ129" s="25">
        <v>1</v>
      </c>
      <c r="ER129" s="25">
        <v>65</v>
      </c>
      <c r="ES129" s="25">
        <v>1</v>
      </c>
      <c r="ET129" s="25">
        <v>2</v>
      </c>
      <c r="EU129" s="25">
        <v>0</v>
      </c>
      <c r="EV129" s="25" t="s">
        <v>246</v>
      </c>
    </row>
    <row r="149" spans="3:16" s="167" customFormat="1" ht="15.75" thickBot="1" x14ac:dyDescent="0.3"/>
    <row r="150" spans="3:16" ht="15.75" thickTop="1" x14ac:dyDescent="0.25"/>
    <row r="151" spans="3:16" ht="21" x14ac:dyDescent="0.35">
      <c r="C151" s="285" t="s">
        <v>686</v>
      </c>
    </row>
    <row r="153" spans="3:16" x14ac:dyDescent="0.25">
      <c r="L153" s="1" t="s">
        <v>285</v>
      </c>
    </row>
    <row r="154" spans="3:16" x14ac:dyDescent="0.25">
      <c r="L154" s="25" t="s">
        <v>247</v>
      </c>
      <c r="M154" s="26" t="s">
        <v>248</v>
      </c>
      <c r="N154" s="26" t="s">
        <v>249</v>
      </c>
      <c r="O154" s="26" t="s">
        <v>191</v>
      </c>
      <c r="P154" s="26" t="s">
        <v>53</v>
      </c>
    </row>
    <row r="155" spans="3:16" x14ac:dyDescent="0.25">
      <c r="L155" s="25" t="s">
        <v>253</v>
      </c>
      <c r="M155" s="26">
        <v>1</v>
      </c>
      <c r="N155" s="146">
        <v>38654</v>
      </c>
      <c r="O155" s="147">
        <f t="shared" ref="O155:O161" si="1">N155/5280</f>
        <v>7.3208333333333337</v>
      </c>
      <c r="P155" s="146">
        <v>350</v>
      </c>
    </row>
    <row r="156" spans="3:16" x14ac:dyDescent="0.25">
      <c r="L156" s="25" t="s">
        <v>253</v>
      </c>
      <c r="M156" s="26">
        <v>2</v>
      </c>
      <c r="N156" s="146">
        <v>15974</v>
      </c>
      <c r="O156" s="147">
        <f t="shared" si="1"/>
        <v>3.0253787878787879</v>
      </c>
      <c r="P156" s="146">
        <v>340</v>
      </c>
    </row>
    <row r="157" spans="3:16" x14ac:dyDescent="0.25">
      <c r="L157" s="25" t="s">
        <v>253</v>
      </c>
      <c r="M157" s="26">
        <v>3</v>
      </c>
      <c r="N157" s="146">
        <v>21973</v>
      </c>
      <c r="O157" s="147">
        <f t="shared" si="1"/>
        <v>4.1615530303030299</v>
      </c>
      <c r="P157" s="146">
        <v>395</v>
      </c>
    </row>
    <row r="158" spans="3:16" x14ac:dyDescent="0.25">
      <c r="L158" s="25" t="s">
        <v>253</v>
      </c>
      <c r="M158" s="26">
        <v>4</v>
      </c>
      <c r="N158" s="146">
        <v>8368</v>
      </c>
      <c r="O158" s="147">
        <f t="shared" si="1"/>
        <v>1.584848484848485</v>
      </c>
      <c r="P158" s="146">
        <v>370</v>
      </c>
    </row>
    <row r="159" spans="3:16" x14ac:dyDescent="0.25">
      <c r="L159" s="25" t="s">
        <v>253</v>
      </c>
      <c r="M159" s="26">
        <v>5</v>
      </c>
      <c r="N159" s="146">
        <v>37349</v>
      </c>
      <c r="O159" s="147">
        <f t="shared" si="1"/>
        <v>7.073674242424242</v>
      </c>
      <c r="P159" s="146">
        <v>815</v>
      </c>
    </row>
    <row r="160" spans="3:16" x14ac:dyDescent="0.25">
      <c r="L160" s="25" t="s">
        <v>253</v>
      </c>
      <c r="M160" s="26">
        <v>6</v>
      </c>
      <c r="N160" s="146">
        <v>10173</v>
      </c>
      <c r="O160" s="147">
        <f t="shared" si="1"/>
        <v>1.9267045454545455</v>
      </c>
      <c r="P160" s="146">
        <v>1395</v>
      </c>
    </row>
    <row r="161" spans="12:152" x14ac:dyDescent="0.25">
      <c r="L161" s="25" t="s">
        <v>253</v>
      </c>
      <c r="M161" s="26">
        <v>7</v>
      </c>
      <c r="N161" s="146">
        <v>6594</v>
      </c>
      <c r="O161" s="147">
        <f t="shared" si="1"/>
        <v>1.2488636363636363</v>
      </c>
      <c r="P161" s="146">
        <v>2595</v>
      </c>
    </row>
    <row r="162" spans="12:152" x14ac:dyDescent="0.25">
      <c r="O162" s="2" t="s">
        <v>251</v>
      </c>
      <c r="P162" s="148">
        <f>SUMPRODUCT(O155:O161,P155:P161)</f>
        <v>17514.726325757576</v>
      </c>
    </row>
    <row r="163" spans="12:152" x14ac:dyDescent="0.25">
      <c r="O163" s="2" t="s">
        <v>252</v>
      </c>
      <c r="P163" s="148">
        <f>P162*365</f>
        <v>6392875.1089015156</v>
      </c>
    </row>
    <row r="165" spans="12:152" x14ac:dyDescent="0.25">
      <c r="L165" s="1" t="s">
        <v>286</v>
      </c>
    </row>
    <row r="166" spans="12:152" x14ac:dyDescent="0.25">
      <c r="L166" s="25" t="s">
        <v>287</v>
      </c>
      <c r="M166" s="25" t="s">
        <v>288</v>
      </c>
      <c r="N166" s="25" t="s">
        <v>289</v>
      </c>
      <c r="O166" s="25" t="s">
        <v>290</v>
      </c>
      <c r="P166" s="25" t="s">
        <v>291</v>
      </c>
      <c r="Q166" s="25" t="s">
        <v>292</v>
      </c>
      <c r="R166" s="25" t="s">
        <v>293</v>
      </c>
      <c r="S166" s="25" t="s">
        <v>294</v>
      </c>
      <c r="T166" s="25" t="s">
        <v>295</v>
      </c>
      <c r="U166" s="25" t="s">
        <v>296</v>
      </c>
      <c r="V166" s="25" t="s">
        <v>297</v>
      </c>
      <c r="W166" s="25" t="s">
        <v>298</v>
      </c>
      <c r="X166" s="25" t="s">
        <v>299</v>
      </c>
      <c r="Y166" s="25" t="s">
        <v>300</v>
      </c>
      <c r="Z166" s="25" t="s">
        <v>301</v>
      </c>
      <c r="AA166" s="25" t="s">
        <v>302</v>
      </c>
      <c r="AB166" s="25" t="s">
        <v>303</v>
      </c>
      <c r="AC166" s="25" t="s">
        <v>304</v>
      </c>
      <c r="AD166" s="25" t="s">
        <v>305</v>
      </c>
      <c r="AE166" s="25" t="s">
        <v>306</v>
      </c>
      <c r="AF166" s="25" t="s">
        <v>307</v>
      </c>
      <c r="AG166" s="25" t="s">
        <v>308</v>
      </c>
      <c r="AH166" s="25" t="s">
        <v>309</v>
      </c>
      <c r="AI166" s="25" t="s">
        <v>310</v>
      </c>
      <c r="AJ166" s="25" t="s">
        <v>311</v>
      </c>
      <c r="AK166" s="25" t="s">
        <v>312</v>
      </c>
      <c r="AL166" s="25" t="s">
        <v>313</v>
      </c>
      <c r="AM166" s="25" t="s">
        <v>314</v>
      </c>
      <c r="AN166" s="25" t="s">
        <v>315</v>
      </c>
      <c r="AO166" s="25" t="s">
        <v>316</v>
      </c>
      <c r="AP166" s="25" t="s">
        <v>317</v>
      </c>
      <c r="AQ166" s="25" t="s">
        <v>318</v>
      </c>
      <c r="AR166" s="25" t="s">
        <v>319</v>
      </c>
      <c r="AS166" s="25" t="s">
        <v>320</v>
      </c>
      <c r="AT166" s="25" t="s">
        <v>321</v>
      </c>
      <c r="AU166" s="25" t="s">
        <v>322</v>
      </c>
      <c r="AV166" s="25" t="s">
        <v>323</v>
      </c>
      <c r="AW166" s="25" t="s">
        <v>324</v>
      </c>
      <c r="AX166" s="25" t="s">
        <v>325</v>
      </c>
      <c r="AY166" s="25" t="s">
        <v>326</v>
      </c>
      <c r="AZ166" s="25" t="s">
        <v>327</v>
      </c>
      <c r="BA166" s="25" t="s">
        <v>328</v>
      </c>
      <c r="BB166" s="25" t="s">
        <v>329</v>
      </c>
      <c r="BC166" s="25" t="s">
        <v>330</v>
      </c>
      <c r="BD166" s="25" t="s">
        <v>331</v>
      </c>
      <c r="BE166" s="25" t="s">
        <v>332</v>
      </c>
      <c r="BF166" s="25" t="s">
        <v>333</v>
      </c>
      <c r="BG166" s="25" t="s">
        <v>334</v>
      </c>
      <c r="BH166" s="25" t="s">
        <v>335</v>
      </c>
      <c r="BI166" s="25" t="s">
        <v>336</v>
      </c>
      <c r="BJ166" s="25" t="s">
        <v>337</v>
      </c>
      <c r="BK166" s="25" t="s">
        <v>338</v>
      </c>
      <c r="BL166" s="25" t="s">
        <v>339</v>
      </c>
      <c r="BM166" s="25" t="s">
        <v>340</v>
      </c>
      <c r="BN166" s="25" t="s">
        <v>341</v>
      </c>
      <c r="BO166" s="25" t="s">
        <v>342</v>
      </c>
      <c r="BP166" s="25" t="s">
        <v>343</v>
      </c>
      <c r="BQ166" s="25" t="s">
        <v>344</v>
      </c>
      <c r="BR166" s="25" t="s">
        <v>345</v>
      </c>
      <c r="BS166" s="25" t="s">
        <v>346</v>
      </c>
      <c r="BT166" s="25" t="s">
        <v>347</v>
      </c>
      <c r="BU166" s="25" t="s">
        <v>348</v>
      </c>
      <c r="BV166" s="25" t="s">
        <v>349</v>
      </c>
      <c r="BW166" s="25" t="s">
        <v>350</v>
      </c>
      <c r="BX166" s="25" t="s">
        <v>351</v>
      </c>
      <c r="BY166" s="25" t="s">
        <v>352</v>
      </c>
      <c r="BZ166" s="25" t="s">
        <v>353</v>
      </c>
      <c r="CA166" s="25" t="s">
        <v>354</v>
      </c>
      <c r="CB166" s="25" t="s">
        <v>355</v>
      </c>
      <c r="CC166" s="25" t="s">
        <v>356</v>
      </c>
      <c r="CD166" s="25" t="s">
        <v>357</v>
      </c>
      <c r="CE166" s="25" t="s">
        <v>358</v>
      </c>
      <c r="CF166" s="25" t="s">
        <v>359</v>
      </c>
      <c r="CG166" s="25" t="s">
        <v>360</v>
      </c>
      <c r="CH166" s="25" t="s">
        <v>361</v>
      </c>
      <c r="CI166" s="25" t="s">
        <v>362</v>
      </c>
      <c r="CJ166" s="25" t="s">
        <v>363</v>
      </c>
      <c r="CK166" s="25" t="s">
        <v>364</v>
      </c>
      <c r="CL166" s="25" t="s">
        <v>365</v>
      </c>
      <c r="CM166" s="25" t="s">
        <v>366</v>
      </c>
      <c r="CN166" s="25" t="s">
        <v>367</v>
      </c>
      <c r="CO166" s="25" t="s">
        <v>368</v>
      </c>
      <c r="CP166" s="25" t="s">
        <v>369</v>
      </c>
      <c r="CQ166" s="25" t="s">
        <v>370</v>
      </c>
      <c r="CR166" s="25" t="s">
        <v>371</v>
      </c>
      <c r="CS166" s="25" t="s">
        <v>372</v>
      </c>
      <c r="CT166" s="25" t="s">
        <v>373</v>
      </c>
      <c r="CU166" s="25" t="s">
        <v>374</v>
      </c>
      <c r="CV166" s="25" t="s">
        <v>375</v>
      </c>
      <c r="CW166" s="25" t="s">
        <v>376</v>
      </c>
      <c r="CX166" s="25" t="s">
        <v>377</v>
      </c>
      <c r="CY166" s="25" t="s">
        <v>378</v>
      </c>
      <c r="CZ166" s="25" t="s">
        <v>379</v>
      </c>
      <c r="DA166" s="25" t="s">
        <v>380</v>
      </c>
      <c r="DB166" s="25" t="s">
        <v>381</v>
      </c>
      <c r="DC166" s="25" t="s">
        <v>382</v>
      </c>
      <c r="DD166" s="25" t="s">
        <v>383</v>
      </c>
      <c r="DE166" s="25" t="s">
        <v>384</v>
      </c>
      <c r="DF166" s="25" t="s">
        <v>385</v>
      </c>
      <c r="DG166" s="25" t="s">
        <v>386</v>
      </c>
      <c r="DH166" s="25" t="s">
        <v>387</v>
      </c>
      <c r="DI166" s="25" t="s">
        <v>388</v>
      </c>
      <c r="DJ166" s="25" t="s">
        <v>389</v>
      </c>
      <c r="DK166" s="25" t="s">
        <v>390</v>
      </c>
      <c r="DL166" s="25" t="s">
        <v>391</v>
      </c>
      <c r="DM166" s="25" t="s">
        <v>392</v>
      </c>
      <c r="DN166" s="25" t="s">
        <v>393</v>
      </c>
      <c r="DO166" s="25" t="s">
        <v>394</v>
      </c>
      <c r="DP166" s="25" t="s">
        <v>395</v>
      </c>
      <c r="DQ166" s="25" t="s">
        <v>396</v>
      </c>
      <c r="DR166" s="25" t="s">
        <v>397</v>
      </c>
      <c r="DS166" s="25" t="s">
        <v>398</v>
      </c>
      <c r="DT166" s="25" t="s">
        <v>399</v>
      </c>
      <c r="DU166" s="25" t="s">
        <v>400</v>
      </c>
      <c r="DV166" s="25" t="s">
        <v>401</v>
      </c>
      <c r="DW166" s="25" t="s">
        <v>402</v>
      </c>
      <c r="DX166" s="25" t="s">
        <v>403</v>
      </c>
      <c r="DY166" s="25" t="s">
        <v>404</v>
      </c>
      <c r="DZ166" s="25" t="s">
        <v>405</v>
      </c>
      <c r="EA166" s="25" t="s">
        <v>406</v>
      </c>
      <c r="EB166" s="25" t="s">
        <v>407</v>
      </c>
      <c r="EC166" s="25" t="s">
        <v>408</v>
      </c>
      <c r="ED166" s="25" t="s">
        <v>409</v>
      </c>
      <c r="EE166" s="25" t="s">
        <v>410</v>
      </c>
      <c r="EF166" s="25" t="s">
        <v>411</v>
      </c>
      <c r="EG166" s="25" t="s">
        <v>412</v>
      </c>
      <c r="EH166" s="25" t="s">
        <v>413</v>
      </c>
      <c r="EI166" s="25" t="s">
        <v>414</v>
      </c>
      <c r="EJ166" s="25" t="s">
        <v>415</v>
      </c>
      <c r="EK166" s="25" t="s">
        <v>416</v>
      </c>
      <c r="EL166" s="25" t="s">
        <v>417</v>
      </c>
      <c r="EM166" s="25" t="s">
        <v>418</v>
      </c>
      <c r="EN166" s="25" t="s">
        <v>419</v>
      </c>
      <c r="EO166" s="25" t="s">
        <v>420</v>
      </c>
      <c r="EP166" s="25" t="s">
        <v>421</v>
      </c>
      <c r="EQ166" s="25" t="s">
        <v>422</v>
      </c>
      <c r="ER166" s="25" t="s">
        <v>423</v>
      </c>
      <c r="ES166" s="25" t="s">
        <v>424</v>
      </c>
      <c r="ET166" s="25" t="s">
        <v>425</v>
      </c>
      <c r="EU166" s="25" t="s">
        <v>426</v>
      </c>
      <c r="EV166" s="25" t="s">
        <v>366</v>
      </c>
    </row>
    <row r="167" spans="12:152" x14ac:dyDescent="0.25">
      <c r="L167" s="25">
        <v>46.111382999999996</v>
      </c>
      <c r="M167" s="25">
        <v>-100.94931699999999</v>
      </c>
      <c r="N167" s="25" t="s">
        <v>512</v>
      </c>
      <c r="O167" s="25">
        <v>2017</v>
      </c>
      <c r="P167" s="25" t="s">
        <v>427</v>
      </c>
      <c r="Q167" s="25" t="s">
        <v>428</v>
      </c>
      <c r="R167" s="25" t="s">
        <v>429</v>
      </c>
      <c r="S167" s="25" t="s">
        <v>430</v>
      </c>
      <c r="T167" s="25" t="s">
        <v>430</v>
      </c>
      <c r="U167" s="25" t="s">
        <v>431</v>
      </c>
      <c r="V167" s="25" t="s">
        <v>432</v>
      </c>
      <c r="W167" s="25" t="s">
        <v>433</v>
      </c>
      <c r="X167" s="25" t="s">
        <v>434</v>
      </c>
      <c r="Y167" s="25" t="s">
        <v>430</v>
      </c>
      <c r="Z167" s="25" t="s">
        <v>430</v>
      </c>
      <c r="AA167" s="25">
        <v>139</v>
      </c>
      <c r="AB167" s="25" t="s">
        <v>524</v>
      </c>
      <c r="AC167" s="25" t="s">
        <v>436</v>
      </c>
      <c r="AD167" s="25" t="s">
        <v>430</v>
      </c>
      <c r="AE167" s="25" t="s">
        <v>430</v>
      </c>
      <c r="AF167" s="25" t="s">
        <v>437</v>
      </c>
      <c r="AG167" s="164">
        <v>42840</v>
      </c>
      <c r="AH167" s="25" t="s">
        <v>468</v>
      </c>
      <c r="AI167" s="25">
        <v>6</v>
      </c>
      <c r="AJ167" s="165">
        <v>44844.270833333336</v>
      </c>
      <c r="AK167" s="25" t="s">
        <v>440</v>
      </c>
      <c r="AL167" s="25" t="s">
        <v>441</v>
      </c>
      <c r="AM167" s="164">
        <v>43712</v>
      </c>
      <c r="AN167" s="164">
        <v>42840</v>
      </c>
      <c r="AO167" s="25" t="s">
        <v>140</v>
      </c>
      <c r="AP167" s="25" t="s">
        <v>430</v>
      </c>
      <c r="AQ167" s="25" t="s">
        <v>430</v>
      </c>
      <c r="AR167" s="25" t="s">
        <v>442</v>
      </c>
      <c r="AS167" s="25" t="s">
        <v>430</v>
      </c>
      <c r="AT167" s="25" t="s">
        <v>430</v>
      </c>
      <c r="AU167" s="25" t="s">
        <v>430</v>
      </c>
      <c r="AV167" s="25" t="s">
        <v>430</v>
      </c>
      <c r="AW167" s="25" t="s">
        <v>443</v>
      </c>
      <c r="AX167" s="25" t="s">
        <v>531</v>
      </c>
      <c r="AY167" s="25" t="s">
        <v>430</v>
      </c>
      <c r="AZ167" s="25" t="s">
        <v>430</v>
      </c>
      <c r="BA167" s="25" t="s">
        <v>430</v>
      </c>
      <c r="BB167" s="25" t="s">
        <v>430</v>
      </c>
      <c r="BC167" s="25" t="s">
        <v>430</v>
      </c>
      <c r="BD167" s="25">
        <v>16.559999999999999</v>
      </c>
      <c r="BE167" s="25">
        <v>6</v>
      </c>
      <c r="BF167" s="25" t="s">
        <v>430</v>
      </c>
      <c r="BG167" s="25" t="s">
        <v>430</v>
      </c>
      <c r="BH167" s="25" t="s">
        <v>445</v>
      </c>
      <c r="BI167" s="25" t="s">
        <v>446</v>
      </c>
      <c r="BJ167" s="25" t="s">
        <v>429</v>
      </c>
      <c r="BK167" s="25" t="s">
        <v>448</v>
      </c>
      <c r="BL167" s="25" t="s">
        <v>538</v>
      </c>
      <c r="BM167" s="25" t="s">
        <v>430</v>
      </c>
      <c r="BN167" s="25" t="s">
        <v>430</v>
      </c>
      <c r="BO167" s="25">
        <v>0</v>
      </c>
      <c r="BP167" s="25" t="s">
        <v>434</v>
      </c>
      <c r="BQ167" s="25" t="s">
        <v>449</v>
      </c>
      <c r="BR167" s="25" t="s">
        <v>450</v>
      </c>
      <c r="BS167" s="25" t="s">
        <v>430</v>
      </c>
      <c r="BT167" s="25" t="s">
        <v>430</v>
      </c>
      <c r="BU167" s="25" t="s">
        <v>430</v>
      </c>
      <c r="BV167" s="25" t="s">
        <v>430</v>
      </c>
      <c r="BW167" s="25" t="s">
        <v>430</v>
      </c>
      <c r="BX167" s="25" t="s">
        <v>430</v>
      </c>
      <c r="BY167" s="25" t="s">
        <v>430</v>
      </c>
      <c r="BZ167" s="25" t="s">
        <v>451</v>
      </c>
      <c r="CA167" s="25" t="s">
        <v>430</v>
      </c>
      <c r="CB167" s="25" t="s">
        <v>430</v>
      </c>
      <c r="CC167" s="25" t="s">
        <v>430</v>
      </c>
      <c r="CD167" s="25" t="s">
        <v>430</v>
      </c>
      <c r="CE167" s="25" t="s">
        <v>430</v>
      </c>
      <c r="CF167" s="25" t="s">
        <v>441</v>
      </c>
      <c r="CG167" s="25" t="s">
        <v>430</v>
      </c>
      <c r="CH167" s="25" t="s">
        <v>452</v>
      </c>
      <c r="CI167" s="25" t="s">
        <v>539</v>
      </c>
      <c r="CJ167" s="25" t="s">
        <v>454</v>
      </c>
      <c r="CK167" s="25" t="s">
        <v>455</v>
      </c>
      <c r="CL167" s="25" t="s">
        <v>472</v>
      </c>
      <c r="CM167" s="25" t="s">
        <v>430</v>
      </c>
      <c r="CN167" s="25" t="s">
        <v>457</v>
      </c>
      <c r="CO167" s="25" t="s">
        <v>430</v>
      </c>
      <c r="CP167" s="25" t="s">
        <v>430</v>
      </c>
      <c r="CQ167" s="25" t="s">
        <v>439</v>
      </c>
      <c r="CR167" s="25" t="s">
        <v>431</v>
      </c>
      <c r="CS167" s="25" t="s">
        <v>430</v>
      </c>
      <c r="CT167" s="25" t="s">
        <v>430</v>
      </c>
      <c r="CU167" s="25" t="s">
        <v>430</v>
      </c>
      <c r="CV167" s="25" t="s">
        <v>430</v>
      </c>
      <c r="CW167" s="25" t="s">
        <v>460</v>
      </c>
      <c r="CX167" s="25" t="s">
        <v>461</v>
      </c>
      <c r="CY167" s="165">
        <v>44844.274305555555</v>
      </c>
      <c r="CZ167" s="25" t="s">
        <v>430</v>
      </c>
      <c r="DA167" s="25" t="s">
        <v>430</v>
      </c>
      <c r="DB167" s="25">
        <v>16.559999999999999</v>
      </c>
      <c r="DC167" s="25" t="s">
        <v>430</v>
      </c>
      <c r="DD167" s="25" t="s">
        <v>434</v>
      </c>
      <c r="DE167" s="25" t="s">
        <v>430</v>
      </c>
      <c r="DF167" s="25" t="s">
        <v>430</v>
      </c>
      <c r="DG167" s="25" t="s">
        <v>462</v>
      </c>
      <c r="DH167" s="25" t="s">
        <v>431</v>
      </c>
      <c r="DI167" s="25" t="s">
        <v>463</v>
      </c>
      <c r="DJ167" s="25" t="s">
        <v>430</v>
      </c>
      <c r="DK167" s="25" t="s">
        <v>430</v>
      </c>
      <c r="DL167" s="25" t="s">
        <v>474</v>
      </c>
      <c r="DM167" s="25" t="s">
        <v>430</v>
      </c>
      <c r="DN167" s="25" t="s">
        <v>430</v>
      </c>
      <c r="DO167" s="25" t="s">
        <v>434</v>
      </c>
      <c r="DP167" s="25" t="s">
        <v>430</v>
      </c>
      <c r="DQ167" s="25" t="s">
        <v>430</v>
      </c>
      <c r="DR167" s="25" t="s">
        <v>465</v>
      </c>
      <c r="DS167" s="25" t="s">
        <v>466</v>
      </c>
      <c r="DT167" s="25" t="s">
        <v>466</v>
      </c>
      <c r="DU167" s="25" t="s">
        <v>431</v>
      </c>
      <c r="DV167" s="25">
        <v>1</v>
      </c>
      <c r="DW167" s="166">
        <v>17049493</v>
      </c>
      <c r="DX167" s="25">
        <v>4</v>
      </c>
      <c r="DY167" s="25">
        <v>43</v>
      </c>
      <c r="DZ167" s="166">
        <v>1083208</v>
      </c>
      <c r="EA167" s="25">
        <v>2</v>
      </c>
      <c r="EB167" s="25">
        <v>1</v>
      </c>
      <c r="EC167" s="25">
        <v>45</v>
      </c>
      <c r="ED167" s="25">
        <v>7</v>
      </c>
      <c r="EE167" s="25">
        <v>2</v>
      </c>
      <c r="EF167" s="25">
        <v>1</v>
      </c>
      <c r="EG167" s="25">
        <v>0</v>
      </c>
      <c r="EH167" s="25">
        <v>7</v>
      </c>
      <c r="EI167" s="166">
        <v>316270</v>
      </c>
      <c r="EJ167" s="25">
        <v>0</v>
      </c>
      <c r="EK167" s="25">
        <v>0</v>
      </c>
      <c r="EL167" s="25">
        <v>1</v>
      </c>
      <c r="EM167" s="25">
        <v>5</v>
      </c>
      <c r="EN167" s="25">
        <v>1</v>
      </c>
      <c r="EO167" s="25">
        <v>1</v>
      </c>
      <c r="EP167" s="25">
        <v>1</v>
      </c>
      <c r="EQ167" s="25">
        <v>1</v>
      </c>
      <c r="ER167" s="25">
        <v>65</v>
      </c>
      <c r="ES167" s="25">
        <v>1</v>
      </c>
      <c r="ET167" s="25">
        <v>2</v>
      </c>
      <c r="EU167" s="25">
        <v>0</v>
      </c>
      <c r="EV167" s="25" t="s">
        <v>254</v>
      </c>
    </row>
    <row r="168" spans="12:152" x14ac:dyDescent="0.25">
      <c r="L168" s="25">
        <v>46.054445000000001</v>
      </c>
      <c r="M168" s="25">
        <v>-100.67110599999999</v>
      </c>
      <c r="N168" s="25" t="s">
        <v>24</v>
      </c>
      <c r="O168" s="25">
        <v>2017</v>
      </c>
      <c r="P168" s="25" t="s">
        <v>427</v>
      </c>
      <c r="Q168" s="25" t="s">
        <v>428</v>
      </c>
      <c r="R168" s="25" t="s">
        <v>482</v>
      </c>
      <c r="S168" s="25" t="s">
        <v>482</v>
      </c>
      <c r="T168" s="25" t="s">
        <v>430</v>
      </c>
      <c r="U168" s="25" t="s">
        <v>431</v>
      </c>
      <c r="V168" s="25" t="s">
        <v>432</v>
      </c>
      <c r="W168" s="25" t="s">
        <v>433</v>
      </c>
      <c r="X168" s="25" t="s">
        <v>540</v>
      </c>
      <c r="Y168" s="25" t="s">
        <v>434</v>
      </c>
      <c r="Z168" s="25" t="s">
        <v>430</v>
      </c>
      <c r="AA168" s="25">
        <v>54</v>
      </c>
      <c r="AB168" s="25" t="s">
        <v>435</v>
      </c>
      <c r="AC168" s="25" t="s">
        <v>478</v>
      </c>
      <c r="AD168" s="25" t="s">
        <v>436</v>
      </c>
      <c r="AE168" s="25" t="s">
        <v>430</v>
      </c>
      <c r="AF168" s="25" t="s">
        <v>437</v>
      </c>
      <c r="AG168" s="164">
        <v>42894</v>
      </c>
      <c r="AH168" s="25" t="s">
        <v>484</v>
      </c>
      <c r="AI168" s="25">
        <v>17</v>
      </c>
      <c r="AJ168" s="165">
        <v>44844.73333333333</v>
      </c>
      <c r="AK168" s="25" t="s">
        <v>440</v>
      </c>
      <c r="AL168" s="25" t="s">
        <v>441</v>
      </c>
      <c r="AM168" s="164">
        <v>43716</v>
      </c>
      <c r="AN168" s="164">
        <v>42894</v>
      </c>
      <c r="AO168" s="25" t="s">
        <v>141</v>
      </c>
      <c r="AP168" s="25" t="s">
        <v>141</v>
      </c>
      <c r="AQ168" s="25" t="s">
        <v>430</v>
      </c>
      <c r="AR168" s="25" t="s">
        <v>442</v>
      </c>
      <c r="AS168" s="25" t="s">
        <v>442</v>
      </c>
      <c r="AT168" s="25" t="s">
        <v>430</v>
      </c>
      <c r="AU168" s="25" t="s">
        <v>430</v>
      </c>
      <c r="AV168" s="25" t="s">
        <v>430</v>
      </c>
      <c r="AW168" s="25" t="s">
        <v>443</v>
      </c>
      <c r="AX168" s="25" t="s">
        <v>469</v>
      </c>
      <c r="AY168" s="25" t="s">
        <v>430</v>
      </c>
      <c r="AZ168" s="25" t="s">
        <v>430</v>
      </c>
      <c r="BA168" s="25" t="s">
        <v>430</v>
      </c>
      <c r="BB168" s="25" t="s">
        <v>430</v>
      </c>
      <c r="BC168" s="25" t="s">
        <v>430</v>
      </c>
      <c r="BD168" s="25">
        <v>7.12</v>
      </c>
      <c r="BE168" s="25">
        <v>24</v>
      </c>
      <c r="BF168" s="25" t="s">
        <v>430</v>
      </c>
      <c r="BG168" s="25" t="s">
        <v>430</v>
      </c>
      <c r="BH168" s="25" t="s">
        <v>486</v>
      </c>
      <c r="BI168" s="25" t="s">
        <v>431</v>
      </c>
      <c r="BJ168" s="25" t="s">
        <v>429</v>
      </c>
      <c r="BK168" s="25" t="s">
        <v>541</v>
      </c>
      <c r="BL168" s="25" t="s">
        <v>469</v>
      </c>
      <c r="BM168" s="25" t="s">
        <v>469</v>
      </c>
      <c r="BN168" s="25" t="s">
        <v>430</v>
      </c>
      <c r="BO168" s="25">
        <v>0</v>
      </c>
      <c r="BP168" s="25" t="s">
        <v>434</v>
      </c>
      <c r="BQ168" s="25" t="s">
        <v>449</v>
      </c>
      <c r="BR168" s="25" t="s">
        <v>450</v>
      </c>
      <c r="BS168" s="25" t="s">
        <v>430</v>
      </c>
      <c r="BT168" s="25">
        <v>37</v>
      </c>
      <c r="BU168" s="25">
        <v>30</v>
      </c>
      <c r="BV168" s="25" t="s">
        <v>430</v>
      </c>
      <c r="BW168" s="25" t="s">
        <v>542</v>
      </c>
      <c r="BX168" s="25" t="s">
        <v>543</v>
      </c>
      <c r="BY168" s="25" t="s">
        <v>430</v>
      </c>
      <c r="BZ168" s="25" t="s">
        <v>493</v>
      </c>
      <c r="CA168" s="25" t="s">
        <v>433</v>
      </c>
      <c r="CB168" s="25" t="s">
        <v>430</v>
      </c>
      <c r="CC168" s="25" t="s">
        <v>544</v>
      </c>
      <c r="CD168" s="25" t="s">
        <v>481</v>
      </c>
      <c r="CE168" s="25" t="s">
        <v>430</v>
      </c>
      <c r="CF168" s="25" t="s">
        <v>441</v>
      </c>
      <c r="CG168" s="25" t="s">
        <v>430</v>
      </c>
      <c r="CH168" s="25" t="s">
        <v>529</v>
      </c>
      <c r="CI168" s="25" t="s">
        <v>453</v>
      </c>
      <c r="CJ168" s="25" t="s">
        <v>454</v>
      </c>
      <c r="CK168" s="25" t="s">
        <v>455</v>
      </c>
      <c r="CL168" s="25" t="s">
        <v>472</v>
      </c>
      <c r="CM168" s="25" t="s">
        <v>430</v>
      </c>
      <c r="CN168" s="25" t="s">
        <v>457</v>
      </c>
      <c r="CO168" s="25" t="s">
        <v>457</v>
      </c>
      <c r="CP168" s="25" t="s">
        <v>430</v>
      </c>
      <c r="CQ168" s="25" t="s">
        <v>439</v>
      </c>
      <c r="CR168" s="25" t="s">
        <v>431</v>
      </c>
      <c r="CS168" s="25">
        <v>65</v>
      </c>
      <c r="CT168" s="25" t="s">
        <v>430</v>
      </c>
      <c r="CU168" s="25" t="s">
        <v>430</v>
      </c>
      <c r="CV168" s="25" t="s">
        <v>430</v>
      </c>
      <c r="CW168" s="25" t="s">
        <v>460</v>
      </c>
      <c r="CX168" s="25" t="s">
        <v>461</v>
      </c>
      <c r="CY168" s="165">
        <v>44844.734027777777</v>
      </c>
      <c r="CZ168" s="25" t="s">
        <v>430</v>
      </c>
      <c r="DA168" s="25" t="s">
        <v>430</v>
      </c>
      <c r="DB168" s="25">
        <v>7.12</v>
      </c>
      <c r="DC168" s="25" t="s">
        <v>430</v>
      </c>
      <c r="DD168" s="25" t="s">
        <v>434</v>
      </c>
      <c r="DE168" s="25" t="s">
        <v>434</v>
      </c>
      <c r="DF168" s="25" t="s">
        <v>430</v>
      </c>
      <c r="DG168" s="25" t="s">
        <v>462</v>
      </c>
      <c r="DH168" s="25" t="s">
        <v>431</v>
      </c>
      <c r="DI168" s="25" t="s">
        <v>473</v>
      </c>
      <c r="DJ168" s="25" t="s">
        <v>473</v>
      </c>
      <c r="DK168" s="25" t="s">
        <v>430</v>
      </c>
      <c r="DL168" s="25" t="s">
        <v>474</v>
      </c>
      <c r="DM168" s="25" t="s">
        <v>535</v>
      </c>
      <c r="DN168" s="25" t="s">
        <v>430</v>
      </c>
      <c r="DO168" s="25" t="s">
        <v>434</v>
      </c>
      <c r="DP168" s="25" t="s">
        <v>434</v>
      </c>
      <c r="DQ168" s="25" t="s">
        <v>430</v>
      </c>
      <c r="DR168" s="25" t="s">
        <v>465</v>
      </c>
      <c r="DS168" s="25" t="s">
        <v>466</v>
      </c>
      <c r="DT168" s="25" t="s">
        <v>466</v>
      </c>
      <c r="DU168" s="25" t="s">
        <v>431</v>
      </c>
      <c r="DV168" s="25">
        <v>1</v>
      </c>
      <c r="DW168" s="166">
        <v>17075205</v>
      </c>
      <c r="DX168" s="25">
        <v>4</v>
      </c>
      <c r="DY168" s="25">
        <v>43</v>
      </c>
      <c r="DZ168" s="166">
        <v>1083384</v>
      </c>
      <c r="EA168" s="25">
        <v>3</v>
      </c>
      <c r="EB168" s="25">
        <v>1</v>
      </c>
      <c r="EC168" s="25">
        <v>1</v>
      </c>
      <c r="ED168" s="25">
        <v>6</v>
      </c>
      <c r="EE168" s="25">
        <v>2</v>
      </c>
      <c r="EF168" s="25">
        <v>2</v>
      </c>
      <c r="EG168" s="25">
        <v>0</v>
      </c>
      <c r="EH168" s="25">
        <v>2</v>
      </c>
      <c r="EI168" s="166">
        <v>316440</v>
      </c>
      <c r="EJ168" s="25">
        <v>0</v>
      </c>
      <c r="EK168" s="25">
        <v>0</v>
      </c>
      <c r="EL168" s="25">
        <v>8</v>
      </c>
      <c r="EM168" s="25">
        <v>0</v>
      </c>
      <c r="EN168" s="25">
        <v>1</v>
      </c>
      <c r="EO168" s="25">
        <v>1</v>
      </c>
      <c r="EP168" s="25">
        <v>1</v>
      </c>
      <c r="EQ168" s="25">
        <v>1</v>
      </c>
      <c r="ER168" s="25">
        <v>65</v>
      </c>
      <c r="ES168" s="25">
        <v>1</v>
      </c>
      <c r="ET168" s="25">
        <v>2</v>
      </c>
      <c r="EU168" s="25">
        <v>0</v>
      </c>
      <c r="EV168" s="25" t="s">
        <v>254</v>
      </c>
    </row>
    <row r="169" spans="12:152" x14ac:dyDescent="0.25">
      <c r="L169" s="25">
        <v>46.054209</v>
      </c>
      <c r="M169" s="25">
        <v>-100.67140000000001</v>
      </c>
      <c r="N169" s="25" t="s">
        <v>24</v>
      </c>
      <c r="O169" s="25">
        <v>2015</v>
      </c>
      <c r="P169" s="25" t="s">
        <v>427</v>
      </c>
      <c r="Q169" s="25" t="s">
        <v>545</v>
      </c>
      <c r="R169" s="25" t="s">
        <v>482</v>
      </c>
      <c r="S169" s="25" t="s">
        <v>430</v>
      </c>
      <c r="T169" s="25" t="s">
        <v>430</v>
      </c>
      <c r="U169" s="25" t="s">
        <v>431</v>
      </c>
      <c r="V169" s="25" t="s">
        <v>432</v>
      </c>
      <c r="W169" s="25" t="s">
        <v>433</v>
      </c>
      <c r="X169" s="25" t="s">
        <v>546</v>
      </c>
      <c r="Y169" s="25" t="s">
        <v>430</v>
      </c>
      <c r="Z169" s="25" t="s">
        <v>430</v>
      </c>
      <c r="AA169" s="25" t="s">
        <v>430</v>
      </c>
      <c r="AB169" s="25" t="s">
        <v>430</v>
      </c>
      <c r="AC169" s="25" t="s">
        <v>547</v>
      </c>
      <c r="AD169" s="25" t="s">
        <v>430</v>
      </c>
      <c r="AE169" s="25" t="s">
        <v>430</v>
      </c>
      <c r="AF169" s="25" t="s">
        <v>437</v>
      </c>
      <c r="AG169" s="164">
        <v>42054</v>
      </c>
      <c r="AH169" s="25" t="s">
        <v>484</v>
      </c>
      <c r="AI169" s="25" t="s">
        <v>439</v>
      </c>
      <c r="AJ169" s="165">
        <v>44963.42083333333</v>
      </c>
      <c r="AK169" s="25" t="s">
        <v>440</v>
      </c>
      <c r="AL169" s="25" t="s">
        <v>441</v>
      </c>
      <c r="AM169" s="164">
        <v>42061</v>
      </c>
      <c r="AN169" s="164">
        <v>42054</v>
      </c>
      <c r="AO169" s="25" t="s">
        <v>141</v>
      </c>
      <c r="AP169" s="25" t="s">
        <v>430</v>
      </c>
      <c r="AQ169" s="25" t="s">
        <v>430</v>
      </c>
      <c r="AR169" s="25" t="s">
        <v>442</v>
      </c>
      <c r="AS169" s="25" t="s">
        <v>430</v>
      </c>
      <c r="AT169" s="25" t="s">
        <v>430</v>
      </c>
      <c r="AU169" s="25"/>
      <c r="AV169" s="25" t="s">
        <v>430</v>
      </c>
      <c r="AW169" s="25" t="s">
        <v>443</v>
      </c>
      <c r="AX169" s="25" t="s">
        <v>538</v>
      </c>
      <c r="AY169" s="25" t="s">
        <v>430</v>
      </c>
      <c r="AZ169" s="25" t="s">
        <v>430</v>
      </c>
      <c r="BA169" s="25" t="s">
        <v>430</v>
      </c>
      <c r="BB169" s="25" t="s">
        <v>430</v>
      </c>
      <c r="BC169" s="25" t="s">
        <v>430</v>
      </c>
      <c r="BD169" s="25">
        <v>7.07</v>
      </c>
      <c r="BE169" s="25">
        <v>24</v>
      </c>
      <c r="BF169" s="25" t="s">
        <v>430</v>
      </c>
      <c r="BG169" s="25" t="s">
        <v>430</v>
      </c>
      <c r="BH169" s="25" t="s">
        <v>507</v>
      </c>
      <c r="BI169" s="25" t="s">
        <v>446</v>
      </c>
      <c r="BJ169" s="25" t="s">
        <v>447</v>
      </c>
      <c r="BK169" s="25" t="s">
        <v>448</v>
      </c>
      <c r="BL169" s="25" t="s">
        <v>538</v>
      </c>
      <c r="BM169" s="25" t="s">
        <v>430</v>
      </c>
      <c r="BN169" s="25" t="s">
        <v>430</v>
      </c>
      <c r="BO169" s="25" t="s">
        <v>430</v>
      </c>
      <c r="BP169" s="25" t="s">
        <v>434</v>
      </c>
      <c r="BQ169" s="25" t="s">
        <v>548</v>
      </c>
      <c r="BR169" s="25" t="s">
        <v>549</v>
      </c>
      <c r="BS169" s="25">
        <v>329</v>
      </c>
      <c r="BT169" s="25">
        <v>68</v>
      </c>
      <c r="BU169" s="25" t="s">
        <v>430</v>
      </c>
      <c r="BV169" s="25" t="s">
        <v>430</v>
      </c>
      <c r="BW169" s="25" t="s">
        <v>430</v>
      </c>
      <c r="BX169" s="25" t="s">
        <v>430</v>
      </c>
      <c r="BY169" s="25" t="s">
        <v>430</v>
      </c>
      <c r="BZ169" s="25" t="s">
        <v>433</v>
      </c>
      <c r="CA169" s="25" t="s">
        <v>430</v>
      </c>
      <c r="CB169" s="25" t="s">
        <v>430</v>
      </c>
      <c r="CC169" s="25" t="s">
        <v>430</v>
      </c>
      <c r="CD169" s="25" t="s">
        <v>430</v>
      </c>
      <c r="CE169" s="25" t="s">
        <v>430</v>
      </c>
      <c r="CF169" s="25" t="s">
        <v>441</v>
      </c>
      <c r="CG169" s="25" t="s">
        <v>430</v>
      </c>
      <c r="CH169" s="25" t="s">
        <v>495</v>
      </c>
      <c r="CI169" s="25" t="s">
        <v>496</v>
      </c>
      <c r="CJ169" s="25" t="s">
        <v>454</v>
      </c>
      <c r="CK169" s="25" t="s">
        <v>455</v>
      </c>
      <c r="CL169" s="25" t="s">
        <v>517</v>
      </c>
      <c r="CM169" s="25" t="s">
        <v>430</v>
      </c>
      <c r="CN169" s="25" t="s">
        <v>497</v>
      </c>
      <c r="CO169" s="25" t="s">
        <v>430</v>
      </c>
      <c r="CP169" s="25" t="s">
        <v>430</v>
      </c>
      <c r="CQ169" s="25">
        <v>10</v>
      </c>
      <c r="CR169" s="25" t="s">
        <v>431</v>
      </c>
      <c r="CS169" s="25" t="s">
        <v>430</v>
      </c>
      <c r="CT169" s="25" t="s">
        <v>430</v>
      </c>
      <c r="CU169" s="25"/>
      <c r="CV169" s="25" t="s">
        <v>430</v>
      </c>
      <c r="CW169" s="25" t="s">
        <v>460</v>
      </c>
      <c r="CX169" s="25" t="s">
        <v>461</v>
      </c>
      <c r="CY169" s="165">
        <v>44963.42083333333</v>
      </c>
      <c r="CZ169" s="25"/>
      <c r="DA169" s="25" t="s">
        <v>430</v>
      </c>
      <c r="DB169" s="25">
        <v>7.07</v>
      </c>
      <c r="DC169" s="25" t="s">
        <v>430</v>
      </c>
      <c r="DD169" s="25" t="s">
        <v>500</v>
      </c>
      <c r="DE169" s="25" t="s">
        <v>430</v>
      </c>
      <c r="DF169" s="25" t="s">
        <v>430</v>
      </c>
      <c r="DG169" s="25" t="s">
        <v>462</v>
      </c>
      <c r="DH169" s="25" t="s">
        <v>431</v>
      </c>
      <c r="DI169" s="25" t="s">
        <v>473</v>
      </c>
      <c r="DJ169" s="25" t="s">
        <v>430</v>
      </c>
      <c r="DK169" s="25" t="s">
        <v>430</v>
      </c>
      <c r="DL169" s="25" t="s">
        <v>474</v>
      </c>
      <c r="DM169" s="25" t="s">
        <v>430</v>
      </c>
      <c r="DN169" s="25" t="s">
        <v>430</v>
      </c>
      <c r="DO169" s="25" t="s">
        <v>434</v>
      </c>
      <c r="DP169" s="25" t="s">
        <v>430</v>
      </c>
      <c r="DQ169" s="25" t="s">
        <v>430</v>
      </c>
      <c r="DR169" s="25" t="s">
        <v>550</v>
      </c>
      <c r="DS169" s="25" t="s">
        <v>466</v>
      </c>
      <c r="DT169" s="25" t="s">
        <v>466</v>
      </c>
      <c r="DU169" s="25" t="s">
        <v>431</v>
      </c>
      <c r="DV169" s="25">
        <v>1</v>
      </c>
      <c r="DW169" s="166">
        <v>1282</v>
      </c>
      <c r="DX169" s="25">
        <v>1</v>
      </c>
      <c r="DY169" s="25">
        <v>43</v>
      </c>
      <c r="DZ169" s="166">
        <v>322580</v>
      </c>
      <c r="EA169" s="25">
        <v>3</v>
      </c>
      <c r="EB169" s="25">
        <v>1</v>
      </c>
      <c r="EC169" s="25">
        <v>27</v>
      </c>
      <c r="ED169" s="25">
        <v>6</v>
      </c>
      <c r="EE169" s="25">
        <v>2</v>
      </c>
      <c r="EF169" s="25">
        <v>3</v>
      </c>
      <c r="EG169" s="25">
        <v>1</v>
      </c>
      <c r="EH169" s="25">
        <v>7</v>
      </c>
      <c r="EI169" s="25">
        <v>11</v>
      </c>
      <c r="EJ169" s="25">
        <v>0</v>
      </c>
      <c r="EK169" s="25">
        <v>0</v>
      </c>
      <c r="EL169" s="25">
        <v>2</v>
      </c>
      <c r="EM169" s="25">
        <v>6</v>
      </c>
      <c r="EN169" s="25">
        <v>1</v>
      </c>
      <c r="EO169" s="25">
        <v>1</v>
      </c>
      <c r="EP169" s="25">
        <v>2</v>
      </c>
      <c r="EQ169" s="25">
        <v>1</v>
      </c>
      <c r="ER169" s="25">
        <v>65</v>
      </c>
      <c r="ES169" s="25">
        <v>1</v>
      </c>
      <c r="ET169" s="25">
        <v>2</v>
      </c>
      <c r="EU169" s="25">
        <v>2</v>
      </c>
      <c r="EV169" s="25" t="s">
        <v>254</v>
      </c>
    </row>
    <row r="170" spans="12:152" x14ac:dyDescent="0.25">
      <c r="L170" s="25">
        <v>46.053919999999998</v>
      </c>
      <c r="M170" s="25">
        <v>-100.67108500000001</v>
      </c>
      <c r="N170" s="25" t="s">
        <v>24</v>
      </c>
      <c r="O170" s="25">
        <v>2015</v>
      </c>
      <c r="P170" s="25" t="s">
        <v>427</v>
      </c>
      <c r="Q170" s="25" t="s">
        <v>428</v>
      </c>
      <c r="R170" s="25" t="s">
        <v>482</v>
      </c>
      <c r="S170" s="25" t="s">
        <v>430</v>
      </c>
      <c r="T170" s="25" t="s">
        <v>430</v>
      </c>
      <c r="U170" s="25" t="s">
        <v>431</v>
      </c>
      <c r="V170" s="25" t="s">
        <v>432</v>
      </c>
      <c r="W170" s="25" t="s">
        <v>433</v>
      </c>
      <c r="X170" s="25" t="s">
        <v>546</v>
      </c>
      <c r="Y170" s="25" t="s">
        <v>430</v>
      </c>
      <c r="Z170" s="25" t="s">
        <v>430</v>
      </c>
      <c r="AA170" s="25">
        <v>54</v>
      </c>
      <c r="AB170" s="25" t="s">
        <v>435</v>
      </c>
      <c r="AC170" s="25" t="s">
        <v>551</v>
      </c>
      <c r="AD170" s="25" t="s">
        <v>430</v>
      </c>
      <c r="AE170" s="25" t="s">
        <v>430</v>
      </c>
      <c r="AF170" s="25" t="s">
        <v>437</v>
      </c>
      <c r="AG170" s="164">
        <v>42054</v>
      </c>
      <c r="AH170" s="25" t="s">
        <v>484</v>
      </c>
      <c r="AI170" s="25" t="s">
        <v>439</v>
      </c>
      <c r="AJ170" s="165">
        <v>44963.404861111114</v>
      </c>
      <c r="AK170" s="25" t="s">
        <v>440</v>
      </c>
      <c r="AL170" s="25" t="s">
        <v>441</v>
      </c>
      <c r="AM170" s="164">
        <v>42559</v>
      </c>
      <c r="AN170" s="164">
        <v>42054</v>
      </c>
      <c r="AO170" s="25" t="s">
        <v>141</v>
      </c>
      <c r="AP170" s="25" t="s">
        <v>430</v>
      </c>
      <c r="AQ170" s="25" t="s">
        <v>430</v>
      </c>
      <c r="AR170" s="25" t="s">
        <v>442</v>
      </c>
      <c r="AS170" s="25" t="s">
        <v>430</v>
      </c>
      <c r="AT170" s="25" t="s">
        <v>430</v>
      </c>
      <c r="AU170" s="25" t="s">
        <v>430</v>
      </c>
      <c r="AV170" s="25" t="s">
        <v>430</v>
      </c>
      <c r="AW170" s="25" t="s">
        <v>521</v>
      </c>
      <c r="AX170" s="25" t="s">
        <v>552</v>
      </c>
      <c r="AY170" s="25">
        <v>115</v>
      </c>
      <c r="AZ170" s="25" t="s">
        <v>553</v>
      </c>
      <c r="BA170" s="25">
        <v>35.052</v>
      </c>
      <c r="BB170" s="25" t="s">
        <v>430</v>
      </c>
      <c r="BC170" s="25" t="s">
        <v>430</v>
      </c>
      <c r="BD170" s="25" t="s">
        <v>430</v>
      </c>
      <c r="BE170" s="25" t="s">
        <v>430</v>
      </c>
      <c r="BF170" s="25" t="s">
        <v>430</v>
      </c>
      <c r="BG170" s="25" t="s">
        <v>430</v>
      </c>
      <c r="BH170" s="25" t="s">
        <v>445</v>
      </c>
      <c r="BI170" s="25" t="s">
        <v>446</v>
      </c>
      <c r="BJ170" s="25" t="s">
        <v>447</v>
      </c>
      <c r="BK170" s="25" t="s">
        <v>448</v>
      </c>
      <c r="BL170" s="25" t="s">
        <v>538</v>
      </c>
      <c r="BM170" s="25" t="s">
        <v>430</v>
      </c>
      <c r="BN170" s="25" t="s">
        <v>430</v>
      </c>
      <c r="BO170" s="25" t="s">
        <v>430</v>
      </c>
      <c r="BP170" s="25" t="s">
        <v>554</v>
      </c>
      <c r="BQ170" s="25" t="s">
        <v>449</v>
      </c>
      <c r="BR170" s="25" t="s">
        <v>450</v>
      </c>
      <c r="BS170" s="25" t="s">
        <v>430</v>
      </c>
      <c r="BT170" s="25">
        <v>68</v>
      </c>
      <c r="BU170" s="25" t="s">
        <v>430</v>
      </c>
      <c r="BV170" s="25" t="s">
        <v>430</v>
      </c>
      <c r="BW170" s="25" t="s">
        <v>555</v>
      </c>
      <c r="BX170" s="25" t="s">
        <v>430</v>
      </c>
      <c r="BY170" s="25" t="s">
        <v>430</v>
      </c>
      <c r="BZ170" s="25" t="s">
        <v>433</v>
      </c>
      <c r="CA170" s="25" t="s">
        <v>430</v>
      </c>
      <c r="CB170" s="25" t="s">
        <v>430</v>
      </c>
      <c r="CC170" s="25" t="s">
        <v>481</v>
      </c>
      <c r="CD170" s="25" t="s">
        <v>430</v>
      </c>
      <c r="CE170" s="25" t="s">
        <v>430</v>
      </c>
      <c r="CF170" s="25" t="s">
        <v>441</v>
      </c>
      <c r="CG170" s="25" t="s">
        <v>430</v>
      </c>
      <c r="CH170" s="25" t="s">
        <v>529</v>
      </c>
      <c r="CI170" s="25" t="s">
        <v>453</v>
      </c>
      <c r="CJ170" s="25" t="s">
        <v>454</v>
      </c>
      <c r="CK170" s="25" t="s">
        <v>455</v>
      </c>
      <c r="CL170" s="25" t="s">
        <v>556</v>
      </c>
      <c r="CM170" s="25" t="s">
        <v>430</v>
      </c>
      <c r="CN170" s="25" t="s">
        <v>457</v>
      </c>
      <c r="CO170" s="25" t="s">
        <v>430</v>
      </c>
      <c r="CP170" s="25" t="s">
        <v>430</v>
      </c>
      <c r="CQ170" s="25">
        <v>9</v>
      </c>
      <c r="CR170" s="25" t="s">
        <v>431</v>
      </c>
      <c r="CS170" s="25" t="s">
        <v>430</v>
      </c>
      <c r="CT170" s="25" t="s">
        <v>430</v>
      </c>
      <c r="CU170" s="25" t="s">
        <v>557</v>
      </c>
      <c r="CV170" s="25" t="s">
        <v>430</v>
      </c>
      <c r="CW170" s="25" t="s">
        <v>460</v>
      </c>
      <c r="CX170" s="25" t="s">
        <v>461</v>
      </c>
      <c r="CY170" s="165">
        <v>44963.405555555553</v>
      </c>
      <c r="CZ170" s="25" t="s">
        <v>558</v>
      </c>
      <c r="DA170" s="25" t="s">
        <v>430</v>
      </c>
      <c r="DB170" s="25" t="s">
        <v>430</v>
      </c>
      <c r="DC170" s="25" t="s">
        <v>430</v>
      </c>
      <c r="DD170" s="25" t="s">
        <v>500</v>
      </c>
      <c r="DE170" s="25" t="s">
        <v>430</v>
      </c>
      <c r="DF170" s="25" t="s">
        <v>430</v>
      </c>
      <c r="DG170" s="25" t="s">
        <v>462</v>
      </c>
      <c r="DH170" s="25" t="s">
        <v>431</v>
      </c>
      <c r="DI170" s="25" t="s">
        <v>559</v>
      </c>
      <c r="DJ170" s="25" t="s">
        <v>430</v>
      </c>
      <c r="DK170" s="25" t="s">
        <v>430</v>
      </c>
      <c r="DL170" s="25" t="s">
        <v>474</v>
      </c>
      <c r="DM170" s="25" t="s">
        <v>430</v>
      </c>
      <c r="DN170" s="25" t="s">
        <v>430</v>
      </c>
      <c r="DO170" s="25" t="s">
        <v>434</v>
      </c>
      <c r="DP170" s="25" t="s">
        <v>430</v>
      </c>
      <c r="DQ170" s="25" t="s">
        <v>430</v>
      </c>
      <c r="DR170" s="25" t="s">
        <v>465</v>
      </c>
      <c r="DS170" s="25" t="s">
        <v>466</v>
      </c>
      <c r="DT170" s="25" t="s">
        <v>466</v>
      </c>
      <c r="DU170" s="25" t="s">
        <v>431</v>
      </c>
      <c r="DV170" s="25">
        <v>1</v>
      </c>
      <c r="DW170" s="166">
        <v>15016762</v>
      </c>
      <c r="DX170" s="25">
        <v>4</v>
      </c>
      <c r="DY170" s="25">
        <v>43</v>
      </c>
      <c r="DZ170" s="166">
        <v>1013926</v>
      </c>
      <c r="EA170" s="25">
        <v>3</v>
      </c>
      <c r="EB170" s="25">
        <v>1</v>
      </c>
      <c r="EC170" s="25">
        <v>48</v>
      </c>
      <c r="ED170" s="25">
        <v>9</v>
      </c>
      <c r="EE170" s="25">
        <v>2</v>
      </c>
      <c r="EF170" s="25">
        <v>1</v>
      </c>
      <c r="EG170" s="25">
        <v>1</v>
      </c>
      <c r="EH170" s="25">
        <v>7</v>
      </c>
      <c r="EI170" s="25">
        <v>23</v>
      </c>
      <c r="EJ170" s="25">
        <v>1</v>
      </c>
      <c r="EK170" s="25">
        <v>0</v>
      </c>
      <c r="EL170" s="25">
        <v>8</v>
      </c>
      <c r="EM170" s="25">
        <v>0</v>
      </c>
      <c r="EN170" s="25">
        <v>1</v>
      </c>
      <c r="EO170" s="25">
        <v>1</v>
      </c>
      <c r="EP170" s="25">
        <v>5</v>
      </c>
      <c r="EQ170" s="25">
        <v>1</v>
      </c>
      <c r="ER170" s="25">
        <v>65</v>
      </c>
      <c r="ES170" s="25">
        <v>1</v>
      </c>
      <c r="ET170" s="25">
        <v>2</v>
      </c>
      <c r="EU170" s="25">
        <v>0</v>
      </c>
      <c r="EV170" s="25" t="s">
        <v>254</v>
      </c>
    </row>
    <row r="171" spans="12:152" x14ac:dyDescent="0.25">
      <c r="L171" s="25">
        <v>46.103369000000001</v>
      </c>
      <c r="M171" s="25">
        <v>-100.946771</v>
      </c>
      <c r="N171" s="25" t="s">
        <v>512</v>
      </c>
      <c r="O171" s="25">
        <v>2015</v>
      </c>
      <c r="P171" s="25" t="s">
        <v>427</v>
      </c>
      <c r="Q171" s="25" t="s">
        <v>503</v>
      </c>
      <c r="R171" s="25" t="s">
        <v>482</v>
      </c>
      <c r="S171" s="25" t="s">
        <v>430</v>
      </c>
      <c r="T171" s="25" t="s">
        <v>430</v>
      </c>
      <c r="U171" s="25" t="s">
        <v>431</v>
      </c>
      <c r="V171" s="25" t="s">
        <v>432</v>
      </c>
      <c r="W171" s="25" t="s">
        <v>433</v>
      </c>
      <c r="X171" s="25" t="s">
        <v>434</v>
      </c>
      <c r="Y171" s="25" t="s">
        <v>430</v>
      </c>
      <c r="Z171" s="25" t="s">
        <v>430</v>
      </c>
      <c r="AA171" s="25">
        <v>139</v>
      </c>
      <c r="AB171" s="25" t="s">
        <v>524</v>
      </c>
      <c r="AC171" s="25" t="s">
        <v>560</v>
      </c>
      <c r="AD171" s="25" t="s">
        <v>430</v>
      </c>
      <c r="AE171" s="25" t="s">
        <v>430</v>
      </c>
      <c r="AF171" s="25" t="s">
        <v>437</v>
      </c>
      <c r="AG171" s="164">
        <v>42096</v>
      </c>
      <c r="AH171" s="25" t="s">
        <v>484</v>
      </c>
      <c r="AI171" s="25" t="s">
        <v>439</v>
      </c>
      <c r="AJ171" s="165">
        <v>44963.696527777778</v>
      </c>
      <c r="AK171" s="25" t="s">
        <v>440</v>
      </c>
      <c r="AL171" s="25" t="s">
        <v>441</v>
      </c>
      <c r="AM171" s="164">
        <v>42564</v>
      </c>
      <c r="AN171" s="164">
        <v>42096</v>
      </c>
      <c r="AO171" s="25" t="s">
        <v>140</v>
      </c>
      <c r="AP171" s="25" t="s">
        <v>430</v>
      </c>
      <c r="AQ171" s="25" t="s">
        <v>430</v>
      </c>
      <c r="AR171" s="25" t="s">
        <v>442</v>
      </c>
      <c r="AS171" s="25" t="s">
        <v>430</v>
      </c>
      <c r="AT171" s="25" t="s">
        <v>430</v>
      </c>
      <c r="AU171" s="25" t="s">
        <v>430</v>
      </c>
      <c r="AV171" s="25">
        <v>41</v>
      </c>
      <c r="AW171" s="25" t="s">
        <v>443</v>
      </c>
      <c r="AX171" s="25" t="s">
        <v>444</v>
      </c>
      <c r="AY171" s="25" t="s">
        <v>430</v>
      </c>
      <c r="AZ171" s="25" t="s">
        <v>430</v>
      </c>
      <c r="BA171" s="25" t="s">
        <v>430</v>
      </c>
      <c r="BB171" s="25" t="s">
        <v>430</v>
      </c>
      <c r="BC171" s="25" t="s">
        <v>430</v>
      </c>
      <c r="BD171" s="25">
        <v>16</v>
      </c>
      <c r="BE171" s="25">
        <v>6</v>
      </c>
      <c r="BF171" s="25" t="s">
        <v>430</v>
      </c>
      <c r="BG171" s="25" t="s">
        <v>430</v>
      </c>
      <c r="BH171" s="25" t="s">
        <v>445</v>
      </c>
      <c r="BI171" s="25" t="s">
        <v>446</v>
      </c>
      <c r="BJ171" s="25" t="s">
        <v>447</v>
      </c>
      <c r="BK171" s="25" t="s">
        <v>448</v>
      </c>
      <c r="BL171" s="25" t="s">
        <v>538</v>
      </c>
      <c r="BM171" s="25" t="s">
        <v>430</v>
      </c>
      <c r="BN171" s="25" t="s">
        <v>430</v>
      </c>
      <c r="BO171" s="25">
        <v>0</v>
      </c>
      <c r="BP171" s="25" t="s">
        <v>434</v>
      </c>
      <c r="BQ171" s="25" t="s">
        <v>449</v>
      </c>
      <c r="BR171" s="25" t="s">
        <v>450</v>
      </c>
      <c r="BS171" s="25" t="s">
        <v>430</v>
      </c>
      <c r="BT171" s="25">
        <v>34</v>
      </c>
      <c r="BU171" s="25" t="s">
        <v>430</v>
      </c>
      <c r="BV171" s="25" t="s">
        <v>430</v>
      </c>
      <c r="BW171" s="25" t="s">
        <v>561</v>
      </c>
      <c r="BX171" s="25" t="s">
        <v>430</v>
      </c>
      <c r="BY171" s="25" t="s">
        <v>430</v>
      </c>
      <c r="BZ171" s="25" t="s">
        <v>493</v>
      </c>
      <c r="CA171" s="25" t="s">
        <v>430</v>
      </c>
      <c r="CB171" s="25" t="s">
        <v>430</v>
      </c>
      <c r="CC171" s="25" t="s">
        <v>544</v>
      </c>
      <c r="CD171" s="25" t="s">
        <v>430</v>
      </c>
      <c r="CE171" s="25" t="s">
        <v>430</v>
      </c>
      <c r="CF171" s="25" t="s">
        <v>441</v>
      </c>
      <c r="CG171" s="25" t="s">
        <v>430</v>
      </c>
      <c r="CH171" s="25" t="s">
        <v>562</v>
      </c>
      <c r="CI171" s="25" t="s">
        <v>516</v>
      </c>
      <c r="CJ171" s="25" t="s">
        <v>454</v>
      </c>
      <c r="CK171" s="25" t="s">
        <v>455</v>
      </c>
      <c r="CL171" s="25" t="s">
        <v>456</v>
      </c>
      <c r="CM171" s="25" t="s">
        <v>430</v>
      </c>
      <c r="CN171" s="25" t="s">
        <v>497</v>
      </c>
      <c r="CO171" s="25" t="s">
        <v>430</v>
      </c>
      <c r="CP171" s="25" t="s">
        <v>430</v>
      </c>
      <c r="CQ171" s="25">
        <v>16</v>
      </c>
      <c r="CR171" s="25" t="s">
        <v>431</v>
      </c>
      <c r="CS171" s="25" t="s">
        <v>430</v>
      </c>
      <c r="CT171" s="25" t="s">
        <v>430</v>
      </c>
      <c r="CU171" s="25" t="s">
        <v>430</v>
      </c>
      <c r="CV171" s="25" t="s">
        <v>430</v>
      </c>
      <c r="CW171" s="25" t="s">
        <v>460</v>
      </c>
      <c r="CX171" s="25" t="s">
        <v>461</v>
      </c>
      <c r="CY171" s="165">
        <v>44963.697222222225</v>
      </c>
      <c r="CZ171" s="25" t="s">
        <v>430</v>
      </c>
      <c r="DA171" s="25" t="s">
        <v>430</v>
      </c>
      <c r="DB171" s="25">
        <v>16</v>
      </c>
      <c r="DC171" s="25" t="s">
        <v>430</v>
      </c>
      <c r="DD171" s="25" t="s">
        <v>434</v>
      </c>
      <c r="DE171" s="25" t="s">
        <v>430</v>
      </c>
      <c r="DF171" s="25" t="s">
        <v>430</v>
      </c>
      <c r="DG171" s="25" t="s">
        <v>462</v>
      </c>
      <c r="DH171" s="25" t="s">
        <v>431</v>
      </c>
      <c r="DI171" s="25" t="s">
        <v>473</v>
      </c>
      <c r="DJ171" s="25" t="s">
        <v>430</v>
      </c>
      <c r="DK171" s="25" t="s">
        <v>430</v>
      </c>
      <c r="DL171" s="25" t="s">
        <v>474</v>
      </c>
      <c r="DM171" s="25" t="s">
        <v>430</v>
      </c>
      <c r="DN171" s="25" t="s">
        <v>430</v>
      </c>
      <c r="DO171" s="25" t="s">
        <v>434</v>
      </c>
      <c r="DP171" s="25" t="s">
        <v>430</v>
      </c>
      <c r="DQ171" s="25" t="s">
        <v>430</v>
      </c>
      <c r="DR171" s="25" t="s">
        <v>502</v>
      </c>
      <c r="DS171" s="25" t="s">
        <v>466</v>
      </c>
      <c r="DT171" s="25" t="s">
        <v>466</v>
      </c>
      <c r="DU171" s="25" t="s">
        <v>431</v>
      </c>
      <c r="DV171" s="25">
        <v>1</v>
      </c>
      <c r="DW171" s="166">
        <v>15032408</v>
      </c>
      <c r="DX171" s="25">
        <v>3</v>
      </c>
      <c r="DY171" s="25">
        <v>43</v>
      </c>
      <c r="DZ171" s="166">
        <v>1014163</v>
      </c>
      <c r="EA171" s="25">
        <v>2</v>
      </c>
      <c r="EB171" s="25">
        <v>1</v>
      </c>
      <c r="EC171" s="25">
        <v>20</v>
      </c>
      <c r="ED171" s="25">
        <v>7</v>
      </c>
      <c r="EE171" s="25">
        <v>2</v>
      </c>
      <c r="EF171" s="25">
        <v>1</v>
      </c>
      <c r="EG171" s="25">
        <v>1</v>
      </c>
      <c r="EH171" s="25">
        <v>7</v>
      </c>
      <c r="EI171" s="25">
        <v>28</v>
      </c>
      <c r="EJ171" s="25">
        <v>0</v>
      </c>
      <c r="EK171" s="25">
        <v>0</v>
      </c>
      <c r="EL171" s="25">
        <v>4</v>
      </c>
      <c r="EM171" s="25">
        <v>1</v>
      </c>
      <c r="EN171" s="25">
        <v>1</v>
      </c>
      <c r="EO171" s="25">
        <v>1</v>
      </c>
      <c r="EP171" s="25">
        <v>3</v>
      </c>
      <c r="EQ171" s="25">
        <v>1</v>
      </c>
      <c r="ER171" s="25">
        <v>65</v>
      </c>
      <c r="ES171" s="25">
        <v>1</v>
      </c>
      <c r="ET171" s="25">
        <v>2</v>
      </c>
      <c r="EU171" s="25">
        <v>1</v>
      </c>
      <c r="EV171" s="25" t="s">
        <v>254</v>
      </c>
    </row>
    <row r="172" spans="12:152" x14ac:dyDescent="0.25">
      <c r="L172" s="25">
        <v>46.045121000000002</v>
      </c>
      <c r="M172" s="25">
        <v>-100.91504999999999</v>
      </c>
      <c r="N172" s="25" t="s">
        <v>512</v>
      </c>
      <c r="O172" s="25">
        <v>2015</v>
      </c>
      <c r="P172" s="25" t="s">
        <v>427</v>
      </c>
      <c r="Q172" s="25" t="s">
        <v>428</v>
      </c>
      <c r="R172" s="25" t="s">
        <v>476</v>
      </c>
      <c r="S172" s="25" t="s">
        <v>430</v>
      </c>
      <c r="T172" s="25" t="s">
        <v>430</v>
      </c>
      <c r="U172" s="25" t="s">
        <v>446</v>
      </c>
      <c r="V172" s="25" t="s">
        <v>563</v>
      </c>
      <c r="W172" s="25" t="s">
        <v>433</v>
      </c>
      <c r="X172" s="25" t="s">
        <v>540</v>
      </c>
      <c r="Y172" s="25" t="s">
        <v>430</v>
      </c>
      <c r="Z172" s="25" t="s">
        <v>430</v>
      </c>
      <c r="AA172" s="25">
        <v>139</v>
      </c>
      <c r="AB172" s="25" t="s">
        <v>524</v>
      </c>
      <c r="AC172" s="25" t="s">
        <v>560</v>
      </c>
      <c r="AD172" s="25" t="s">
        <v>430</v>
      </c>
      <c r="AE172" s="25" t="s">
        <v>430</v>
      </c>
      <c r="AF172" s="25" t="s">
        <v>437</v>
      </c>
      <c r="AG172" s="164">
        <v>42280</v>
      </c>
      <c r="AH172" s="25" t="s">
        <v>468</v>
      </c>
      <c r="AI172" s="25" t="s">
        <v>439</v>
      </c>
      <c r="AJ172" s="165">
        <v>44963.761111111111</v>
      </c>
      <c r="AK172" s="25" t="s">
        <v>440</v>
      </c>
      <c r="AL172" s="25" t="s">
        <v>441</v>
      </c>
      <c r="AM172" s="164">
        <v>42574</v>
      </c>
      <c r="AN172" s="164">
        <v>42280</v>
      </c>
      <c r="AO172" s="25" t="s">
        <v>141</v>
      </c>
      <c r="AP172" s="25" t="s">
        <v>430</v>
      </c>
      <c r="AQ172" s="25" t="s">
        <v>430</v>
      </c>
      <c r="AR172" s="25" t="s">
        <v>442</v>
      </c>
      <c r="AS172" s="25" t="s">
        <v>430</v>
      </c>
      <c r="AT172" s="25" t="s">
        <v>430</v>
      </c>
      <c r="AU172" s="25" t="s">
        <v>430</v>
      </c>
      <c r="AV172" s="25">
        <v>41</v>
      </c>
      <c r="AW172" s="25" t="s">
        <v>443</v>
      </c>
      <c r="AX172" s="25" t="s">
        <v>444</v>
      </c>
      <c r="AY172" s="25">
        <v>344</v>
      </c>
      <c r="AZ172" s="25" t="s">
        <v>564</v>
      </c>
      <c r="BA172" s="25">
        <v>104.851</v>
      </c>
      <c r="BB172" s="25" t="s">
        <v>430</v>
      </c>
      <c r="BC172" s="25" t="s">
        <v>430</v>
      </c>
      <c r="BD172" s="25" t="s">
        <v>430</v>
      </c>
      <c r="BE172" s="25" t="s">
        <v>430</v>
      </c>
      <c r="BF172" s="25" t="s">
        <v>430</v>
      </c>
      <c r="BG172" s="25" t="s">
        <v>430</v>
      </c>
      <c r="BH172" s="25" t="s">
        <v>445</v>
      </c>
      <c r="BI172" s="25" t="s">
        <v>446</v>
      </c>
      <c r="BJ172" s="25" t="s">
        <v>447</v>
      </c>
      <c r="BK172" s="25" t="s">
        <v>448</v>
      </c>
      <c r="BL172" s="25" t="s">
        <v>444</v>
      </c>
      <c r="BM172" s="25" t="s">
        <v>430</v>
      </c>
      <c r="BN172" s="25" t="s">
        <v>430</v>
      </c>
      <c r="BO172" s="25" t="s">
        <v>430</v>
      </c>
      <c r="BP172" s="25" t="s">
        <v>434</v>
      </c>
      <c r="BQ172" s="25" t="s">
        <v>449</v>
      </c>
      <c r="BR172" s="25" t="s">
        <v>450</v>
      </c>
      <c r="BS172" s="25" t="s">
        <v>430</v>
      </c>
      <c r="BT172" s="25">
        <v>50</v>
      </c>
      <c r="BU172" s="25" t="s">
        <v>430</v>
      </c>
      <c r="BV172" s="25" t="s">
        <v>430</v>
      </c>
      <c r="BW172" s="25" t="s">
        <v>565</v>
      </c>
      <c r="BX172" s="25" t="s">
        <v>430</v>
      </c>
      <c r="BY172" s="25" t="s">
        <v>430</v>
      </c>
      <c r="BZ172" s="25" t="s">
        <v>433</v>
      </c>
      <c r="CA172" s="25" t="s">
        <v>430</v>
      </c>
      <c r="CB172" s="25" t="s">
        <v>430</v>
      </c>
      <c r="CC172" s="25" t="s">
        <v>544</v>
      </c>
      <c r="CD172" s="25" t="s">
        <v>430</v>
      </c>
      <c r="CE172" s="25" t="s">
        <v>430</v>
      </c>
      <c r="CF172" s="25" t="s">
        <v>441</v>
      </c>
      <c r="CG172" s="25" t="s">
        <v>430</v>
      </c>
      <c r="CH172" s="25" t="s">
        <v>452</v>
      </c>
      <c r="CI172" s="25" t="s">
        <v>539</v>
      </c>
      <c r="CJ172" s="25" t="s">
        <v>454</v>
      </c>
      <c r="CK172" s="25" t="s">
        <v>455</v>
      </c>
      <c r="CL172" s="25" t="s">
        <v>472</v>
      </c>
      <c r="CM172" s="25" t="s">
        <v>430</v>
      </c>
      <c r="CN172" s="25" t="s">
        <v>523</v>
      </c>
      <c r="CO172" s="25" t="s">
        <v>430</v>
      </c>
      <c r="CP172" s="25" t="s">
        <v>430</v>
      </c>
      <c r="CQ172" s="25">
        <v>18</v>
      </c>
      <c r="CR172" s="25" t="s">
        <v>431</v>
      </c>
      <c r="CS172" s="25" t="s">
        <v>430</v>
      </c>
      <c r="CT172" s="25" t="s">
        <v>430</v>
      </c>
      <c r="CU172" s="25" t="s">
        <v>566</v>
      </c>
      <c r="CV172" s="25" t="s">
        <v>430</v>
      </c>
      <c r="CW172" s="25" t="s">
        <v>460</v>
      </c>
      <c r="CX172" s="25" t="s">
        <v>461</v>
      </c>
      <c r="CY172" s="165">
        <v>44963.761805555558</v>
      </c>
      <c r="CZ172" s="25" t="s">
        <v>567</v>
      </c>
      <c r="DA172" s="25" t="s">
        <v>430</v>
      </c>
      <c r="DB172" s="25" t="s">
        <v>430</v>
      </c>
      <c r="DC172" s="25" t="s">
        <v>430</v>
      </c>
      <c r="DD172" s="25" t="s">
        <v>434</v>
      </c>
      <c r="DE172" s="25" t="s">
        <v>430</v>
      </c>
      <c r="DF172" s="25" t="s">
        <v>430</v>
      </c>
      <c r="DG172" s="25" t="s">
        <v>462</v>
      </c>
      <c r="DH172" s="25" t="s">
        <v>446</v>
      </c>
      <c r="DI172" s="25" t="s">
        <v>463</v>
      </c>
      <c r="DJ172" s="25" t="s">
        <v>430</v>
      </c>
      <c r="DK172" s="25" t="s">
        <v>430</v>
      </c>
      <c r="DL172" s="25" t="s">
        <v>474</v>
      </c>
      <c r="DM172" s="25" t="s">
        <v>430</v>
      </c>
      <c r="DN172" s="25" t="s">
        <v>430</v>
      </c>
      <c r="DO172" s="25" t="s">
        <v>434</v>
      </c>
      <c r="DP172" s="25" t="s">
        <v>430</v>
      </c>
      <c r="DQ172" s="25" t="s">
        <v>430</v>
      </c>
      <c r="DR172" s="25" t="s">
        <v>465</v>
      </c>
      <c r="DS172" s="25" t="s">
        <v>466</v>
      </c>
      <c r="DT172" s="25" t="s">
        <v>466</v>
      </c>
      <c r="DU172" s="25" t="s">
        <v>431</v>
      </c>
      <c r="DV172" s="25">
        <v>1</v>
      </c>
      <c r="DW172" s="166">
        <v>15115267</v>
      </c>
      <c r="DX172" s="25">
        <v>4</v>
      </c>
      <c r="DY172" s="25">
        <v>43</v>
      </c>
      <c r="DZ172" s="166">
        <v>1014662</v>
      </c>
      <c r="EA172" s="25">
        <v>2</v>
      </c>
      <c r="EB172" s="25">
        <v>1</v>
      </c>
      <c r="EC172" s="25">
        <v>20</v>
      </c>
      <c r="ED172" s="25">
        <v>0</v>
      </c>
      <c r="EE172" s="25">
        <v>2</v>
      </c>
      <c r="EF172" s="25">
        <v>1</v>
      </c>
      <c r="EG172" s="25">
        <v>1</v>
      </c>
      <c r="EH172" s="25">
        <v>7</v>
      </c>
      <c r="EI172" s="25">
        <v>47</v>
      </c>
      <c r="EJ172" s="25">
        <v>0</v>
      </c>
      <c r="EK172" s="25">
        <v>0</v>
      </c>
      <c r="EL172" s="25">
        <v>1</v>
      </c>
      <c r="EM172" s="25">
        <v>5</v>
      </c>
      <c r="EN172" s="25">
        <v>1</v>
      </c>
      <c r="EO172" s="25">
        <v>1</v>
      </c>
      <c r="EP172" s="25">
        <v>1</v>
      </c>
      <c r="EQ172" s="25">
        <v>1</v>
      </c>
      <c r="ER172" s="25">
        <v>55</v>
      </c>
      <c r="ES172" s="25">
        <v>1</v>
      </c>
      <c r="ET172" s="25">
        <v>2</v>
      </c>
      <c r="EU172" s="25">
        <v>0</v>
      </c>
      <c r="EV172" s="25" t="s">
        <v>254</v>
      </c>
    </row>
    <row r="173" spans="12:152" x14ac:dyDescent="0.25">
      <c r="L173" s="25">
        <v>46.054220000000001</v>
      </c>
      <c r="M173" s="25">
        <v>-100.671386</v>
      </c>
      <c r="N173" s="25" t="s">
        <v>512</v>
      </c>
      <c r="O173" s="25">
        <v>2015</v>
      </c>
      <c r="P173" s="25" t="s">
        <v>427</v>
      </c>
      <c r="Q173" s="25" t="s">
        <v>428</v>
      </c>
      <c r="R173" s="25" t="s">
        <v>482</v>
      </c>
      <c r="S173" s="25" t="s">
        <v>482</v>
      </c>
      <c r="T173" s="25" t="s">
        <v>430</v>
      </c>
      <c r="U173" s="25" t="s">
        <v>431</v>
      </c>
      <c r="V173" s="25" t="s">
        <v>432</v>
      </c>
      <c r="W173" s="25" t="s">
        <v>433</v>
      </c>
      <c r="X173" s="25" t="s">
        <v>540</v>
      </c>
      <c r="Y173" s="25" t="s">
        <v>434</v>
      </c>
      <c r="Z173" s="25" t="s">
        <v>430</v>
      </c>
      <c r="AA173" s="25">
        <v>54</v>
      </c>
      <c r="AB173" s="25" t="s">
        <v>435</v>
      </c>
      <c r="AC173" s="25" t="s">
        <v>551</v>
      </c>
      <c r="AD173" s="25" t="s">
        <v>436</v>
      </c>
      <c r="AE173" s="25" t="s">
        <v>430</v>
      </c>
      <c r="AF173" s="25" t="s">
        <v>437</v>
      </c>
      <c r="AG173" s="164">
        <v>42297</v>
      </c>
      <c r="AH173" s="25" t="s">
        <v>568</v>
      </c>
      <c r="AI173" s="25" t="s">
        <v>439</v>
      </c>
      <c r="AJ173" s="165">
        <v>44963.881944444445</v>
      </c>
      <c r="AK173" s="25" t="s">
        <v>440</v>
      </c>
      <c r="AL173" s="25" t="s">
        <v>441</v>
      </c>
      <c r="AM173" s="164">
        <v>42574</v>
      </c>
      <c r="AN173" s="164">
        <v>42297</v>
      </c>
      <c r="AO173" s="25" t="s">
        <v>141</v>
      </c>
      <c r="AP173" s="25" t="s">
        <v>141</v>
      </c>
      <c r="AQ173" s="25" t="s">
        <v>430</v>
      </c>
      <c r="AR173" s="25" t="s">
        <v>442</v>
      </c>
      <c r="AS173" s="25" t="s">
        <v>442</v>
      </c>
      <c r="AT173" s="25" t="s">
        <v>430</v>
      </c>
      <c r="AU173" s="25" t="s">
        <v>430</v>
      </c>
      <c r="AV173" s="25" t="s">
        <v>430</v>
      </c>
      <c r="AW173" s="25" t="s">
        <v>521</v>
      </c>
      <c r="AX173" s="25" t="s">
        <v>469</v>
      </c>
      <c r="AY173" s="25" t="s">
        <v>430</v>
      </c>
      <c r="AZ173" s="25" t="s">
        <v>430</v>
      </c>
      <c r="BA173" s="25" t="s">
        <v>430</v>
      </c>
      <c r="BB173" s="25" t="s">
        <v>430</v>
      </c>
      <c r="BC173" s="25" t="s">
        <v>430</v>
      </c>
      <c r="BD173" s="25">
        <v>7.07</v>
      </c>
      <c r="BE173" s="25">
        <v>24</v>
      </c>
      <c r="BF173" s="25" t="s">
        <v>430</v>
      </c>
      <c r="BG173" s="25" t="s">
        <v>430</v>
      </c>
      <c r="BH173" s="25" t="s">
        <v>486</v>
      </c>
      <c r="BI173" s="25" t="s">
        <v>431</v>
      </c>
      <c r="BJ173" s="25" t="s">
        <v>479</v>
      </c>
      <c r="BK173" s="25" t="s">
        <v>541</v>
      </c>
      <c r="BL173" s="25" t="s">
        <v>469</v>
      </c>
      <c r="BM173" s="25" t="s">
        <v>469</v>
      </c>
      <c r="BN173" s="25" t="s">
        <v>430</v>
      </c>
      <c r="BO173" s="25">
        <v>0</v>
      </c>
      <c r="BP173" s="25" t="s">
        <v>434</v>
      </c>
      <c r="BQ173" s="25" t="s">
        <v>449</v>
      </c>
      <c r="BR173" s="25" t="s">
        <v>450</v>
      </c>
      <c r="BS173" s="25" t="s">
        <v>430</v>
      </c>
      <c r="BT173" s="25">
        <v>61</v>
      </c>
      <c r="BU173" s="25">
        <v>71</v>
      </c>
      <c r="BV173" s="25" t="s">
        <v>430</v>
      </c>
      <c r="BW173" s="25" t="s">
        <v>569</v>
      </c>
      <c r="BX173" s="25" t="s">
        <v>570</v>
      </c>
      <c r="BY173" s="25" t="s">
        <v>430</v>
      </c>
      <c r="BZ173" s="25" t="s">
        <v>433</v>
      </c>
      <c r="CA173" s="25" t="s">
        <v>433</v>
      </c>
      <c r="CB173" s="25" t="s">
        <v>430</v>
      </c>
      <c r="CC173" s="25" t="s">
        <v>481</v>
      </c>
      <c r="CD173" s="25" t="s">
        <v>481</v>
      </c>
      <c r="CE173" s="25" t="s">
        <v>430</v>
      </c>
      <c r="CF173" s="25" t="s">
        <v>441</v>
      </c>
      <c r="CG173" s="25" t="s">
        <v>430</v>
      </c>
      <c r="CH173" s="25" t="s">
        <v>495</v>
      </c>
      <c r="CI173" s="25" t="s">
        <v>453</v>
      </c>
      <c r="CJ173" s="25" t="s">
        <v>454</v>
      </c>
      <c r="CK173" s="25" t="s">
        <v>455</v>
      </c>
      <c r="CL173" s="25" t="s">
        <v>472</v>
      </c>
      <c r="CM173" s="25" t="s">
        <v>430</v>
      </c>
      <c r="CN173" s="25" t="s">
        <v>457</v>
      </c>
      <c r="CO173" s="25" t="s">
        <v>457</v>
      </c>
      <c r="CP173" s="25" t="s">
        <v>430</v>
      </c>
      <c r="CQ173" s="25">
        <v>21</v>
      </c>
      <c r="CR173" s="25" t="s">
        <v>431</v>
      </c>
      <c r="CS173" s="25">
        <v>65</v>
      </c>
      <c r="CT173" s="25" t="s">
        <v>430</v>
      </c>
      <c r="CU173" s="25" t="s">
        <v>430</v>
      </c>
      <c r="CV173" s="25" t="s">
        <v>430</v>
      </c>
      <c r="CW173" s="25" t="s">
        <v>460</v>
      </c>
      <c r="CX173" s="25" t="s">
        <v>461</v>
      </c>
      <c r="CY173" s="165">
        <v>44963.938194444447</v>
      </c>
      <c r="CZ173" s="25" t="s">
        <v>430</v>
      </c>
      <c r="DA173" s="25" t="s">
        <v>430</v>
      </c>
      <c r="DB173" s="25">
        <v>7.07</v>
      </c>
      <c r="DC173" s="25" t="s">
        <v>430</v>
      </c>
      <c r="DD173" s="25" t="s">
        <v>500</v>
      </c>
      <c r="DE173" s="25" t="s">
        <v>434</v>
      </c>
      <c r="DF173" s="25" t="s">
        <v>430</v>
      </c>
      <c r="DG173" s="25" t="s">
        <v>462</v>
      </c>
      <c r="DH173" s="25" t="s">
        <v>431</v>
      </c>
      <c r="DI173" s="25" t="s">
        <v>571</v>
      </c>
      <c r="DJ173" s="25" t="s">
        <v>473</v>
      </c>
      <c r="DK173" s="25" t="s">
        <v>430</v>
      </c>
      <c r="DL173" s="25" t="s">
        <v>511</v>
      </c>
      <c r="DM173" s="25" t="s">
        <v>474</v>
      </c>
      <c r="DN173" s="25" t="s">
        <v>430</v>
      </c>
      <c r="DO173" s="25" t="s">
        <v>434</v>
      </c>
      <c r="DP173" s="25" t="s">
        <v>434</v>
      </c>
      <c r="DQ173" s="25" t="s">
        <v>430</v>
      </c>
      <c r="DR173" s="25" t="s">
        <v>465</v>
      </c>
      <c r="DS173" s="25" t="s">
        <v>466</v>
      </c>
      <c r="DT173" s="25" t="s">
        <v>466</v>
      </c>
      <c r="DU173" s="25" t="s">
        <v>431</v>
      </c>
      <c r="DV173" s="25">
        <v>1</v>
      </c>
      <c r="DW173" s="166">
        <v>15123035</v>
      </c>
      <c r="DX173" s="25">
        <v>4</v>
      </c>
      <c r="DY173" s="25">
        <v>43</v>
      </c>
      <c r="DZ173" s="166">
        <v>1014779</v>
      </c>
      <c r="EA173" s="25">
        <v>2</v>
      </c>
      <c r="EB173" s="25">
        <v>1</v>
      </c>
      <c r="EC173" s="25">
        <v>1</v>
      </c>
      <c r="ED173" s="25">
        <v>6</v>
      </c>
      <c r="EE173" s="25">
        <v>2</v>
      </c>
      <c r="EF173" s="25">
        <v>2</v>
      </c>
      <c r="EG173" s="25">
        <v>5</v>
      </c>
      <c r="EH173" s="25">
        <v>2</v>
      </c>
      <c r="EI173" s="25">
        <v>51</v>
      </c>
      <c r="EJ173" s="25">
        <v>0</v>
      </c>
      <c r="EK173" s="25">
        <v>0</v>
      </c>
      <c r="EL173" s="25">
        <v>2</v>
      </c>
      <c r="EM173" s="25">
        <v>0</v>
      </c>
      <c r="EN173" s="25">
        <v>1</v>
      </c>
      <c r="EO173" s="25">
        <v>1</v>
      </c>
      <c r="EP173" s="25">
        <v>1</v>
      </c>
      <c r="EQ173" s="25">
        <v>1</v>
      </c>
      <c r="ER173" s="25">
        <v>65</v>
      </c>
      <c r="ES173" s="25">
        <v>1</v>
      </c>
      <c r="ET173" s="25">
        <v>2</v>
      </c>
      <c r="EU173" s="25">
        <v>0</v>
      </c>
      <c r="EV173" s="25" t="s">
        <v>254</v>
      </c>
    </row>
    <row r="174" spans="12:152" x14ac:dyDescent="0.25">
      <c r="L174" s="25">
        <v>46.052095000000001</v>
      </c>
      <c r="M174" s="25">
        <v>-100.680041</v>
      </c>
      <c r="N174" s="25" t="s">
        <v>24</v>
      </c>
      <c r="O174" s="25">
        <v>2015</v>
      </c>
      <c r="P174" s="25" t="s">
        <v>427</v>
      </c>
      <c r="Q174" s="25" t="s">
        <v>428</v>
      </c>
      <c r="R174" s="25" t="s">
        <v>429</v>
      </c>
      <c r="S174" s="25" t="s">
        <v>430</v>
      </c>
      <c r="T174" s="25" t="s">
        <v>430</v>
      </c>
      <c r="U174" s="25" t="s">
        <v>431</v>
      </c>
      <c r="V174" s="25" t="s">
        <v>432</v>
      </c>
      <c r="W174" s="25" t="s">
        <v>433</v>
      </c>
      <c r="X174" s="25" t="s">
        <v>434</v>
      </c>
      <c r="Y174" s="25" t="s">
        <v>430</v>
      </c>
      <c r="Z174" s="25" t="s">
        <v>430</v>
      </c>
      <c r="AA174" s="25">
        <v>54</v>
      </c>
      <c r="AB174" s="25" t="s">
        <v>435</v>
      </c>
      <c r="AC174" s="25" t="s">
        <v>436</v>
      </c>
      <c r="AD174" s="25" t="s">
        <v>430</v>
      </c>
      <c r="AE174" s="25" t="s">
        <v>430</v>
      </c>
      <c r="AF174" s="25" t="s">
        <v>437</v>
      </c>
      <c r="AG174" s="164">
        <v>42319</v>
      </c>
      <c r="AH174" s="25" t="s">
        <v>572</v>
      </c>
      <c r="AI174" s="25" t="s">
        <v>439</v>
      </c>
      <c r="AJ174" s="165">
        <v>44963.987500000003</v>
      </c>
      <c r="AK174" s="25" t="s">
        <v>440</v>
      </c>
      <c r="AL174" s="25" t="s">
        <v>441</v>
      </c>
      <c r="AM174" s="164">
        <v>42577</v>
      </c>
      <c r="AN174" s="164">
        <v>42319</v>
      </c>
      <c r="AO174" s="25" t="s">
        <v>141</v>
      </c>
      <c r="AP174" s="25" t="s">
        <v>430</v>
      </c>
      <c r="AQ174" s="25" t="s">
        <v>430</v>
      </c>
      <c r="AR174" s="25" t="s">
        <v>442</v>
      </c>
      <c r="AS174" s="25" t="s">
        <v>430</v>
      </c>
      <c r="AT174" s="25" t="s">
        <v>430</v>
      </c>
      <c r="AU174" s="25" t="s">
        <v>430</v>
      </c>
      <c r="AV174" s="25" t="s">
        <v>430</v>
      </c>
      <c r="AW174" s="25" t="s">
        <v>443</v>
      </c>
      <c r="AX174" s="25" t="s">
        <v>444</v>
      </c>
      <c r="AY174" s="25" t="s">
        <v>430</v>
      </c>
      <c r="AZ174" s="25" t="s">
        <v>430</v>
      </c>
      <c r="BA174" s="25" t="s">
        <v>430</v>
      </c>
      <c r="BB174" s="25" t="s">
        <v>430</v>
      </c>
      <c r="BC174" s="25" t="s">
        <v>430</v>
      </c>
      <c r="BD174" s="25">
        <v>6.5</v>
      </c>
      <c r="BE174" s="25">
        <v>24</v>
      </c>
      <c r="BF174" s="25" t="s">
        <v>430</v>
      </c>
      <c r="BG174" s="25" t="s">
        <v>430</v>
      </c>
      <c r="BH174" s="25" t="s">
        <v>445</v>
      </c>
      <c r="BI174" s="25" t="s">
        <v>446</v>
      </c>
      <c r="BJ174" s="25" t="s">
        <v>479</v>
      </c>
      <c r="BK174" s="25" t="s">
        <v>448</v>
      </c>
      <c r="BL174" s="25" t="s">
        <v>538</v>
      </c>
      <c r="BM174" s="25" t="s">
        <v>430</v>
      </c>
      <c r="BN174" s="25" t="s">
        <v>430</v>
      </c>
      <c r="BO174" s="25" t="s">
        <v>430</v>
      </c>
      <c r="BP174" s="25" t="s">
        <v>434</v>
      </c>
      <c r="BQ174" s="25" t="s">
        <v>449</v>
      </c>
      <c r="BR174" s="25" t="s">
        <v>450</v>
      </c>
      <c r="BS174" s="25" t="s">
        <v>430</v>
      </c>
      <c r="BT174" s="25" t="s">
        <v>430</v>
      </c>
      <c r="BU174" s="25" t="s">
        <v>430</v>
      </c>
      <c r="BV174" s="25" t="s">
        <v>430</v>
      </c>
      <c r="BW174" s="25" t="s">
        <v>430</v>
      </c>
      <c r="BX174" s="25" t="s">
        <v>430</v>
      </c>
      <c r="BY174" s="25" t="s">
        <v>430</v>
      </c>
      <c r="BZ174" s="25" t="s">
        <v>451</v>
      </c>
      <c r="CA174" s="25" t="s">
        <v>430</v>
      </c>
      <c r="CB174" s="25" t="s">
        <v>430</v>
      </c>
      <c r="CC174" s="25" t="s">
        <v>430</v>
      </c>
      <c r="CD174" s="25" t="s">
        <v>430</v>
      </c>
      <c r="CE174" s="25" t="s">
        <v>430</v>
      </c>
      <c r="CF174" s="25" t="s">
        <v>441</v>
      </c>
      <c r="CG174" s="25" t="s">
        <v>430</v>
      </c>
      <c r="CH174" s="25" t="s">
        <v>452</v>
      </c>
      <c r="CI174" s="25" t="s">
        <v>539</v>
      </c>
      <c r="CJ174" s="25" t="s">
        <v>454</v>
      </c>
      <c r="CK174" s="25" t="s">
        <v>455</v>
      </c>
      <c r="CL174" s="25" t="s">
        <v>556</v>
      </c>
      <c r="CM174" s="25" t="s">
        <v>430</v>
      </c>
      <c r="CN174" s="25" t="s">
        <v>457</v>
      </c>
      <c r="CO174" s="25" t="s">
        <v>430</v>
      </c>
      <c r="CP174" s="25" t="s">
        <v>430</v>
      </c>
      <c r="CQ174" s="25">
        <v>23</v>
      </c>
      <c r="CR174" s="25" t="s">
        <v>431</v>
      </c>
      <c r="CS174" s="25" t="s">
        <v>430</v>
      </c>
      <c r="CT174" s="25" t="s">
        <v>430</v>
      </c>
      <c r="CU174" s="25" t="s">
        <v>430</v>
      </c>
      <c r="CV174" s="25" t="s">
        <v>430</v>
      </c>
      <c r="CW174" s="25" t="s">
        <v>460</v>
      </c>
      <c r="CX174" s="25" t="s">
        <v>461</v>
      </c>
      <c r="CY174" s="165">
        <v>44963.988194444442</v>
      </c>
      <c r="CZ174" s="25" t="s">
        <v>430</v>
      </c>
      <c r="DA174" s="25" t="s">
        <v>430</v>
      </c>
      <c r="DB174" s="25">
        <v>6.5</v>
      </c>
      <c r="DC174" s="25" t="s">
        <v>430</v>
      </c>
      <c r="DD174" s="25" t="s">
        <v>434</v>
      </c>
      <c r="DE174" s="25" t="s">
        <v>430</v>
      </c>
      <c r="DF174" s="25" t="s">
        <v>430</v>
      </c>
      <c r="DG174" s="25" t="s">
        <v>462</v>
      </c>
      <c r="DH174" s="25" t="s">
        <v>431</v>
      </c>
      <c r="DI174" s="25" t="s">
        <v>473</v>
      </c>
      <c r="DJ174" s="25" t="s">
        <v>430</v>
      </c>
      <c r="DK174" s="25" t="s">
        <v>430</v>
      </c>
      <c r="DL174" s="25" t="s">
        <v>474</v>
      </c>
      <c r="DM174" s="25" t="s">
        <v>430</v>
      </c>
      <c r="DN174" s="25" t="s">
        <v>430</v>
      </c>
      <c r="DO174" s="25" t="s">
        <v>434</v>
      </c>
      <c r="DP174" s="25" t="s">
        <v>430</v>
      </c>
      <c r="DQ174" s="25" t="s">
        <v>430</v>
      </c>
      <c r="DR174" s="25" t="s">
        <v>465</v>
      </c>
      <c r="DS174" s="25" t="s">
        <v>466</v>
      </c>
      <c r="DT174" s="25" t="s">
        <v>466</v>
      </c>
      <c r="DU174" s="25" t="s">
        <v>431</v>
      </c>
      <c r="DV174" s="25">
        <v>1</v>
      </c>
      <c r="DW174" s="166">
        <v>15133051</v>
      </c>
      <c r="DX174" s="25">
        <v>4</v>
      </c>
      <c r="DY174" s="25">
        <v>43</v>
      </c>
      <c r="DZ174" s="166">
        <v>1014902</v>
      </c>
      <c r="EA174" s="25">
        <v>3</v>
      </c>
      <c r="EB174" s="25">
        <v>1</v>
      </c>
      <c r="EC174" s="25">
        <v>20</v>
      </c>
      <c r="ED174" s="25">
        <v>6</v>
      </c>
      <c r="EE174" s="25">
        <v>2</v>
      </c>
      <c r="EF174" s="25">
        <v>1</v>
      </c>
      <c r="EG174" s="25">
        <v>5</v>
      </c>
      <c r="EH174" s="25">
        <v>7</v>
      </c>
      <c r="EI174" s="25">
        <v>55</v>
      </c>
      <c r="EJ174" s="25">
        <v>0</v>
      </c>
      <c r="EK174" s="25">
        <v>0</v>
      </c>
      <c r="EL174" s="25">
        <v>1</v>
      </c>
      <c r="EM174" s="25">
        <v>5</v>
      </c>
      <c r="EN174" s="25">
        <v>1</v>
      </c>
      <c r="EO174" s="25">
        <v>1</v>
      </c>
      <c r="EP174" s="25">
        <v>5</v>
      </c>
      <c r="EQ174" s="25">
        <v>1</v>
      </c>
      <c r="ER174" s="25">
        <v>65</v>
      </c>
      <c r="ES174" s="25">
        <v>1</v>
      </c>
      <c r="ET174" s="25">
        <v>2</v>
      </c>
      <c r="EU174" s="25">
        <v>0</v>
      </c>
      <c r="EV174" s="25" t="s">
        <v>254</v>
      </c>
    </row>
    <row r="175" spans="12:152" x14ac:dyDescent="0.25">
      <c r="L175" s="25">
        <v>46.031162000000002</v>
      </c>
      <c r="M175" s="25">
        <v>-100.79034299999999</v>
      </c>
      <c r="N175" s="25" t="s">
        <v>475</v>
      </c>
      <c r="O175" s="25">
        <v>2015</v>
      </c>
      <c r="P175" s="25" t="s">
        <v>427</v>
      </c>
      <c r="Q175" s="25" t="s">
        <v>428</v>
      </c>
      <c r="R175" s="25" t="s">
        <v>429</v>
      </c>
      <c r="S175" s="25" t="s">
        <v>430</v>
      </c>
      <c r="T175" s="25" t="s">
        <v>430</v>
      </c>
      <c r="U175" s="25" t="s">
        <v>431</v>
      </c>
      <c r="V175" s="25" t="s">
        <v>432</v>
      </c>
      <c r="W175" s="25" t="s">
        <v>433</v>
      </c>
      <c r="X175" s="25" t="s">
        <v>434</v>
      </c>
      <c r="Y175" s="25" t="s">
        <v>430</v>
      </c>
      <c r="Z175" s="25" t="s">
        <v>430</v>
      </c>
      <c r="AA175" s="25">
        <v>54</v>
      </c>
      <c r="AB175" s="25" t="s">
        <v>435</v>
      </c>
      <c r="AC175" s="25" t="s">
        <v>436</v>
      </c>
      <c r="AD175" s="25" t="s">
        <v>430</v>
      </c>
      <c r="AE175" s="25" t="s">
        <v>430</v>
      </c>
      <c r="AF175" s="25" t="s">
        <v>437</v>
      </c>
      <c r="AG175" s="164">
        <v>42328</v>
      </c>
      <c r="AH175" s="25" t="s">
        <v>515</v>
      </c>
      <c r="AI175" s="25" t="s">
        <v>439</v>
      </c>
      <c r="AJ175" s="165">
        <v>44963.215277777781</v>
      </c>
      <c r="AK175" s="25" t="s">
        <v>440</v>
      </c>
      <c r="AL175" s="25" t="s">
        <v>441</v>
      </c>
      <c r="AM175" s="164">
        <v>42577</v>
      </c>
      <c r="AN175" s="164">
        <v>42328</v>
      </c>
      <c r="AO175" s="25" t="s">
        <v>141</v>
      </c>
      <c r="AP175" s="25" t="s">
        <v>430</v>
      </c>
      <c r="AQ175" s="25" t="s">
        <v>430</v>
      </c>
      <c r="AR175" s="25" t="s">
        <v>573</v>
      </c>
      <c r="AS175" s="25" t="s">
        <v>430</v>
      </c>
      <c r="AT175" s="25" t="s">
        <v>430</v>
      </c>
      <c r="AU175" s="25" t="s">
        <v>430</v>
      </c>
      <c r="AV175" s="25">
        <v>41</v>
      </c>
      <c r="AW175" s="25" t="s">
        <v>443</v>
      </c>
      <c r="AX175" s="25" t="s">
        <v>444</v>
      </c>
      <c r="AY175" s="25" t="s">
        <v>430</v>
      </c>
      <c r="AZ175" s="25" t="s">
        <v>430</v>
      </c>
      <c r="BA175" s="25" t="s">
        <v>430</v>
      </c>
      <c r="BB175" s="25" t="s">
        <v>430</v>
      </c>
      <c r="BC175" s="25" t="s">
        <v>430</v>
      </c>
      <c r="BD175" s="25">
        <v>1</v>
      </c>
      <c r="BE175" s="25">
        <v>24</v>
      </c>
      <c r="BF175" s="25" t="s">
        <v>430</v>
      </c>
      <c r="BG175" s="25" t="s">
        <v>430</v>
      </c>
      <c r="BH175" s="25" t="s">
        <v>445</v>
      </c>
      <c r="BI175" s="25" t="s">
        <v>446</v>
      </c>
      <c r="BJ175" s="25" t="s">
        <v>479</v>
      </c>
      <c r="BK175" s="25" t="s">
        <v>448</v>
      </c>
      <c r="BL175" s="25" t="s">
        <v>538</v>
      </c>
      <c r="BM175" s="25" t="s">
        <v>430</v>
      </c>
      <c r="BN175" s="25" t="s">
        <v>430</v>
      </c>
      <c r="BO175" s="25" t="s">
        <v>430</v>
      </c>
      <c r="BP175" s="25" t="s">
        <v>434</v>
      </c>
      <c r="BQ175" s="25" t="s">
        <v>449</v>
      </c>
      <c r="BR175" s="25" t="s">
        <v>450</v>
      </c>
      <c r="BS175" s="25" t="s">
        <v>430</v>
      </c>
      <c r="BT175" s="25">
        <v>19</v>
      </c>
      <c r="BU175" s="25" t="s">
        <v>430</v>
      </c>
      <c r="BV175" s="25" t="s">
        <v>430</v>
      </c>
      <c r="BW175" s="25" t="s">
        <v>574</v>
      </c>
      <c r="BX175" s="25" t="s">
        <v>430</v>
      </c>
      <c r="BY175" s="25" t="s">
        <v>430</v>
      </c>
      <c r="BZ175" s="25" t="s">
        <v>493</v>
      </c>
      <c r="CA175" s="25" t="s">
        <v>430</v>
      </c>
      <c r="CB175" s="25" t="s">
        <v>430</v>
      </c>
      <c r="CC175" s="25" t="s">
        <v>544</v>
      </c>
      <c r="CD175" s="25" t="s">
        <v>430</v>
      </c>
      <c r="CE175" s="25" t="s">
        <v>430</v>
      </c>
      <c r="CF175" s="25" t="s">
        <v>441</v>
      </c>
      <c r="CG175" s="25" t="s">
        <v>430</v>
      </c>
      <c r="CH175" s="25" t="s">
        <v>452</v>
      </c>
      <c r="CI175" s="25" t="s">
        <v>539</v>
      </c>
      <c r="CJ175" s="25" t="s">
        <v>454</v>
      </c>
      <c r="CK175" s="25" t="s">
        <v>455</v>
      </c>
      <c r="CL175" s="25" t="s">
        <v>456</v>
      </c>
      <c r="CM175" s="25" t="s">
        <v>430</v>
      </c>
      <c r="CN175" s="25" t="s">
        <v>457</v>
      </c>
      <c r="CO175" s="25" t="s">
        <v>430</v>
      </c>
      <c r="CP175" s="25" t="s">
        <v>430</v>
      </c>
      <c r="CQ175" s="25">
        <v>5</v>
      </c>
      <c r="CR175" s="25" t="s">
        <v>431</v>
      </c>
      <c r="CS175" s="25" t="s">
        <v>430</v>
      </c>
      <c r="CT175" s="25" t="s">
        <v>430</v>
      </c>
      <c r="CU175" s="25" t="s">
        <v>430</v>
      </c>
      <c r="CV175" s="25" t="s">
        <v>430</v>
      </c>
      <c r="CW175" s="25" t="s">
        <v>460</v>
      </c>
      <c r="CX175" s="25" t="s">
        <v>461</v>
      </c>
      <c r="CY175" s="165">
        <v>44963.21597222222</v>
      </c>
      <c r="CZ175" s="25" t="s">
        <v>430</v>
      </c>
      <c r="DA175" s="25" t="s">
        <v>430</v>
      </c>
      <c r="DB175" s="25">
        <v>1</v>
      </c>
      <c r="DC175" s="25" t="s">
        <v>430</v>
      </c>
      <c r="DD175" s="25" t="s">
        <v>434</v>
      </c>
      <c r="DE175" s="25" t="s">
        <v>430</v>
      </c>
      <c r="DF175" s="25" t="s">
        <v>430</v>
      </c>
      <c r="DG175" s="25" t="s">
        <v>462</v>
      </c>
      <c r="DH175" s="25" t="s">
        <v>431</v>
      </c>
      <c r="DI175" s="25" t="s">
        <v>463</v>
      </c>
      <c r="DJ175" s="25" t="s">
        <v>430</v>
      </c>
      <c r="DK175" s="25" t="s">
        <v>430</v>
      </c>
      <c r="DL175" s="25" t="s">
        <v>474</v>
      </c>
      <c r="DM175" s="25" t="s">
        <v>430</v>
      </c>
      <c r="DN175" s="25" t="s">
        <v>430</v>
      </c>
      <c r="DO175" s="25" t="s">
        <v>434</v>
      </c>
      <c r="DP175" s="25" t="s">
        <v>430</v>
      </c>
      <c r="DQ175" s="25" t="s">
        <v>430</v>
      </c>
      <c r="DR175" s="25" t="s">
        <v>465</v>
      </c>
      <c r="DS175" s="25" t="s">
        <v>466</v>
      </c>
      <c r="DT175" s="25" t="s">
        <v>466</v>
      </c>
      <c r="DU175" s="25" t="s">
        <v>446</v>
      </c>
      <c r="DV175" s="25">
        <v>1</v>
      </c>
      <c r="DW175" s="166">
        <v>15136432</v>
      </c>
      <c r="DX175" s="25">
        <v>4</v>
      </c>
      <c r="DY175" s="25">
        <v>43</v>
      </c>
      <c r="DZ175" s="166">
        <v>1014909</v>
      </c>
      <c r="EA175" s="25">
        <v>4</v>
      </c>
      <c r="EB175" s="25">
        <v>1</v>
      </c>
      <c r="EC175" s="25">
        <v>20</v>
      </c>
      <c r="ED175" s="25">
        <v>6</v>
      </c>
      <c r="EE175" s="25">
        <v>2</v>
      </c>
      <c r="EF175" s="25">
        <v>1</v>
      </c>
      <c r="EG175" s="25">
        <v>5</v>
      </c>
      <c r="EH175" s="25">
        <v>7</v>
      </c>
      <c r="EI175" s="25">
        <v>56</v>
      </c>
      <c r="EJ175" s="25">
        <v>0</v>
      </c>
      <c r="EK175" s="25">
        <v>0</v>
      </c>
      <c r="EL175" s="25">
        <v>1</v>
      </c>
      <c r="EM175" s="25">
        <v>5</v>
      </c>
      <c r="EN175" s="25">
        <v>1</v>
      </c>
      <c r="EO175" s="25">
        <v>1</v>
      </c>
      <c r="EP175" s="25">
        <v>3</v>
      </c>
      <c r="EQ175" s="25">
        <v>1</v>
      </c>
      <c r="ER175" s="25">
        <v>65</v>
      </c>
      <c r="ES175" s="25">
        <v>1</v>
      </c>
      <c r="ET175" s="25">
        <v>2</v>
      </c>
      <c r="EU175" s="25">
        <v>0</v>
      </c>
      <c r="EV175" s="25" t="s">
        <v>254</v>
      </c>
    </row>
    <row r="176" spans="12:152" x14ac:dyDescent="0.25">
      <c r="L176" s="25">
        <v>46.030338</v>
      </c>
      <c r="M176" s="25">
        <v>-100.769144</v>
      </c>
      <c r="N176" s="25" t="s">
        <v>24</v>
      </c>
      <c r="O176" s="25">
        <v>2015</v>
      </c>
      <c r="P176" s="25" t="s">
        <v>427</v>
      </c>
      <c r="Q176" s="25" t="s">
        <v>503</v>
      </c>
      <c r="R176" s="25" t="s">
        <v>482</v>
      </c>
      <c r="S176" s="25" t="s">
        <v>430</v>
      </c>
      <c r="T176" s="25" t="s">
        <v>430</v>
      </c>
      <c r="U176" s="25" t="s">
        <v>431</v>
      </c>
      <c r="V176" s="25" t="s">
        <v>432</v>
      </c>
      <c r="W176" s="25" t="s">
        <v>433</v>
      </c>
      <c r="X176" s="25" t="s">
        <v>434</v>
      </c>
      <c r="Y176" s="25" t="s">
        <v>430</v>
      </c>
      <c r="Z176" s="25" t="s">
        <v>430</v>
      </c>
      <c r="AA176" s="25">
        <v>54</v>
      </c>
      <c r="AB176" s="25" t="s">
        <v>435</v>
      </c>
      <c r="AC176" s="25" t="s">
        <v>426</v>
      </c>
      <c r="AD176" s="25" t="s">
        <v>430</v>
      </c>
      <c r="AE176" s="25" t="s">
        <v>430</v>
      </c>
      <c r="AF176" s="25" t="s">
        <v>437</v>
      </c>
      <c r="AG176" s="164">
        <v>42353</v>
      </c>
      <c r="AH176" s="25" t="s">
        <v>568</v>
      </c>
      <c r="AI176" s="25" t="s">
        <v>439</v>
      </c>
      <c r="AJ176" s="165">
        <v>44963.265972222223</v>
      </c>
      <c r="AK176" s="25" t="s">
        <v>440</v>
      </c>
      <c r="AL176" s="25" t="s">
        <v>441</v>
      </c>
      <c r="AM176" s="164">
        <v>42578</v>
      </c>
      <c r="AN176" s="164">
        <v>42353</v>
      </c>
      <c r="AO176" s="25" t="s">
        <v>142</v>
      </c>
      <c r="AP176" s="25" t="s">
        <v>430</v>
      </c>
      <c r="AQ176" s="25" t="s">
        <v>430</v>
      </c>
      <c r="AR176" s="25" t="s">
        <v>442</v>
      </c>
      <c r="AS176" s="25" t="s">
        <v>430</v>
      </c>
      <c r="AT176" s="25" t="s">
        <v>430</v>
      </c>
      <c r="AU176" s="25" t="s">
        <v>430</v>
      </c>
      <c r="AV176" s="25" t="s">
        <v>430</v>
      </c>
      <c r="AW176" s="25" t="s">
        <v>521</v>
      </c>
      <c r="AX176" s="25" t="s">
        <v>444</v>
      </c>
      <c r="AY176" s="25" t="s">
        <v>430</v>
      </c>
      <c r="AZ176" s="25" t="s">
        <v>430</v>
      </c>
      <c r="BA176" s="25" t="s">
        <v>430</v>
      </c>
      <c r="BB176" s="25" t="s">
        <v>430</v>
      </c>
      <c r="BC176" s="25" t="s">
        <v>430</v>
      </c>
      <c r="BD176" s="25">
        <v>2.02</v>
      </c>
      <c r="BE176" s="25">
        <v>24</v>
      </c>
      <c r="BF176" s="25" t="s">
        <v>430</v>
      </c>
      <c r="BG176" s="25" t="s">
        <v>430</v>
      </c>
      <c r="BH176" s="25" t="s">
        <v>445</v>
      </c>
      <c r="BI176" s="25" t="s">
        <v>446</v>
      </c>
      <c r="BJ176" s="25" t="s">
        <v>575</v>
      </c>
      <c r="BK176" s="25" t="s">
        <v>448</v>
      </c>
      <c r="BL176" s="25" t="s">
        <v>538</v>
      </c>
      <c r="BM176" s="25" t="s">
        <v>430</v>
      </c>
      <c r="BN176" s="25" t="s">
        <v>430</v>
      </c>
      <c r="BO176" s="25" t="s">
        <v>430</v>
      </c>
      <c r="BP176" s="25" t="s">
        <v>434</v>
      </c>
      <c r="BQ176" s="25" t="s">
        <v>449</v>
      </c>
      <c r="BR176" s="25" t="s">
        <v>450</v>
      </c>
      <c r="BS176" s="25" t="s">
        <v>430</v>
      </c>
      <c r="BT176" s="25">
        <v>56</v>
      </c>
      <c r="BU176" s="25" t="s">
        <v>430</v>
      </c>
      <c r="BV176" s="25" t="s">
        <v>430</v>
      </c>
      <c r="BW176" s="25" t="s">
        <v>565</v>
      </c>
      <c r="BX176" s="25" t="s">
        <v>430</v>
      </c>
      <c r="BY176" s="25" t="s">
        <v>430</v>
      </c>
      <c r="BZ176" s="25" t="s">
        <v>433</v>
      </c>
      <c r="CA176" s="25" t="s">
        <v>430</v>
      </c>
      <c r="CB176" s="25" t="s">
        <v>430</v>
      </c>
      <c r="CC176" s="25" t="s">
        <v>544</v>
      </c>
      <c r="CD176" s="25" t="s">
        <v>430</v>
      </c>
      <c r="CE176" s="25" t="s">
        <v>430</v>
      </c>
      <c r="CF176" s="25" t="s">
        <v>441</v>
      </c>
      <c r="CG176" s="25" t="s">
        <v>430</v>
      </c>
      <c r="CH176" s="25" t="s">
        <v>452</v>
      </c>
      <c r="CI176" s="25" t="s">
        <v>539</v>
      </c>
      <c r="CJ176" s="25" t="s">
        <v>454</v>
      </c>
      <c r="CK176" s="25" t="s">
        <v>455</v>
      </c>
      <c r="CL176" s="25" t="s">
        <v>472</v>
      </c>
      <c r="CM176" s="25" t="s">
        <v>430</v>
      </c>
      <c r="CN176" s="25" t="s">
        <v>497</v>
      </c>
      <c r="CO176" s="25" t="s">
        <v>430</v>
      </c>
      <c r="CP176" s="25" t="s">
        <v>430</v>
      </c>
      <c r="CQ176" s="25">
        <v>6</v>
      </c>
      <c r="CR176" s="25" t="s">
        <v>431</v>
      </c>
      <c r="CS176" s="25" t="s">
        <v>430</v>
      </c>
      <c r="CT176" s="25" t="s">
        <v>430</v>
      </c>
      <c r="CU176" s="25" t="s">
        <v>430</v>
      </c>
      <c r="CV176" s="25" t="s">
        <v>430</v>
      </c>
      <c r="CW176" s="25" t="s">
        <v>498</v>
      </c>
      <c r="CX176" s="25" t="s">
        <v>461</v>
      </c>
      <c r="CY176" s="165">
        <v>44963.26666666667</v>
      </c>
      <c r="CZ176" s="25" t="s">
        <v>430</v>
      </c>
      <c r="DA176" s="25" t="s">
        <v>430</v>
      </c>
      <c r="DB176" s="25">
        <v>2.02</v>
      </c>
      <c r="DC176" s="25" t="s">
        <v>430</v>
      </c>
      <c r="DD176" s="25" t="s">
        <v>434</v>
      </c>
      <c r="DE176" s="25" t="s">
        <v>430</v>
      </c>
      <c r="DF176" s="25" t="s">
        <v>430</v>
      </c>
      <c r="DG176" s="25" t="s">
        <v>462</v>
      </c>
      <c r="DH176" s="25" t="s">
        <v>431</v>
      </c>
      <c r="DI176" s="25" t="s">
        <v>473</v>
      </c>
      <c r="DJ176" s="25" t="s">
        <v>430</v>
      </c>
      <c r="DK176" s="25" t="s">
        <v>430</v>
      </c>
      <c r="DL176" s="25" t="s">
        <v>474</v>
      </c>
      <c r="DM176" s="25" t="s">
        <v>430</v>
      </c>
      <c r="DN176" s="25" t="s">
        <v>430</v>
      </c>
      <c r="DO176" s="25" t="s">
        <v>434</v>
      </c>
      <c r="DP176" s="25" t="s">
        <v>430</v>
      </c>
      <c r="DQ176" s="25" t="s">
        <v>430</v>
      </c>
      <c r="DR176" s="25" t="s">
        <v>465</v>
      </c>
      <c r="DS176" s="25" t="s">
        <v>466</v>
      </c>
      <c r="DT176" s="25" t="s">
        <v>466</v>
      </c>
      <c r="DU176" s="25" t="s">
        <v>431</v>
      </c>
      <c r="DV176" s="25">
        <v>1</v>
      </c>
      <c r="DW176" s="166">
        <v>15147990</v>
      </c>
      <c r="DX176" s="25">
        <v>3</v>
      </c>
      <c r="DY176" s="25">
        <v>43</v>
      </c>
      <c r="DZ176" s="166">
        <v>1014966</v>
      </c>
      <c r="EA176" s="25">
        <v>3</v>
      </c>
      <c r="EB176" s="25">
        <v>1</v>
      </c>
      <c r="EC176" s="25">
        <v>20</v>
      </c>
      <c r="ED176" s="25">
        <v>6</v>
      </c>
      <c r="EE176" s="25">
        <v>2</v>
      </c>
      <c r="EF176" s="25">
        <v>1</v>
      </c>
      <c r="EG176" s="25">
        <v>2</v>
      </c>
      <c r="EH176" s="25">
        <v>7</v>
      </c>
      <c r="EI176" s="25">
        <v>63</v>
      </c>
      <c r="EJ176" s="25">
        <v>0</v>
      </c>
      <c r="EK176" s="25">
        <v>0</v>
      </c>
      <c r="EL176" s="25">
        <v>1</v>
      </c>
      <c r="EM176" s="25">
        <v>5</v>
      </c>
      <c r="EN176" s="25">
        <v>1</v>
      </c>
      <c r="EO176" s="25">
        <v>1</v>
      </c>
      <c r="EP176" s="25">
        <v>1</v>
      </c>
      <c r="EQ176" s="25">
        <v>1</v>
      </c>
      <c r="ER176" s="25">
        <v>65</v>
      </c>
      <c r="ES176" s="25">
        <v>6</v>
      </c>
      <c r="ET176" s="25">
        <v>2</v>
      </c>
      <c r="EU176" s="25">
        <v>0</v>
      </c>
      <c r="EV176" s="25" t="s">
        <v>254</v>
      </c>
    </row>
    <row r="177" spans="12:152" x14ac:dyDescent="0.25">
      <c r="L177" s="25">
        <v>46.088366000000001</v>
      </c>
      <c r="M177" s="25">
        <v>-100.67014399999999</v>
      </c>
      <c r="N177" s="25" t="s">
        <v>24</v>
      </c>
      <c r="O177" s="25">
        <v>2015</v>
      </c>
      <c r="P177" s="25" t="s">
        <v>427</v>
      </c>
      <c r="Q177" s="25" t="s">
        <v>503</v>
      </c>
      <c r="R177" s="25" t="s">
        <v>504</v>
      </c>
      <c r="S177" s="25" t="s">
        <v>482</v>
      </c>
      <c r="T177" s="25" t="s">
        <v>430</v>
      </c>
      <c r="U177" s="25" t="s">
        <v>431</v>
      </c>
      <c r="V177" s="25" t="s">
        <v>432</v>
      </c>
      <c r="W177" s="25" t="s">
        <v>433</v>
      </c>
      <c r="X177" s="25" t="s">
        <v>505</v>
      </c>
      <c r="Y177" s="25" t="s">
        <v>434</v>
      </c>
      <c r="Z177" s="25" t="s">
        <v>430</v>
      </c>
      <c r="AA177" s="25">
        <v>54</v>
      </c>
      <c r="AB177" s="25" t="s">
        <v>435</v>
      </c>
      <c r="AC177" s="25" t="s">
        <v>478</v>
      </c>
      <c r="AD177" s="25" t="s">
        <v>436</v>
      </c>
      <c r="AE177" s="25" t="s">
        <v>430</v>
      </c>
      <c r="AF177" s="25" t="s">
        <v>437</v>
      </c>
      <c r="AG177" s="164">
        <v>42035</v>
      </c>
      <c r="AH177" s="25" t="s">
        <v>468</v>
      </c>
      <c r="AI177" s="25" t="s">
        <v>439</v>
      </c>
      <c r="AJ177" s="165">
        <v>44963.243055555555</v>
      </c>
      <c r="AK177" s="25" t="s">
        <v>440</v>
      </c>
      <c r="AL177" s="25" t="s">
        <v>441</v>
      </c>
      <c r="AM177" s="164">
        <v>42655</v>
      </c>
      <c r="AN177" s="164">
        <v>42035</v>
      </c>
      <c r="AO177" s="25" t="s">
        <v>506</v>
      </c>
      <c r="AP177" s="25" t="s">
        <v>506</v>
      </c>
      <c r="AQ177" s="25" t="s">
        <v>430</v>
      </c>
      <c r="AR177" s="25" t="s">
        <v>442</v>
      </c>
      <c r="AS177" s="25" t="s">
        <v>442</v>
      </c>
      <c r="AT177" s="25" t="s">
        <v>430</v>
      </c>
      <c r="AU177" s="25" t="s">
        <v>430</v>
      </c>
      <c r="AV177" s="25" t="s">
        <v>430</v>
      </c>
      <c r="AW177" s="25" t="s">
        <v>443</v>
      </c>
      <c r="AX177" s="25" t="s">
        <v>469</v>
      </c>
      <c r="AY177" s="25" t="s">
        <v>430</v>
      </c>
      <c r="AZ177" s="25" t="s">
        <v>430</v>
      </c>
      <c r="BA177" s="25" t="s">
        <v>430</v>
      </c>
      <c r="BB177" s="25" t="s">
        <v>430</v>
      </c>
      <c r="BC177" s="25" t="s">
        <v>430</v>
      </c>
      <c r="BD177" s="25">
        <v>9.4499999999999993</v>
      </c>
      <c r="BE177" s="25">
        <v>24</v>
      </c>
      <c r="BF177" s="25" t="s">
        <v>430</v>
      </c>
      <c r="BG177" s="25" t="s">
        <v>430</v>
      </c>
      <c r="BH177" s="25" t="s">
        <v>507</v>
      </c>
      <c r="BI177" s="25" t="s">
        <v>446</v>
      </c>
      <c r="BJ177" s="25" t="s">
        <v>508</v>
      </c>
      <c r="BK177" s="25" t="s">
        <v>509</v>
      </c>
      <c r="BL177" s="25" t="s">
        <v>469</v>
      </c>
      <c r="BM177" s="25" t="s">
        <v>469</v>
      </c>
      <c r="BN177" s="25" t="s">
        <v>430</v>
      </c>
      <c r="BO177" s="25">
        <v>0</v>
      </c>
      <c r="BP177" s="25" t="s">
        <v>434</v>
      </c>
      <c r="BQ177" s="25" t="s">
        <v>449</v>
      </c>
      <c r="BR177" s="25" t="s">
        <v>450</v>
      </c>
      <c r="BS177" s="25" t="s">
        <v>430</v>
      </c>
      <c r="BT177" s="25">
        <v>41</v>
      </c>
      <c r="BU177" s="25">
        <v>37</v>
      </c>
      <c r="BV177" s="25" t="s">
        <v>430</v>
      </c>
      <c r="BW177" s="25" t="s">
        <v>480</v>
      </c>
      <c r="BX177" s="25" t="s">
        <v>480</v>
      </c>
      <c r="BY177" s="25" t="s">
        <v>430</v>
      </c>
      <c r="BZ177" s="25" t="s">
        <v>493</v>
      </c>
      <c r="CA177" s="25" t="s">
        <v>433</v>
      </c>
      <c r="CB177" s="25" t="s">
        <v>430</v>
      </c>
      <c r="CC177" s="25" t="s">
        <v>481</v>
      </c>
      <c r="CD177" s="25" t="s">
        <v>481</v>
      </c>
      <c r="CE177" s="25" t="s">
        <v>430</v>
      </c>
      <c r="CF177" s="25" t="s">
        <v>441</v>
      </c>
      <c r="CG177" s="25" t="s">
        <v>430</v>
      </c>
      <c r="CH177" s="25" t="s">
        <v>495</v>
      </c>
      <c r="CI177" s="25" t="s">
        <v>453</v>
      </c>
      <c r="CJ177" s="25" t="s">
        <v>454</v>
      </c>
      <c r="CK177" s="25" t="s">
        <v>455</v>
      </c>
      <c r="CL177" s="25" t="s">
        <v>472</v>
      </c>
      <c r="CM177" s="25" t="s">
        <v>430</v>
      </c>
      <c r="CN177" s="25" t="s">
        <v>497</v>
      </c>
      <c r="CO177" s="25" t="s">
        <v>497</v>
      </c>
      <c r="CP177" s="25" t="s">
        <v>430</v>
      </c>
      <c r="CQ177" s="25">
        <v>5</v>
      </c>
      <c r="CR177" s="25" t="s">
        <v>431</v>
      </c>
      <c r="CS177" s="25">
        <v>40</v>
      </c>
      <c r="CT177" s="25" t="s">
        <v>430</v>
      </c>
      <c r="CU177" s="25" t="s">
        <v>430</v>
      </c>
      <c r="CV177" s="25" t="s">
        <v>430</v>
      </c>
      <c r="CW177" s="25" t="s">
        <v>460</v>
      </c>
      <c r="CX177" s="25" t="s">
        <v>461</v>
      </c>
      <c r="CY177" s="165">
        <v>44963.243750000001</v>
      </c>
      <c r="CZ177" s="25" t="s">
        <v>430</v>
      </c>
      <c r="DA177" s="25" t="s">
        <v>430</v>
      </c>
      <c r="DB177" s="25">
        <v>9.4499999999999993</v>
      </c>
      <c r="DC177" s="25" t="s">
        <v>430</v>
      </c>
      <c r="DD177" s="25" t="s">
        <v>510</v>
      </c>
      <c r="DE177" s="25" t="s">
        <v>434</v>
      </c>
      <c r="DF177" s="25" t="s">
        <v>430</v>
      </c>
      <c r="DG177" s="25" t="s">
        <v>462</v>
      </c>
      <c r="DH177" s="25" t="s">
        <v>431</v>
      </c>
      <c r="DI177" s="25" t="s">
        <v>463</v>
      </c>
      <c r="DJ177" s="25" t="s">
        <v>463</v>
      </c>
      <c r="DK177" s="25" t="s">
        <v>430</v>
      </c>
      <c r="DL177" s="25" t="s">
        <v>511</v>
      </c>
      <c r="DM177" s="25" t="s">
        <v>511</v>
      </c>
      <c r="DN177" s="25" t="s">
        <v>430</v>
      </c>
      <c r="DO177" s="25" t="s">
        <v>434</v>
      </c>
      <c r="DP177" s="25" t="s">
        <v>434</v>
      </c>
      <c r="DQ177" s="25" t="s">
        <v>430</v>
      </c>
      <c r="DR177" s="25" t="s">
        <v>502</v>
      </c>
      <c r="DS177" s="25" t="s">
        <v>466</v>
      </c>
      <c r="DT177" s="25" t="s">
        <v>466</v>
      </c>
      <c r="DU177" s="25" t="s">
        <v>431</v>
      </c>
      <c r="DV177" s="25">
        <v>1</v>
      </c>
      <c r="DW177" s="25">
        <v>0</v>
      </c>
      <c r="DX177" s="25">
        <v>3</v>
      </c>
      <c r="DY177" s="25">
        <v>43</v>
      </c>
      <c r="DZ177" s="166">
        <v>1015057</v>
      </c>
      <c r="EA177" s="25">
        <v>3</v>
      </c>
      <c r="EB177" s="25">
        <v>1</v>
      </c>
      <c r="EC177" s="25">
        <v>1</v>
      </c>
      <c r="ED177" s="25">
        <v>6</v>
      </c>
      <c r="EE177" s="25">
        <v>2</v>
      </c>
      <c r="EF177" s="25">
        <v>3</v>
      </c>
      <c r="EG177" s="25">
        <v>4</v>
      </c>
      <c r="EH177" s="25">
        <v>3</v>
      </c>
      <c r="EI177" s="25">
        <v>68</v>
      </c>
      <c r="EJ177" s="25">
        <v>0</v>
      </c>
      <c r="EK177" s="25">
        <v>0</v>
      </c>
      <c r="EL177" s="25">
        <v>2</v>
      </c>
      <c r="EM177" s="25">
        <v>0</v>
      </c>
      <c r="EN177" s="25">
        <v>1</v>
      </c>
      <c r="EO177" s="25">
        <v>1</v>
      </c>
      <c r="EP177" s="25">
        <v>1</v>
      </c>
      <c r="EQ177" s="25">
        <v>1</v>
      </c>
      <c r="ER177" s="25">
        <v>40</v>
      </c>
      <c r="ES177" s="25">
        <v>1</v>
      </c>
      <c r="ET177" s="25">
        <v>2</v>
      </c>
      <c r="EU177" s="25">
        <v>1</v>
      </c>
      <c r="EV177" s="25" t="s">
        <v>254</v>
      </c>
    </row>
    <row r="178" spans="12:152" x14ac:dyDescent="0.25">
      <c r="L178" s="25">
        <v>46.03022</v>
      </c>
      <c r="M178" s="25">
        <v>-100.82796999999999</v>
      </c>
      <c r="N178" s="25" t="s">
        <v>512</v>
      </c>
      <c r="O178" s="25">
        <v>2016</v>
      </c>
      <c r="P178" s="25" t="s">
        <v>427</v>
      </c>
      <c r="Q178" s="25" t="s">
        <v>428</v>
      </c>
      <c r="R178" s="25" t="s">
        <v>476</v>
      </c>
      <c r="S178" s="25" t="s">
        <v>430</v>
      </c>
      <c r="T178" s="25" t="s">
        <v>430</v>
      </c>
      <c r="U178" s="25" t="s">
        <v>446</v>
      </c>
      <c r="V178" s="25" t="s">
        <v>576</v>
      </c>
      <c r="W178" s="25" t="s">
        <v>433</v>
      </c>
      <c r="X178" s="25" t="s">
        <v>477</v>
      </c>
      <c r="Y178" s="25" t="s">
        <v>430</v>
      </c>
      <c r="Z178" s="25" t="s">
        <v>430</v>
      </c>
      <c r="AA178" s="25">
        <v>139</v>
      </c>
      <c r="AB178" s="25" t="s">
        <v>524</v>
      </c>
      <c r="AC178" s="25" t="s">
        <v>560</v>
      </c>
      <c r="AD178" s="25" t="s">
        <v>430</v>
      </c>
      <c r="AE178" s="25" t="s">
        <v>430</v>
      </c>
      <c r="AF178" s="25" t="s">
        <v>437</v>
      </c>
      <c r="AG178" s="164">
        <v>42421</v>
      </c>
      <c r="AH178" s="25" t="s">
        <v>525</v>
      </c>
      <c r="AI178" s="25" t="s">
        <v>439</v>
      </c>
      <c r="AJ178" s="165">
        <v>44963.292361111111</v>
      </c>
      <c r="AK178" s="25" t="s">
        <v>440</v>
      </c>
      <c r="AL178" s="25" t="s">
        <v>441</v>
      </c>
      <c r="AM178" s="164">
        <v>42718</v>
      </c>
      <c r="AN178" s="164">
        <v>42421</v>
      </c>
      <c r="AO178" s="25" t="s">
        <v>506</v>
      </c>
      <c r="AP178" s="25" t="s">
        <v>430</v>
      </c>
      <c r="AQ178" s="25" t="s">
        <v>430</v>
      </c>
      <c r="AR178" s="25" t="s">
        <v>442</v>
      </c>
      <c r="AS178" s="25" t="s">
        <v>430</v>
      </c>
      <c r="AT178" s="25" t="s">
        <v>430</v>
      </c>
      <c r="AU178" s="25" t="s">
        <v>430</v>
      </c>
      <c r="AV178" s="25">
        <v>41</v>
      </c>
      <c r="AW178" s="25" t="s">
        <v>443</v>
      </c>
      <c r="AX178" s="25" t="s">
        <v>577</v>
      </c>
      <c r="AY178" s="25" t="s">
        <v>430</v>
      </c>
      <c r="AZ178" s="25" t="s">
        <v>430</v>
      </c>
      <c r="BA178" s="25" t="s">
        <v>430</v>
      </c>
      <c r="BB178" s="25" t="s">
        <v>430</v>
      </c>
      <c r="BC178" s="25" t="s">
        <v>430</v>
      </c>
      <c r="BD178" s="25">
        <v>7.01</v>
      </c>
      <c r="BE178" s="25">
        <v>6</v>
      </c>
      <c r="BF178" s="25" t="s">
        <v>430</v>
      </c>
      <c r="BG178" s="25" t="s">
        <v>430</v>
      </c>
      <c r="BH178" s="25" t="s">
        <v>445</v>
      </c>
      <c r="BI178" s="25" t="s">
        <v>446</v>
      </c>
      <c r="BJ178" s="25" t="s">
        <v>575</v>
      </c>
      <c r="BK178" s="25" t="s">
        <v>448</v>
      </c>
      <c r="BL178" s="25" t="s">
        <v>577</v>
      </c>
      <c r="BM178" s="25" t="s">
        <v>430</v>
      </c>
      <c r="BN178" s="25" t="s">
        <v>430</v>
      </c>
      <c r="BO178" s="25" t="s">
        <v>430</v>
      </c>
      <c r="BP178" s="25" t="s">
        <v>434</v>
      </c>
      <c r="BQ178" s="25" t="s">
        <v>449</v>
      </c>
      <c r="BR178" s="25" t="s">
        <v>450</v>
      </c>
      <c r="BS178" s="25" t="s">
        <v>430</v>
      </c>
      <c r="BT178" s="25">
        <v>31</v>
      </c>
      <c r="BU178" s="25" t="s">
        <v>430</v>
      </c>
      <c r="BV178" s="25" t="s">
        <v>430</v>
      </c>
      <c r="BW178" s="25" t="s">
        <v>480</v>
      </c>
      <c r="BX178" s="25" t="s">
        <v>430</v>
      </c>
      <c r="BY178" s="25" t="s">
        <v>430</v>
      </c>
      <c r="BZ178" s="25" t="s">
        <v>433</v>
      </c>
      <c r="CA178" s="25" t="s">
        <v>430</v>
      </c>
      <c r="CB178" s="25" t="s">
        <v>430</v>
      </c>
      <c r="CC178" s="25" t="s">
        <v>481</v>
      </c>
      <c r="CD178" s="25" t="s">
        <v>430</v>
      </c>
      <c r="CE178" s="25" t="s">
        <v>430</v>
      </c>
      <c r="CF178" s="25" t="s">
        <v>441</v>
      </c>
      <c r="CG178" s="25" t="s">
        <v>430</v>
      </c>
      <c r="CH178" s="25" t="s">
        <v>452</v>
      </c>
      <c r="CI178" s="25" t="s">
        <v>516</v>
      </c>
      <c r="CJ178" s="25" t="s">
        <v>454</v>
      </c>
      <c r="CK178" s="25" t="s">
        <v>455</v>
      </c>
      <c r="CL178" s="25" t="s">
        <v>472</v>
      </c>
      <c r="CM178" s="25" t="s">
        <v>430</v>
      </c>
      <c r="CN178" s="25" t="s">
        <v>457</v>
      </c>
      <c r="CO178" s="25" t="s">
        <v>430</v>
      </c>
      <c r="CP178" s="25" t="s">
        <v>430</v>
      </c>
      <c r="CQ178" s="25">
        <v>7</v>
      </c>
      <c r="CR178" s="25" t="s">
        <v>431</v>
      </c>
      <c r="CS178" s="25" t="s">
        <v>430</v>
      </c>
      <c r="CT178" s="25" t="s">
        <v>430</v>
      </c>
      <c r="CU178" s="25" t="s">
        <v>430</v>
      </c>
      <c r="CV178" s="25" t="s">
        <v>430</v>
      </c>
      <c r="CW178" s="25" t="s">
        <v>460</v>
      </c>
      <c r="CX178" s="25" t="s">
        <v>461</v>
      </c>
      <c r="CY178" s="165">
        <v>44963.293055555558</v>
      </c>
      <c r="CZ178" s="25" t="s">
        <v>430</v>
      </c>
      <c r="DA178" s="25" t="s">
        <v>430</v>
      </c>
      <c r="DB178" s="25">
        <v>7.01</v>
      </c>
      <c r="DC178" s="25" t="s">
        <v>430</v>
      </c>
      <c r="DD178" s="25" t="s">
        <v>434</v>
      </c>
      <c r="DE178" s="25" t="s">
        <v>430</v>
      </c>
      <c r="DF178" s="25" t="s">
        <v>430</v>
      </c>
      <c r="DG178" s="25" t="s">
        <v>462</v>
      </c>
      <c r="DH178" s="25" t="s">
        <v>431</v>
      </c>
      <c r="DI178" s="25" t="s">
        <v>463</v>
      </c>
      <c r="DJ178" s="25" t="s">
        <v>430</v>
      </c>
      <c r="DK178" s="25" t="s">
        <v>430</v>
      </c>
      <c r="DL178" s="25" t="s">
        <v>474</v>
      </c>
      <c r="DM178" s="25" t="s">
        <v>430</v>
      </c>
      <c r="DN178" s="25" t="s">
        <v>430</v>
      </c>
      <c r="DO178" s="25" t="s">
        <v>434</v>
      </c>
      <c r="DP178" s="25" t="s">
        <v>430</v>
      </c>
      <c r="DQ178" s="25" t="s">
        <v>430</v>
      </c>
      <c r="DR178" s="25" t="s">
        <v>465</v>
      </c>
      <c r="DS178" s="25" t="s">
        <v>466</v>
      </c>
      <c r="DT178" s="25" t="s">
        <v>466</v>
      </c>
      <c r="DU178" s="25" t="s">
        <v>431</v>
      </c>
      <c r="DV178" s="25">
        <v>1</v>
      </c>
      <c r="DW178" s="166">
        <v>16024821</v>
      </c>
      <c r="DX178" s="25">
        <v>4</v>
      </c>
      <c r="DY178" s="25">
        <v>43</v>
      </c>
      <c r="DZ178" s="166">
        <v>1023372</v>
      </c>
      <c r="EA178" s="25">
        <v>2</v>
      </c>
      <c r="EB178" s="25">
        <v>1</v>
      </c>
      <c r="EC178" s="25">
        <v>44</v>
      </c>
      <c r="ED178" s="25">
        <v>7</v>
      </c>
      <c r="EE178" s="25">
        <v>2</v>
      </c>
      <c r="EF178" s="25">
        <v>1</v>
      </c>
      <c r="EG178" s="25">
        <v>2</v>
      </c>
      <c r="EH178" s="25">
        <v>7</v>
      </c>
      <c r="EI178" s="25">
        <v>79</v>
      </c>
      <c r="EJ178" s="25">
        <v>0</v>
      </c>
      <c r="EK178" s="25">
        <v>0</v>
      </c>
      <c r="EL178" s="25">
        <v>1</v>
      </c>
      <c r="EM178" s="25">
        <v>1</v>
      </c>
      <c r="EN178" s="25">
        <v>1</v>
      </c>
      <c r="EO178" s="25">
        <v>1</v>
      </c>
      <c r="EP178" s="25">
        <v>1</v>
      </c>
      <c r="EQ178" s="25">
        <v>1</v>
      </c>
      <c r="ER178" s="25">
        <v>65</v>
      </c>
      <c r="ES178" s="25">
        <v>1</v>
      </c>
      <c r="ET178" s="25">
        <v>2</v>
      </c>
      <c r="EU178" s="25">
        <v>0</v>
      </c>
      <c r="EV178" s="25" t="s">
        <v>254</v>
      </c>
    </row>
    <row r="179" spans="12:152" x14ac:dyDescent="0.25">
      <c r="L179" s="25">
        <v>46.067445999999997</v>
      </c>
      <c r="M179" s="25">
        <v>-100.66946</v>
      </c>
      <c r="N179" s="25" t="s">
        <v>24</v>
      </c>
      <c r="O179" s="25">
        <v>2016</v>
      </c>
      <c r="P179" s="25" t="s">
        <v>427</v>
      </c>
      <c r="Q179" s="25" t="s">
        <v>428</v>
      </c>
      <c r="R179" s="25" t="s">
        <v>482</v>
      </c>
      <c r="S179" s="25" t="s">
        <v>482</v>
      </c>
      <c r="T179" s="25" t="s">
        <v>430</v>
      </c>
      <c r="U179" s="25" t="s">
        <v>431</v>
      </c>
      <c r="V179" s="25" t="s">
        <v>432</v>
      </c>
      <c r="W179" s="25" t="s">
        <v>433</v>
      </c>
      <c r="X179" s="25" t="s">
        <v>434</v>
      </c>
      <c r="Y179" s="25" t="s">
        <v>434</v>
      </c>
      <c r="Z179" s="25" t="s">
        <v>430</v>
      </c>
      <c r="AA179" s="25">
        <v>54</v>
      </c>
      <c r="AB179" s="25" t="s">
        <v>435</v>
      </c>
      <c r="AC179" s="25" t="s">
        <v>436</v>
      </c>
      <c r="AD179" s="25" t="s">
        <v>436</v>
      </c>
      <c r="AE179" s="25" t="s">
        <v>430</v>
      </c>
      <c r="AF179" s="25" t="s">
        <v>437</v>
      </c>
      <c r="AG179" s="164">
        <v>42613</v>
      </c>
      <c r="AH179" s="25" t="s">
        <v>572</v>
      </c>
      <c r="AI179" s="25" t="s">
        <v>439</v>
      </c>
      <c r="AJ179" s="165">
        <v>44963.527777777781</v>
      </c>
      <c r="AK179" s="25" t="s">
        <v>440</v>
      </c>
      <c r="AL179" s="25" t="s">
        <v>441</v>
      </c>
      <c r="AM179" s="164">
        <v>42769</v>
      </c>
      <c r="AN179" s="164">
        <v>42613</v>
      </c>
      <c r="AO179" s="25" t="s">
        <v>141</v>
      </c>
      <c r="AP179" s="25" t="s">
        <v>141</v>
      </c>
      <c r="AQ179" s="25" t="s">
        <v>430</v>
      </c>
      <c r="AR179" s="25" t="s">
        <v>442</v>
      </c>
      <c r="AS179" s="25" t="s">
        <v>442</v>
      </c>
      <c r="AT179" s="25" t="s">
        <v>430</v>
      </c>
      <c r="AU179" s="25" t="s">
        <v>430</v>
      </c>
      <c r="AV179" s="25" t="s">
        <v>430</v>
      </c>
      <c r="AW179" s="25" t="s">
        <v>443</v>
      </c>
      <c r="AX179" s="25" t="s">
        <v>469</v>
      </c>
      <c r="AY179" s="25" t="s">
        <v>430</v>
      </c>
      <c r="AZ179" s="25" t="s">
        <v>430</v>
      </c>
      <c r="BA179" s="25" t="s">
        <v>430</v>
      </c>
      <c r="BB179" s="25" t="s">
        <v>430</v>
      </c>
      <c r="BC179" s="25" t="s">
        <v>430</v>
      </c>
      <c r="BD179" s="25">
        <v>8.01</v>
      </c>
      <c r="BE179" s="25">
        <v>24</v>
      </c>
      <c r="BF179" s="25" t="s">
        <v>430</v>
      </c>
      <c r="BG179" s="25" t="s">
        <v>430</v>
      </c>
      <c r="BH179" s="25" t="s">
        <v>445</v>
      </c>
      <c r="BI179" s="25" t="s">
        <v>431</v>
      </c>
      <c r="BJ179" s="25" t="s">
        <v>447</v>
      </c>
      <c r="BK179" s="25" t="s">
        <v>526</v>
      </c>
      <c r="BL179" s="25" t="s">
        <v>469</v>
      </c>
      <c r="BM179" s="25" t="s">
        <v>469</v>
      </c>
      <c r="BN179" s="25" t="s">
        <v>430</v>
      </c>
      <c r="BO179" s="25" t="s">
        <v>430</v>
      </c>
      <c r="BP179" s="25" t="s">
        <v>434</v>
      </c>
      <c r="BQ179" s="25" t="s">
        <v>449</v>
      </c>
      <c r="BR179" s="25" t="s">
        <v>450</v>
      </c>
      <c r="BS179" s="25" t="s">
        <v>430</v>
      </c>
      <c r="BT179" s="25">
        <v>53</v>
      </c>
      <c r="BU179" s="25">
        <v>31</v>
      </c>
      <c r="BV179" s="25" t="s">
        <v>430</v>
      </c>
      <c r="BW179" s="25" t="s">
        <v>519</v>
      </c>
      <c r="BX179" s="25" t="s">
        <v>519</v>
      </c>
      <c r="BY179" s="25" t="s">
        <v>430</v>
      </c>
      <c r="BZ179" s="25" t="s">
        <v>433</v>
      </c>
      <c r="CA179" s="25" t="s">
        <v>433</v>
      </c>
      <c r="CB179" s="25" t="s">
        <v>430</v>
      </c>
      <c r="CC179" s="25" t="s">
        <v>544</v>
      </c>
      <c r="CD179" s="25" t="s">
        <v>544</v>
      </c>
      <c r="CE179" s="25" t="s">
        <v>430</v>
      </c>
      <c r="CF179" s="25" t="s">
        <v>441</v>
      </c>
      <c r="CG179" s="25" t="s">
        <v>430</v>
      </c>
      <c r="CH179" s="25" t="s">
        <v>452</v>
      </c>
      <c r="CI179" s="25" t="s">
        <v>453</v>
      </c>
      <c r="CJ179" s="25" t="s">
        <v>454</v>
      </c>
      <c r="CK179" s="25" t="s">
        <v>455</v>
      </c>
      <c r="CL179" s="25" t="s">
        <v>456</v>
      </c>
      <c r="CM179" s="25" t="s">
        <v>430</v>
      </c>
      <c r="CN179" s="25" t="s">
        <v>457</v>
      </c>
      <c r="CO179" s="25" t="s">
        <v>457</v>
      </c>
      <c r="CP179" s="25" t="s">
        <v>430</v>
      </c>
      <c r="CQ179" s="25">
        <v>12</v>
      </c>
      <c r="CR179" s="25" t="s">
        <v>431</v>
      </c>
      <c r="CS179" s="25">
        <v>65</v>
      </c>
      <c r="CT179" s="25" t="s">
        <v>430</v>
      </c>
      <c r="CU179" s="25" t="s">
        <v>430</v>
      </c>
      <c r="CV179" s="25" t="s">
        <v>430</v>
      </c>
      <c r="CW179" s="25" t="s">
        <v>460</v>
      </c>
      <c r="CX179" s="25" t="s">
        <v>461</v>
      </c>
      <c r="CY179" s="165">
        <v>44963.52847222222</v>
      </c>
      <c r="CZ179" s="25" t="s">
        <v>430</v>
      </c>
      <c r="DA179" s="25" t="s">
        <v>430</v>
      </c>
      <c r="DB179" s="25">
        <v>8.01</v>
      </c>
      <c r="DC179" s="25" t="s">
        <v>430</v>
      </c>
      <c r="DD179" s="25" t="s">
        <v>434</v>
      </c>
      <c r="DE179" s="25" t="s">
        <v>434</v>
      </c>
      <c r="DF179" s="25" t="s">
        <v>430</v>
      </c>
      <c r="DG179" s="25" t="s">
        <v>462</v>
      </c>
      <c r="DH179" s="25" t="s">
        <v>431</v>
      </c>
      <c r="DI179" s="25" t="s">
        <v>463</v>
      </c>
      <c r="DJ179" s="25" t="s">
        <v>571</v>
      </c>
      <c r="DK179" s="25" t="s">
        <v>430</v>
      </c>
      <c r="DL179" s="25" t="s">
        <v>464</v>
      </c>
      <c r="DM179" s="25" t="s">
        <v>464</v>
      </c>
      <c r="DN179" s="25" t="s">
        <v>430</v>
      </c>
      <c r="DO179" s="25" t="s">
        <v>434</v>
      </c>
      <c r="DP179" s="25" t="s">
        <v>434</v>
      </c>
      <c r="DQ179" s="25" t="s">
        <v>430</v>
      </c>
      <c r="DR179" s="25" t="s">
        <v>465</v>
      </c>
      <c r="DS179" s="25" t="s">
        <v>466</v>
      </c>
      <c r="DT179" s="25" t="s">
        <v>466</v>
      </c>
      <c r="DU179" s="25" t="s">
        <v>431</v>
      </c>
      <c r="DV179" s="25">
        <v>1</v>
      </c>
      <c r="DW179" s="166">
        <v>16119689</v>
      </c>
      <c r="DX179" s="25">
        <v>4</v>
      </c>
      <c r="DY179" s="25">
        <v>43</v>
      </c>
      <c r="DZ179" s="166">
        <v>1028256</v>
      </c>
      <c r="EA179" s="25">
        <v>3</v>
      </c>
      <c r="EB179" s="25">
        <v>1</v>
      </c>
      <c r="EC179" s="25">
        <v>1</v>
      </c>
      <c r="ED179" s="25">
        <v>6</v>
      </c>
      <c r="EE179" s="25">
        <v>2</v>
      </c>
      <c r="EF179" s="25">
        <v>1</v>
      </c>
      <c r="EG179" s="25">
        <v>1</v>
      </c>
      <c r="EH179" s="25">
        <v>4</v>
      </c>
      <c r="EI179" s="25">
        <v>99</v>
      </c>
      <c r="EJ179" s="25">
        <v>0</v>
      </c>
      <c r="EK179" s="25">
        <v>0</v>
      </c>
      <c r="EL179" s="25">
        <v>1</v>
      </c>
      <c r="EM179" s="25">
        <v>0</v>
      </c>
      <c r="EN179" s="25">
        <v>1</v>
      </c>
      <c r="EO179" s="25">
        <v>1</v>
      </c>
      <c r="EP179" s="25">
        <v>3</v>
      </c>
      <c r="EQ179" s="25">
        <v>1</v>
      </c>
      <c r="ER179" s="25">
        <v>65</v>
      </c>
      <c r="ES179" s="25">
        <v>1</v>
      </c>
      <c r="ET179" s="25">
        <v>2</v>
      </c>
      <c r="EU179" s="25">
        <v>0</v>
      </c>
      <c r="EV179" s="25" t="s">
        <v>254</v>
      </c>
    </row>
    <row r="180" spans="12:152" x14ac:dyDescent="0.25">
      <c r="L180" s="25">
        <v>46.188631999999998</v>
      </c>
      <c r="M180" s="25">
        <v>-100.939719</v>
      </c>
      <c r="N180" s="25" t="s">
        <v>24</v>
      </c>
      <c r="O180" s="25">
        <v>2016</v>
      </c>
      <c r="P180" s="25" t="s">
        <v>427</v>
      </c>
      <c r="Q180" s="25" t="s">
        <v>428</v>
      </c>
      <c r="R180" s="25" t="s">
        <v>504</v>
      </c>
      <c r="S180" s="25" t="s">
        <v>482</v>
      </c>
      <c r="T180" s="25" t="s">
        <v>430</v>
      </c>
      <c r="U180" s="25" t="s">
        <v>431</v>
      </c>
      <c r="V180" s="25" t="s">
        <v>432</v>
      </c>
      <c r="W180" s="25" t="s">
        <v>433</v>
      </c>
      <c r="X180" s="25" t="s">
        <v>505</v>
      </c>
      <c r="Y180" s="25" t="s">
        <v>434</v>
      </c>
      <c r="Z180" s="25" t="s">
        <v>430</v>
      </c>
      <c r="AA180" s="25">
        <v>139</v>
      </c>
      <c r="AB180" s="25" t="s">
        <v>524</v>
      </c>
      <c r="AC180" s="25" t="s">
        <v>436</v>
      </c>
      <c r="AD180" s="25" t="s">
        <v>436</v>
      </c>
      <c r="AE180" s="25" t="s">
        <v>430</v>
      </c>
      <c r="AF180" s="25" t="s">
        <v>437</v>
      </c>
      <c r="AG180" s="164">
        <v>42603</v>
      </c>
      <c r="AH180" s="25" t="s">
        <v>525</v>
      </c>
      <c r="AI180" s="25" t="s">
        <v>439</v>
      </c>
      <c r="AJ180" s="165">
        <v>44963.843055555553</v>
      </c>
      <c r="AK180" s="25" t="s">
        <v>440</v>
      </c>
      <c r="AL180" s="25" t="s">
        <v>441</v>
      </c>
      <c r="AM180" s="164">
        <v>42769</v>
      </c>
      <c r="AN180" s="164">
        <v>42603</v>
      </c>
      <c r="AO180" s="25" t="s">
        <v>141</v>
      </c>
      <c r="AP180" s="25" t="s">
        <v>141</v>
      </c>
      <c r="AQ180" s="25" t="s">
        <v>430</v>
      </c>
      <c r="AR180" s="25" t="s">
        <v>442</v>
      </c>
      <c r="AS180" s="25" t="s">
        <v>442</v>
      </c>
      <c r="AT180" s="25" t="s">
        <v>430</v>
      </c>
      <c r="AU180" s="25" t="s">
        <v>430</v>
      </c>
      <c r="AV180" s="25" t="s">
        <v>430</v>
      </c>
      <c r="AW180" s="25" t="s">
        <v>443</v>
      </c>
      <c r="AX180" s="25" t="s">
        <v>469</v>
      </c>
      <c r="AY180" s="25" t="s">
        <v>430</v>
      </c>
      <c r="AZ180" s="25" t="s">
        <v>430</v>
      </c>
      <c r="BA180" s="25" t="s">
        <v>430</v>
      </c>
      <c r="BB180" s="25" t="s">
        <v>430</v>
      </c>
      <c r="BC180" s="25" t="s">
        <v>430</v>
      </c>
      <c r="BD180" s="25">
        <v>22.01</v>
      </c>
      <c r="BE180" s="25">
        <v>6</v>
      </c>
      <c r="BF180" s="25" t="s">
        <v>430</v>
      </c>
      <c r="BG180" s="25" t="s">
        <v>430</v>
      </c>
      <c r="BH180" s="25" t="s">
        <v>486</v>
      </c>
      <c r="BI180" s="25" t="s">
        <v>431</v>
      </c>
      <c r="BJ180" s="25" t="s">
        <v>447</v>
      </c>
      <c r="BK180" s="25" t="s">
        <v>526</v>
      </c>
      <c r="BL180" s="25" t="s">
        <v>469</v>
      </c>
      <c r="BM180" s="25" t="s">
        <v>469</v>
      </c>
      <c r="BN180" s="25" t="s">
        <v>430</v>
      </c>
      <c r="BO180" s="25" t="s">
        <v>430</v>
      </c>
      <c r="BP180" s="25" t="s">
        <v>434</v>
      </c>
      <c r="BQ180" s="25" t="s">
        <v>449</v>
      </c>
      <c r="BR180" s="25" t="s">
        <v>450</v>
      </c>
      <c r="BS180" s="25" t="s">
        <v>430</v>
      </c>
      <c r="BT180" s="25">
        <v>29</v>
      </c>
      <c r="BU180" s="25">
        <v>54</v>
      </c>
      <c r="BV180" s="25" t="s">
        <v>430</v>
      </c>
      <c r="BW180" s="25" t="s">
        <v>527</v>
      </c>
      <c r="BX180" s="25" t="s">
        <v>528</v>
      </c>
      <c r="BY180" s="25" t="s">
        <v>430</v>
      </c>
      <c r="BZ180" s="25" t="s">
        <v>493</v>
      </c>
      <c r="CA180" s="25" t="s">
        <v>433</v>
      </c>
      <c r="CB180" s="25" t="s">
        <v>430</v>
      </c>
      <c r="CC180" s="25" t="s">
        <v>481</v>
      </c>
      <c r="CD180" s="25" t="s">
        <v>481</v>
      </c>
      <c r="CE180" s="25" t="s">
        <v>430</v>
      </c>
      <c r="CF180" s="25" t="s">
        <v>441</v>
      </c>
      <c r="CG180" s="25" t="s">
        <v>430</v>
      </c>
      <c r="CH180" s="25" t="s">
        <v>529</v>
      </c>
      <c r="CI180" s="25" t="s">
        <v>453</v>
      </c>
      <c r="CJ180" s="25" t="s">
        <v>454</v>
      </c>
      <c r="CK180" s="25" t="s">
        <v>455</v>
      </c>
      <c r="CL180" s="25" t="s">
        <v>472</v>
      </c>
      <c r="CM180" s="25" t="s">
        <v>430</v>
      </c>
      <c r="CN180" s="25" t="s">
        <v>457</v>
      </c>
      <c r="CO180" s="25" t="s">
        <v>457</v>
      </c>
      <c r="CP180" s="25" t="s">
        <v>430</v>
      </c>
      <c r="CQ180" s="25">
        <v>20</v>
      </c>
      <c r="CR180" s="25" t="s">
        <v>431</v>
      </c>
      <c r="CS180" s="25">
        <v>65</v>
      </c>
      <c r="CT180" s="25" t="s">
        <v>430</v>
      </c>
      <c r="CU180" s="25" t="s">
        <v>430</v>
      </c>
      <c r="CV180" s="25" t="s">
        <v>430</v>
      </c>
      <c r="CW180" s="25" t="s">
        <v>460</v>
      </c>
      <c r="CX180" s="25" t="s">
        <v>461</v>
      </c>
      <c r="CY180" s="165">
        <v>44963.84375</v>
      </c>
      <c r="CZ180" s="25" t="s">
        <v>430</v>
      </c>
      <c r="DA180" s="25" t="s">
        <v>430</v>
      </c>
      <c r="DB180" s="25">
        <v>22.01</v>
      </c>
      <c r="DC180" s="25" t="s">
        <v>430</v>
      </c>
      <c r="DD180" s="25" t="s">
        <v>434</v>
      </c>
      <c r="DE180" s="25" t="s">
        <v>434</v>
      </c>
      <c r="DF180" s="25" t="s">
        <v>430</v>
      </c>
      <c r="DG180" s="25" t="s">
        <v>462</v>
      </c>
      <c r="DH180" s="25" t="s">
        <v>431</v>
      </c>
      <c r="DI180" s="25" t="s">
        <v>463</v>
      </c>
      <c r="DJ180" s="25" t="s">
        <v>473</v>
      </c>
      <c r="DK180" s="25" t="s">
        <v>430</v>
      </c>
      <c r="DL180" s="25" t="s">
        <v>464</v>
      </c>
      <c r="DM180" s="25" t="s">
        <v>464</v>
      </c>
      <c r="DN180" s="25" t="s">
        <v>430</v>
      </c>
      <c r="DO180" s="25" t="s">
        <v>434</v>
      </c>
      <c r="DP180" s="25" t="s">
        <v>434</v>
      </c>
      <c r="DQ180" s="25" t="s">
        <v>430</v>
      </c>
      <c r="DR180" s="25" t="s">
        <v>465</v>
      </c>
      <c r="DS180" s="25" t="s">
        <v>466</v>
      </c>
      <c r="DT180" s="25" t="s">
        <v>466</v>
      </c>
      <c r="DU180" s="25" t="s">
        <v>431</v>
      </c>
      <c r="DV180" s="25">
        <v>1</v>
      </c>
      <c r="DW180" s="166">
        <v>16115137</v>
      </c>
      <c r="DX180" s="25">
        <v>4</v>
      </c>
      <c r="DY180" s="25">
        <v>43</v>
      </c>
      <c r="DZ180" s="166">
        <v>1028262</v>
      </c>
      <c r="EA180" s="25">
        <v>3</v>
      </c>
      <c r="EB180" s="25">
        <v>1</v>
      </c>
      <c r="EC180" s="25">
        <v>1</v>
      </c>
      <c r="ED180" s="25">
        <v>7</v>
      </c>
      <c r="EE180" s="25">
        <v>2</v>
      </c>
      <c r="EF180" s="25">
        <v>2</v>
      </c>
      <c r="EG180" s="25">
        <v>1</v>
      </c>
      <c r="EH180" s="25">
        <v>4</v>
      </c>
      <c r="EI180" s="25">
        <v>101</v>
      </c>
      <c r="EJ180" s="25">
        <v>0</v>
      </c>
      <c r="EK180" s="25">
        <v>0</v>
      </c>
      <c r="EL180" s="25">
        <v>8</v>
      </c>
      <c r="EM180" s="25">
        <v>0</v>
      </c>
      <c r="EN180" s="25">
        <v>1</v>
      </c>
      <c r="EO180" s="25">
        <v>1</v>
      </c>
      <c r="EP180" s="25">
        <v>1</v>
      </c>
      <c r="EQ180" s="25">
        <v>1</v>
      </c>
      <c r="ER180" s="25">
        <v>65</v>
      </c>
      <c r="ES180" s="25">
        <v>1</v>
      </c>
      <c r="ET180" s="25">
        <v>2</v>
      </c>
      <c r="EU180" s="25">
        <v>0</v>
      </c>
      <c r="EV180" s="25" t="s">
        <v>254</v>
      </c>
    </row>
    <row r="181" spans="12:152" x14ac:dyDescent="0.25">
      <c r="L181" s="25">
        <v>46.054220000000001</v>
      </c>
      <c r="M181" s="25">
        <v>-100.671386</v>
      </c>
      <c r="N181" s="25" t="s">
        <v>24</v>
      </c>
      <c r="O181" s="25">
        <v>2016</v>
      </c>
      <c r="P181" s="25" t="s">
        <v>427</v>
      </c>
      <c r="Q181" s="25" t="s">
        <v>428</v>
      </c>
      <c r="R181" s="25" t="s">
        <v>482</v>
      </c>
      <c r="S181" s="25" t="s">
        <v>430</v>
      </c>
      <c r="T181" s="25" t="s">
        <v>430</v>
      </c>
      <c r="U181" s="25" t="s">
        <v>431</v>
      </c>
      <c r="V181" s="25" t="s">
        <v>432</v>
      </c>
      <c r="W181" s="25" t="s">
        <v>433</v>
      </c>
      <c r="X181" s="25" t="s">
        <v>434</v>
      </c>
      <c r="Y181" s="25" t="s">
        <v>430</v>
      </c>
      <c r="Z181" s="25" t="s">
        <v>430</v>
      </c>
      <c r="AA181" s="25">
        <v>54</v>
      </c>
      <c r="AB181" s="25" t="s">
        <v>435</v>
      </c>
      <c r="AC181" s="25" t="s">
        <v>551</v>
      </c>
      <c r="AD181" s="25" t="s">
        <v>430</v>
      </c>
      <c r="AE181" s="25" t="s">
        <v>430</v>
      </c>
      <c r="AF181" s="25" t="s">
        <v>437</v>
      </c>
      <c r="AG181" s="164">
        <v>42624</v>
      </c>
      <c r="AH181" s="25" t="s">
        <v>525</v>
      </c>
      <c r="AI181" s="25" t="s">
        <v>439</v>
      </c>
      <c r="AJ181" s="165">
        <v>44963.218055555553</v>
      </c>
      <c r="AK181" s="25" t="s">
        <v>440</v>
      </c>
      <c r="AL181" s="25" t="s">
        <v>441</v>
      </c>
      <c r="AM181" s="164">
        <v>42774</v>
      </c>
      <c r="AN181" s="164">
        <v>42624</v>
      </c>
      <c r="AO181" s="25" t="s">
        <v>141</v>
      </c>
      <c r="AP181" s="25" t="s">
        <v>430</v>
      </c>
      <c r="AQ181" s="25" t="s">
        <v>430</v>
      </c>
      <c r="AR181" s="25" t="s">
        <v>442</v>
      </c>
      <c r="AS181" s="25" t="s">
        <v>430</v>
      </c>
      <c r="AT181" s="25" t="s">
        <v>430</v>
      </c>
      <c r="AU181" s="25" t="s">
        <v>430</v>
      </c>
      <c r="AV181" s="25" t="s">
        <v>430</v>
      </c>
      <c r="AW181" s="25" t="s">
        <v>443</v>
      </c>
      <c r="AX181" s="25" t="s">
        <v>577</v>
      </c>
      <c r="AY181" s="25" t="s">
        <v>430</v>
      </c>
      <c r="AZ181" s="25" t="s">
        <v>430</v>
      </c>
      <c r="BA181" s="25" t="s">
        <v>430</v>
      </c>
      <c r="BB181" s="25" t="s">
        <v>430</v>
      </c>
      <c r="BC181" s="25" t="s">
        <v>430</v>
      </c>
      <c r="BD181" s="25">
        <v>7.07</v>
      </c>
      <c r="BE181" s="25">
        <v>24</v>
      </c>
      <c r="BF181" s="25" t="s">
        <v>430</v>
      </c>
      <c r="BG181" s="25" t="s">
        <v>430</v>
      </c>
      <c r="BH181" s="25" t="s">
        <v>486</v>
      </c>
      <c r="BI181" s="25" t="s">
        <v>446</v>
      </c>
      <c r="BJ181" s="25" t="s">
        <v>479</v>
      </c>
      <c r="BK181" s="25" t="s">
        <v>448</v>
      </c>
      <c r="BL181" s="25" t="s">
        <v>577</v>
      </c>
      <c r="BM181" s="25" t="s">
        <v>430</v>
      </c>
      <c r="BN181" s="25" t="s">
        <v>430</v>
      </c>
      <c r="BO181" s="25" t="s">
        <v>430</v>
      </c>
      <c r="BP181" s="25" t="s">
        <v>434</v>
      </c>
      <c r="BQ181" s="25" t="s">
        <v>449</v>
      </c>
      <c r="BR181" s="25" t="s">
        <v>450</v>
      </c>
      <c r="BS181" s="25" t="s">
        <v>430</v>
      </c>
      <c r="BT181" s="25">
        <v>37</v>
      </c>
      <c r="BU181" s="25" t="s">
        <v>430</v>
      </c>
      <c r="BV181" s="25" t="s">
        <v>430</v>
      </c>
      <c r="BW181" s="25" t="s">
        <v>519</v>
      </c>
      <c r="BX181" s="25" t="s">
        <v>430</v>
      </c>
      <c r="BY181" s="25" t="s">
        <v>430</v>
      </c>
      <c r="BZ181" s="25" t="s">
        <v>433</v>
      </c>
      <c r="CA181" s="25" t="s">
        <v>430</v>
      </c>
      <c r="CB181" s="25" t="s">
        <v>430</v>
      </c>
      <c r="CC181" s="25" t="s">
        <v>578</v>
      </c>
      <c r="CD181" s="25" t="s">
        <v>430</v>
      </c>
      <c r="CE181" s="25" t="s">
        <v>430</v>
      </c>
      <c r="CF181" s="25" t="s">
        <v>441</v>
      </c>
      <c r="CG181" s="25" t="s">
        <v>430</v>
      </c>
      <c r="CH181" s="25" t="s">
        <v>495</v>
      </c>
      <c r="CI181" s="25" t="s">
        <v>516</v>
      </c>
      <c r="CJ181" s="25" t="s">
        <v>454</v>
      </c>
      <c r="CK181" s="25" t="s">
        <v>455</v>
      </c>
      <c r="CL181" s="25" t="s">
        <v>472</v>
      </c>
      <c r="CM181" s="25" t="s">
        <v>430</v>
      </c>
      <c r="CN181" s="25" t="s">
        <v>457</v>
      </c>
      <c r="CO181" s="25" t="s">
        <v>430</v>
      </c>
      <c r="CP181" s="25" t="s">
        <v>430</v>
      </c>
      <c r="CQ181" s="25">
        <v>5</v>
      </c>
      <c r="CR181" s="25" t="s">
        <v>431</v>
      </c>
      <c r="CS181" s="25" t="s">
        <v>430</v>
      </c>
      <c r="CT181" s="25" t="s">
        <v>430</v>
      </c>
      <c r="CU181" s="25" t="s">
        <v>430</v>
      </c>
      <c r="CV181" s="25" t="s">
        <v>430</v>
      </c>
      <c r="CW181" s="25" t="s">
        <v>460</v>
      </c>
      <c r="CX181" s="25" t="s">
        <v>461</v>
      </c>
      <c r="CY181" s="165">
        <v>44963.21875</v>
      </c>
      <c r="CZ181" s="25" t="s">
        <v>430</v>
      </c>
      <c r="DA181" s="25" t="s">
        <v>430</v>
      </c>
      <c r="DB181" s="25">
        <v>7.07</v>
      </c>
      <c r="DC181" s="25" t="s">
        <v>430</v>
      </c>
      <c r="DD181" s="25" t="s">
        <v>500</v>
      </c>
      <c r="DE181" s="25" t="s">
        <v>430</v>
      </c>
      <c r="DF181" s="25" t="s">
        <v>430</v>
      </c>
      <c r="DG181" s="25" t="s">
        <v>462</v>
      </c>
      <c r="DH181" s="25" t="s">
        <v>431</v>
      </c>
      <c r="DI181" s="25" t="s">
        <v>463</v>
      </c>
      <c r="DJ181" s="25" t="s">
        <v>430</v>
      </c>
      <c r="DK181" s="25" t="s">
        <v>430</v>
      </c>
      <c r="DL181" s="25" t="s">
        <v>474</v>
      </c>
      <c r="DM181" s="25" t="s">
        <v>430</v>
      </c>
      <c r="DN181" s="25" t="s">
        <v>430</v>
      </c>
      <c r="DO181" s="25" t="s">
        <v>434</v>
      </c>
      <c r="DP181" s="25" t="s">
        <v>430</v>
      </c>
      <c r="DQ181" s="25" t="s">
        <v>430</v>
      </c>
      <c r="DR181" s="25" t="s">
        <v>465</v>
      </c>
      <c r="DS181" s="25" t="s">
        <v>466</v>
      </c>
      <c r="DT181" s="25" t="s">
        <v>466</v>
      </c>
      <c r="DU181" s="25" t="s">
        <v>431</v>
      </c>
      <c r="DV181" s="25">
        <v>1</v>
      </c>
      <c r="DW181" s="166">
        <v>16125046</v>
      </c>
      <c r="DX181" s="25">
        <v>4</v>
      </c>
      <c r="DY181" s="25">
        <v>43</v>
      </c>
      <c r="DZ181" s="166">
        <v>1028625</v>
      </c>
      <c r="EA181" s="25">
        <v>3</v>
      </c>
      <c r="EB181" s="25">
        <v>1</v>
      </c>
      <c r="EC181" s="25">
        <v>44</v>
      </c>
      <c r="ED181" s="25">
        <v>6</v>
      </c>
      <c r="EE181" s="25">
        <v>2</v>
      </c>
      <c r="EF181" s="25">
        <v>2</v>
      </c>
      <c r="EG181" s="25">
        <v>5</v>
      </c>
      <c r="EH181" s="25">
        <v>7</v>
      </c>
      <c r="EI181" s="25">
        <v>103</v>
      </c>
      <c r="EJ181" s="25">
        <v>0</v>
      </c>
      <c r="EK181" s="25">
        <v>0</v>
      </c>
      <c r="EL181" s="25">
        <v>2</v>
      </c>
      <c r="EM181" s="25">
        <v>1</v>
      </c>
      <c r="EN181" s="25">
        <v>1</v>
      </c>
      <c r="EO181" s="25">
        <v>1</v>
      </c>
      <c r="EP181" s="25">
        <v>1</v>
      </c>
      <c r="EQ181" s="25">
        <v>1</v>
      </c>
      <c r="ER181" s="25">
        <v>65</v>
      </c>
      <c r="ES181" s="25">
        <v>1</v>
      </c>
      <c r="ET181" s="25">
        <v>2</v>
      </c>
      <c r="EU181" s="25">
        <v>0</v>
      </c>
      <c r="EV181" s="25" t="s">
        <v>254</v>
      </c>
    </row>
    <row r="182" spans="12:152" x14ac:dyDescent="0.25">
      <c r="L182" s="25">
        <v>46.14676</v>
      </c>
      <c r="M182" s="25">
        <v>-100.948311</v>
      </c>
      <c r="N182" s="25" t="s">
        <v>512</v>
      </c>
      <c r="O182" s="25">
        <v>2016</v>
      </c>
      <c r="P182" s="25" t="s">
        <v>427</v>
      </c>
      <c r="Q182" s="25" t="s">
        <v>428</v>
      </c>
      <c r="R182" s="25" t="s">
        <v>429</v>
      </c>
      <c r="S182" s="25" t="s">
        <v>430</v>
      </c>
      <c r="T182" s="25" t="s">
        <v>430</v>
      </c>
      <c r="U182" s="25" t="s">
        <v>431</v>
      </c>
      <c r="V182" s="25" t="s">
        <v>432</v>
      </c>
      <c r="W182" s="25" t="s">
        <v>433</v>
      </c>
      <c r="X182" s="25" t="s">
        <v>560</v>
      </c>
      <c r="Y182" s="25" t="s">
        <v>430</v>
      </c>
      <c r="Z182" s="25" t="s">
        <v>430</v>
      </c>
      <c r="AA182" s="25">
        <v>139</v>
      </c>
      <c r="AB182" s="25" t="s">
        <v>524</v>
      </c>
      <c r="AC182" s="25" t="s">
        <v>560</v>
      </c>
      <c r="AD182" s="25" t="s">
        <v>430</v>
      </c>
      <c r="AE182" s="25" t="s">
        <v>430</v>
      </c>
      <c r="AF182" s="25" t="s">
        <v>437</v>
      </c>
      <c r="AG182" s="164">
        <v>42652</v>
      </c>
      <c r="AH182" s="25" t="s">
        <v>525</v>
      </c>
      <c r="AI182" s="25" t="s">
        <v>439</v>
      </c>
      <c r="AJ182" s="165">
        <v>44963.962500000001</v>
      </c>
      <c r="AK182" s="25" t="s">
        <v>440</v>
      </c>
      <c r="AL182" s="25" t="s">
        <v>441</v>
      </c>
      <c r="AM182" s="164">
        <v>42775</v>
      </c>
      <c r="AN182" s="164">
        <v>42652</v>
      </c>
      <c r="AO182" s="25" t="s">
        <v>141</v>
      </c>
      <c r="AP182" s="25" t="s">
        <v>430</v>
      </c>
      <c r="AQ182" s="25" t="s">
        <v>430</v>
      </c>
      <c r="AR182" s="25" t="s">
        <v>442</v>
      </c>
      <c r="AS182" s="25" t="s">
        <v>430</v>
      </c>
      <c r="AT182" s="25" t="s">
        <v>430</v>
      </c>
      <c r="AU182" s="25" t="s">
        <v>430</v>
      </c>
      <c r="AV182" s="25">
        <v>41</v>
      </c>
      <c r="AW182" s="25" t="s">
        <v>443</v>
      </c>
      <c r="AX182" s="25" t="s">
        <v>577</v>
      </c>
      <c r="AY182" s="25" t="s">
        <v>430</v>
      </c>
      <c r="AZ182" s="25" t="s">
        <v>430</v>
      </c>
      <c r="BA182" s="25" t="s">
        <v>430</v>
      </c>
      <c r="BB182" s="25" t="s">
        <v>430</v>
      </c>
      <c r="BC182" s="25" t="s">
        <v>430</v>
      </c>
      <c r="BD182" s="25">
        <v>19</v>
      </c>
      <c r="BE182" s="25">
        <v>6</v>
      </c>
      <c r="BF182" s="25" t="s">
        <v>430</v>
      </c>
      <c r="BG182" s="25" t="s">
        <v>430</v>
      </c>
      <c r="BH182" s="25" t="s">
        <v>445</v>
      </c>
      <c r="BI182" s="25" t="s">
        <v>446</v>
      </c>
      <c r="BJ182" s="25" t="s">
        <v>479</v>
      </c>
      <c r="BK182" s="25" t="s">
        <v>448</v>
      </c>
      <c r="BL182" s="25" t="s">
        <v>538</v>
      </c>
      <c r="BM182" s="25" t="s">
        <v>430</v>
      </c>
      <c r="BN182" s="25" t="s">
        <v>430</v>
      </c>
      <c r="BO182" s="25" t="s">
        <v>430</v>
      </c>
      <c r="BP182" s="25" t="s">
        <v>434</v>
      </c>
      <c r="BQ182" s="25" t="s">
        <v>449</v>
      </c>
      <c r="BR182" s="25" t="s">
        <v>450</v>
      </c>
      <c r="BS182" s="25" t="s">
        <v>430</v>
      </c>
      <c r="BT182" s="25">
        <v>39</v>
      </c>
      <c r="BU182" s="25" t="s">
        <v>430</v>
      </c>
      <c r="BV182" s="25" t="s">
        <v>430</v>
      </c>
      <c r="BW182" s="25" t="s">
        <v>519</v>
      </c>
      <c r="BX182" s="25" t="s">
        <v>430</v>
      </c>
      <c r="BY182" s="25" t="s">
        <v>430</v>
      </c>
      <c r="BZ182" s="25" t="s">
        <v>493</v>
      </c>
      <c r="CA182" s="25" t="s">
        <v>430</v>
      </c>
      <c r="CB182" s="25" t="s">
        <v>430</v>
      </c>
      <c r="CC182" s="25" t="s">
        <v>520</v>
      </c>
      <c r="CD182" s="25" t="s">
        <v>430</v>
      </c>
      <c r="CE182" s="25" t="s">
        <v>430</v>
      </c>
      <c r="CF182" s="25" t="s">
        <v>441</v>
      </c>
      <c r="CG182" s="25" t="s">
        <v>430</v>
      </c>
      <c r="CH182" s="25" t="s">
        <v>452</v>
      </c>
      <c r="CI182" s="25" t="s">
        <v>516</v>
      </c>
      <c r="CJ182" s="25" t="s">
        <v>454</v>
      </c>
      <c r="CK182" s="25" t="s">
        <v>455</v>
      </c>
      <c r="CL182" s="25" t="s">
        <v>472</v>
      </c>
      <c r="CM182" s="25" t="s">
        <v>430</v>
      </c>
      <c r="CN182" s="25" t="s">
        <v>457</v>
      </c>
      <c r="CO182" s="25" t="s">
        <v>430</v>
      </c>
      <c r="CP182" s="25" t="s">
        <v>430</v>
      </c>
      <c r="CQ182" s="25">
        <v>23</v>
      </c>
      <c r="CR182" s="25" t="s">
        <v>431</v>
      </c>
      <c r="CS182" s="25" t="s">
        <v>430</v>
      </c>
      <c r="CT182" s="25" t="s">
        <v>430</v>
      </c>
      <c r="CU182" s="25" t="s">
        <v>430</v>
      </c>
      <c r="CV182" s="25" t="s">
        <v>430</v>
      </c>
      <c r="CW182" s="25" t="s">
        <v>460</v>
      </c>
      <c r="CX182" s="25" t="s">
        <v>461</v>
      </c>
      <c r="CY182" s="165">
        <v>44963.963194444441</v>
      </c>
      <c r="CZ182" s="25" t="s">
        <v>430</v>
      </c>
      <c r="DA182" s="25" t="s">
        <v>430</v>
      </c>
      <c r="DB182" s="25">
        <v>19</v>
      </c>
      <c r="DC182" s="25" t="s">
        <v>430</v>
      </c>
      <c r="DD182" s="25" t="s">
        <v>434</v>
      </c>
      <c r="DE182" s="25" t="s">
        <v>430</v>
      </c>
      <c r="DF182" s="25" t="s">
        <v>430</v>
      </c>
      <c r="DG182" s="25" t="s">
        <v>462</v>
      </c>
      <c r="DH182" s="25" t="s">
        <v>431</v>
      </c>
      <c r="DI182" s="25" t="s">
        <v>463</v>
      </c>
      <c r="DJ182" s="25" t="s">
        <v>430</v>
      </c>
      <c r="DK182" s="25" t="s">
        <v>430</v>
      </c>
      <c r="DL182" s="25" t="s">
        <v>474</v>
      </c>
      <c r="DM182" s="25" t="s">
        <v>430</v>
      </c>
      <c r="DN182" s="25" t="s">
        <v>430</v>
      </c>
      <c r="DO182" s="25" t="s">
        <v>434</v>
      </c>
      <c r="DP182" s="25" t="s">
        <v>430</v>
      </c>
      <c r="DQ182" s="25" t="s">
        <v>430</v>
      </c>
      <c r="DR182" s="25" t="s">
        <v>465</v>
      </c>
      <c r="DS182" s="25" t="s">
        <v>466</v>
      </c>
      <c r="DT182" s="25" t="s">
        <v>466</v>
      </c>
      <c r="DU182" s="25" t="s">
        <v>431</v>
      </c>
      <c r="DV182" s="25">
        <v>1</v>
      </c>
      <c r="DW182" s="166">
        <v>16138483</v>
      </c>
      <c r="DX182" s="25">
        <v>4</v>
      </c>
      <c r="DY182" s="25">
        <v>43</v>
      </c>
      <c r="DZ182" s="166">
        <v>1028740</v>
      </c>
      <c r="EA182" s="25">
        <v>2</v>
      </c>
      <c r="EB182" s="25">
        <v>1</v>
      </c>
      <c r="EC182" s="25">
        <v>44</v>
      </c>
      <c r="ED182" s="25">
        <v>7</v>
      </c>
      <c r="EE182" s="25">
        <v>2</v>
      </c>
      <c r="EF182" s="25">
        <v>1</v>
      </c>
      <c r="EG182" s="25">
        <v>5</v>
      </c>
      <c r="EH182" s="25">
        <v>7</v>
      </c>
      <c r="EI182" s="25">
        <v>106</v>
      </c>
      <c r="EJ182" s="25">
        <v>0</v>
      </c>
      <c r="EK182" s="25">
        <v>0</v>
      </c>
      <c r="EL182" s="25">
        <v>1</v>
      </c>
      <c r="EM182" s="25">
        <v>1</v>
      </c>
      <c r="EN182" s="25">
        <v>1</v>
      </c>
      <c r="EO182" s="25">
        <v>1</v>
      </c>
      <c r="EP182" s="25">
        <v>1</v>
      </c>
      <c r="EQ182" s="25">
        <v>1</v>
      </c>
      <c r="ER182" s="25">
        <v>65</v>
      </c>
      <c r="ES182" s="25">
        <v>1</v>
      </c>
      <c r="ET182" s="25">
        <v>2</v>
      </c>
      <c r="EU182" s="25">
        <v>0</v>
      </c>
      <c r="EV182" s="25" t="s">
        <v>254</v>
      </c>
    </row>
    <row r="183" spans="12:152" x14ac:dyDescent="0.25">
      <c r="L183" s="25">
        <v>46.032407999999997</v>
      </c>
      <c r="M183" s="25">
        <v>-100.749709</v>
      </c>
      <c r="N183" s="25" t="s">
        <v>475</v>
      </c>
      <c r="O183" s="25">
        <v>2016</v>
      </c>
      <c r="P183" s="25" t="s">
        <v>427</v>
      </c>
      <c r="Q183" s="25" t="s">
        <v>428</v>
      </c>
      <c r="R183" s="25" t="s">
        <v>429</v>
      </c>
      <c r="S183" s="25" t="s">
        <v>430</v>
      </c>
      <c r="T183" s="25" t="s">
        <v>430</v>
      </c>
      <c r="U183" s="25" t="s">
        <v>431</v>
      </c>
      <c r="V183" s="25" t="s">
        <v>432</v>
      </c>
      <c r="W183" s="25" t="s">
        <v>433</v>
      </c>
      <c r="X183" s="25" t="s">
        <v>434</v>
      </c>
      <c r="Y183" s="25" t="s">
        <v>430</v>
      </c>
      <c r="Z183" s="25" t="s">
        <v>430</v>
      </c>
      <c r="AA183" s="25">
        <v>54</v>
      </c>
      <c r="AB183" s="25" t="s">
        <v>435</v>
      </c>
      <c r="AC183" s="25" t="s">
        <v>436</v>
      </c>
      <c r="AD183" s="25" t="s">
        <v>430</v>
      </c>
      <c r="AE183" s="25" t="s">
        <v>430</v>
      </c>
      <c r="AF183" s="25" t="s">
        <v>437</v>
      </c>
      <c r="AG183" s="164">
        <v>42675</v>
      </c>
      <c r="AH183" s="25" t="s">
        <v>568</v>
      </c>
      <c r="AI183" s="25" t="s">
        <v>439</v>
      </c>
      <c r="AJ183" s="165">
        <v>44963.753472222219</v>
      </c>
      <c r="AK183" s="25" t="s">
        <v>440</v>
      </c>
      <c r="AL183" s="25" t="s">
        <v>441</v>
      </c>
      <c r="AM183" s="164">
        <v>42831</v>
      </c>
      <c r="AN183" s="164">
        <v>42675</v>
      </c>
      <c r="AO183" s="25" t="s">
        <v>141</v>
      </c>
      <c r="AP183" s="25" t="s">
        <v>430</v>
      </c>
      <c r="AQ183" s="25" t="s">
        <v>430</v>
      </c>
      <c r="AR183" s="25" t="s">
        <v>442</v>
      </c>
      <c r="AS183" s="25" t="s">
        <v>430</v>
      </c>
      <c r="AT183" s="25" t="s">
        <v>430</v>
      </c>
      <c r="AU183" s="25" t="s">
        <v>430</v>
      </c>
      <c r="AV183" s="25">
        <v>41</v>
      </c>
      <c r="AW183" s="25" t="s">
        <v>443</v>
      </c>
      <c r="AX183" s="25" t="s">
        <v>444</v>
      </c>
      <c r="AY183" s="25" t="s">
        <v>430</v>
      </c>
      <c r="AZ183" s="25" t="s">
        <v>430</v>
      </c>
      <c r="BA183" s="25" t="s">
        <v>430</v>
      </c>
      <c r="BB183" s="25" t="s">
        <v>430</v>
      </c>
      <c r="BC183" s="25" t="s">
        <v>430</v>
      </c>
      <c r="BD183" s="25">
        <v>3.01</v>
      </c>
      <c r="BE183" s="25">
        <v>24</v>
      </c>
      <c r="BF183" s="25" t="s">
        <v>430</v>
      </c>
      <c r="BG183" s="25" t="s">
        <v>430</v>
      </c>
      <c r="BH183" s="25" t="s">
        <v>445</v>
      </c>
      <c r="BI183" s="25" t="s">
        <v>446</v>
      </c>
      <c r="BJ183" s="25" t="s">
        <v>479</v>
      </c>
      <c r="BK183" s="25" t="s">
        <v>448</v>
      </c>
      <c r="BL183" s="25" t="s">
        <v>444</v>
      </c>
      <c r="BM183" s="25" t="s">
        <v>430</v>
      </c>
      <c r="BN183" s="25" t="s">
        <v>430</v>
      </c>
      <c r="BO183" s="25" t="s">
        <v>430</v>
      </c>
      <c r="BP183" s="25" t="s">
        <v>434</v>
      </c>
      <c r="BQ183" s="25" t="s">
        <v>449</v>
      </c>
      <c r="BR183" s="25" t="s">
        <v>450</v>
      </c>
      <c r="BS183" s="25" t="s">
        <v>430</v>
      </c>
      <c r="BT183" s="25">
        <v>18</v>
      </c>
      <c r="BU183" s="25" t="s">
        <v>430</v>
      </c>
      <c r="BV183" s="25" t="s">
        <v>430</v>
      </c>
      <c r="BW183" s="25" t="s">
        <v>480</v>
      </c>
      <c r="BX183" s="25" t="s">
        <v>430</v>
      </c>
      <c r="BY183" s="25" t="s">
        <v>430</v>
      </c>
      <c r="BZ183" s="25" t="s">
        <v>433</v>
      </c>
      <c r="CA183" s="25" t="s">
        <v>430</v>
      </c>
      <c r="CB183" s="25" t="s">
        <v>430</v>
      </c>
      <c r="CC183" s="25" t="s">
        <v>481</v>
      </c>
      <c r="CD183" s="25" t="s">
        <v>430</v>
      </c>
      <c r="CE183" s="25" t="s">
        <v>430</v>
      </c>
      <c r="CF183" s="25" t="s">
        <v>441</v>
      </c>
      <c r="CG183" s="25" t="s">
        <v>430</v>
      </c>
      <c r="CH183" s="25" t="s">
        <v>452</v>
      </c>
      <c r="CI183" s="25" t="s">
        <v>516</v>
      </c>
      <c r="CJ183" s="25" t="s">
        <v>454</v>
      </c>
      <c r="CK183" s="25" t="s">
        <v>455</v>
      </c>
      <c r="CL183" s="25" t="s">
        <v>472</v>
      </c>
      <c r="CM183" s="25" t="s">
        <v>430</v>
      </c>
      <c r="CN183" s="25" t="s">
        <v>457</v>
      </c>
      <c r="CO183" s="25" t="s">
        <v>430</v>
      </c>
      <c r="CP183" s="25" t="s">
        <v>430</v>
      </c>
      <c r="CQ183" s="25">
        <v>18</v>
      </c>
      <c r="CR183" s="25" t="s">
        <v>431</v>
      </c>
      <c r="CS183" s="25" t="s">
        <v>430</v>
      </c>
      <c r="CT183" s="25" t="s">
        <v>430</v>
      </c>
      <c r="CU183" s="25" t="s">
        <v>430</v>
      </c>
      <c r="CV183" s="25" t="s">
        <v>430</v>
      </c>
      <c r="CW183" s="25" t="s">
        <v>460</v>
      </c>
      <c r="CX183" s="25" t="s">
        <v>461</v>
      </c>
      <c r="CY183" s="165">
        <v>44963.754166666666</v>
      </c>
      <c r="CZ183" s="25" t="s">
        <v>430</v>
      </c>
      <c r="DA183" s="25" t="s">
        <v>430</v>
      </c>
      <c r="DB183" s="25">
        <v>3.01</v>
      </c>
      <c r="DC183" s="25" t="s">
        <v>430</v>
      </c>
      <c r="DD183" s="25" t="s">
        <v>434</v>
      </c>
      <c r="DE183" s="25" t="s">
        <v>430</v>
      </c>
      <c r="DF183" s="25" t="s">
        <v>430</v>
      </c>
      <c r="DG183" s="25" t="s">
        <v>462</v>
      </c>
      <c r="DH183" s="25" t="s">
        <v>431</v>
      </c>
      <c r="DI183" s="25" t="s">
        <v>463</v>
      </c>
      <c r="DJ183" s="25" t="s">
        <v>430</v>
      </c>
      <c r="DK183" s="25" t="s">
        <v>430</v>
      </c>
      <c r="DL183" s="25" t="s">
        <v>474</v>
      </c>
      <c r="DM183" s="25" t="s">
        <v>430</v>
      </c>
      <c r="DN183" s="25" t="s">
        <v>430</v>
      </c>
      <c r="DO183" s="25" t="s">
        <v>434</v>
      </c>
      <c r="DP183" s="25" t="s">
        <v>430</v>
      </c>
      <c r="DQ183" s="25" t="s">
        <v>430</v>
      </c>
      <c r="DR183" s="25" t="s">
        <v>465</v>
      </c>
      <c r="DS183" s="25" t="s">
        <v>466</v>
      </c>
      <c r="DT183" s="25" t="s">
        <v>466</v>
      </c>
      <c r="DU183" s="25" t="s">
        <v>446</v>
      </c>
      <c r="DV183" s="25">
        <v>1</v>
      </c>
      <c r="DW183" s="166">
        <v>16149864</v>
      </c>
      <c r="DX183" s="25">
        <v>4</v>
      </c>
      <c r="DY183" s="25">
        <v>43</v>
      </c>
      <c r="DZ183" s="166">
        <v>1031738</v>
      </c>
      <c r="EA183" s="25">
        <v>4</v>
      </c>
      <c r="EB183" s="25">
        <v>1</v>
      </c>
      <c r="EC183" s="25">
        <v>20</v>
      </c>
      <c r="ED183" s="25">
        <v>6</v>
      </c>
      <c r="EE183" s="25">
        <v>2</v>
      </c>
      <c r="EF183" s="25">
        <v>1</v>
      </c>
      <c r="EG183" s="25">
        <v>5</v>
      </c>
      <c r="EH183" s="25">
        <v>7</v>
      </c>
      <c r="EI183" s="25">
        <v>110</v>
      </c>
      <c r="EJ183" s="25">
        <v>0</v>
      </c>
      <c r="EK183" s="25">
        <v>0</v>
      </c>
      <c r="EL183" s="25">
        <v>1</v>
      </c>
      <c r="EM183" s="25">
        <v>1</v>
      </c>
      <c r="EN183" s="25">
        <v>1</v>
      </c>
      <c r="EO183" s="25">
        <v>1</v>
      </c>
      <c r="EP183" s="25">
        <v>1</v>
      </c>
      <c r="EQ183" s="25">
        <v>1</v>
      </c>
      <c r="ER183" s="25">
        <v>65</v>
      </c>
      <c r="ES183" s="25">
        <v>1</v>
      </c>
      <c r="ET183" s="25">
        <v>2</v>
      </c>
      <c r="EU183" s="25">
        <v>0</v>
      </c>
      <c r="EV183" s="25" t="s">
        <v>254</v>
      </c>
    </row>
    <row r="184" spans="12:152" x14ac:dyDescent="0.25">
      <c r="L184" s="25">
        <v>46.067256999999998</v>
      </c>
      <c r="M184" s="25">
        <v>-100.66945699999999</v>
      </c>
      <c r="N184" s="25" t="s">
        <v>24</v>
      </c>
      <c r="O184" s="25">
        <v>2016</v>
      </c>
      <c r="P184" s="25" t="s">
        <v>427</v>
      </c>
      <c r="Q184" s="25" t="s">
        <v>428</v>
      </c>
      <c r="R184" s="25" t="s">
        <v>482</v>
      </c>
      <c r="S184" s="25" t="s">
        <v>429</v>
      </c>
      <c r="T184" s="25" t="s">
        <v>430</v>
      </c>
      <c r="U184" s="25" t="s">
        <v>431</v>
      </c>
      <c r="V184" s="25" t="s">
        <v>432</v>
      </c>
      <c r="W184" s="25" t="s">
        <v>433</v>
      </c>
      <c r="X184" s="25" t="s">
        <v>434</v>
      </c>
      <c r="Y184" s="25" t="s">
        <v>434</v>
      </c>
      <c r="Z184" s="25" t="s">
        <v>430</v>
      </c>
      <c r="AA184" s="25">
        <v>54</v>
      </c>
      <c r="AB184" s="25" t="s">
        <v>435</v>
      </c>
      <c r="AC184" s="25" t="s">
        <v>536</v>
      </c>
      <c r="AD184" s="25" t="s">
        <v>536</v>
      </c>
      <c r="AE184" s="25" t="s">
        <v>430</v>
      </c>
      <c r="AF184" s="25" t="s">
        <v>437</v>
      </c>
      <c r="AG184" s="164">
        <v>42701</v>
      </c>
      <c r="AH184" s="25" t="s">
        <v>525</v>
      </c>
      <c r="AI184" s="25" t="s">
        <v>439</v>
      </c>
      <c r="AJ184" s="165">
        <v>44963.784722222219</v>
      </c>
      <c r="AK184" s="25" t="s">
        <v>440</v>
      </c>
      <c r="AL184" s="25" t="s">
        <v>441</v>
      </c>
      <c r="AM184" s="164">
        <v>42837</v>
      </c>
      <c r="AN184" s="164">
        <v>42701</v>
      </c>
      <c r="AO184" s="25" t="s">
        <v>141</v>
      </c>
      <c r="AP184" s="25" t="s">
        <v>141</v>
      </c>
      <c r="AQ184" s="25" t="s">
        <v>430</v>
      </c>
      <c r="AR184" s="25" t="s">
        <v>442</v>
      </c>
      <c r="AS184" s="25" t="s">
        <v>442</v>
      </c>
      <c r="AT184" s="25" t="s">
        <v>430</v>
      </c>
      <c r="AU184" s="25" t="s">
        <v>430</v>
      </c>
      <c r="AV184" s="25" t="s">
        <v>430</v>
      </c>
      <c r="AW184" s="25" t="s">
        <v>521</v>
      </c>
      <c r="AX184" s="25" t="s">
        <v>469</v>
      </c>
      <c r="AY184" s="25" t="s">
        <v>430</v>
      </c>
      <c r="AZ184" s="25" t="s">
        <v>430</v>
      </c>
      <c r="BA184" s="25" t="s">
        <v>430</v>
      </c>
      <c r="BB184" s="25" t="s">
        <v>430</v>
      </c>
      <c r="BC184" s="25" t="s">
        <v>430</v>
      </c>
      <c r="BD184" s="25">
        <v>7.99</v>
      </c>
      <c r="BE184" s="25">
        <v>24</v>
      </c>
      <c r="BF184" s="25" t="s">
        <v>430</v>
      </c>
      <c r="BG184" s="25" t="s">
        <v>430</v>
      </c>
      <c r="BH184" s="25" t="s">
        <v>445</v>
      </c>
      <c r="BI184" s="25" t="s">
        <v>431</v>
      </c>
      <c r="BJ184" s="25" t="s">
        <v>447</v>
      </c>
      <c r="BK184" s="25" t="s">
        <v>541</v>
      </c>
      <c r="BL184" s="25" t="s">
        <v>469</v>
      </c>
      <c r="BM184" s="25" t="s">
        <v>469</v>
      </c>
      <c r="BN184" s="25" t="s">
        <v>430</v>
      </c>
      <c r="BO184" s="25" t="s">
        <v>430</v>
      </c>
      <c r="BP184" s="25" t="s">
        <v>434</v>
      </c>
      <c r="BQ184" s="25" t="s">
        <v>449</v>
      </c>
      <c r="BR184" s="25" t="s">
        <v>450</v>
      </c>
      <c r="BS184" s="25" t="s">
        <v>430</v>
      </c>
      <c r="BT184" s="25">
        <v>37</v>
      </c>
      <c r="BU184" s="25" t="s">
        <v>430</v>
      </c>
      <c r="BV184" s="25" t="s">
        <v>430</v>
      </c>
      <c r="BW184" s="25" t="s">
        <v>574</v>
      </c>
      <c r="BX184" s="25" t="s">
        <v>430</v>
      </c>
      <c r="BY184" s="25" t="s">
        <v>430</v>
      </c>
      <c r="BZ184" s="25" t="s">
        <v>433</v>
      </c>
      <c r="CA184" s="25" t="s">
        <v>451</v>
      </c>
      <c r="CB184" s="25" t="s">
        <v>430</v>
      </c>
      <c r="CC184" s="25" t="s">
        <v>544</v>
      </c>
      <c r="CD184" s="25" t="s">
        <v>430</v>
      </c>
      <c r="CE184" s="25" t="s">
        <v>430</v>
      </c>
      <c r="CF184" s="25" t="s">
        <v>441</v>
      </c>
      <c r="CG184" s="25" t="s">
        <v>430</v>
      </c>
      <c r="CH184" s="25" t="s">
        <v>452</v>
      </c>
      <c r="CI184" s="25" t="s">
        <v>453</v>
      </c>
      <c r="CJ184" s="25" t="s">
        <v>454</v>
      </c>
      <c r="CK184" s="25" t="s">
        <v>455</v>
      </c>
      <c r="CL184" s="25" t="s">
        <v>472</v>
      </c>
      <c r="CM184" s="25" t="s">
        <v>430</v>
      </c>
      <c r="CN184" s="25" t="s">
        <v>457</v>
      </c>
      <c r="CO184" s="25" t="s">
        <v>457</v>
      </c>
      <c r="CP184" s="25" t="s">
        <v>430</v>
      </c>
      <c r="CQ184" s="25">
        <v>18</v>
      </c>
      <c r="CR184" s="25" t="s">
        <v>431</v>
      </c>
      <c r="CS184" s="25">
        <v>65</v>
      </c>
      <c r="CT184" s="25" t="s">
        <v>430</v>
      </c>
      <c r="CU184" s="25" t="s">
        <v>430</v>
      </c>
      <c r="CV184" s="25" t="s">
        <v>430</v>
      </c>
      <c r="CW184" s="25" t="s">
        <v>460</v>
      </c>
      <c r="CX184" s="25" t="s">
        <v>461</v>
      </c>
      <c r="CY184" s="165">
        <v>44963.787499999999</v>
      </c>
      <c r="CZ184" s="25" t="s">
        <v>430</v>
      </c>
      <c r="DA184" s="25" t="s">
        <v>430</v>
      </c>
      <c r="DB184" s="25">
        <v>7.99</v>
      </c>
      <c r="DC184" s="25" t="s">
        <v>430</v>
      </c>
      <c r="DD184" s="25" t="s">
        <v>434</v>
      </c>
      <c r="DE184" s="25" t="s">
        <v>434</v>
      </c>
      <c r="DF184" s="25" t="s">
        <v>430</v>
      </c>
      <c r="DG184" s="25" t="s">
        <v>462</v>
      </c>
      <c r="DH184" s="25" t="s">
        <v>431</v>
      </c>
      <c r="DI184" s="25" t="s">
        <v>463</v>
      </c>
      <c r="DJ184" s="25" t="s">
        <v>579</v>
      </c>
      <c r="DK184" s="25" t="s">
        <v>430</v>
      </c>
      <c r="DL184" s="25" t="s">
        <v>474</v>
      </c>
      <c r="DM184" s="25" t="s">
        <v>474</v>
      </c>
      <c r="DN184" s="25" t="s">
        <v>430</v>
      </c>
      <c r="DO184" s="25" t="s">
        <v>434</v>
      </c>
      <c r="DP184" s="25" t="s">
        <v>434</v>
      </c>
      <c r="DQ184" s="25" t="s">
        <v>430</v>
      </c>
      <c r="DR184" s="25" t="s">
        <v>465</v>
      </c>
      <c r="DS184" s="25" t="s">
        <v>466</v>
      </c>
      <c r="DT184" s="25" t="s">
        <v>466</v>
      </c>
      <c r="DU184" s="25" t="s">
        <v>431</v>
      </c>
      <c r="DV184" s="25">
        <v>1</v>
      </c>
      <c r="DW184" s="166">
        <v>16159771</v>
      </c>
      <c r="DX184" s="25">
        <v>4</v>
      </c>
      <c r="DY184" s="25">
        <v>43</v>
      </c>
      <c r="DZ184" s="166">
        <v>1032009</v>
      </c>
      <c r="EA184" s="25">
        <v>3</v>
      </c>
      <c r="EB184" s="25">
        <v>1</v>
      </c>
      <c r="EC184" s="25">
        <v>1</v>
      </c>
      <c r="ED184" s="25">
        <v>6</v>
      </c>
      <c r="EE184" s="25">
        <v>1</v>
      </c>
      <c r="EF184" s="25">
        <v>1</v>
      </c>
      <c r="EG184" s="25">
        <v>1</v>
      </c>
      <c r="EH184" s="25">
        <v>2</v>
      </c>
      <c r="EI184" s="25">
        <v>117</v>
      </c>
      <c r="EJ184" s="25">
        <v>0</v>
      </c>
      <c r="EK184" s="25">
        <v>0</v>
      </c>
      <c r="EL184" s="25">
        <v>1</v>
      </c>
      <c r="EM184" s="25">
        <v>0</v>
      </c>
      <c r="EN184" s="25">
        <v>1</v>
      </c>
      <c r="EO184" s="25">
        <v>1</v>
      </c>
      <c r="EP184" s="25">
        <v>1</v>
      </c>
      <c r="EQ184" s="25">
        <v>1</v>
      </c>
      <c r="ER184" s="25">
        <v>65</v>
      </c>
      <c r="ES184" s="25">
        <v>1</v>
      </c>
      <c r="ET184" s="25">
        <v>2</v>
      </c>
      <c r="EU184" s="25">
        <v>0</v>
      </c>
      <c r="EV184" s="25" t="s">
        <v>254</v>
      </c>
    </row>
    <row r="185" spans="12:152" x14ac:dyDescent="0.25">
      <c r="L185" s="25">
        <v>46.081772000000001</v>
      </c>
      <c r="M185" s="25">
        <v>-100.669487</v>
      </c>
      <c r="N185" s="25" t="s">
        <v>475</v>
      </c>
      <c r="O185" s="25">
        <v>2016</v>
      </c>
      <c r="P185" s="25" t="s">
        <v>427</v>
      </c>
      <c r="Q185" s="25" t="s">
        <v>428</v>
      </c>
      <c r="R185" s="25" t="s">
        <v>482</v>
      </c>
      <c r="S185" s="25" t="s">
        <v>430</v>
      </c>
      <c r="T185" s="25" t="s">
        <v>430</v>
      </c>
      <c r="U185" s="25" t="s">
        <v>431</v>
      </c>
      <c r="V185" s="25" t="s">
        <v>432</v>
      </c>
      <c r="W185" s="25" t="s">
        <v>433</v>
      </c>
      <c r="X185" s="25" t="s">
        <v>434</v>
      </c>
      <c r="Y185" s="25" t="s">
        <v>430</v>
      </c>
      <c r="Z185" s="25" t="s">
        <v>430</v>
      </c>
      <c r="AA185" s="25">
        <v>54</v>
      </c>
      <c r="AB185" s="25" t="s">
        <v>435</v>
      </c>
      <c r="AC185" s="25" t="s">
        <v>426</v>
      </c>
      <c r="AD185" s="25" t="s">
        <v>430</v>
      </c>
      <c r="AE185" s="25" t="s">
        <v>430</v>
      </c>
      <c r="AF185" s="25" t="s">
        <v>437</v>
      </c>
      <c r="AG185" s="164">
        <v>42712</v>
      </c>
      <c r="AH185" s="25" t="s">
        <v>484</v>
      </c>
      <c r="AI185" s="25" t="s">
        <v>439</v>
      </c>
      <c r="AJ185" s="165">
        <v>44963.055555555555</v>
      </c>
      <c r="AK185" s="25" t="s">
        <v>440</v>
      </c>
      <c r="AL185" s="25" t="s">
        <v>441</v>
      </c>
      <c r="AM185" s="164">
        <v>42837</v>
      </c>
      <c r="AN185" s="164">
        <v>42712</v>
      </c>
      <c r="AO185" s="25" t="s">
        <v>141</v>
      </c>
      <c r="AP185" s="25" t="s">
        <v>430</v>
      </c>
      <c r="AQ185" s="25" t="s">
        <v>430</v>
      </c>
      <c r="AR185" s="25" t="s">
        <v>442</v>
      </c>
      <c r="AS185" s="25" t="s">
        <v>430</v>
      </c>
      <c r="AT185" s="25" t="s">
        <v>430</v>
      </c>
      <c r="AU185" s="25" t="s">
        <v>430</v>
      </c>
      <c r="AV185" s="25">
        <v>41</v>
      </c>
      <c r="AW185" s="25" t="s">
        <v>443</v>
      </c>
      <c r="AX185" s="25" t="s">
        <v>444</v>
      </c>
      <c r="AY185" s="25" t="s">
        <v>430</v>
      </c>
      <c r="AZ185" s="25" t="s">
        <v>430</v>
      </c>
      <c r="BA185" s="25" t="s">
        <v>430</v>
      </c>
      <c r="BB185" s="25" t="s">
        <v>430</v>
      </c>
      <c r="BC185" s="25" t="s">
        <v>430</v>
      </c>
      <c r="BD185" s="25">
        <v>8.99</v>
      </c>
      <c r="BE185" s="25">
        <v>24</v>
      </c>
      <c r="BF185" s="25" t="s">
        <v>430</v>
      </c>
      <c r="BG185" s="25" t="s">
        <v>430</v>
      </c>
      <c r="BH185" s="25" t="s">
        <v>445</v>
      </c>
      <c r="BI185" s="25" t="s">
        <v>446</v>
      </c>
      <c r="BJ185" s="25" t="s">
        <v>479</v>
      </c>
      <c r="BK185" s="25" t="s">
        <v>448</v>
      </c>
      <c r="BL185" s="25" t="s">
        <v>444</v>
      </c>
      <c r="BM185" s="25" t="s">
        <v>430</v>
      </c>
      <c r="BN185" s="25" t="s">
        <v>430</v>
      </c>
      <c r="BO185" s="25" t="s">
        <v>430</v>
      </c>
      <c r="BP185" s="25" t="s">
        <v>434</v>
      </c>
      <c r="BQ185" s="25" t="s">
        <v>449</v>
      </c>
      <c r="BR185" s="25" t="s">
        <v>450</v>
      </c>
      <c r="BS185" s="25" t="s">
        <v>430</v>
      </c>
      <c r="BT185" s="25">
        <v>53</v>
      </c>
      <c r="BU185" s="25" t="s">
        <v>430</v>
      </c>
      <c r="BV185" s="25" t="s">
        <v>430</v>
      </c>
      <c r="BW185" s="25" t="s">
        <v>580</v>
      </c>
      <c r="BX185" s="25" t="s">
        <v>430</v>
      </c>
      <c r="BY185" s="25" t="s">
        <v>430</v>
      </c>
      <c r="BZ185" s="25" t="s">
        <v>433</v>
      </c>
      <c r="CA185" s="25" t="s">
        <v>430</v>
      </c>
      <c r="CB185" s="25" t="s">
        <v>430</v>
      </c>
      <c r="CC185" s="25" t="s">
        <v>581</v>
      </c>
      <c r="CD185" s="25" t="s">
        <v>430</v>
      </c>
      <c r="CE185" s="25" t="s">
        <v>430</v>
      </c>
      <c r="CF185" s="25" t="s">
        <v>441</v>
      </c>
      <c r="CG185" s="25" t="s">
        <v>430</v>
      </c>
      <c r="CH185" s="25" t="s">
        <v>452</v>
      </c>
      <c r="CI185" s="25" t="s">
        <v>516</v>
      </c>
      <c r="CJ185" s="25" t="s">
        <v>454</v>
      </c>
      <c r="CK185" s="25" t="s">
        <v>455</v>
      </c>
      <c r="CL185" s="25" t="s">
        <v>472</v>
      </c>
      <c r="CM185" s="25" t="s">
        <v>430</v>
      </c>
      <c r="CN185" s="25" t="s">
        <v>457</v>
      </c>
      <c r="CO185" s="25" t="s">
        <v>430</v>
      </c>
      <c r="CP185" s="25" t="s">
        <v>430</v>
      </c>
      <c r="CQ185" s="25">
        <v>1</v>
      </c>
      <c r="CR185" s="25" t="s">
        <v>431</v>
      </c>
      <c r="CS185" s="25" t="s">
        <v>430</v>
      </c>
      <c r="CT185" s="25" t="s">
        <v>430</v>
      </c>
      <c r="CU185" s="25" t="s">
        <v>430</v>
      </c>
      <c r="CV185" s="25" t="s">
        <v>430</v>
      </c>
      <c r="CW185" s="25" t="s">
        <v>460</v>
      </c>
      <c r="CX185" s="25" t="s">
        <v>461</v>
      </c>
      <c r="CY185" s="165">
        <v>44963.057638888888</v>
      </c>
      <c r="CZ185" s="25" t="s">
        <v>430</v>
      </c>
      <c r="DA185" s="25" t="s">
        <v>430</v>
      </c>
      <c r="DB185" s="25">
        <v>8.99</v>
      </c>
      <c r="DC185" s="25" t="s">
        <v>430</v>
      </c>
      <c r="DD185" s="25" t="s">
        <v>434</v>
      </c>
      <c r="DE185" s="25" t="s">
        <v>430</v>
      </c>
      <c r="DF185" s="25" t="s">
        <v>430</v>
      </c>
      <c r="DG185" s="25" t="s">
        <v>462</v>
      </c>
      <c r="DH185" s="25" t="s">
        <v>431</v>
      </c>
      <c r="DI185" s="25" t="s">
        <v>473</v>
      </c>
      <c r="DJ185" s="25" t="s">
        <v>430</v>
      </c>
      <c r="DK185" s="25" t="s">
        <v>430</v>
      </c>
      <c r="DL185" s="25" t="s">
        <v>474</v>
      </c>
      <c r="DM185" s="25" t="s">
        <v>430</v>
      </c>
      <c r="DN185" s="25" t="s">
        <v>430</v>
      </c>
      <c r="DO185" s="25" t="s">
        <v>434</v>
      </c>
      <c r="DP185" s="25" t="s">
        <v>430</v>
      </c>
      <c r="DQ185" s="25" t="s">
        <v>430</v>
      </c>
      <c r="DR185" s="25" t="s">
        <v>465</v>
      </c>
      <c r="DS185" s="25" t="s">
        <v>466</v>
      </c>
      <c r="DT185" s="25" t="s">
        <v>466</v>
      </c>
      <c r="DU185" s="25" t="s">
        <v>431</v>
      </c>
      <c r="DV185" s="25">
        <v>1</v>
      </c>
      <c r="DW185" s="166">
        <v>16162338</v>
      </c>
      <c r="DX185" s="25">
        <v>4</v>
      </c>
      <c r="DY185" s="25">
        <v>43</v>
      </c>
      <c r="DZ185" s="166">
        <v>1032013</v>
      </c>
      <c r="EA185" s="25">
        <v>4</v>
      </c>
      <c r="EB185" s="25">
        <v>1</v>
      </c>
      <c r="EC185" s="25">
        <v>20</v>
      </c>
      <c r="ED185" s="25">
        <v>6</v>
      </c>
      <c r="EE185" s="25">
        <v>2</v>
      </c>
      <c r="EF185" s="25">
        <v>1</v>
      </c>
      <c r="EG185" s="25">
        <v>5</v>
      </c>
      <c r="EH185" s="25">
        <v>7</v>
      </c>
      <c r="EI185" s="25">
        <v>119</v>
      </c>
      <c r="EJ185" s="25">
        <v>0</v>
      </c>
      <c r="EK185" s="25">
        <v>0</v>
      </c>
      <c r="EL185" s="25">
        <v>1</v>
      </c>
      <c r="EM185" s="25">
        <v>1</v>
      </c>
      <c r="EN185" s="25">
        <v>1</v>
      </c>
      <c r="EO185" s="25">
        <v>1</v>
      </c>
      <c r="EP185" s="25">
        <v>1</v>
      </c>
      <c r="EQ185" s="25">
        <v>1</v>
      </c>
      <c r="ER185" s="25">
        <v>65</v>
      </c>
      <c r="ES185" s="25">
        <v>1</v>
      </c>
      <c r="ET185" s="25">
        <v>2</v>
      </c>
      <c r="EU185" s="25">
        <v>0</v>
      </c>
      <c r="EV185" s="25" t="s">
        <v>254</v>
      </c>
    </row>
    <row r="197" spans="3:137" s="167" customFormat="1" ht="15.75" thickBot="1" x14ac:dyDescent="0.3"/>
    <row r="198" spans="3:137" ht="15.75" thickTop="1" x14ac:dyDescent="0.25"/>
    <row r="199" spans="3:137" x14ac:dyDescent="0.25">
      <c r="AN199" s="161"/>
      <c r="AQ199" s="162"/>
      <c r="AT199" s="161"/>
      <c r="AU199" s="161"/>
      <c r="DF199" s="162"/>
      <c r="ED199" s="163"/>
      <c r="EG199" s="163"/>
    </row>
    <row r="201" spans="3:137" ht="21" x14ac:dyDescent="0.35">
      <c r="C201" s="285" t="s">
        <v>284</v>
      </c>
    </row>
    <row r="202" spans="3:137" x14ac:dyDescent="0.25">
      <c r="L202" s="1" t="s">
        <v>285</v>
      </c>
    </row>
    <row r="203" spans="3:137" x14ac:dyDescent="0.25">
      <c r="L203" s="25" t="s">
        <v>247</v>
      </c>
      <c r="M203" s="26" t="s">
        <v>248</v>
      </c>
      <c r="N203" s="26" t="s">
        <v>249</v>
      </c>
      <c r="O203" s="26" t="s">
        <v>191</v>
      </c>
      <c r="P203" s="26" t="s">
        <v>53</v>
      </c>
    </row>
    <row r="204" spans="3:137" x14ac:dyDescent="0.25">
      <c r="L204" s="25" t="s">
        <v>250</v>
      </c>
      <c r="M204" s="26">
        <v>1</v>
      </c>
      <c r="N204" s="146">
        <v>48449</v>
      </c>
      <c r="O204" s="147">
        <f>N204/5280</f>
        <v>9.1759469696969695</v>
      </c>
      <c r="P204" s="146">
        <v>170</v>
      </c>
    </row>
    <row r="205" spans="3:137" x14ac:dyDescent="0.25">
      <c r="L205" s="25" t="s">
        <v>250</v>
      </c>
      <c r="M205" s="26">
        <v>2</v>
      </c>
      <c r="N205" s="146">
        <v>20939</v>
      </c>
      <c r="O205" s="147">
        <f>N205/5280</f>
        <v>3.9657196969696971</v>
      </c>
      <c r="P205" s="146">
        <v>205</v>
      </c>
    </row>
    <row r="206" spans="3:137" x14ac:dyDescent="0.25">
      <c r="O206" s="2" t="s">
        <v>251</v>
      </c>
      <c r="P206" s="148">
        <f>SUMPRODUCT($O$204:$O$205,$P$204:$P$205)</f>
        <v>2372.8835227272725</v>
      </c>
    </row>
    <row r="207" spans="3:137" x14ac:dyDescent="0.25">
      <c r="O207" s="2" t="s">
        <v>252</v>
      </c>
      <c r="P207" s="148">
        <f>P206*365</f>
        <v>866102.48579545447</v>
      </c>
    </row>
    <row r="209" spans="12:152" x14ac:dyDescent="0.25">
      <c r="L209" s="1" t="s">
        <v>286</v>
      </c>
    </row>
    <row r="210" spans="12:152" x14ac:dyDescent="0.25">
      <c r="L210" s="25" t="s">
        <v>287</v>
      </c>
      <c r="M210" s="25" t="s">
        <v>288</v>
      </c>
      <c r="N210" s="25" t="s">
        <v>289</v>
      </c>
      <c r="O210" s="25" t="s">
        <v>290</v>
      </c>
      <c r="P210" s="25" t="s">
        <v>291</v>
      </c>
      <c r="Q210" s="25" t="s">
        <v>292</v>
      </c>
      <c r="R210" s="25" t="s">
        <v>293</v>
      </c>
      <c r="S210" s="25" t="s">
        <v>294</v>
      </c>
      <c r="T210" s="25" t="s">
        <v>295</v>
      </c>
      <c r="U210" s="25" t="s">
        <v>296</v>
      </c>
      <c r="V210" s="25" t="s">
        <v>297</v>
      </c>
      <c r="W210" s="25" t="s">
        <v>298</v>
      </c>
      <c r="X210" s="25" t="s">
        <v>299</v>
      </c>
      <c r="Y210" s="25" t="s">
        <v>300</v>
      </c>
      <c r="Z210" s="25" t="s">
        <v>301</v>
      </c>
      <c r="AA210" s="25" t="s">
        <v>302</v>
      </c>
      <c r="AB210" s="25" t="s">
        <v>303</v>
      </c>
      <c r="AC210" s="25" t="s">
        <v>304</v>
      </c>
      <c r="AD210" s="25" t="s">
        <v>305</v>
      </c>
      <c r="AE210" s="25" t="s">
        <v>306</v>
      </c>
      <c r="AF210" s="25" t="s">
        <v>307</v>
      </c>
      <c r="AG210" s="25" t="s">
        <v>308</v>
      </c>
      <c r="AH210" s="25" t="s">
        <v>309</v>
      </c>
      <c r="AI210" s="25" t="s">
        <v>310</v>
      </c>
      <c r="AJ210" s="25" t="s">
        <v>311</v>
      </c>
      <c r="AK210" s="25" t="s">
        <v>312</v>
      </c>
      <c r="AL210" s="25" t="s">
        <v>313</v>
      </c>
      <c r="AM210" s="25" t="s">
        <v>314</v>
      </c>
      <c r="AN210" s="25" t="s">
        <v>315</v>
      </c>
      <c r="AO210" s="25" t="s">
        <v>316</v>
      </c>
      <c r="AP210" s="25" t="s">
        <v>317</v>
      </c>
      <c r="AQ210" s="25" t="s">
        <v>318</v>
      </c>
      <c r="AR210" s="25" t="s">
        <v>319</v>
      </c>
      <c r="AS210" s="25" t="s">
        <v>320</v>
      </c>
      <c r="AT210" s="25" t="s">
        <v>321</v>
      </c>
      <c r="AU210" s="25" t="s">
        <v>322</v>
      </c>
      <c r="AV210" s="25" t="s">
        <v>323</v>
      </c>
      <c r="AW210" s="25" t="s">
        <v>324</v>
      </c>
      <c r="AX210" s="25" t="s">
        <v>325</v>
      </c>
      <c r="AY210" s="25" t="s">
        <v>326</v>
      </c>
      <c r="AZ210" s="25" t="s">
        <v>327</v>
      </c>
      <c r="BA210" s="25" t="s">
        <v>328</v>
      </c>
      <c r="BB210" s="25" t="s">
        <v>329</v>
      </c>
      <c r="BC210" s="25" t="s">
        <v>330</v>
      </c>
      <c r="BD210" s="25" t="s">
        <v>331</v>
      </c>
      <c r="BE210" s="25" t="s">
        <v>332</v>
      </c>
      <c r="BF210" s="25" t="s">
        <v>333</v>
      </c>
      <c r="BG210" s="25" t="s">
        <v>334</v>
      </c>
      <c r="BH210" s="25" t="s">
        <v>335</v>
      </c>
      <c r="BI210" s="25" t="s">
        <v>336</v>
      </c>
      <c r="BJ210" s="25" t="s">
        <v>337</v>
      </c>
      <c r="BK210" s="25" t="s">
        <v>338</v>
      </c>
      <c r="BL210" s="25" t="s">
        <v>339</v>
      </c>
      <c r="BM210" s="25" t="s">
        <v>340</v>
      </c>
      <c r="BN210" s="25" t="s">
        <v>341</v>
      </c>
      <c r="BO210" s="25" t="s">
        <v>342</v>
      </c>
      <c r="BP210" s="25" t="s">
        <v>343</v>
      </c>
      <c r="BQ210" s="25" t="s">
        <v>344</v>
      </c>
      <c r="BR210" s="25" t="s">
        <v>345</v>
      </c>
      <c r="BS210" s="25" t="s">
        <v>346</v>
      </c>
      <c r="BT210" s="25" t="s">
        <v>347</v>
      </c>
      <c r="BU210" s="25" t="s">
        <v>348</v>
      </c>
      <c r="BV210" s="25" t="s">
        <v>349</v>
      </c>
      <c r="BW210" s="25" t="s">
        <v>350</v>
      </c>
      <c r="BX210" s="25" t="s">
        <v>351</v>
      </c>
      <c r="BY210" s="25" t="s">
        <v>352</v>
      </c>
      <c r="BZ210" s="25" t="s">
        <v>353</v>
      </c>
      <c r="CA210" s="25" t="s">
        <v>354</v>
      </c>
      <c r="CB210" s="25" t="s">
        <v>355</v>
      </c>
      <c r="CC210" s="25" t="s">
        <v>356</v>
      </c>
      <c r="CD210" s="25" t="s">
        <v>357</v>
      </c>
      <c r="CE210" s="25" t="s">
        <v>358</v>
      </c>
      <c r="CF210" s="25" t="s">
        <v>359</v>
      </c>
      <c r="CG210" s="25" t="s">
        <v>360</v>
      </c>
      <c r="CH210" s="25" t="s">
        <v>361</v>
      </c>
      <c r="CI210" s="25" t="s">
        <v>362</v>
      </c>
      <c r="CJ210" s="25" t="s">
        <v>363</v>
      </c>
      <c r="CK210" s="25" t="s">
        <v>364</v>
      </c>
      <c r="CL210" s="25" t="s">
        <v>365</v>
      </c>
      <c r="CM210" s="25" t="s">
        <v>366</v>
      </c>
      <c r="CN210" s="25" t="s">
        <v>367</v>
      </c>
      <c r="CO210" s="25" t="s">
        <v>368</v>
      </c>
      <c r="CP210" s="25" t="s">
        <v>369</v>
      </c>
      <c r="CQ210" s="25" t="s">
        <v>370</v>
      </c>
      <c r="CR210" s="25" t="s">
        <v>371</v>
      </c>
      <c r="CS210" s="25" t="s">
        <v>372</v>
      </c>
      <c r="CT210" s="25" t="s">
        <v>373</v>
      </c>
      <c r="CU210" s="25" t="s">
        <v>374</v>
      </c>
      <c r="CV210" s="25" t="s">
        <v>375</v>
      </c>
      <c r="CW210" s="25" t="s">
        <v>376</v>
      </c>
      <c r="CX210" s="25" t="s">
        <v>377</v>
      </c>
      <c r="CY210" s="25" t="s">
        <v>378</v>
      </c>
      <c r="CZ210" s="25" t="s">
        <v>379</v>
      </c>
      <c r="DA210" s="25" t="s">
        <v>380</v>
      </c>
      <c r="DB210" s="25" t="s">
        <v>381</v>
      </c>
      <c r="DC210" s="25" t="s">
        <v>382</v>
      </c>
      <c r="DD210" s="25" t="s">
        <v>383</v>
      </c>
      <c r="DE210" s="25" t="s">
        <v>384</v>
      </c>
      <c r="DF210" s="25" t="s">
        <v>385</v>
      </c>
      <c r="DG210" s="25" t="s">
        <v>386</v>
      </c>
      <c r="DH210" s="25" t="s">
        <v>387</v>
      </c>
      <c r="DI210" s="25" t="s">
        <v>388</v>
      </c>
      <c r="DJ210" s="25" t="s">
        <v>389</v>
      </c>
      <c r="DK210" s="25" t="s">
        <v>390</v>
      </c>
      <c r="DL210" s="25" t="s">
        <v>391</v>
      </c>
      <c r="DM210" s="25" t="s">
        <v>392</v>
      </c>
      <c r="DN210" s="25" t="s">
        <v>393</v>
      </c>
      <c r="DO210" s="25" t="s">
        <v>394</v>
      </c>
      <c r="DP210" s="25" t="s">
        <v>395</v>
      </c>
      <c r="DQ210" s="25" t="s">
        <v>396</v>
      </c>
      <c r="DR210" s="25" t="s">
        <v>397</v>
      </c>
      <c r="DS210" s="25" t="s">
        <v>398</v>
      </c>
      <c r="DT210" s="25" t="s">
        <v>399</v>
      </c>
      <c r="DU210" s="25" t="s">
        <v>400</v>
      </c>
      <c r="DV210" s="25" t="s">
        <v>401</v>
      </c>
      <c r="DW210" s="25" t="s">
        <v>402</v>
      </c>
      <c r="DX210" s="25" t="s">
        <v>403</v>
      </c>
      <c r="DY210" s="25" t="s">
        <v>404</v>
      </c>
      <c r="DZ210" s="25" t="s">
        <v>405</v>
      </c>
      <c r="EA210" s="25" t="s">
        <v>406</v>
      </c>
      <c r="EB210" s="25" t="s">
        <v>407</v>
      </c>
      <c r="EC210" s="25" t="s">
        <v>408</v>
      </c>
      <c r="ED210" s="25" t="s">
        <v>409</v>
      </c>
      <c r="EE210" s="25" t="s">
        <v>410</v>
      </c>
      <c r="EF210" s="25" t="s">
        <v>411</v>
      </c>
      <c r="EG210" s="25" t="s">
        <v>412</v>
      </c>
      <c r="EH210" s="25" t="s">
        <v>413</v>
      </c>
      <c r="EI210" s="25" t="s">
        <v>414</v>
      </c>
      <c r="EJ210" s="25" t="s">
        <v>415</v>
      </c>
      <c r="EK210" s="25" t="s">
        <v>416</v>
      </c>
      <c r="EL210" s="25" t="s">
        <v>417</v>
      </c>
      <c r="EM210" s="25" t="s">
        <v>418</v>
      </c>
      <c r="EN210" s="25" t="s">
        <v>419</v>
      </c>
      <c r="EO210" s="25" t="s">
        <v>420</v>
      </c>
      <c r="EP210" s="25" t="s">
        <v>421</v>
      </c>
      <c r="EQ210" s="25" t="s">
        <v>422</v>
      </c>
      <c r="ER210" s="25" t="s">
        <v>423</v>
      </c>
      <c r="ES210" s="25" t="s">
        <v>424</v>
      </c>
      <c r="ET210" s="25" t="s">
        <v>425</v>
      </c>
      <c r="EU210" s="25" t="s">
        <v>426</v>
      </c>
      <c r="EV210" s="25" t="s">
        <v>366</v>
      </c>
    </row>
    <row r="211" spans="12:152" x14ac:dyDescent="0.25">
      <c r="L211" s="25">
        <v>46.187821999999997</v>
      </c>
      <c r="M211" s="25">
        <v>-100.73429</v>
      </c>
      <c r="N211" s="25" t="s">
        <v>24</v>
      </c>
      <c r="O211" s="25">
        <v>2015</v>
      </c>
      <c r="P211" s="25" t="s">
        <v>427</v>
      </c>
      <c r="Q211" s="25" t="s">
        <v>428</v>
      </c>
      <c r="R211" s="25" t="s">
        <v>429</v>
      </c>
      <c r="S211" s="25" t="s">
        <v>430</v>
      </c>
      <c r="T211" s="25" t="s">
        <v>430</v>
      </c>
      <c r="U211" s="25" t="s">
        <v>431</v>
      </c>
      <c r="V211" s="25" t="s">
        <v>432</v>
      </c>
      <c r="W211" s="25" t="s">
        <v>433</v>
      </c>
      <c r="X211" s="25" t="s">
        <v>434</v>
      </c>
      <c r="Y211" s="25" t="s">
        <v>430</v>
      </c>
      <c r="Z211" s="25" t="s">
        <v>430</v>
      </c>
      <c r="AA211" s="25">
        <v>54</v>
      </c>
      <c r="AB211" s="25" t="s">
        <v>435</v>
      </c>
      <c r="AC211" s="25" t="s">
        <v>436</v>
      </c>
      <c r="AD211" s="25" t="s">
        <v>430</v>
      </c>
      <c r="AE211" s="25" t="s">
        <v>430</v>
      </c>
      <c r="AF211" s="25" t="s">
        <v>437</v>
      </c>
      <c r="AG211" s="164">
        <v>42184</v>
      </c>
      <c r="AH211" s="25" t="s">
        <v>438</v>
      </c>
      <c r="AI211" s="25" t="s">
        <v>439</v>
      </c>
      <c r="AJ211" s="165">
        <v>44963.573611111111</v>
      </c>
      <c r="AK211" s="25" t="s">
        <v>440</v>
      </c>
      <c r="AL211" s="25" t="s">
        <v>441</v>
      </c>
      <c r="AM211" s="164">
        <v>42570</v>
      </c>
      <c r="AN211" s="164">
        <v>42184</v>
      </c>
      <c r="AO211" s="25" t="s">
        <v>141</v>
      </c>
      <c r="AP211" s="25" t="s">
        <v>430</v>
      </c>
      <c r="AQ211" s="25" t="s">
        <v>430</v>
      </c>
      <c r="AR211" s="25" t="s">
        <v>442</v>
      </c>
      <c r="AS211" s="25" t="s">
        <v>430</v>
      </c>
      <c r="AT211" s="25" t="s">
        <v>430</v>
      </c>
      <c r="AU211" s="25" t="s">
        <v>430</v>
      </c>
      <c r="AV211" s="25" t="s">
        <v>430</v>
      </c>
      <c r="AW211" s="25" t="s">
        <v>443</v>
      </c>
      <c r="AX211" s="25" t="s">
        <v>444</v>
      </c>
      <c r="AY211" s="25">
        <v>0</v>
      </c>
      <c r="AZ211" s="25" t="s">
        <v>430</v>
      </c>
      <c r="BA211" s="25">
        <v>0</v>
      </c>
      <c r="BB211" s="25" t="s">
        <v>430</v>
      </c>
      <c r="BC211" s="25" t="s">
        <v>430</v>
      </c>
      <c r="BD211" s="25" t="s">
        <v>430</v>
      </c>
      <c r="BE211" s="25" t="s">
        <v>430</v>
      </c>
      <c r="BF211" s="25" t="s">
        <v>430</v>
      </c>
      <c r="BG211" s="25" t="s">
        <v>430</v>
      </c>
      <c r="BH211" s="25" t="s">
        <v>445</v>
      </c>
      <c r="BI211" s="25" t="s">
        <v>446</v>
      </c>
      <c r="BJ211" s="25" t="s">
        <v>447</v>
      </c>
      <c r="BK211" s="25" t="s">
        <v>448</v>
      </c>
      <c r="BL211" s="25" t="s">
        <v>444</v>
      </c>
      <c r="BM211" s="25" t="s">
        <v>430</v>
      </c>
      <c r="BN211" s="25" t="s">
        <v>430</v>
      </c>
      <c r="BO211" s="25" t="s">
        <v>430</v>
      </c>
      <c r="BP211" s="25" t="s">
        <v>434</v>
      </c>
      <c r="BQ211" s="25" t="s">
        <v>449</v>
      </c>
      <c r="BR211" s="25" t="s">
        <v>450</v>
      </c>
      <c r="BS211" s="25" t="s">
        <v>430</v>
      </c>
      <c r="BT211" s="25" t="s">
        <v>430</v>
      </c>
      <c r="BU211" s="25" t="s">
        <v>430</v>
      </c>
      <c r="BV211" s="25" t="s">
        <v>430</v>
      </c>
      <c r="BW211" s="25" t="s">
        <v>430</v>
      </c>
      <c r="BX211" s="25" t="s">
        <v>430</v>
      </c>
      <c r="BY211" s="25" t="s">
        <v>430</v>
      </c>
      <c r="BZ211" s="25" t="s">
        <v>451</v>
      </c>
      <c r="CA211" s="25" t="s">
        <v>430</v>
      </c>
      <c r="CB211" s="25" t="s">
        <v>430</v>
      </c>
      <c r="CC211" s="25" t="s">
        <v>430</v>
      </c>
      <c r="CD211" s="25" t="s">
        <v>430</v>
      </c>
      <c r="CE211" s="25" t="s">
        <v>430</v>
      </c>
      <c r="CF211" s="25" t="s">
        <v>441</v>
      </c>
      <c r="CG211" s="25" t="s">
        <v>430</v>
      </c>
      <c r="CH211" s="25" t="s">
        <v>452</v>
      </c>
      <c r="CI211" s="25" t="s">
        <v>453</v>
      </c>
      <c r="CJ211" s="25" t="s">
        <v>454</v>
      </c>
      <c r="CK211" s="25" t="s">
        <v>455</v>
      </c>
      <c r="CL211" s="25" t="s">
        <v>456</v>
      </c>
      <c r="CM211" s="25" t="s">
        <v>430</v>
      </c>
      <c r="CN211" s="25" t="s">
        <v>457</v>
      </c>
      <c r="CO211" s="25" t="s">
        <v>430</v>
      </c>
      <c r="CP211" s="25" t="s">
        <v>430</v>
      </c>
      <c r="CQ211" s="25">
        <v>13</v>
      </c>
      <c r="CR211" s="25" t="s">
        <v>431</v>
      </c>
      <c r="CS211" s="25" t="s">
        <v>430</v>
      </c>
      <c r="CT211" s="25" t="s">
        <v>430</v>
      </c>
      <c r="CU211" s="25" t="s">
        <v>458</v>
      </c>
      <c r="CV211" s="25" t="s">
        <v>459</v>
      </c>
      <c r="CW211" s="25" t="s">
        <v>460</v>
      </c>
      <c r="CX211" s="25" t="s">
        <v>461</v>
      </c>
      <c r="CY211" s="165">
        <v>44963.574305555558</v>
      </c>
      <c r="CZ211" s="25" t="s">
        <v>430</v>
      </c>
      <c r="DA211" s="25" t="s">
        <v>430</v>
      </c>
      <c r="DB211" s="25" t="s">
        <v>430</v>
      </c>
      <c r="DC211" s="25" t="s">
        <v>430</v>
      </c>
      <c r="DD211" s="25" t="s">
        <v>434</v>
      </c>
      <c r="DE211" s="25" t="s">
        <v>430</v>
      </c>
      <c r="DF211" s="25" t="s">
        <v>430</v>
      </c>
      <c r="DG211" s="25" t="s">
        <v>462</v>
      </c>
      <c r="DH211" s="25" t="s">
        <v>431</v>
      </c>
      <c r="DI211" s="25" t="s">
        <v>463</v>
      </c>
      <c r="DJ211" s="25" t="s">
        <v>430</v>
      </c>
      <c r="DK211" s="25" t="s">
        <v>430</v>
      </c>
      <c r="DL211" s="25" t="s">
        <v>464</v>
      </c>
      <c r="DM211" s="25" t="s">
        <v>430</v>
      </c>
      <c r="DN211" s="25" t="s">
        <v>430</v>
      </c>
      <c r="DO211" s="25" t="s">
        <v>434</v>
      </c>
      <c r="DP211" s="25" t="s">
        <v>430</v>
      </c>
      <c r="DQ211" s="25" t="s">
        <v>430</v>
      </c>
      <c r="DR211" s="25" t="s">
        <v>465</v>
      </c>
      <c r="DS211" s="25" t="s">
        <v>466</v>
      </c>
      <c r="DT211" s="25" t="s">
        <v>466</v>
      </c>
      <c r="DU211" s="25" t="s">
        <v>431</v>
      </c>
      <c r="DV211" s="25">
        <v>1</v>
      </c>
      <c r="DW211" s="166">
        <v>15070088</v>
      </c>
      <c r="DX211" s="25">
        <v>4</v>
      </c>
      <c r="DY211" s="25">
        <v>43</v>
      </c>
      <c r="DZ211" s="166">
        <v>1014320</v>
      </c>
      <c r="EA211" s="25">
        <v>3</v>
      </c>
      <c r="EB211" s="25">
        <v>1</v>
      </c>
      <c r="EC211" s="25">
        <v>20</v>
      </c>
      <c r="ED211" s="25">
        <v>9</v>
      </c>
      <c r="EE211" s="25">
        <v>2</v>
      </c>
      <c r="EF211" s="25">
        <v>1</v>
      </c>
      <c r="EG211" s="25">
        <v>1</v>
      </c>
      <c r="EH211" s="25">
        <v>7</v>
      </c>
      <c r="EI211" s="25">
        <v>36</v>
      </c>
      <c r="EJ211" s="25">
        <v>0</v>
      </c>
      <c r="EK211" s="25">
        <v>0</v>
      </c>
      <c r="EL211" s="25">
        <v>1</v>
      </c>
      <c r="EM211" s="25">
        <v>0</v>
      </c>
      <c r="EN211" s="25">
        <v>1</v>
      </c>
      <c r="EO211" s="25">
        <v>1</v>
      </c>
      <c r="EP211" s="25">
        <v>3</v>
      </c>
      <c r="EQ211" s="25">
        <v>1</v>
      </c>
      <c r="ER211" s="25">
        <v>65</v>
      </c>
      <c r="ES211" s="25">
        <v>1</v>
      </c>
      <c r="ET211" s="25">
        <v>2</v>
      </c>
      <c r="EU211" s="25">
        <v>0</v>
      </c>
      <c r="EV211" s="25" t="s">
        <v>467</v>
      </c>
    </row>
    <row r="245" customFormat="1" x14ac:dyDescent="0.25"/>
    <row r="246" customFormat="1" x14ac:dyDescent="0.25"/>
    <row r="247" customFormat="1"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16</vt:i4>
      </vt:variant>
      <vt:variant>
        <vt:lpstr>Named Ranges</vt:lpstr>
      </vt:variant>
      <vt:variant>
        <vt:i4>36</vt:i4>
      </vt:variant>
    </vt:vector>
  </HeadingPairs>
  <TitlesOfParts>
    <vt:vector size="52" baseType="lpstr">
      <vt:lpstr>Assumptions</vt:lpstr>
      <vt:lpstr>BCA Summary </vt:lpstr>
      <vt:lpstr>Operations Calculations</vt:lpstr>
      <vt:lpstr>VOC Savings</vt:lpstr>
      <vt:lpstr>Travel Time Savings</vt:lpstr>
      <vt:lpstr>Safety Improvements</vt:lpstr>
      <vt:lpstr>Safety Impacts of Alt Routes</vt:lpstr>
      <vt:lpstr>Air Quality</vt:lpstr>
      <vt:lpstr>Gravel Road VOC Impacts</vt:lpstr>
      <vt:lpstr>Construction Travel Time Impact</vt:lpstr>
      <vt:lpstr>Capital Cost + RCV</vt:lpstr>
      <vt:lpstr>O&amp;M + Rehab</vt:lpstr>
      <vt:lpstr>Traffic Patterns</vt:lpstr>
      <vt:lpstr>Existing BIA 6 AADT Data</vt:lpstr>
      <vt:lpstr>Gravel Road VOC Citation</vt:lpstr>
      <vt:lpstr>VMT &amp; Crash Data by Route</vt:lpstr>
      <vt:lpstr>AnalysisPeriod</vt:lpstr>
      <vt:lpstr>AutoCost</vt:lpstr>
      <vt:lpstr>CompositeCost</vt:lpstr>
      <vt:lpstr>Daysinyr</vt:lpstr>
      <vt:lpstr>DiscountRate</vt:lpstr>
      <vt:lpstr>EndYear</vt:lpstr>
      <vt:lpstr>PeakLngthE</vt:lpstr>
      <vt:lpstr>PercentAutoW</vt:lpstr>
      <vt:lpstr>PercentAutoWO</vt:lpstr>
      <vt:lpstr>PercentTrucksW</vt:lpstr>
      <vt:lpstr>PercentTrucksWO</vt:lpstr>
      <vt:lpstr>PercTruckW</vt:lpstr>
      <vt:lpstr>PerTruckE</vt:lpstr>
      <vt:lpstr>PerTruckN</vt:lpstr>
      <vt:lpstr>'Air Quality'!Print_Area</vt:lpstr>
      <vt:lpstr>Assumptions!Print_Area</vt:lpstr>
      <vt:lpstr>'BCA Summary '!Print_Area</vt:lpstr>
      <vt:lpstr>'Capital Cost + RCV'!Print_Area</vt:lpstr>
      <vt:lpstr>'Construction Travel Time Impact'!Print_Area</vt:lpstr>
      <vt:lpstr>'Existing BIA 6 AADT Data'!Print_Area</vt:lpstr>
      <vt:lpstr>'Gravel Road VOC Impacts'!Print_Area</vt:lpstr>
      <vt:lpstr>'O&amp;M + Rehab'!Print_Area</vt:lpstr>
      <vt:lpstr>'Operations Calculations'!Print_Area</vt:lpstr>
      <vt:lpstr>'Safety Impacts of Alt Routes'!Print_Area</vt:lpstr>
      <vt:lpstr>'Safety Improvements'!Print_Area</vt:lpstr>
      <vt:lpstr>'Traffic Patterns'!Print_Area</vt:lpstr>
      <vt:lpstr>'Travel Time Savings'!Print_Area</vt:lpstr>
      <vt:lpstr>'VOC Savings'!Print_Area</vt:lpstr>
      <vt:lpstr>ProjLoc</vt:lpstr>
      <vt:lpstr>Projlocation</vt:lpstr>
      <vt:lpstr>TAccReductPer</vt:lpstr>
      <vt:lpstr>TAptFW</vt:lpstr>
      <vt:lpstr>TPerHwy</vt:lpstr>
      <vt:lpstr>TruckSpeed</vt:lpstr>
      <vt:lpstr>TVehMiBW</vt:lpstr>
      <vt:lpstr>TVehMiFW</vt:lpstr>
    </vt:vector>
  </TitlesOfParts>
  <Company>SRF Consulting Group</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Ryan Loos</dc:creator>
  <cp:lastModifiedBy>Matt Flanagan</cp:lastModifiedBy>
  <cp:lastPrinted>2022-05-12T17:16:42Z</cp:lastPrinted>
  <dcterms:created xsi:type="dcterms:W3CDTF">2013-05-17T20:57:43Z</dcterms:created>
  <dcterms:modified xsi:type="dcterms:W3CDTF">2023-02-20T15:48:42Z</dcterms:modified>
</cp:coreProperties>
</file>