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d\TPE\Cost Estimating Sheets\Updated Jan '23\"/>
    </mc:Choice>
  </mc:AlternateContent>
  <xr:revisionPtr revIDLastSave="0" documentId="13_ncr:1_{7372D490-0DE8-47E0-ADE3-B159CEDEC490}" xr6:coauthVersionLast="47" xr6:coauthVersionMax="47" xr10:uidLastSave="{00000000-0000-0000-0000-000000000000}"/>
  <bookViews>
    <workbookView xWindow="51480" yWindow="-120" windowWidth="29040" windowHeight="15720" xr2:uid="{00000000-000D-0000-FFFF-FFFF00000000}"/>
  </bookViews>
  <sheets>
    <sheet name="Sheet1" sheetId="1" r:id="rId1"/>
    <sheet name="EnterValu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F12" i="1"/>
  <c r="F13" i="1"/>
  <c r="F5" i="1"/>
  <c r="F2" i="1"/>
  <c r="F21" i="1"/>
  <c r="F20" i="1"/>
  <c r="G11" i="2" l="1"/>
  <c r="G10" i="2" s="1"/>
  <c r="F4" i="1" l="1"/>
  <c r="F11" i="1"/>
  <c r="F3" i="1"/>
  <c r="G12" i="2"/>
  <c r="E7" i="1" s="1"/>
  <c r="F7" i="1" s="1"/>
  <c r="G13" i="2"/>
  <c r="E6" i="1" s="1"/>
  <c r="F6" i="1" s="1"/>
  <c r="G15" i="2" l="1"/>
  <c r="F10" i="1" s="1"/>
  <c r="G17" i="2"/>
  <c r="F9" i="1" s="1"/>
  <c r="G16" i="2"/>
  <c r="F8" i="1" s="1"/>
  <c r="F15" i="1" l="1"/>
  <c r="F16" i="1" s="1"/>
  <c r="F18" i="1" s="1"/>
  <c r="F17" i="1" l="1"/>
  <c r="F19" i="1"/>
  <c r="F22" i="1" l="1"/>
</calcChain>
</file>

<file path=xl/sharedStrings.xml><?xml version="1.0" encoding="utf-8"?>
<sst xmlns="http://schemas.openxmlformats.org/spreadsheetml/2006/main" count="99" uniqueCount="90">
  <si>
    <t>2' Diameter Footing</t>
  </si>
  <si>
    <t>Electrical Service Cabinet</t>
  </si>
  <si>
    <t>2" Rigid Conduit, Schedule 40</t>
  </si>
  <si>
    <t>2" Rigid Conduit, Schedule 80</t>
  </si>
  <si>
    <t>1/C #4 AWG Copper Wire</t>
  </si>
  <si>
    <t>2/C #10 AWG Copper Pole and Bracket Cable</t>
  </si>
  <si>
    <t>Price</t>
  </si>
  <si>
    <t>Incidental Work</t>
  </si>
  <si>
    <t>cost of power source = cost of service cabinet + cost of wood pole + cost of meter socket</t>
  </si>
  <si>
    <t>round up of estimated # of poles/20</t>
  </si>
  <si>
    <t>Mobilization + Incidental Work + Traffic Control + Pole Construction + Conduit &amp; Wiring + Misc</t>
  </si>
  <si>
    <t>Enter Values</t>
  </si>
  <si>
    <t>.035*Construction Cost</t>
  </si>
  <si>
    <t>.05*Construction Cost</t>
  </si>
  <si>
    <t>Construction Cost + Design Engineering + Construction Engineering, up to the nearest $1000</t>
  </si>
  <si>
    <t>.2*Total Cost, up to the nearest 100</t>
  </si>
  <si>
    <t>round up of estimated # of poles/2</t>
  </si>
  <si>
    <t>round up of (Length/(Length between poles)+Length/800)+1</t>
  </si>
  <si>
    <t xml:space="preserve">Length between poles=round down to the nearest 10 of (-.000009*Width^4+.0021*Width^3+-.1699*Width^2+3.349*Width+271.89) </t>
  </si>
  <si>
    <t xml:space="preserve">   Length of Stretch to Light (ft)</t>
  </si>
  <si>
    <t xml:space="preserve">   Width of Stretch to Light (ft)</t>
  </si>
  <si>
    <t xml:space="preserve">   Inflationary Rate (%)</t>
  </si>
  <si>
    <t xml:space="preserve">   Optional:</t>
  </si>
  <si>
    <t xml:space="preserve">   # of Poles</t>
  </si>
  <si>
    <t xml:space="preserve">   # of Power Sources</t>
  </si>
  <si>
    <t xml:space="preserve">   # of Junction Boxes</t>
  </si>
  <si>
    <t xml:space="preserve">   Estimated # of Poles</t>
  </si>
  <si>
    <t xml:space="preserve">   Estimated # of Power Sources</t>
  </si>
  <si>
    <t xml:space="preserve">   Estimated # of Junction Boxes</t>
  </si>
  <si>
    <t>total cost/number of poles</t>
  </si>
  <si>
    <t xml:space="preserve">   Estimated Length Between Poles</t>
  </si>
  <si>
    <t>Estimates</t>
  </si>
  <si>
    <t xml:space="preserve">   Length Between Poles</t>
  </si>
  <si>
    <t xml:space="preserve">   Stand Alone (1) or w/Grading &amp; Surfacing (0)</t>
  </si>
  <si>
    <t xml:space="preserve">   Estimated Length of Footing (ft)</t>
  </si>
  <si>
    <t xml:space="preserve">   Length of Footing (ft)</t>
  </si>
  <si>
    <t xml:space="preserve">   Length of #4 (ft)</t>
  </si>
  <si>
    <t xml:space="preserve">   Length of #6 (ft)</t>
  </si>
  <si>
    <t xml:space="preserve">   Length of 2" Sch 40 Conduit (ft)</t>
  </si>
  <si>
    <t xml:space="preserve">   Length of 2" Sch 80 Conduit (ft)</t>
  </si>
  <si>
    <t xml:space="preserve">   Estimated Length of #4 (ft)</t>
  </si>
  <si>
    <t>defaults to #4 = 3*(total length + 5*# of poles + 10*# of JBs)</t>
  </si>
  <si>
    <t xml:space="preserve">   Estimated Length of 2" Sch 40 Conduit</t>
  </si>
  <si>
    <t xml:space="preserve">   Estimated Length of 2" Sch 80 Conduit</t>
  </si>
  <si>
    <t>based on 25% of total conduit =.25*(total length + 5*# of poles + 10*# of JBs)</t>
  </si>
  <si>
    <t>based on 75% of total conduit = .75*(total length + 5*# of poles + 10*# of JBs)</t>
  </si>
  <si>
    <t xml:space="preserve">   Bid Letting Date</t>
  </si>
  <si>
    <t>REQUIRED</t>
  </si>
  <si>
    <t>OPTIONAL</t>
  </si>
  <si>
    <t>DON'T TOUCH</t>
  </si>
  <si>
    <t>Color Code</t>
  </si>
  <si>
    <t>Type 2 Electrical Junction Box</t>
  </si>
  <si>
    <t>Breakaway Base Luminaire Pole with Arm, 50' Mounting Height</t>
  </si>
  <si>
    <t xml:space="preserve">635E3700 </t>
  </si>
  <si>
    <t>Roadway Luminaire, LED with Photoelectric Cell</t>
  </si>
  <si>
    <t>SBINbr</t>
  </si>
  <si>
    <t>Units</t>
  </si>
  <si>
    <t>Desc</t>
  </si>
  <si>
    <t>Unit Price</t>
  </si>
  <si>
    <t>Quantity</t>
  </si>
  <si>
    <t xml:space="preserve">635E0050 </t>
  </si>
  <si>
    <t xml:space="preserve">Each      </t>
  </si>
  <si>
    <t xml:space="preserve">635E5020 </t>
  </si>
  <si>
    <t xml:space="preserve">Ft        </t>
  </si>
  <si>
    <t xml:space="preserve">635E5302 </t>
  </si>
  <si>
    <t xml:space="preserve">635E5400 </t>
  </si>
  <si>
    <t xml:space="preserve">635E8120 </t>
  </si>
  <si>
    <t xml:space="preserve">635E8220 </t>
  </si>
  <si>
    <t xml:space="preserve">635E9014 </t>
  </si>
  <si>
    <t xml:space="preserve">635E9710 </t>
  </si>
  <si>
    <t xml:space="preserve">250E0010 </t>
  </si>
  <si>
    <t xml:space="preserve">LS        </t>
  </si>
  <si>
    <t>999E0001</t>
  </si>
  <si>
    <t>UNIT</t>
  </si>
  <si>
    <t>MOBILIZATION</t>
  </si>
  <si>
    <t>999E0002</t>
  </si>
  <si>
    <t>TRAFFIC CONTROL</t>
  </si>
  <si>
    <t>Subtotal (prior year bid item costs)</t>
  </si>
  <si>
    <t>current year subtotal</t>
  </si>
  <si>
    <t>Contingency</t>
  </si>
  <si>
    <t>PE</t>
  </si>
  <si>
    <t>CE</t>
  </si>
  <si>
    <r>
      <t xml:space="preserve">ROW </t>
    </r>
    <r>
      <rPr>
        <sz val="10"/>
        <rFont val="Arial"/>
        <family val="2"/>
      </rPr>
      <t>(thousand $$)</t>
    </r>
  </si>
  <si>
    <r>
      <t xml:space="preserve">Utilities </t>
    </r>
    <r>
      <rPr>
        <sz val="10"/>
        <rFont val="Arial"/>
        <family val="2"/>
      </rPr>
      <t>(thousand $$)</t>
    </r>
  </si>
  <si>
    <t>total</t>
  </si>
  <si>
    <t>Total Estimate</t>
  </si>
  <si>
    <t>See "EnterValues" Tab below for inputs</t>
  </si>
  <si>
    <t>08eh</t>
  </si>
  <si>
    <t>2/9/2023 BP</t>
  </si>
  <si>
    <t>12 new poles included in 05HV/SD73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</si>
</sst>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0.0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14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5" xfId="0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4" borderId="6" xfId="0" applyFont="1" applyFill="1" applyBorder="1" applyAlignment="1">
      <alignment horizontal="center"/>
    </xf>
    <xf numFmtId="0" fontId="0" fillId="0" borderId="11" xfId="0" applyBorder="1"/>
    <xf numFmtId="0" fontId="0" fillId="3" borderId="12" xfId="0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0" fillId="2" borderId="0" xfId="0" applyFill="1"/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44" fontId="4" fillId="0" borderId="13" xfId="1" applyFont="1" applyBorder="1" applyAlignment="1">
      <alignment horizontal="left"/>
    </xf>
    <xf numFmtId="0" fontId="0" fillId="0" borderId="5" xfId="0" applyBorder="1" applyAlignment="1"/>
    <xf numFmtId="0" fontId="0" fillId="0" borderId="17" xfId="0" applyBorder="1" applyAlignment="1"/>
    <xf numFmtId="49" fontId="4" fillId="0" borderId="13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0" fontId="4" fillId="0" borderId="13" xfId="2" applyFont="1" applyBorder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4" fontId="4" fillId="0" borderId="0" xfId="0" applyNumberFormat="1" applyFont="1"/>
    <xf numFmtId="9" fontId="4" fillId="0" borderId="0" xfId="0" applyNumberFormat="1" applyFont="1"/>
    <xf numFmtId="10" fontId="6" fillId="0" borderId="0" xfId="0" applyNumberFormat="1" applyFont="1"/>
    <xf numFmtId="0" fontId="7" fillId="0" borderId="0" xfId="0" applyFont="1" applyAlignment="1">
      <alignment horizontal="right"/>
    </xf>
    <xf numFmtId="10" fontId="4" fillId="0" borderId="0" xfId="0" applyNumberFormat="1" applyFont="1"/>
    <xf numFmtId="49" fontId="8" fillId="0" borderId="0" xfId="0" applyNumberFormat="1" applyFont="1"/>
    <xf numFmtId="0" fontId="6" fillId="0" borderId="0" xfId="0" applyFont="1"/>
    <xf numFmtId="44" fontId="4" fillId="0" borderId="13" xfId="0" applyNumberFormat="1" applyFont="1" applyBorder="1"/>
    <xf numFmtId="49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4" fillId="0" borderId="3" xfId="1" applyFont="1" applyBorder="1" applyAlignment="1">
      <alignment horizontal="left"/>
    </xf>
    <xf numFmtId="44" fontId="0" fillId="0" borderId="3" xfId="0" applyNumberFormat="1" applyBorder="1" applyAlignment="1">
      <alignment horizontal="left"/>
    </xf>
    <xf numFmtId="0" fontId="3" fillId="0" borderId="27" xfId="2" applyFont="1" applyBorder="1"/>
    <xf numFmtId="0" fontId="3" fillId="0" borderId="27" xfId="2" applyFont="1" applyBorder="1" applyAlignment="1">
      <alignment horizontal="left"/>
    </xf>
    <xf numFmtId="1" fontId="0" fillId="0" borderId="13" xfId="0" applyNumberFormat="1" applyBorder="1" applyAlignment="1">
      <alignment horizontal="right"/>
    </xf>
    <xf numFmtId="0" fontId="0" fillId="5" borderId="2" xfId="0" applyFill="1" applyBorder="1" applyAlignment="1">
      <alignment horizontal="center"/>
    </xf>
    <xf numFmtId="0" fontId="3" fillId="2" borderId="30" xfId="0" applyFont="1" applyFill="1" applyBorder="1"/>
    <xf numFmtId="1" fontId="6" fillId="0" borderId="13" xfId="0" applyNumberFormat="1" applyFont="1" applyBorder="1" applyAlignment="1">
      <alignment horizontal="right"/>
    </xf>
    <xf numFmtId="14" fontId="9" fillId="0" borderId="0" xfId="0" applyNumberFormat="1" applyFont="1" applyAlignment="1">
      <alignment horizontal="center"/>
    </xf>
    <xf numFmtId="165" fontId="6" fillId="0" borderId="3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/>
    <xf numFmtId="0" fontId="0" fillId="0" borderId="0" xfId="0" applyBorder="1" applyAlignment="1"/>
    <xf numFmtId="0" fontId="3" fillId="0" borderId="20" xfId="0" applyFont="1" applyBorder="1" applyAlignment="1"/>
    <xf numFmtId="0" fontId="0" fillId="0" borderId="21" xfId="0" applyBorder="1" applyAlignment="1"/>
    <xf numFmtId="0" fontId="3" fillId="5" borderId="22" xfId="0" applyFont="1" applyFill="1" applyBorder="1" applyAlignment="1">
      <alignment horizontal="center"/>
    </xf>
    <xf numFmtId="0" fontId="0" fillId="0" borderId="23" xfId="0" applyBorder="1" applyAlignment="1"/>
    <xf numFmtId="0" fontId="3" fillId="0" borderId="24" xfId="0" applyFont="1" applyBorder="1" applyAlignment="1"/>
    <xf numFmtId="0" fontId="3" fillId="0" borderId="19" xfId="0" applyFont="1" applyBorder="1" applyAlignment="1"/>
    <xf numFmtId="0" fontId="0" fillId="0" borderId="5" xfId="0" applyBorder="1" applyAlignment="1"/>
    <xf numFmtId="0" fontId="0" fillId="0" borderId="17" xfId="0" applyBorder="1" applyAlignment="1"/>
    <xf numFmtId="0" fontId="3" fillId="4" borderId="25" xfId="0" applyFont="1" applyFill="1" applyBorder="1" applyAlignment="1">
      <alignment horizontal="center"/>
    </xf>
    <xf numFmtId="0" fontId="0" fillId="0" borderId="26" xfId="0" applyBorder="1" applyAlignment="1"/>
    <xf numFmtId="0" fontId="3" fillId="3" borderId="25" xfId="0" applyFont="1" applyFill="1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/>
    <xf numFmtId="0" fontId="3" fillId="0" borderId="18" xfId="0" applyFont="1" applyBorder="1" applyAlignment="1"/>
    <xf numFmtId="0" fontId="0" fillId="0" borderId="19" xfId="0" applyBorder="1" applyAlignment="1"/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tabSelected="1" workbookViewId="0">
      <selection activeCell="I17" sqref="I16:I17"/>
    </sheetView>
  </sheetViews>
  <sheetFormatPr defaultRowHeight="12.75" x14ac:dyDescent="0.2"/>
  <cols>
    <col min="1" max="1" width="9.5703125" style="2" bestFit="1" customWidth="1"/>
    <col min="2" max="2" width="11.85546875" style="1" bestFit="1" customWidth="1"/>
    <col min="3" max="3" width="58.28515625" style="3" bestFit="1" customWidth="1"/>
    <col min="4" max="4" width="14.5703125" style="3" customWidth="1"/>
    <col min="6" max="6" width="15.5703125" customWidth="1"/>
  </cols>
  <sheetData>
    <row r="1" spans="1:6" ht="13.5" thickBot="1" x14ac:dyDescent="0.25">
      <c r="A1" s="47" t="s">
        <v>55</v>
      </c>
      <c r="B1" s="47" t="s">
        <v>56</v>
      </c>
      <c r="C1" s="48" t="s">
        <v>57</v>
      </c>
      <c r="D1" s="47" t="s">
        <v>58</v>
      </c>
      <c r="E1" s="47" t="s">
        <v>59</v>
      </c>
      <c r="F1" s="47" t="s">
        <v>6</v>
      </c>
    </row>
    <row r="2" spans="1:6" x14ac:dyDescent="0.2">
      <c r="A2" s="43" t="s">
        <v>70</v>
      </c>
      <c r="B2" s="44" t="s">
        <v>71</v>
      </c>
      <c r="C2" s="44" t="s">
        <v>7</v>
      </c>
      <c r="D2" s="45">
        <v>60410.597000000002</v>
      </c>
      <c r="E2" s="54">
        <v>0.5</v>
      </c>
      <c r="F2" s="46">
        <f>D2*E2</f>
        <v>30205.298500000001</v>
      </c>
    </row>
    <row r="3" spans="1:6" x14ac:dyDescent="0.2">
      <c r="A3" s="28" t="s">
        <v>60</v>
      </c>
      <c r="B3" s="29" t="s">
        <v>61</v>
      </c>
      <c r="C3" s="29" t="s">
        <v>52</v>
      </c>
      <c r="D3" s="25">
        <v>4397.7939999999999</v>
      </c>
      <c r="E3" s="49">
        <v>30</v>
      </c>
      <c r="F3" s="46">
        <f t="shared" ref="F3:F13" si="0">D3*E3</f>
        <v>131933.82</v>
      </c>
    </row>
    <row r="4" spans="1:6" x14ac:dyDescent="0.2">
      <c r="A4" s="28" t="s">
        <v>53</v>
      </c>
      <c r="B4" s="29" t="s">
        <v>61</v>
      </c>
      <c r="C4" s="29" t="s">
        <v>54</v>
      </c>
      <c r="D4" s="25">
        <v>617.50400000000002</v>
      </c>
      <c r="E4" s="49">
        <v>30</v>
      </c>
      <c r="F4" s="46">
        <f t="shared" si="0"/>
        <v>18525.12</v>
      </c>
    </row>
    <row r="5" spans="1:6" x14ac:dyDescent="0.2">
      <c r="A5" s="28" t="s">
        <v>62</v>
      </c>
      <c r="B5" s="29" t="s">
        <v>63</v>
      </c>
      <c r="C5" s="29" t="s">
        <v>0</v>
      </c>
      <c r="D5" s="25">
        <v>142.32300000000001</v>
      </c>
      <c r="E5" s="49">
        <v>328</v>
      </c>
      <c r="F5" s="46">
        <f t="shared" si="0"/>
        <v>46681.944000000003</v>
      </c>
    </row>
    <row r="6" spans="1:6" x14ac:dyDescent="0.2">
      <c r="A6" s="28" t="s">
        <v>64</v>
      </c>
      <c r="B6" s="29" t="s">
        <v>61</v>
      </c>
      <c r="C6" s="29" t="s">
        <v>51</v>
      </c>
      <c r="D6" s="25">
        <v>999.92100000000005</v>
      </c>
      <c r="E6" s="49">
        <f>EnterValues!G13</f>
        <v>15</v>
      </c>
      <c r="F6" s="46">
        <f t="shared" si="0"/>
        <v>14998.815000000001</v>
      </c>
    </row>
    <row r="7" spans="1:6" x14ac:dyDescent="0.2">
      <c r="A7" s="28" t="s">
        <v>65</v>
      </c>
      <c r="B7" s="29" t="s">
        <v>61</v>
      </c>
      <c r="C7" s="29" t="s">
        <v>1</v>
      </c>
      <c r="D7" s="25">
        <v>2366.5909999999999</v>
      </c>
      <c r="E7" s="49">
        <f>EnterValues!G12</f>
        <v>2</v>
      </c>
      <c r="F7" s="46">
        <f t="shared" si="0"/>
        <v>4733.1819999999998</v>
      </c>
    </row>
    <row r="8" spans="1:6" x14ac:dyDescent="0.2">
      <c r="A8" s="28" t="s">
        <v>66</v>
      </c>
      <c r="B8" s="29" t="s">
        <v>63</v>
      </c>
      <c r="C8" s="29" t="s">
        <v>2</v>
      </c>
      <c r="D8" s="25">
        <v>6.5419999999999998</v>
      </c>
      <c r="E8" s="49">
        <v>8625</v>
      </c>
      <c r="F8" s="46">
        <f t="shared" si="0"/>
        <v>56424.75</v>
      </c>
    </row>
    <row r="9" spans="1:6" x14ac:dyDescent="0.2">
      <c r="A9" s="28" t="s">
        <v>67</v>
      </c>
      <c r="B9" s="29" t="s">
        <v>63</v>
      </c>
      <c r="C9" s="29" t="s">
        <v>3</v>
      </c>
      <c r="D9" s="25">
        <v>8.5269999999999992</v>
      </c>
      <c r="E9" s="49">
        <v>2850</v>
      </c>
      <c r="F9" s="46">
        <f t="shared" si="0"/>
        <v>24301.949999999997</v>
      </c>
    </row>
    <row r="10" spans="1:6" x14ac:dyDescent="0.2">
      <c r="A10" s="28" t="s">
        <v>68</v>
      </c>
      <c r="B10" s="29" t="s">
        <v>63</v>
      </c>
      <c r="C10" s="29" t="s">
        <v>4</v>
      </c>
      <c r="D10" s="25">
        <v>2.105</v>
      </c>
      <c r="E10" s="49">
        <v>32000</v>
      </c>
      <c r="F10" s="46">
        <f t="shared" si="0"/>
        <v>67360</v>
      </c>
    </row>
    <row r="11" spans="1:6" x14ac:dyDescent="0.2">
      <c r="A11" s="28" t="s">
        <v>69</v>
      </c>
      <c r="B11" s="29" t="s">
        <v>63</v>
      </c>
      <c r="C11" s="29" t="s">
        <v>5</v>
      </c>
      <c r="D11" s="25">
        <v>2.105</v>
      </c>
      <c r="E11" s="49">
        <v>2795</v>
      </c>
      <c r="F11" s="46">
        <f t="shared" si="0"/>
        <v>5883.4750000000004</v>
      </c>
    </row>
    <row r="12" spans="1:6" x14ac:dyDescent="0.2">
      <c r="A12" s="30" t="s">
        <v>72</v>
      </c>
      <c r="B12" s="31" t="s">
        <v>73</v>
      </c>
      <c r="C12" s="31" t="s">
        <v>74</v>
      </c>
      <c r="D12" s="25">
        <v>1000</v>
      </c>
      <c r="E12" s="52">
        <v>25</v>
      </c>
      <c r="F12" s="46">
        <f t="shared" si="0"/>
        <v>25000</v>
      </c>
    </row>
    <row r="13" spans="1:6" x14ac:dyDescent="0.2">
      <c r="A13" s="30" t="s">
        <v>75</v>
      </c>
      <c r="B13" s="31" t="s">
        <v>73</v>
      </c>
      <c r="C13" s="29" t="s">
        <v>76</v>
      </c>
      <c r="D13" s="25">
        <v>1000</v>
      </c>
      <c r="E13" s="52">
        <v>15</v>
      </c>
      <c r="F13" s="46">
        <f t="shared" si="0"/>
        <v>15000</v>
      </c>
    </row>
    <row r="15" spans="1:6" x14ac:dyDescent="0.2">
      <c r="A15" s="32"/>
      <c r="B15" s="33"/>
      <c r="C15" s="34"/>
      <c r="D15" s="34" t="s">
        <v>77</v>
      </c>
      <c r="E15" s="33"/>
      <c r="F15" s="35">
        <f>SUM(F2:F13)</f>
        <v>441048.35449999996</v>
      </c>
    </row>
    <row r="16" spans="1:6" x14ac:dyDescent="0.2">
      <c r="A16" s="32"/>
      <c r="B16" s="33"/>
      <c r="C16" s="34"/>
      <c r="D16" s="34" t="s">
        <v>78</v>
      </c>
      <c r="E16" s="36">
        <v>0</v>
      </c>
      <c r="F16" s="35">
        <f>F15*(1+E16)</f>
        <v>441048.35449999996</v>
      </c>
    </row>
    <row r="17" spans="1:10" x14ac:dyDescent="0.2">
      <c r="A17" s="33"/>
      <c r="B17" s="33"/>
      <c r="C17" s="34"/>
      <c r="D17" s="33" t="s">
        <v>79</v>
      </c>
      <c r="E17" s="37">
        <v>0.05</v>
      </c>
      <c r="F17" s="35">
        <f>E17*F16</f>
        <v>22052.417724999999</v>
      </c>
    </row>
    <row r="18" spans="1:10" ht="15.75" x14ac:dyDescent="0.25">
      <c r="A18" s="32"/>
      <c r="B18" s="33"/>
      <c r="C18" s="34"/>
      <c r="D18" s="38" t="s">
        <v>80</v>
      </c>
      <c r="E18" s="39">
        <v>5.5E-2</v>
      </c>
      <c r="F18" s="35">
        <f>E18*F16</f>
        <v>24257.659497499997</v>
      </c>
    </row>
    <row r="19" spans="1:10" ht="18" x14ac:dyDescent="0.25">
      <c r="A19" s="40"/>
      <c r="B19" s="33"/>
      <c r="C19" s="34"/>
      <c r="D19" s="38" t="s">
        <v>81</v>
      </c>
      <c r="E19" s="39">
        <v>3.5000000000000003E-2</v>
      </c>
      <c r="F19" s="35">
        <f>E19*F16</f>
        <v>15436.692407500001</v>
      </c>
    </row>
    <row r="20" spans="1:10" ht="18" x14ac:dyDescent="0.25">
      <c r="A20" s="40"/>
      <c r="B20" s="33"/>
      <c r="C20" s="34"/>
      <c r="D20" s="38" t="s">
        <v>82</v>
      </c>
      <c r="E20" s="41">
        <v>0</v>
      </c>
      <c r="F20" s="35">
        <f>E20*1000</f>
        <v>0</v>
      </c>
    </row>
    <row r="21" spans="1:10" ht="18" x14ac:dyDescent="0.25">
      <c r="A21" s="40"/>
      <c r="B21" s="33"/>
      <c r="C21" s="34"/>
      <c r="D21" s="38" t="s">
        <v>83</v>
      </c>
      <c r="E21" s="41">
        <v>0</v>
      </c>
      <c r="F21" s="35">
        <f>E21*1000</f>
        <v>0</v>
      </c>
    </row>
    <row r="22" spans="1:10" ht="15.75" x14ac:dyDescent="0.25">
      <c r="A22" s="32" t="s">
        <v>84</v>
      </c>
      <c r="B22" s="33"/>
      <c r="C22" s="34"/>
      <c r="D22" s="38" t="s">
        <v>85</v>
      </c>
      <c r="E22" s="33"/>
      <c r="F22" s="42">
        <f>SUM(F16:F21)</f>
        <v>502795.12412999995</v>
      </c>
      <c r="H22" s="55" t="s">
        <v>88</v>
      </c>
      <c r="J22" t="s">
        <v>89</v>
      </c>
    </row>
    <row r="25" spans="1:10" x14ac:dyDescent="0.2">
      <c r="C25" s="53" t="s">
        <v>86</v>
      </c>
    </row>
    <row r="27" spans="1:10" x14ac:dyDescent="0.2">
      <c r="C27" s="3" t="s">
        <v>87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C6" sqref="C6"/>
    </sheetView>
  </sheetViews>
  <sheetFormatPr defaultRowHeight="12.75" x14ac:dyDescent="0.2"/>
  <cols>
    <col min="1" max="1" width="1.5703125" customWidth="1"/>
    <col min="2" max="2" width="40.42578125" bestFit="1" customWidth="1"/>
    <col min="3" max="3" width="15" style="5" customWidth="1"/>
    <col min="4" max="4" width="14" hidden="1" customWidth="1"/>
    <col min="5" max="5" width="2.28515625" customWidth="1"/>
    <col min="6" max="6" width="33.7109375" customWidth="1"/>
    <col min="7" max="7" width="14.140625" style="5" customWidth="1"/>
  </cols>
  <sheetData>
    <row r="1" spans="1:7" ht="9" customHeight="1" thickBot="1" x14ac:dyDescent="0.25"/>
    <row r="2" spans="1:7" ht="14.25" thickTop="1" thickBot="1" x14ac:dyDescent="0.25">
      <c r="A2" s="4"/>
      <c r="B2" s="71" t="s">
        <v>11</v>
      </c>
      <c r="C2" s="72"/>
      <c r="E2" s="23"/>
      <c r="F2" s="71" t="s">
        <v>50</v>
      </c>
      <c r="G2" s="72"/>
    </row>
    <row r="3" spans="1:7" ht="13.5" thickBot="1" x14ac:dyDescent="0.25">
      <c r="A3" s="4"/>
      <c r="B3" s="14" t="s">
        <v>46</v>
      </c>
      <c r="C3" s="16">
        <v>46753</v>
      </c>
      <c r="E3" s="22"/>
      <c r="F3" s="66" t="s">
        <v>47</v>
      </c>
      <c r="G3" s="67"/>
    </row>
    <row r="4" spans="1:7" ht="13.5" thickBot="1" x14ac:dyDescent="0.25">
      <c r="A4" s="4"/>
      <c r="B4" s="7" t="s">
        <v>19</v>
      </c>
      <c r="C4" s="13">
        <f>5280*0.979</f>
        <v>5169.12</v>
      </c>
      <c r="E4" s="22"/>
      <c r="F4" s="68" t="s">
        <v>48</v>
      </c>
      <c r="G4" s="67"/>
    </row>
    <row r="5" spans="1:7" ht="13.5" thickBot="1" x14ac:dyDescent="0.25">
      <c r="A5" s="4"/>
      <c r="B5" s="7" t="s">
        <v>20</v>
      </c>
      <c r="C5" s="13">
        <v>40</v>
      </c>
      <c r="E5" s="22"/>
      <c r="F5" s="60" t="s">
        <v>49</v>
      </c>
      <c r="G5" s="61"/>
    </row>
    <row r="6" spans="1:7" ht="14.25" thickTop="1" thickBot="1" x14ac:dyDescent="0.25">
      <c r="A6" s="4"/>
      <c r="B6" s="7" t="s">
        <v>21</v>
      </c>
      <c r="C6" s="13">
        <v>0</v>
      </c>
      <c r="E6" s="51"/>
      <c r="F6" s="51"/>
      <c r="G6" s="24"/>
    </row>
    <row r="7" spans="1:7" ht="13.5" thickTop="1" x14ac:dyDescent="0.2">
      <c r="A7" s="4"/>
      <c r="B7" s="7" t="s">
        <v>33</v>
      </c>
      <c r="C7" s="13">
        <v>1</v>
      </c>
    </row>
    <row r="8" spans="1:7" ht="13.5" thickBot="1" x14ac:dyDescent="0.25">
      <c r="A8" s="4"/>
      <c r="B8" s="58" t="s">
        <v>22</v>
      </c>
      <c r="C8" s="59"/>
      <c r="D8" s="6" t="s">
        <v>29</v>
      </c>
    </row>
    <row r="9" spans="1:7" ht="14.25" thickTop="1" thickBot="1" x14ac:dyDescent="0.25">
      <c r="A9" s="4"/>
      <c r="B9" s="14" t="s">
        <v>23</v>
      </c>
      <c r="C9" s="15"/>
      <c r="D9" s="6" t="s">
        <v>17</v>
      </c>
      <c r="E9" s="62" t="s">
        <v>31</v>
      </c>
      <c r="F9" s="62"/>
      <c r="G9" s="63"/>
    </row>
    <row r="10" spans="1:7" x14ac:dyDescent="0.2">
      <c r="A10" s="4"/>
      <c r="B10" s="7" t="s">
        <v>32</v>
      </c>
      <c r="C10" s="8"/>
      <c r="D10" s="6" t="s">
        <v>18</v>
      </c>
      <c r="E10" s="64" t="s">
        <v>26</v>
      </c>
      <c r="F10" s="65"/>
      <c r="G10" s="17">
        <f>ROUNDUP(C4/IF(C10=0,G11,C10)+C4/800,0)+1</f>
        <v>29</v>
      </c>
    </row>
    <row r="11" spans="1:7" x14ac:dyDescent="0.2">
      <c r="A11" s="4"/>
      <c r="B11" s="7" t="s">
        <v>24</v>
      </c>
      <c r="C11" s="8"/>
      <c r="D11" s="6" t="s">
        <v>9</v>
      </c>
      <c r="E11" s="26" t="s">
        <v>30</v>
      </c>
      <c r="F11" s="27"/>
      <c r="G11" s="17">
        <f>ROUNDDOWN((-0.000009*C5^4+0.0021*C5^3+-0.1699*C5^2+3.3439*C5+271.89)/10,0)*10</f>
        <v>240</v>
      </c>
    </row>
    <row r="12" spans="1:7" x14ac:dyDescent="0.2">
      <c r="A12" s="4"/>
      <c r="B12" s="10" t="s">
        <v>25</v>
      </c>
      <c r="C12" s="9"/>
      <c r="D12" s="6" t="s">
        <v>16</v>
      </c>
      <c r="E12" s="26" t="s">
        <v>27</v>
      </c>
      <c r="F12" s="27"/>
      <c r="G12" s="17">
        <f>IF(C9=0,ROUNDUP(G10/20,0),ROUNDUP(C9/20,0))</f>
        <v>2</v>
      </c>
    </row>
    <row r="13" spans="1:7" x14ac:dyDescent="0.2">
      <c r="A13" s="4"/>
      <c r="B13" s="11" t="s">
        <v>35</v>
      </c>
      <c r="C13" s="9"/>
      <c r="D13" s="6" t="s">
        <v>16</v>
      </c>
      <c r="E13" s="26" t="s">
        <v>28</v>
      </c>
      <c r="F13" s="27"/>
      <c r="G13" s="17">
        <f>IF(C9=0,ROUNDUP(G10/2,0),ROUNDUP(C9/2,0))</f>
        <v>15</v>
      </c>
    </row>
    <row r="14" spans="1:7" x14ac:dyDescent="0.2">
      <c r="A14" s="4"/>
      <c r="B14" s="12" t="s">
        <v>36</v>
      </c>
      <c r="C14" s="8"/>
      <c r="D14" s="6" t="s">
        <v>41</v>
      </c>
      <c r="E14" s="26" t="s">
        <v>34</v>
      </c>
      <c r="F14" s="27"/>
      <c r="G14" s="17">
        <v>9</v>
      </c>
    </row>
    <row r="15" spans="1:7" x14ac:dyDescent="0.2">
      <c r="A15" s="4"/>
      <c r="B15" s="12" t="s">
        <v>37</v>
      </c>
      <c r="C15" s="8"/>
      <c r="D15" s="6"/>
      <c r="E15" s="26" t="s">
        <v>40</v>
      </c>
      <c r="F15" s="27"/>
      <c r="G15" s="17">
        <f>3*(C4+5*IF(C9=0,G10,C9)+10*IF(C12=0,G13,C12))</f>
        <v>16392.36</v>
      </c>
    </row>
    <row r="16" spans="1:7" x14ac:dyDescent="0.2">
      <c r="A16" s="4"/>
      <c r="B16" s="12" t="s">
        <v>38</v>
      </c>
      <c r="C16" s="8"/>
      <c r="D16" s="6" t="s">
        <v>44</v>
      </c>
      <c r="E16" s="64" t="s">
        <v>42</v>
      </c>
      <c r="F16" s="65"/>
      <c r="G16" s="17">
        <f>0.75*(C4+5*IF(C9=0,G10,C9)+10*IF(C12=0,G13,C12))</f>
        <v>4098.09</v>
      </c>
    </row>
    <row r="17" spans="1:7" ht="13.5" thickBot="1" x14ac:dyDescent="0.25">
      <c r="A17" s="4"/>
      <c r="B17" s="12" t="s">
        <v>39</v>
      </c>
      <c r="C17" s="8"/>
      <c r="D17" s="6" t="s">
        <v>45</v>
      </c>
      <c r="E17" s="69" t="s">
        <v>43</v>
      </c>
      <c r="F17" s="70"/>
      <c r="G17" s="50">
        <f>0.25*(C4+5*IF(C9=0,G10,C9)+10*IF(C12=0,G13,C12))</f>
        <v>1366.03</v>
      </c>
    </row>
    <row r="18" spans="1:7" ht="20.100000000000001" customHeight="1" thickTop="1" x14ac:dyDescent="0.2">
      <c r="A18" s="18"/>
      <c r="B18" s="20"/>
      <c r="C18" s="21"/>
      <c r="D18" s="6" t="s">
        <v>8</v>
      </c>
    </row>
    <row r="19" spans="1:7" x14ac:dyDescent="0.2">
      <c r="A19" s="18"/>
      <c r="B19" s="56"/>
      <c r="C19" s="57"/>
      <c r="D19" s="6"/>
    </row>
    <row r="20" spans="1:7" x14ac:dyDescent="0.2">
      <c r="A20" s="18"/>
      <c r="B20" s="18"/>
      <c r="C20" s="19"/>
      <c r="D20" s="6" t="s">
        <v>10</v>
      </c>
    </row>
    <row r="21" spans="1:7" x14ac:dyDescent="0.2">
      <c r="A21" s="18"/>
      <c r="B21" s="18"/>
      <c r="C21" s="19"/>
      <c r="D21" s="6" t="s">
        <v>12</v>
      </c>
    </row>
    <row r="22" spans="1:7" x14ac:dyDescent="0.2">
      <c r="A22" s="18"/>
      <c r="B22" s="18"/>
      <c r="C22" s="19"/>
      <c r="D22" s="6" t="s">
        <v>13</v>
      </c>
    </row>
    <row r="23" spans="1:7" x14ac:dyDescent="0.2">
      <c r="A23" s="18"/>
      <c r="B23" s="18"/>
      <c r="C23" s="19"/>
      <c r="D23" s="6" t="s">
        <v>14</v>
      </c>
    </row>
    <row r="24" spans="1:7" x14ac:dyDescent="0.2">
      <c r="A24" s="18"/>
      <c r="B24" s="18"/>
      <c r="C24" s="19"/>
      <c r="D24" s="6" t="s">
        <v>15</v>
      </c>
    </row>
  </sheetData>
  <mergeCells count="11">
    <mergeCell ref="F3:G3"/>
    <mergeCell ref="F4:G4"/>
    <mergeCell ref="E16:F16"/>
    <mergeCell ref="E17:F17"/>
    <mergeCell ref="B2:C2"/>
    <mergeCell ref="F2:G2"/>
    <mergeCell ref="B19:C19"/>
    <mergeCell ref="B8:C8"/>
    <mergeCell ref="F5:G5"/>
    <mergeCell ref="E9:G9"/>
    <mergeCell ref="E10:F10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EnterValues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P. Rounds</dc:creator>
  <cp:lastModifiedBy>Prouty, Brace</cp:lastModifiedBy>
  <dcterms:created xsi:type="dcterms:W3CDTF">2006-08-04T14:02:53Z</dcterms:created>
  <dcterms:modified xsi:type="dcterms:W3CDTF">2023-02-10T19:47:46Z</dcterms:modified>
</cp:coreProperties>
</file>