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d\TPE\Cost Estimating Sheets\Updated Jan '23\"/>
    </mc:Choice>
  </mc:AlternateContent>
  <xr:revisionPtr revIDLastSave="0" documentId="13_ncr:1_{F29605E6-CA9F-4205-8B20-71C578DDB4DE}" xr6:coauthVersionLast="47" xr6:coauthVersionMax="47" xr10:uidLastSave="{00000000-0000-0000-0000-000000000000}"/>
  <bookViews>
    <workbookView xWindow="51480" yWindow="-120" windowWidth="29040" windowHeight="15720" xr2:uid="{00000000-000D-0000-FFFF-FFFF00000000}"/>
  </bookViews>
  <sheets>
    <sheet name="Sheet1" sheetId="1" r:id="rId1"/>
    <sheet name="Shld Wdn RSI" sheetId="4" r:id="rId2"/>
    <sheet name="Checklist" sheetId="2" r:id="rId3"/>
  </sheets>
  <definedNames>
    <definedName name="_xlnm.Print_Area" localSheetId="2">Checklist!$A$1:$K$60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1" l="1"/>
  <c r="B55" i="1"/>
  <c r="F25" i="1" l="1"/>
  <c r="F41" i="1" l="1"/>
  <c r="F14" i="1" l="1"/>
  <c r="F5" i="1"/>
  <c r="E6" i="1"/>
  <c r="L71" i="1" l="1"/>
  <c r="L72" i="1"/>
  <c r="L70" i="1"/>
  <c r="K71" i="1"/>
  <c r="K72" i="1"/>
  <c r="K70" i="1"/>
  <c r="L67" i="4"/>
  <c r="K67" i="4"/>
  <c r="J67" i="4"/>
  <c r="I67" i="4"/>
  <c r="M67" i="4" s="1"/>
  <c r="G67" i="4"/>
  <c r="F67" i="4"/>
  <c r="E67" i="4"/>
  <c r="D67" i="4"/>
  <c r="C67" i="4"/>
  <c r="B67" i="4"/>
  <c r="L66" i="4"/>
  <c r="K66" i="4"/>
  <c r="J66" i="4"/>
  <c r="I66" i="4"/>
  <c r="H66" i="4" s="1"/>
  <c r="G66" i="4"/>
  <c r="F66" i="4"/>
  <c r="E66" i="4"/>
  <c r="D66" i="4"/>
  <c r="C66" i="4"/>
  <c r="B66" i="4"/>
  <c r="L65" i="4"/>
  <c r="K65" i="4"/>
  <c r="J65" i="4"/>
  <c r="I65" i="4"/>
  <c r="I69" i="4" s="1"/>
  <c r="E14" i="4" s="1"/>
  <c r="F14" i="4" s="1"/>
  <c r="G65" i="4"/>
  <c r="F65" i="4"/>
  <c r="E65" i="4"/>
  <c r="D65" i="4"/>
  <c r="C65" i="4"/>
  <c r="B65" i="4"/>
  <c r="B60" i="4"/>
  <c r="E35" i="4" s="1"/>
  <c r="F35" i="4" s="1"/>
  <c r="F45" i="4"/>
  <c r="F44" i="4"/>
  <c r="F37" i="4"/>
  <c r="F33" i="4"/>
  <c r="F32" i="4"/>
  <c r="F28" i="4"/>
  <c r="F25" i="4"/>
  <c r="F9" i="4"/>
  <c r="F7" i="4"/>
  <c r="F6" i="4"/>
  <c r="F5" i="4"/>
  <c r="F4" i="4"/>
  <c r="F3" i="4"/>
  <c r="F2" i="4"/>
  <c r="F37" i="1"/>
  <c r="B65" i="1"/>
  <c r="J71" i="1"/>
  <c r="J72" i="1"/>
  <c r="J70" i="1"/>
  <c r="E33" i="1" l="1"/>
  <c r="E36" i="1"/>
  <c r="E17" i="4"/>
  <c r="F17" i="4" s="1"/>
  <c r="B69" i="4"/>
  <c r="E12" i="4" s="1"/>
  <c r="F69" i="4"/>
  <c r="E21" i="4" s="1"/>
  <c r="F21" i="4" s="1"/>
  <c r="C69" i="4"/>
  <c r="E23" i="4" s="1"/>
  <c r="F23" i="4" s="1"/>
  <c r="L69" i="4"/>
  <c r="E22" i="4" s="1"/>
  <c r="F22" i="4" s="1"/>
  <c r="H67" i="4"/>
  <c r="K69" i="4"/>
  <c r="E20" i="4" s="1"/>
  <c r="F20" i="4" s="1"/>
  <c r="E29" i="4"/>
  <c r="F29" i="4" s="1"/>
  <c r="G69" i="4"/>
  <c r="D69" i="4"/>
  <c r="E24" i="4" s="1"/>
  <c r="F24" i="4" s="1"/>
  <c r="M66" i="4"/>
  <c r="E16" i="4"/>
  <c r="F16" i="4" s="1"/>
  <c r="E34" i="4"/>
  <c r="F34" i="4" s="1"/>
  <c r="J69" i="4"/>
  <c r="E19" i="4" s="1"/>
  <c r="F19" i="4" s="1"/>
  <c r="E30" i="4"/>
  <c r="F30" i="4" s="1"/>
  <c r="H65" i="4"/>
  <c r="H69" i="4" s="1"/>
  <c r="E13" i="4" s="1"/>
  <c r="F13" i="4" s="1"/>
  <c r="E69" i="4"/>
  <c r="E18" i="4" s="1"/>
  <c r="F18" i="4" s="1"/>
  <c r="F12" i="4"/>
  <c r="E11" i="4"/>
  <c r="F11" i="4" s="1"/>
  <c r="E10" i="4"/>
  <c r="E36" i="4"/>
  <c r="F36" i="4" s="1"/>
  <c r="E31" i="4"/>
  <c r="F31" i="4" s="1"/>
  <c r="M65" i="4"/>
  <c r="E39" i="1"/>
  <c r="F18" i="1"/>
  <c r="F19" i="1"/>
  <c r="E32" i="1"/>
  <c r="F6" i="1"/>
  <c r="F7" i="1"/>
  <c r="E26" i="4" l="1"/>
  <c r="E27" i="4"/>
  <c r="M69" i="4"/>
  <c r="E15" i="4" s="1"/>
  <c r="F15" i="4" s="1"/>
  <c r="F10" i="4"/>
  <c r="E8" i="4"/>
  <c r="F8" i="4" s="1"/>
  <c r="F27" i="4" l="1"/>
  <c r="F26" i="4" s="1"/>
  <c r="F39" i="4" s="1"/>
  <c r="F40" i="4" s="1"/>
  <c r="F43" i="4" l="1"/>
  <c r="F42" i="4"/>
  <c r="F41" i="4"/>
  <c r="F2" i="1"/>
  <c r="F46" i="4" l="1"/>
  <c r="F3" i="1"/>
  <c r="F4" i="1"/>
  <c r="F8" i="1"/>
  <c r="F35" i="1"/>
  <c r="F32" i="1"/>
  <c r="F38" i="1"/>
  <c r="F49" i="1"/>
  <c r="F10" i="1"/>
  <c r="F28" i="1"/>
  <c r="F31" i="1"/>
  <c r="F36" i="1"/>
  <c r="F42" i="1"/>
  <c r="F33" i="1"/>
  <c r="F39" i="1"/>
  <c r="F40" i="1"/>
  <c r="F34" i="1"/>
  <c r="G70" i="1"/>
  <c r="G71" i="1"/>
  <c r="G72" i="1"/>
  <c r="B70" i="1"/>
  <c r="B71" i="1"/>
  <c r="B72" i="1"/>
  <c r="E70" i="1"/>
  <c r="E71" i="1"/>
  <c r="E72" i="1"/>
  <c r="F70" i="1"/>
  <c r="F71" i="1"/>
  <c r="F72" i="1"/>
  <c r="C70" i="1"/>
  <c r="C71" i="1"/>
  <c r="C72" i="1"/>
  <c r="D70" i="1"/>
  <c r="D71" i="1"/>
  <c r="D72" i="1"/>
  <c r="I70" i="1"/>
  <c r="H70" i="1" s="1"/>
  <c r="I71" i="1"/>
  <c r="M71" i="1" s="1"/>
  <c r="I72" i="1"/>
  <c r="H72" i="1" s="1"/>
  <c r="F50" i="1"/>
  <c r="M72" i="1" l="1"/>
  <c r="M70" i="1"/>
  <c r="B74" i="1"/>
  <c r="G74" i="1"/>
  <c r="J74" i="1"/>
  <c r="E21" i="1" s="1"/>
  <c r="F21" i="1" s="1"/>
  <c r="E74" i="1"/>
  <c r="E20" i="1" s="1"/>
  <c r="F20" i="1" s="1"/>
  <c r="D74" i="1"/>
  <c r="E27" i="1" s="1"/>
  <c r="F27" i="1" s="1"/>
  <c r="L74" i="1"/>
  <c r="E24" i="1" s="1"/>
  <c r="F24" i="1" s="1"/>
  <c r="H71" i="1"/>
  <c r="H74" i="1" s="1"/>
  <c r="E15" i="1" s="1"/>
  <c r="F15" i="1" s="1"/>
  <c r="C74" i="1"/>
  <c r="E26" i="1" s="1"/>
  <c r="F26" i="1" s="1"/>
  <c r="K74" i="1"/>
  <c r="E22" i="1" s="1"/>
  <c r="F22" i="1" s="1"/>
  <c r="F74" i="1"/>
  <c r="E23" i="1" s="1"/>
  <c r="F23" i="1" s="1"/>
  <c r="I74" i="1"/>
  <c r="E16" i="1" s="1"/>
  <c r="F16" i="1" s="1"/>
  <c r="M74" i="1" l="1"/>
  <c r="E17" i="1" s="1"/>
  <c r="F17" i="1" s="1"/>
  <c r="F12" i="1"/>
  <c r="E9" i="1"/>
  <c r="F9" i="1" s="1"/>
  <c r="F13" i="1"/>
  <c r="E30" i="1" l="1"/>
  <c r="F11" i="1"/>
  <c r="E29" i="1" s="1"/>
  <c r="F30" i="1" l="1"/>
  <c r="F29" i="1" l="1"/>
  <c r="F44" i="1" s="1"/>
  <c r="F45" i="1" s="1"/>
  <c r="F47" i="1" s="1"/>
  <c r="F46" i="1" l="1"/>
  <c r="F48" i="1"/>
  <c r="F51" i="1" l="1"/>
</calcChain>
</file>

<file path=xl/sharedStrings.xml><?xml version="1.0" encoding="utf-8"?>
<sst xmlns="http://schemas.openxmlformats.org/spreadsheetml/2006/main" count="382" uniqueCount="201">
  <si>
    <t>SBINbr</t>
  </si>
  <si>
    <t>Units</t>
  </si>
  <si>
    <t>Desc</t>
  </si>
  <si>
    <t>Unit Price</t>
  </si>
  <si>
    <t>Quantity</t>
  </si>
  <si>
    <t>Price</t>
  </si>
  <si>
    <t>LocType</t>
  </si>
  <si>
    <t>SysType</t>
  </si>
  <si>
    <t>Project Description</t>
  </si>
  <si>
    <t>notes</t>
  </si>
  <si>
    <t>Water for Granular Material</t>
  </si>
  <si>
    <t xml:space="preserve">260E1010 </t>
  </si>
  <si>
    <t>Base Course, Salvaged</t>
  </si>
  <si>
    <t xml:space="preserve">270E0040 </t>
  </si>
  <si>
    <t xml:space="preserve">Ton       </t>
  </si>
  <si>
    <t>Blotting Sand for Prime</t>
  </si>
  <si>
    <t>Hydrated Lime</t>
  </si>
  <si>
    <t>Sand for Flush Seal</t>
  </si>
  <si>
    <t>Incidental Work</t>
  </si>
  <si>
    <t>999E2250</t>
  </si>
  <si>
    <t>MILE</t>
  </si>
  <si>
    <t>AUX CONC SURF SECONDARY APP</t>
  </si>
  <si>
    <t>999E0004</t>
  </si>
  <si>
    <t>UNIT</t>
  </si>
  <si>
    <t>MAJOR STRUCTURES</t>
  </si>
  <si>
    <t>999E0001</t>
  </si>
  <si>
    <t>MOBILIZATION</t>
  </si>
  <si>
    <t>999E0002</t>
  </si>
  <si>
    <t>TRAFFIC CONTROL</t>
  </si>
  <si>
    <t>999E0100</t>
  </si>
  <si>
    <t>999E0101</t>
  </si>
  <si>
    <t>999E3701</t>
  </si>
  <si>
    <t>FENCING PRIMARY 2-LANES</t>
  </si>
  <si>
    <t>EACH</t>
  </si>
  <si>
    <t>Subtotal (prior year bid item costs)</t>
  </si>
  <si>
    <t>current year subtotal</t>
  </si>
  <si>
    <t>Contingency</t>
  </si>
  <si>
    <t>PE</t>
  </si>
  <si>
    <t>CE</t>
  </si>
  <si>
    <t>ROW (thousand $$)</t>
  </si>
  <si>
    <t>Utilities (thousand $$)</t>
  </si>
  <si>
    <t>total</t>
  </si>
  <si>
    <t>Total Estimate</t>
  </si>
  <si>
    <t>COMPUTATIONS</t>
  </si>
  <si>
    <t>Description</t>
  </si>
  <si>
    <t>Work Length (mi)</t>
  </si>
  <si>
    <t>Existing width (ft) - for Salvage</t>
  </si>
  <si>
    <t xml:space="preserve">Salvage depth (in) </t>
  </si>
  <si>
    <t xml:space="preserve">Proposed Blotter Width (feet) </t>
  </si>
  <si>
    <t>base course thickness (in)</t>
  </si>
  <si>
    <t>base course top width (ft)</t>
  </si>
  <si>
    <t>base course sluff width (ft) - 1 side</t>
  </si>
  <si>
    <t xml:space="preserve">AC Top Width (feet) </t>
  </si>
  <si>
    <t xml:space="preserve">Sluff Width (feet) </t>
  </si>
  <si>
    <t>Driving Width (feet) - for flush seal</t>
  </si>
  <si>
    <t>AC depth (in)</t>
  </si>
  <si>
    <t># lifts</t>
  </si>
  <si>
    <t>CALCULATIONS</t>
  </si>
  <si>
    <t>Salvage</t>
  </si>
  <si>
    <t>Asphalt for Blotter (AE 150 S)</t>
  </si>
  <si>
    <t>Cover Aggregate</t>
  </si>
  <si>
    <t>Asphalt for Prime</t>
  </si>
  <si>
    <t>Sand for Prime</t>
  </si>
  <si>
    <t>Base course</t>
  </si>
  <si>
    <t>Binder</t>
  </si>
  <si>
    <t>Asphalt Conc.</t>
  </si>
  <si>
    <t>Tack Asph</t>
  </si>
  <si>
    <t>Flush Asph</t>
  </si>
  <si>
    <t xml:space="preserve">Flush Sand </t>
  </si>
  <si>
    <t>Lime</t>
  </si>
  <si>
    <t>TOTALS</t>
  </si>
  <si>
    <t>Proposed Project Checklist</t>
  </si>
  <si>
    <t>Date:</t>
  </si>
  <si>
    <t>Initials:</t>
  </si>
  <si>
    <t>Project #:</t>
  </si>
  <si>
    <t>PCN:</t>
  </si>
  <si>
    <t>County:</t>
  </si>
  <si>
    <t>Hwy, MRM to MRM:</t>
  </si>
  <si>
    <t>Location:</t>
  </si>
  <si>
    <t>Improvement Type:</t>
  </si>
  <si>
    <t>Project Cost:</t>
  </si>
  <si>
    <t>Project Classification</t>
  </si>
  <si>
    <t>Grading</t>
  </si>
  <si>
    <t>Right of Way</t>
  </si>
  <si>
    <t>1R</t>
  </si>
  <si>
    <t>Rural</t>
  </si>
  <si>
    <t>ROW</t>
  </si>
  <si>
    <t>2R</t>
  </si>
  <si>
    <t>Urban</t>
  </si>
  <si>
    <t>Reservation</t>
  </si>
  <si>
    <t>3R</t>
  </si>
  <si>
    <t>ADA</t>
  </si>
  <si>
    <t>Forest Service</t>
  </si>
  <si>
    <t>4R</t>
  </si>
  <si>
    <t>Shoulder Widening</t>
  </si>
  <si>
    <t>Structure Approach</t>
  </si>
  <si>
    <t>Environmental</t>
  </si>
  <si>
    <t>Geometrics</t>
  </si>
  <si>
    <t xml:space="preserve">4f, 6f, Wetlands, Topeka Shiner, etc. </t>
  </si>
  <si>
    <t>Meets 3R Surface Width Criteria</t>
  </si>
  <si>
    <t>Traffic</t>
  </si>
  <si>
    <t xml:space="preserve">Roadway Lighting  </t>
  </si>
  <si>
    <t>Other Needs</t>
  </si>
  <si>
    <t xml:space="preserve">Traffic Signals  </t>
  </si>
  <si>
    <t>Guardrail</t>
  </si>
  <si>
    <t>Safety Module</t>
  </si>
  <si>
    <t>Traffic Analysis</t>
  </si>
  <si>
    <t>Railroad</t>
  </si>
  <si>
    <t>Slope Flattening</t>
  </si>
  <si>
    <t>Hydraulics</t>
  </si>
  <si>
    <t>Edge Drains</t>
  </si>
  <si>
    <t>Structures</t>
  </si>
  <si>
    <t>Pipe Work</t>
  </si>
  <si>
    <t>Bike Lanes</t>
  </si>
  <si>
    <t>RCBC Extension</t>
  </si>
  <si>
    <t>Repair Structure</t>
  </si>
  <si>
    <t>404 Permit</t>
  </si>
  <si>
    <t>Additional Information:</t>
  </si>
  <si>
    <t xml:space="preserve">120E6200 </t>
  </si>
  <si>
    <t xml:space="preserve">MGal      </t>
  </si>
  <si>
    <t>Base Course</t>
  </si>
  <si>
    <t xml:space="preserve">260E1030 </t>
  </si>
  <si>
    <t>Salvage and Stockpile Asphalt Mix and Granular Base Material</t>
  </si>
  <si>
    <t xml:space="preserve">330E0010 </t>
  </si>
  <si>
    <t>MC-70 Asphalt for Prime</t>
  </si>
  <si>
    <t xml:space="preserve">330E1000 </t>
  </si>
  <si>
    <t xml:space="preserve">360E0020 </t>
  </si>
  <si>
    <t>AE150S Asphalt for Surface Treatment</t>
  </si>
  <si>
    <t xml:space="preserve">360E1050 </t>
  </si>
  <si>
    <t>Type 3 Cover Aggregate</t>
  </si>
  <si>
    <t xml:space="preserve">320E4000 </t>
  </si>
  <si>
    <t xml:space="preserve">330E0100 </t>
  </si>
  <si>
    <t>SS-1h or CSS-1h Asphalt for Tack</t>
  </si>
  <si>
    <t xml:space="preserve">330E0210 </t>
  </si>
  <si>
    <t>SS-1h or CSS-1h Asphalt for Flush Seal</t>
  </si>
  <si>
    <t xml:space="preserve">330E2000 </t>
  </si>
  <si>
    <t xml:space="preserve">250E0010 </t>
  </si>
  <si>
    <t xml:space="preserve">LS        </t>
  </si>
  <si>
    <t xml:space="preserve">Each      </t>
  </si>
  <si>
    <t>999E3805</t>
  </si>
  <si>
    <t>BRIDGE END GUARD RAIL (NEW)</t>
  </si>
  <si>
    <t xml:space="preserve">120E0010 </t>
  </si>
  <si>
    <t xml:space="preserve">CuYd      </t>
  </si>
  <si>
    <t>Unclassified Excavation</t>
  </si>
  <si>
    <t xml:space="preserve">120E0400 </t>
  </si>
  <si>
    <t>Select Subgrade Topping</t>
  </si>
  <si>
    <t xml:space="preserve">120E0500 </t>
  </si>
  <si>
    <t>Option Borrow Excavation</t>
  </si>
  <si>
    <t xml:space="preserve">120E2000 </t>
  </si>
  <si>
    <t>Undercutting</t>
  </si>
  <si>
    <t xml:space="preserve">320E0005 </t>
  </si>
  <si>
    <t>PG 58-34 Asphalt Binder</t>
  </si>
  <si>
    <t xml:space="preserve">B/C Ratio = </t>
  </si>
  <si>
    <t>New Structure</t>
  </si>
  <si>
    <t xml:space="preserve">320E1202 </t>
  </si>
  <si>
    <t>Class Q2R Hot Mixed Asphalt Concrete</t>
  </si>
  <si>
    <t xml:space="preserve">120E1000 </t>
  </si>
  <si>
    <t>Muck Excavation</t>
  </si>
  <si>
    <t xml:space="preserve">120E1100 </t>
  </si>
  <si>
    <t>Unclassified/Rock Excavation</t>
  </si>
  <si>
    <t xml:space="preserve">320E7012 </t>
  </si>
  <si>
    <t xml:space="preserve">Mile      </t>
  </si>
  <si>
    <t>Grind 12" Rumble Strip or Stripe in Asphalt Concrete</t>
  </si>
  <si>
    <t>Total:</t>
  </si>
  <si>
    <t xml:space="preserve">320E7030 </t>
  </si>
  <si>
    <t>Grind Sinusoidal Centerline Rumble Stripe in Asphalt Concrete</t>
  </si>
  <si>
    <t>999E0045</t>
  </si>
  <si>
    <t>PERMANENT SIGNING Rural</t>
  </si>
  <si>
    <t>999E0049</t>
  </si>
  <si>
    <t>PAVEMENT MARKING Rural</t>
  </si>
  <si>
    <t>GRADE &amp; DRAIN Rural</t>
  </si>
  <si>
    <t>GRADE &amp; DRAIN HEAVY Rural</t>
  </si>
  <si>
    <t>999E0110</t>
  </si>
  <si>
    <t>999E0111</t>
  </si>
  <si>
    <t>999E3600</t>
  </si>
  <si>
    <t>EROSION CONTROL Rural or Shoulder Widen</t>
  </si>
  <si>
    <t>999E0104</t>
  </si>
  <si>
    <t>GRADE &amp; DRAIN Shoulder Widening</t>
  </si>
  <si>
    <t>999E0114</t>
  </si>
  <si>
    <t>999E0115</t>
  </si>
  <si>
    <t xml:space="preserve">600E0300 </t>
  </si>
  <si>
    <t>Type III Field Laboratory</t>
  </si>
  <si>
    <t># of Lanes</t>
  </si>
  <si>
    <t>DRAIN &amp; MISC Rural</t>
  </si>
  <si>
    <t>DRAIN &amp; MISC HEAVY Rural</t>
  </si>
  <si>
    <t>DRAIN &amp; MISC Shoulder Widen (Medium)</t>
  </si>
  <si>
    <t>DRAIN &amp; MISC Shoulder Widen (Light)</t>
  </si>
  <si>
    <t xml:space="preserve">120E0600 </t>
  </si>
  <si>
    <t>Contractor Furnished Borrow Excavation</t>
  </si>
  <si>
    <t xml:space="preserve">270E0210 </t>
  </si>
  <si>
    <t>Haul and Stockpile Granular Material</t>
  </si>
  <si>
    <t xml:space="preserve">999E4000 </t>
  </si>
  <si>
    <t xml:space="preserve">UNIT      </t>
  </si>
  <si>
    <t>ROADWAY LIGHTING</t>
  </si>
  <si>
    <t>2/9/23 BP</t>
  </si>
  <si>
    <t xml:space="preserve">332E0010 </t>
  </si>
  <si>
    <t xml:space="preserve">SqYd      </t>
  </si>
  <si>
    <t>Cold Milling Asphalt Concrete</t>
  </si>
  <si>
    <t>Most of the lighting is on SD248/08EH</t>
  </si>
  <si>
    <t>Major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</si>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</sst>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&quot;$&quot;#,##0.00"/>
  </numFmts>
  <fonts count="1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8" fillId="0" borderId="0"/>
    <xf numFmtId="0" fontId="2" fillId="0" borderId="0"/>
  </cellStyleXfs>
  <cellXfs count="13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4" fontId="8" fillId="0" borderId="1" xfId="3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right" vertical="center"/>
    </xf>
    <xf numFmtId="44" fontId="8" fillId="0" borderId="1" xfId="3" applyFont="1" applyBorder="1" applyAlignment="1">
      <alignment vertical="center"/>
    </xf>
    <xf numFmtId="0" fontId="5" fillId="0" borderId="0" xfId="7" applyFont="1" applyAlignment="1">
      <alignment vertical="center"/>
    </xf>
    <xf numFmtId="0" fontId="5" fillId="0" borderId="0" xfId="7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NumberFormat="1" applyFont="1" applyBorder="1" applyAlignment="1">
      <alignment vertical="center"/>
    </xf>
    <xf numFmtId="0" fontId="8" fillId="0" borderId="1" xfId="7" applyFont="1" applyBorder="1" applyAlignment="1">
      <alignment vertical="center"/>
    </xf>
    <xf numFmtId="0" fontId="8" fillId="0" borderId="0" xfId="0" applyFont="1" applyAlignment="1">
      <alignment vertical="center"/>
    </xf>
    <xf numFmtId="2" fontId="8" fillId="0" borderId="1" xfId="0" applyNumberFormat="1" applyFont="1" applyBorder="1" applyAlignment="1">
      <alignment horizontal="right" vertical="center"/>
    </xf>
    <xf numFmtId="0" fontId="8" fillId="0" borderId="0" xfId="7" applyFont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8" fillId="0" borderId="1" xfId="7" applyFont="1" applyBorder="1" applyAlignment="1">
      <alignment horizontal="left" vertical="center"/>
    </xf>
    <xf numFmtId="0" fontId="8" fillId="0" borderId="1" xfId="7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righ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4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10" fontId="7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0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44" fontId="0" fillId="0" borderId="1" xfId="0" applyNumberForma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44" fontId="8" fillId="0" borderId="2" xfId="3" applyFont="1" applyBorder="1" applyAlignment="1">
      <alignment horizontal="left" vertical="center"/>
    </xf>
    <xf numFmtId="2" fontId="8" fillId="0" borderId="2" xfId="7" applyNumberFormat="1" applyFont="1" applyBorder="1" applyAlignment="1">
      <alignment horizontal="right" vertical="center"/>
    </xf>
    <xf numFmtId="44" fontId="8" fillId="0" borderId="2" xfId="3" applyFont="1" applyBorder="1" applyAlignment="1">
      <alignment vertical="center"/>
    </xf>
    <xf numFmtId="0" fontId="5" fillId="0" borderId="3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/>
    </xf>
    <xf numFmtId="2" fontId="0" fillId="0" borderId="0" xfId="0" applyNumberFormat="1" applyBorder="1" applyAlignment="1">
      <alignment vertical="center"/>
    </xf>
    <xf numFmtId="2" fontId="8" fillId="0" borderId="1" xfId="1" applyNumberFormat="1" applyFont="1" applyBorder="1" applyAlignment="1">
      <alignment horizontal="right" vertical="center"/>
    </xf>
    <xf numFmtId="0" fontId="10" fillId="0" borderId="0" xfId="7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0" fillId="0" borderId="0" xfId="0" applyBorder="1"/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/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/>
    <xf numFmtId="0" fontId="8" fillId="0" borderId="1" xfId="0" applyFont="1" applyBorder="1" applyAlignment="1">
      <alignment horizontal="center" vertical="center"/>
    </xf>
    <xf numFmtId="0" fontId="12" fillId="0" borderId="0" xfId="0" applyFont="1" applyBorder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Border="1" applyAlignment="1"/>
    <xf numFmtId="165" fontId="7" fillId="0" borderId="2" xfId="0" applyNumberFormat="1" applyFont="1" applyBorder="1" applyAlignment="1">
      <alignment horizontal="left" vertical="center"/>
    </xf>
    <xf numFmtId="0" fontId="8" fillId="0" borderId="1" xfId="7" applyFont="1" applyBorder="1"/>
    <xf numFmtId="0" fontId="8" fillId="0" borderId="1" xfId="7" applyNumberFormat="1" applyFont="1" applyBorder="1"/>
    <xf numFmtId="0" fontId="14" fillId="0" borderId="0" xfId="0" applyFont="1" applyAlignment="1">
      <alignment vertical="center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/>
    </xf>
    <xf numFmtId="44" fontId="8" fillId="0" borderId="1" xfId="4" applyFont="1" applyBorder="1" applyAlignment="1">
      <alignment horizontal="left"/>
    </xf>
    <xf numFmtId="0" fontId="10" fillId="0" borderId="0" xfId="0" applyFont="1" applyAlignment="1">
      <alignment vertical="center"/>
    </xf>
    <xf numFmtId="44" fontId="8" fillId="0" borderId="1" xfId="4" applyBorder="1" applyAlignment="1">
      <alignment horizontal="left"/>
    </xf>
    <xf numFmtId="0" fontId="8" fillId="2" borderId="1" xfId="0" applyFont="1" applyFill="1" applyBorder="1" applyAlignment="1">
      <alignment horizontal="left" vertical="top"/>
    </xf>
    <xf numFmtId="44" fontId="8" fillId="2" borderId="1" xfId="0" applyNumberFormat="1" applyFont="1" applyFill="1" applyBorder="1" applyAlignment="1">
      <alignment vertical="top"/>
    </xf>
    <xf numFmtId="44" fontId="8" fillId="0" borderId="1" xfId="4" applyBorder="1" applyAlignment="1">
      <alignment horizontal="left" vertical="center"/>
    </xf>
    <xf numFmtId="0" fontId="1" fillId="0" borderId="1" xfId="7" applyFont="1" applyBorder="1"/>
    <xf numFmtId="44" fontId="1" fillId="0" borderId="1" xfId="3" applyFont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44" fontId="1" fillId="2" borderId="1" xfId="0" applyNumberFormat="1" applyFont="1" applyFill="1" applyBorder="1" applyAlignment="1">
      <alignment vertical="top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0" fontId="1" fillId="0" borderId="0" xfId="0" applyNumberFormat="1" applyFont="1" applyAlignment="1">
      <alignment vertical="center"/>
    </xf>
    <xf numFmtId="11" fontId="1" fillId="2" borderId="1" xfId="0" applyNumberFormat="1" applyFont="1" applyFill="1" applyBorder="1" applyAlignment="1">
      <alignment horizontal="left" vertical="top"/>
    </xf>
    <xf numFmtId="2" fontId="15" fillId="0" borderId="2" xfId="7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4" fontId="1" fillId="2" borderId="1" xfId="3" applyFont="1" applyFill="1" applyBorder="1" applyAlignment="1">
      <alignment horizontal="left"/>
    </xf>
    <xf numFmtId="0" fontId="0" fillId="0" borderId="16" xfId="0" applyBorder="1" applyAlignment="1">
      <alignment horizontal="right" vertical="center"/>
    </xf>
    <xf numFmtId="165" fontId="0" fillId="0" borderId="17" xfId="0" applyNumberFormat="1" applyBorder="1" applyAlignment="1">
      <alignment horizontal="center" vertical="center"/>
    </xf>
    <xf numFmtId="164" fontId="15" fillId="0" borderId="1" xfId="0" applyNumberFormat="1" applyFont="1" applyBorder="1" applyAlignment="1">
      <alignment vertical="center"/>
    </xf>
    <xf numFmtId="44" fontId="1" fillId="0" borderId="1" xfId="3" applyFont="1" applyFill="1" applyBorder="1" applyAlignment="1">
      <alignment horizontal="left"/>
    </xf>
    <xf numFmtId="0" fontId="1" fillId="0" borderId="1" xfId="7" applyFont="1" applyBorder="1" applyAlignment="1">
      <alignment vertical="center"/>
    </xf>
    <xf numFmtId="0" fontId="4" fillId="0" borderId="0" xfId="0" applyFont="1" applyAlignment="1">
      <alignment horizontal="left"/>
    </xf>
    <xf numFmtId="0" fontId="8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15" xfId="0" applyFont="1" applyBorder="1" applyAlignment="1">
      <alignment horizontal="left"/>
    </xf>
    <xf numFmtId="166" fontId="8" fillId="0" borderId="6" xfId="0" applyNumberFormat="1" applyFont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vertical="center"/>
    </xf>
  </cellXfs>
  <cellStyles count="8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Normal" xfId="0" builtinId="0"/>
    <cellStyle name="Normal 2" xfId="6" xr:uid="{00000000-0005-0000-0000-000006000000}"/>
    <cellStyle name="Normal_Sheet1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topLeftCell="A22" workbookViewId="0">
      <selection activeCell="B55" sqref="B55"/>
    </sheetView>
  </sheetViews>
  <sheetFormatPr defaultRowHeight="12.75" x14ac:dyDescent="0.2"/>
  <cols>
    <col min="1" max="1" width="13.28515625" style="9" customWidth="1"/>
    <col min="2" max="2" width="15" style="9" bestFit="1" customWidth="1"/>
    <col min="3" max="3" width="40.7109375" style="9" bestFit="1" customWidth="1"/>
    <col min="4" max="4" width="14.140625" style="9" bestFit="1" customWidth="1"/>
    <col min="5" max="5" width="15.28515625" style="9" customWidth="1"/>
    <col min="6" max="6" width="15" style="9" bestFit="1" customWidth="1"/>
    <col min="7" max="7" width="13.7109375" style="9" bestFit="1" customWidth="1"/>
    <col min="8" max="8" width="15.5703125" style="9" bestFit="1" customWidth="1"/>
    <col min="9" max="9" width="18.42578125" style="9" bestFit="1" customWidth="1"/>
    <col min="10" max="10" width="15.42578125" style="9" bestFit="1" customWidth="1"/>
    <col min="11" max="11" width="13.42578125" style="9" bestFit="1" customWidth="1"/>
    <col min="12" max="12" width="11" style="9" bestFit="1" customWidth="1"/>
    <col min="13" max="16384" width="9.140625" style="9"/>
  </cols>
  <sheetData>
    <row r="1" spans="1:10" s="2" customFormat="1" ht="13.5" thickBot="1" x14ac:dyDescent="0.2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9" t="s">
        <v>6</v>
      </c>
      <c r="H1" s="49" t="s">
        <v>7</v>
      </c>
      <c r="I1" s="50" t="s">
        <v>8</v>
      </c>
      <c r="J1" s="50" t="s">
        <v>9</v>
      </c>
    </row>
    <row r="2" spans="1:10" ht="13.5" thickTop="1" x14ac:dyDescent="0.2">
      <c r="A2" s="90" t="s">
        <v>141</v>
      </c>
      <c r="B2" s="90" t="s">
        <v>142</v>
      </c>
      <c r="C2" s="90" t="s">
        <v>143</v>
      </c>
      <c r="D2" s="91">
        <v>3.5</v>
      </c>
      <c r="E2" s="101">
        <v>1483159</v>
      </c>
      <c r="F2" s="47">
        <f t="shared" ref="F2:F12" si="0">E2*D2</f>
        <v>5191056.5</v>
      </c>
      <c r="G2" s="7"/>
      <c r="H2" s="7"/>
      <c r="I2" s="88"/>
      <c r="J2" s="8"/>
    </row>
    <row r="3" spans="1:10" x14ac:dyDescent="0.2">
      <c r="A3" s="90" t="s">
        <v>144</v>
      </c>
      <c r="B3" s="90" t="s">
        <v>142</v>
      </c>
      <c r="C3" s="90" t="s">
        <v>145</v>
      </c>
      <c r="D3" s="91">
        <v>7</v>
      </c>
      <c r="E3" s="101">
        <v>0</v>
      </c>
      <c r="F3" s="47">
        <f t="shared" si="0"/>
        <v>0</v>
      </c>
      <c r="G3" s="7"/>
      <c r="H3" s="7"/>
      <c r="I3" s="88"/>
      <c r="J3" s="8"/>
    </row>
    <row r="4" spans="1:10" x14ac:dyDescent="0.2">
      <c r="A4" s="90" t="s">
        <v>146</v>
      </c>
      <c r="B4" s="90" t="s">
        <v>142</v>
      </c>
      <c r="C4" s="90" t="s">
        <v>147</v>
      </c>
      <c r="D4" s="91">
        <v>5.5</v>
      </c>
      <c r="E4" s="101">
        <v>0</v>
      </c>
      <c r="F4" s="47">
        <f t="shared" si="0"/>
        <v>0</v>
      </c>
      <c r="G4" s="7"/>
      <c r="H4" s="7"/>
      <c r="I4" s="54"/>
      <c r="J4" s="8"/>
    </row>
    <row r="5" spans="1:10" x14ac:dyDescent="0.2">
      <c r="A5" s="90" t="s">
        <v>187</v>
      </c>
      <c r="B5" s="90" t="s">
        <v>142</v>
      </c>
      <c r="C5" s="90" t="s">
        <v>188</v>
      </c>
      <c r="D5" s="91">
        <v>15</v>
      </c>
      <c r="E5" s="101">
        <v>49500</v>
      </c>
      <c r="F5" s="47">
        <f t="shared" si="0"/>
        <v>742500</v>
      </c>
      <c r="G5" s="7"/>
      <c r="H5" s="7"/>
      <c r="I5" s="54"/>
      <c r="J5" s="8"/>
    </row>
    <row r="6" spans="1:10" x14ac:dyDescent="0.2">
      <c r="A6" s="103" t="s">
        <v>156</v>
      </c>
      <c r="B6" s="104" t="s">
        <v>142</v>
      </c>
      <c r="C6" s="104" t="s">
        <v>157</v>
      </c>
      <c r="D6" s="105">
        <v>6.7160000000000002</v>
      </c>
      <c r="E6" s="101">
        <f>1700+34100</f>
        <v>35800</v>
      </c>
      <c r="F6" s="47">
        <f t="shared" si="0"/>
        <v>240432.80000000002</v>
      </c>
      <c r="G6" s="7"/>
      <c r="H6" s="7"/>
      <c r="I6" s="54"/>
      <c r="J6" s="8"/>
    </row>
    <row r="7" spans="1:10" x14ac:dyDescent="0.2">
      <c r="A7" s="103" t="s">
        <v>158</v>
      </c>
      <c r="B7" s="104" t="s">
        <v>142</v>
      </c>
      <c r="C7" s="104" t="s">
        <v>159</v>
      </c>
      <c r="D7" s="105">
        <v>22.06</v>
      </c>
      <c r="E7" s="101">
        <v>0</v>
      </c>
      <c r="F7" s="47">
        <f t="shared" si="0"/>
        <v>0</v>
      </c>
      <c r="G7" s="7"/>
      <c r="H7" s="7"/>
      <c r="I7" s="54"/>
      <c r="J7" s="8"/>
    </row>
    <row r="8" spans="1:10" x14ac:dyDescent="0.2">
      <c r="A8" s="90" t="s">
        <v>148</v>
      </c>
      <c r="B8" s="90" t="s">
        <v>142</v>
      </c>
      <c r="C8" s="90" t="s">
        <v>149</v>
      </c>
      <c r="D8" s="91">
        <v>2</v>
      </c>
      <c r="E8" s="101">
        <v>230000</v>
      </c>
      <c r="F8" s="47">
        <f t="shared" si="0"/>
        <v>460000</v>
      </c>
      <c r="G8" s="7"/>
      <c r="H8" s="7"/>
      <c r="I8" s="54"/>
      <c r="J8" s="8"/>
    </row>
    <row r="9" spans="1:10" x14ac:dyDescent="0.2">
      <c r="A9" s="44" t="s">
        <v>118</v>
      </c>
      <c r="B9" s="44" t="s">
        <v>119</v>
      </c>
      <c r="C9" s="44" t="s">
        <v>10</v>
      </c>
      <c r="D9" s="45">
        <v>25.701000000000001</v>
      </c>
      <c r="E9" s="46">
        <f>0.012*(E11+E12)</f>
        <v>1762.26</v>
      </c>
      <c r="F9" s="47">
        <f>E9*D9</f>
        <v>45291.844259999998</v>
      </c>
      <c r="G9" s="7"/>
      <c r="H9" s="7"/>
      <c r="I9" s="54"/>
      <c r="J9" s="8"/>
    </row>
    <row r="10" spans="1:10" x14ac:dyDescent="0.2">
      <c r="A10" s="10" t="s">
        <v>136</v>
      </c>
      <c r="B10" s="11" t="s">
        <v>137</v>
      </c>
      <c r="C10" s="11" t="s">
        <v>18</v>
      </c>
      <c r="D10" s="4">
        <v>60410.597000000002</v>
      </c>
      <c r="E10" s="18">
        <v>2</v>
      </c>
      <c r="F10" s="6">
        <f>E10*D10</f>
        <v>120821.194</v>
      </c>
      <c r="G10" s="12"/>
      <c r="H10" s="12"/>
      <c r="J10" s="12"/>
    </row>
    <row r="11" spans="1:10" x14ac:dyDescent="0.2">
      <c r="A11" s="95" t="s">
        <v>11</v>
      </c>
      <c r="B11" s="95" t="s">
        <v>14</v>
      </c>
      <c r="C11" s="95" t="s">
        <v>120</v>
      </c>
      <c r="D11" s="96">
        <v>19.5</v>
      </c>
      <c r="E11" s="5">
        <v>1000</v>
      </c>
      <c r="F11" s="6">
        <f t="shared" si="0"/>
        <v>19500</v>
      </c>
      <c r="G11" s="7"/>
      <c r="H11" s="12"/>
      <c r="J11" s="12"/>
    </row>
    <row r="12" spans="1:10" x14ac:dyDescent="0.2">
      <c r="A12" s="95" t="s">
        <v>121</v>
      </c>
      <c r="B12" s="95" t="s">
        <v>14</v>
      </c>
      <c r="C12" s="95" t="s">
        <v>12</v>
      </c>
      <c r="D12" s="96">
        <v>8</v>
      </c>
      <c r="E12" s="5">
        <v>145855</v>
      </c>
      <c r="F12" s="6">
        <f t="shared" si="0"/>
        <v>1166840</v>
      </c>
      <c r="G12" s="7"/>
      <c r="H12" s="12"/>
      <c r="J12" s="12"/>
    </row>
    <row r="13" spans="1:10" x14ac:dyDescent="0.2">
      <c r="A13" s="95" t="s">
        <v>13</v>
      </c>
      <c r="B13" s="95" t="s">
        <v>14</v>
      </c>
      <c r="C13" s="95" t="s">
        <v>122</v>
      </c>
      <c r="D13" s="96">
        <v>8</v>
      </c>
      <c r="E13" s="13">
        <v>184190</v>
      </c>
      <c r="F13" s="6">
        <f t="shared" ref="F13:F32" si="1">E13*D13</f>
        <v>1473520</v>
      </c>
      <c r="G13" s="7"/>
      <c r="H13" s="12"/>
      <c r="I13" s="12"/>
      <c r="J13" s="12"/>
    </row>
    <row r="14" spans="1:10" x14ac:dyDescent="0.2">
      <c r="A14" s="95" t="s">
        <v>189</v>
      </c>
      <c r="B14" s="95" t="s">
        <v>14</v>
      </c>
      <c r="C14" s="95" t="s">
        <v>190</v>
      </c>
      <c r="D14" s="96">
        <v>8.8550000000000004</v>
      </c>
      <c r="E14" s="13">
        <v>39100</v>
      </c>
      <c r="F14" s="6">
        <f t="shared" si="1"/>
        <v>346230.5</v>
      </c>
      <c r="G14" s="7"/>
      <c r="H14" s="12"/>
      <c r="I14" s="12"/>
      <c r="J14" s="12"/>
    </row>
    <row r="15" spans="1:10" x14ac:dyDescent="0.2">
      <c r="A15" s="95" t="s">
        <v>150</v>
      </c>
      <c r="B15" s="95" t="s">
        <v>14</v>
      </c>
      <c r="C15" s="95" t="s">
        <v>151</v>
      </c>
      <c r="D15" s="96">
        <v>850</v>
      </c>
      <c r="E15" s="15">
        <f>H74</f>
        <v>0</v>
      </c>
      <c r="F15" s="6">
        <f>E15*D15</f>
        <v>0</v>
      </c>
      <c r="G15" s="12"/>
      <c r="H15" s="12"/>
      <c r="I15" s="12"/>
      <c r="J15" s="12"/>
    </row>
    <row r="16" spans="1:10" x14ac:dyDescent="0.2">
      <c r="A16" s="100" t="s">
        <v>154</v>
      </c>
      <c r="B16" s="95" t="s">
        <v>14</v>
      </c>
      <c r="C16" s="95" t="s">
        <v>155</v>
      </c>
      <c r="D16" s="96">
        <v>40</v>
      </c>
      <c r="E16" s="15">
        <f>I74</f>
        <v>0</v>
      </c>
      <c r="F16" s="6">
        <f>E16*D16</f>
        <v>0</v>
      </c>
      <c r="G16" s="12"/>
      <c r="H16" s="12"/>
      <c r="I16" s="12"/>
      <c r="J16" s="12"/>
    </row>
    <row r="17" spans="1:10" x14ac:dyDescent="0.2">
      <c r="A17" s="10" t="s">
        <v>130</v>
      </c>
      <c r="B17" s="11" t="s">
        <v>14</v>
      </c>
      <c r="C17" s="11" t="s">
        <v>16</v>
      </c>
      <c r="D17" s="4">
        <v>227.87100000000001</v>
      </c>
      <c r="E17" s="15">
        <f>M74</f>
        <v>0</v>
      </c>
      <c r="F17" s="6">
        <f>E17*D17</f>
        <v>0</v>
      </c>
      <c r="G17" s="12"/>
      <c r="H17" s="12"/>
      <c r="I17" s="12"/>
      <c r="J17" s="12"/>
    </row>
    <row r="18" spans="1:10" x14ac:dyDescent="0.2">
      <c r="A18" s="97" t="s">
        <v>160</v>
      </c>
      <c r="B18" s="98" t="s">
        <v>161</v>
      </c>
      <c r="C18" s="98" t="s">
        <v>162</v>
      </c>
      <c r="D18" s="94">
        <v>611.19600000000003</v>
      </c>
      <c r="E18" s="108">
        <v>0</v>
      </c>
      <c r="F18" s="6">
        <f t="shared" ref="F18:F19" si="2">E18*D18</f>
        <v>0</v>
      </c>
      <c r="G18" s="12"/>
      <c r="H18" s="12"/>
      <c r="I18" s="12"/>
      <c r="J18" s="12"/>
    </row>
    <row r="19" spans="1:10" x14ac:dyDescent="0.2">
      <c r="A19" s="97" t="s">
        <v>164</v>
      </c>
      <c r="B19" s="98" t="s">
        <v>161</v>
      </c>
      <c r="C19" s="98" t="s">
        <v>165</v>
      </c>
      <c r="D19" s="94">
        <v>913.755</v>
      </c>
      <c r="E19" s="108">
        <v>0</v>
      </c>
      <c r="F19" s="6">
        <f t="shared" si="2"/>
        <v>0</v>
      </c>
      <c r="G19" s="12"/>
      <c r="H19" s="12"/>
      <c r="I19" s="12"/>
      <c r="J19" s="12"/>
    </row>
    <row r="20" spans="1:10" x14ac:dyDescent="0.2">
      <c r="A20" s="10" t="s">
        <v>123</v>
      </c>
      <c r="B20" s="11" t="s">
        <v>14</v>
      </c>
      <c r="C20" s="11" t="s">
        <v>124</v>
      </c>
      <c r="D20" s="4">
        <v>1104.5250000000001</v>
      </c>
      <c r="E20" s="5">
        <f>E74</f>
        <v>302.41199999999998</v>
      </c>
      <c r="F20" s="6">
        <f t="shared" si="1"/>
        <v>334021.61430000002</v>
      </c>
      <c r="G20" s="14"/>
      <c r="H20" s="12"/>
      <c r="I20" s="12"/>
      <c r="J20" s="12"/>
    </row>
    <row r="21" spans="1:10" x14ac:dyDescent="0.2">
      <c r="A21" s="97" t="s">
        <v>131</v>
      </c>
      <c r="B21" s="98" t="s">
        <v>14</v>
      </c>
      <c r="C21" s="98" t="s">
        <v>132</v>
      </c>
      <c r="D21" s="94">
        <v>810.02200000000005</v>
      </c>
      <c r="E21" s="15">
        <f>J74</f>
        <v>0</v>
      </c>
      <c r="F21" s="6">
        <f>E21*D21</f>
        <v>0</v>
      </c>
      <c r="G21" s="12"/>
      <c r="H21" s="12"/>
      <c r="I21" s="12"/>
      <c r="J21" s="12"/>
    </row>
    <row r="22" spans="1:10" x14ac:dyDescent="0.2">
      <c r="A22" s="10" t="s">
        <v>133</v>
      </c>
      <c r="B22" s="11" t="s">
        <v>14</v>
      </c>
      <c r="C22" s="11" t="s">
        <v>134</v>
      </c>
      <c r="D22" s="4">
        <v>1061.019</v>
      </c>
      <c r="E22" s="15">
        <f>K74</f>
        <v>0</v>
      </c>
      <c r="F22" s="6">
        <f>E22*D22</f>
        <v>0</v>
      </c>
      <c r="G22" s="12"/>
      <c r="H22" s="12"/>
      <c r="I22" s="12"/>
      <c r="J22" s="12"/>
    </row>
    <row r="23" spans="1:10" x14ac:dyDescent="0.2">
      <c r="A23" s="10" t="s">
        <v>125</v>
      </c>
      <c r="B23" s="11" t="s">
        <v>14</v>
      </c>
      <c r="C23" s="11" t="s">
        <v>15</v>
      </c>
      <c r="D23" s="4">
        <v>54.814999999999998</v>
      </c>
      <c r="E23" s="5">
        <f>F74</f>
        <v>918.7095599999999</v>
      </c>
      <c r="F23" s="6">
        <f t="shared" si="1"/>
        <v>50359.064531399992</v>
      </c>
      <c r="G23" s="12"/>
      <c r="H23" s="12"/>
      <c r="I23" s="12"/>
      <c r="J23" s="12"/>
    </row>
    <row r="24" spans="1:10" x14ac:dyDescent="0.2">
      <c r="A24" s="10" t="s">
        <v>135</v>
      </c>
      <c r="B24" s="11" t="s">
        <v>14</v>
      </c>
      <c r="C24" s="11" t="s">
        <v>17</v>
      </c>
      <c r="D24" s="4">
        <v>58.426000000000002</v>
      </c>
      <c r="E24" s="15">
        <f>L74</f>
        <v>0</v>
      </c>
      <c r="F24" s="6">
        <f>E24*D24</f>
        <v>0</v>
      </c>
      <c r="G24" s="12"/>
      <c r="H24" s="12"/>
      <c r="I24" s="12"/>
      <c r="J24" s="12"/>
    </row>
    <row r="25" spans="1:10" x14ac:dyDescent="0.2">
      <c r="A25" s="10" t="s">
        <v>195</v>
      </c>
      <c r="B25" s="11" t="s">
        <v>196</v>
      </c>
      <c r="C25" s="11" t="s">
        <v>197</v>
      </c>
      <c r="D25" s="4">
        <v>1.022</v>
      </c>
      <c r="E25" s="15">
        <v>82318</v>
      </c>
      <c r="F25" s="6">
        <f>E25*D25</f>
        <v>84128.995999999999</v>
      </c>
      <c r="G25" s="12"/>
      <c r="H25" s="12"/>
      <c r="I25" s="12"/>
      <c r="J25" s="12"/>
    </row>
    <row r="26" spans="1:10" x14ac:dyDescent="0.2">
      <c r="A26" s="10" t="s">
        <v>126</v>
      </c>
      <c r="B26" s="11" t="s">
        <v>14</v>
      </c>
      <c r="C26" s="3" t="s">
        <v>127</v>
      </c>
      <c r="D26" s="4">
        <v>846.428</v>
      </c>
      <c r="E26" s="15">
        <f>C74</f>
        <v>273.32963999999998</v>
      </c>
      <c r="F26" s="6">
        <f t="shared" si="1"/>
        <v>231353.86052592</v>
      </c>
      <c r="G26" s="12"/>
      <c r="H26" s="12"/>
      <c r="I26" s="12"/>
      <c r="J26" s="12"/>
    </row>
    <row r="27" spans="1:10" x14ac:dyDescent="0.2">
      <c r="A27" s="10" t="s">
        <v>128</v>
      </c>
      <c r="B27" s="11" t="s">
        <v>14</v>
      </c>
      <c r="C27" s="16" t="s">
        <v>129</v>
      </c>
      <c r="D27" s="4">
        <v>44.481999999999999</v>
      </c>
      <c r="E27" s="15">
        <f>D74</f>
        <v>3674.8695599999996</v>
      </c>
      <c r="F27" s="6">
        <f t="shared" si="1"/>
        <v>163465.54776791998</v>
      </c>
      <c r="G27" s="12"/>
      <c r="H27" s="12"/>
      <c r="I27" s="12"/>
      <c r="J27" s="12"/>
    </row>
    <row r="28" spans="1:10" x14ac:dyDescent="0.2">
      <c r="A28" s="10" t="s">
        <v>180</v>
      </c>
      <c r="B28" s="11" t="s">
        <v>138</v>
      </c>
      <c r="C28" s="11" t="s">
        <v>181</v>
      </c>
      <c r="D28" s="4">
        <v>14185.838</v>
      </c>
      <c r="E28" s="18">
        <v>1</v>
      </c>
      <c r="F28" s="6">
        <f>E28*D28</f>
        <v>14185.838</v>
      </c>
      <c r="G28" s="12"/>
      <c r="H28" s="12"/>
      <c r="I28" s="12"/>
      <c r="J28" s="12"/>
    </row>
    <row r="29" spans="1:10" x14ac:dyDescent="0.2">
      <c r="A29" s="10" t="s">
        <v>25</v>
      </c>
      <c r="B29" s="11" t="s">
        <v>23</v>
      </c>
      <c r="C29" s="11" t="s">
        <v>26</v>
      </c>
      <c r="D29" s="4">
        <v>1000</v>
      </c>
      <c r="E29" s="53">
        <f>0.07/1000*SUM(F2:F28,F31:F42)*1.0277</f>
        <v>1132.5446846969451</v>
      </c>
      <c r="F29" s="6">
        <f>E29*D29</f>
        <v>1132544.6846969451</v>
      </c>
      <c r="G29" s="12"/>
      <c r="H29" s="12"/>
      <c r="I29" s="12"/>
      <c r="J29" s="12"/>
    </row>
    <row r="30" spans="1:10" x14ac:dyDescent="0.2">
      <c r="A30" s="10" t="s">
        <v>27</v>
      </c>
      <c r="B30" s="11" t="s">
        <v>23</v>
      </c>
      <c r="C30" s="11" t="s">
        <v>28</v>
      </c>
      <c r="D30" s="4">
        <v>1000</v>
      </c>
      <c r="E30" s="102">
        <f>0.035/1000*SUM(F2:F28,F31:F42)*1.1</f>
        <v>606.11032069993166</v>
      </c>
      <c r="F30" s="6">
        <f>E30*D30</f>
        <v>606110.3206999317</v>
      </c>
      <c r="G30" s="12"/>
      <c r="H30" s="12"/>
      <c r="I30" s="12"/>
      <c r="J30" s="12"/>
    </row>
    <row r="31" spans="1:10" x14ac:dyDescent="0.2">
      <c r="A31" s="17" t="s">
        <v>22</v>
      </c>
      <c r="B31" s="11" t="s">
        <v>23</v>
      </c>
      <c r="C31" s="11" t="s">
        <v>24</v>
      </c>
      <c r="D31" s="4">
        <v>1000</v>
      </c>
      <c r="E31" s="18">
        <v>327</v>
      </c>
      <c r="F31" s="6">
        <f>E31*D31</f>
        <v>327000</v>
      </c>
      <c r="G31" s="12"/>
      <c r="H31" s="12"/>
      <c r="I31" s="84"/>
      <c r="J31" s="12"/>
    </row>
    <row r="32" spans="1:10" x14ac:dyDescent="0.2">
      <c r="A32" s="82" t="s">
        <v>166</v>
      </c>
      <c r="B32" s="82" t="s">
        <v>20</v>
      </c>
      <c r="C32" s="82" t="s">
        <v>167</v>
      </c>
      <c r="D32" s="89">
        <v>5000</v>
      </c>
      <c r="E32" s="108">
        <f>$B$65</f>
        <v>8.6999999999999993</v>
      </c>
      <c r="F32" s="6">
        <f t="shared" si="1"/>
        <v>43500</v>
      </c>
      <c r="G32" s="12"/>
      <c r="H32" s="12"/>
      <c r="I32" s="84"/>
      <c r="J32" s="12"/>
    </row>
    <row r="33" spans="1:10" x14ac:dyDescent="0.2">
      <c r="A33" s="83" t="s">
        <v>168</v>
      </c>
      <c r="B33" s="82" t="s">
        <v>20</v>
      </c>
      <c r="C33" s="82" t="s">
        <v>169</v>
      </c>
      <c r="D33" s="87">
        <v>2349.7080000000001</v>
      </c>
      <c r="E33" s="108">
        <f>$B$65</f>
        <v>8.6999999999999993</v>
      </c>
      <c r="F33" s="6">
        <f>E33*D33</f>
        <v>20442.459599999998</v>
      </c>
      <c r="G33" s="12"/>
      <c r="H33" s="12"/>
      <c r="I33" s="12"/>
      <c r="J33" s="12"/>
    </row>
    <row r="34" spans="1:10" x14ac:dyDescent="0.2">
      <c r="A34" s="17" t="s">
        <v>29</v>
      </c>
      <c r="B34" s="11" t="s">
        <v>20</v>
      </c>
      <c r="C34" s="11" t="s">
        <v>170</v>
      </c>
      <c r="D34" s="89">
        <v>738472.64599999995</v>
      </c>
      <c r="E34" s="108">
        <v>0</v>
      </c>
      <c r="F34" s="6">
        <f t="shared" ref="F34:F42" si="3">E34*D34</f>
        <v>0</v>
      </c>
      <c r="G34" s="12"/>
      <c r="H34" s="12"/>
      <c r="I34" s="12"/>
      <c r="J34" s="12"/>
    </row>
    <row r="35" spans="1:10" x14ac:dyDescent="0.2">
      <c r="A35" s="17" t="s">
        <v>30</v>
      </c>
      <c r="B35" s="11" t="s">
        <v>20</v>
      </c>
      <c r="C35" s="11" t="s">
        <v>171</v>
      </c>
      <c r="D35" s="89">
        <v>2321238.8390000002</v>
      </c>
      <c r="E35" s="108">
        <v>0</v>
      </c>
      <c r="F35" s="6">
        <f t="shared" si="3"/>
        <v>0</v>
      </c>
      <c r="G35" s="12"/>
      <c r="H35" s="12"/>
      <c r="I35" s="84"/>
      <c r="J35" s="12"/>
    </row>
    <row r="36" spans="1:10" x14ac:dyDescent="0.2">
      <c r="A36" s="17" t="s">
        <v>172</v>
      </c>
      <c r="B36" s="11" t="s">
        <v>20</v>
      </c>
      <c r="C36" s="110" t="s">
        <v>183</v>
      </c>
      <c r="D36" s="89">
        <v>395764.73700000002</v>
      </c>
      <c r="E36" s="108">
        <f>B65</f>
        <v>8.6999999999999993</v>
      </c>
      <c r="F36" s="6">
        <f t="shared" si="3"/>
        <v>3443153.2119</v>
      </c>
      <c r="G36" s="12"/>
      <c r="H36" s="12"/>
      <c r="I36" s="12"/>
      <c r="J36" s="12"/>
    </row>
    <row r="37" spans="1:10" x14ac:dyDescent="0.2">
      <c r="A37" s="17" t="s">
        <v>173</v>
      </c>
      <c r="B37" s="11" t="s">
        <v>20</v>
      </c>
      <c r="C37" s="110" t="s">
        <v>184</v>
      </c>
      <c r="D37" s="89">
        <v>748147.75199999998</v>
      </c>
      <c r="E37" s="108">
        <v>0</v>
      </c>
      <c r="F37" s="6">
        <f t="shared" si="3"/>
        <v>0</v>
      </c>
      <c r="G37" s="12"/>
      <c r="H37" s="12"/>
      <c r="I37" s="12"/>
      <c r="J37" s="12"/>
    </row>
    <row r="38" spans="1:10" x14ac:dyDescent="0.2">
      <c r="A38" s="10" t="s">
        <v>19</v>
      </c>
      <c r="B38" s="11" t="s">
        <v>20</v>
      </c>
      <c r="C38" s="11" t="s">
        <v>21</v>
      </c>
      <c r="D38" s="92">
        <v>8538.8760000000002</v>
      </c>
      <c r="E38" s="108">
        <v>0</v>
      </c>
      <c r="F38" s="6">
        <f>E38*D38</f>
        <v>0</v>
      </c>
      <c r="G38" s="12"/>
      <c r="H38" s="12"/>
      <c r="I38" s="12"/>
      <c r="J38" s="12"/>
    </row>
    <row r="39" spans="1:10" x14ac:dyDescent="0.2">
      <c r="A39" s="93" t="s">
        <v>174</v>
      </c>
      <c r="B39" s="93" t="s">
        <v>20</v>
      </c>
      <c r="C39" s="93" t="s">
        <v>175</v>
      </c>
      <c r="D39" s="94">
        <v>95217.058000000005</v>
      </c>
      <c r="E39" s="108">
        <f>$B$65</f>
        <v>8.6999999999999993</v>
      </c>
      <c r="F39" s="6">
        <f t="shared" si="3"/>
        <v>828388.40460000001</v>
      </c>
      <c r="G39" s="12"/>
      <c r="H39" s="12"/>
      <c r="I39" s="12"/>
      <c r="J39" s="12"/>
    </row>
    <row r="40" spans="1:10" x14ac:dyDescent="0.2">
      <c r="A40" s="10" t="s">
        <v>31</v>
      </c>
      <c r="B40" s="11" t="s">
        <v>20</v>
      </c>
      <c r="C40" s="3" t="s">
        <v>32</v>
      </c>
      <c r="D40" s="4">
        <v>41026.824999999997</v>
      </c>
      <c r="E40" s="108">
        <v>8.6999999999999993</v>
      </c>
      <c r="F40" s="6">
        <f t="shared" si="3"/>
        <v>356933.37749999994</v>
      </c>
      <c r="G40" s="12"/>
      <c r="H40" s="12"/>
      <c r="I40" s="12"/>
      <c r="J40" s="12"/>
    </row>
    <row r="41" spans="1:10" x14ac:dyDescent="0.2">
      <c r="A41" s="10" t="s">
        <v>191</v>
      </c>
      <c r="B41" s="11" t="s">
        <v>192</v>
      </c>
      <c r="C41" s="3" t="s">
        <v>193</v>
      </c>
      <c r="D41" s="4">
        <v>1000</v>
      </c>
      <c r="E41" s="108">
        <v>40</v>
      </c>
      <c r="F41" s="6">
        <f t="shared" si="3"/>
        <v>40000</v>
      </c>
      <c r="G41" s="130" t="s">
        <v>198</v>
      </c>
      <c r="H41" s="12"/>
      <c r="I41" s="12"/>
      <c r="J41" s="12"/>
    </row>
    <row r="42" spans="1:10" x14ac:dyDescent="0.2">
      <c r="A42" s="17" t="s">
        <v>139</v>
      </c>
      <c r="B42" s="11" t="s">
        <v>33</v>
      </c>
      <c r="C42" s="11" t="s">
        <v>140</v>
      </c>
      <c r="D42" s="4">
        <v>53436.775000000001</v>
      </c>
      <c r="E42" s="18">
        <v>0</v>
      </c>
      <c r="F42" s="6">
        <f t="shared" si="3"/>
        <v>0</v>
      </c>
      <c r="G42" s="12"/>
      <c r="H42" s="12"/>
      <c r="I42" s="12"/>
      <c r="J42" s="12"/>
    </row>
    <row r="43" spans="1:10" x14ac:dyDescent="0.2">
      <c r="A43" s="19"/>
    </row>
    <row r="44" spans="1:10" x14ac:dyDescent="0.2">
      <c r="A44" s="19"/>
      <c r="D44" s="20" t="s">
        <v>34</v>
      </c>
      <c r="F44" s="21">
        <f>SUM(F2:F42)</f>
        <v>17481780.218382116</v>
      </c>
    </row>
    <row r="45" spans="1:10" x14ac:dyDescent="0.2">
      <c r="A45" s="19"/>
      <c r="D45" s="20" t="s">
        <v>35</v>
      </c>
      <c r="E45" s="22">
        <v>0</v>
      </c>
      <c r="F45" s="21">
        <f>F44*(1+E45)</f>
        <v>17481780.218382116</v>
      </c>
    </row>
    <row r="46" spans="1:10" x14ac:dyDescent="0.2">
      <c r="A46" s="19"/>
      <c r="D46" s="9" t="s">
        <v>36</v>
      </c>
      <c r="E46" s="23">
        <v>0.05</v>
      </c>
      <c r="F46" s="21">
        <f>E46*F45</f>
        <v>874089.01091910584</v>
      </c>
    </row>
    <row r="47" spans="1:10" ht="15.75" x14ac:dyDescent="0.2">
      <c r="A47" s="19"/>
      <c r="D47" s="24" t="s">
        <v>37</v>
      </c>
      <c r="E47" s="99">
        <v>5.5E-2</v>
      </c>
      <c r="F47" s="21">
        <f>E47*F45</f>
        <v>961497.91201101639</v>
      </c>
    </row>
    <row r="48" spans="1:10" ht="15.75" x14ac:dyDescent="0.2">
      <c r="A48" s="19"/>
      <c r="C48" s="20"/>
      <c r="D48" s="24" t="s">
        <v>38</v>
      </c>
      <c r="E48" s="25">
        <v>3.5000000000000003E-2</v>
      </c>
      <c r="F48" s="21">
        <f>E48*F45</f>
        <v>611862.30764337408</v>
      </c>
    </row>
    <row r="49" spans="1:13" ht="15.75" x14ac:dyDescent="0.2">
      <c r="A49" s="19"/>
      <c r="D49" s="24" t="s">
        <v>39</v>
      </c>
      <c r="E49" s="26">
        <v>125</v>
      </c>
      <c r="F49" s="21">
        <f>1000*E49</f>
        <v>125000</v>
      </c>
      <c r="H49" s="84"/>
      <c r="J49" s="12"/>
    </row>
    <row r="50" spans="1:13" ht="15.75" x14ac:dyDescent="0.2">
      <c r="A50" s="19"/>
      <c r="D50" s="24" t="s">
        <v>40</v>
      </c>
      <c r="E50" s="26">
        <v>200</v>
      </c>
      <c r="F50" s="21">
        <f>1000*E50</f>
        <v>200000</v>
      </c>
    </row>
    <row r="51" spans="1:13" ht="15.75" x14ac:dyDescent="0.2">
      <c r="A51" s="19" t="s">
        <v>41</v>
      </c>
      <c r="D51" s="24" t="s">
        <v>42</v>
      </c>
      <c r="F51" s="27">
        <f>SUM(F45:F50)</f>
        <v>20254229.44895561</v>
      </c>
      <c r="H51" s="84" t="s">
        <v>194</v>
      </c>
    </row>
    <row r="52" spans="1:13" x14ac:dyDescent="0.2">
      <c r="A52" s="19"/>
    </row>
    <row r="53" spans="1:13" x14ac:dyDescent="0.2">
      <c r="C53" s="84"/>
    </row>
    <row r="54" spans="1:13" x14ac:dyDescent="0.2">
      <c r="A54" s="19" t="s">
        <v>199</v>
      </c>
      <c r="B54" s="21">
        <f>F51-B55</f>
        <v>19703075.956897214</v>
      </c>
      <c r="C54" s="84"/>
    </row>
    <row r="55" spans="1:13" x14ac:dyDescent="0.2">
      <c r="A55" s="19" t="s">
        <v>200</v>
      </c>
      <c r="B55" s="21">
        <f>((1250/5280)/8.7)*F51</f>
        <v>551153.49205839681</v>
      </c>
      <c r="C55" s="84"/>
    </row>
    <row r="56" spans="1:13" x14ac:dyDescent="0.2">
      <c r="A56" s="19"/>
      <c r="B56" s="21"/>
      <c r="C56" s="84"/>
    </row>
    <row r="57" spans="1:13" x14ac:dyDescent="0.2">
      <c r="A57" s="19"/>
      <c r="F57" s="21"/>
    </row>
    <row r="58" spans="1:13" ht="18" x14ac:dyDescent="0.2">
      <c r="A58" s="28" t="s">
        <v>43</v>
      </c>
    </row>
    <row r="59" spans="1:13" x14ac:dyDescent="0.2">
      <c r="A59" s="19"/>
    </row>
    <row r="60" spans="1:13" s="1" customFormat="1" ht="39" customHeight="1" thickBot="1" x14ac:dyDescent="0.25">
      <c r="A60" s="39" t="s">
        <v>44</v>
      </c>
      <c r="B60" s="40" t="s">
        <v>45</v>
      </c>
      <c r="C60" s="39" t="s">
        <v>46</v>
      </c>
      <c r="D60" s="39" t="s">
        <v>47</v>
      </c>
      <c r="E60" s="39" t="s">
        <v>48</v>
      </c>
      <c r="F60" s="39" t="s">
        <v>49</v>
      </c>
      <c r="G60" s="39" t="s">
        <v>50</v>
      </c>
      <c r="H60" s="39" t="s">
        <v>51</v>
      </c>
      <c r="I60" s="39" t="s">
        <v>52</v>
      </c>
      <c r="J60" s="39" t="s">
        <v>53</v>
      </c>
      <c r="K60" s="39" t="s">
        <v>182</v>
      </c>
      <c r="L60" s="39" t="s">
        <v>55</v>
      </c>
      <c r="M60" s="39" t="s">
        <v>56</v>
      </c>
    </row>
    <row r="61" spans="1:13" x14ac:dyDescent="0.2">
      <c r="A61" s="38"/>
      <c r="B61" s="81">
        <v>8.6999999999999993</v>
      </c>
      <c r="C61" s="38">
        <v>29</v>
      </c>
      <c r="D61" s="38">
        <v>14</v>
      </c>
      <c r="E61" s="38">
        <v>36</v>
      </c>
      <c r="F61" s="38">
        <v>12</v>
      </c>
      <c r="G61" s="38">
        <v>36</v>
      </c>
      <c r="H61" s="38">
        <v>7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</row>
    <row r="62" spans="1:13" x14ac:dyDescent="0.2">
      <c r="A62" s="29"/>
      <c r="B62" s="51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</row>
    <row r="63" spans="1:13" x14ac:dyDescent="0.2">
      <c r="A63" s="29"/>
      <c r="B63" s="51">
        <v>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</row>
    <row r="64" spans="1:13" ht="13.5" thickBot="1" x14ac:dyDescent="0.25">
      <c r="B64" s="52"/>
      <c r="C64" s="31"/>
      <c r="D64" s="31"/>
      <c r="E64" s="31"/>
      <c r="F64" s="31"/>
      <c r="G64" s="31"/>
    </row>
    <row r="65" spans="1:13" ht="13.5" thickBot="1" x14ac:dyDescent="0.25">
      <c r="A65" s="106" t="s">
        <v>163</v>
      </c>
      <c r="B65" s="107">
        <f>SUM(B61:B63)</f>
        <v>8.6999999999999993</v>
      </c>
      <c r="C65" s="31"/>
      <c r="D65" s="31"/>
      <c r="E65" s="31"/>
      <c r="F65" s="31"/>
      <c r="G65" s="31"/>
    </row>
    <row r="66" spans="1:13" x14ac:dyDescent="0.2">
      <c r="B66" s="30"/>
      <c r="C66" s="31"/>
      <c r="D66" s="31"/>
      <c r="E66" s="31"/>
      <c r="F66" s="31"/>
      <c r="G66" s="31"/>
    </row>
    <row r="68" spans="1:13" x14ac:dyDescent="0.2">
      <c r="A68" s="32" t="s">
        <v>57</v>
      </c>
      <c r="B68" s="32"/>
      <c r="C68" s="32"/>
    </row>
    <row r="69" spans="1:13" s="37" customFormat="1" ht="13.5" thickBot="1" x14ac:dyDescent="0.25">
      <c r="A69" s="39" t="s">
        <v>44</v>
      </c>
      <c r="B69" s="43" t="s">
        <v>58</v>
      </c>
      <c r="C69" s="43" t="s">
        <v>59</v>
      </c>
      <c r="D69" s="43" t="s">
        <v>60</v>
      </c>
      <c r="E69" s="43" t="s">
        <v>61</v>
      </c>
      <c r="F69" s="43" t="s">
        <v>62</v>
      </c>
      <c r="G69" s="43" t="s">
        <v>63</v>
      </c>
      <c r="H69" s="43" t="s">
        <v>64</v>
      </c>
      <c r="I69" s="43" t="s">
        <v>65</v>
      </c>
      <c r="J69" s="43" t="s">
        <v>66</v>
      </c>
      <c r="K69" s="43" t="s">
        <v>67</v>
      </c>
      <c r="L69" s="43" t="s">
        <v>68</v>
      </c>
      <c r="M69" s="43" t="s">
        <v>69</v>
      </c>
    </row>
    <row r="70" spans="1:13" x14ac:dyDescent="0.2">
      <c r="A70" s="38"/>
      <c r="B70" s="41">
        <f>30.8*B61*C61*D61</f>
        <v>108791.76</v>
      </c>
      <c r="C70" s="42">
        <f>0.8727*E61*B61</f>
        <v>273.32963999999998</v>
      </c>
      <c r="D70" s="42">
        <f>11.7333*E61*B61</f>
        <v>3674.8695599999996</v>
      </c>
      <c r="E70" s="42">
        <f>IF(G61=0,0,0.6952*B61*(G61+H61*2))</f>
        <v>302.41199999999998</v>
      </c>
      <c r="F70" s="42">
        <f>IF(E61=0,0,2.9333*B61*(E61))</f>
        <v>918.7095599999999</v>
      </c>
      <c r="G70" s="42">
        <f>30.8*F61*B61*(G61+H61)</f>
        <v>138267.35999999999</v>
      </c>
      <c r="H70" s="42">
        <f>I70*0.06</f>
        <v>0</v>
      </c>
      <c r="I70" s="42">
        <f>B61*(I61+J61)*L61*M61*32.56</f>
        <v>0</v>
      </c>
      <c r="J70" s="42">
        <f>IF(I61=0,0,0.2246*B61*(I61+1)*M61)</f>
        <v>0</v>
      </c>
      <c r="K70" s="42">
        <f>0.1247*B61*(I61+J61*2)</f>
        <v>0</v>
      </c>
      <c r="L70" s="42">
        <f>2.3467*B61*(K61*11)</f>
        <v>0</v>
      </c>
      <c r="M70" s="42">
        <f>I70*0.01</f>
        <v>0</v>
      </c>
    </row>
    <row r="71" spans="1:13" x14ac:dyDescent="0.2">
      <c r="A71" s="29"/>
      <c r="B71" s="33">
        <f>30.8*B62*C62*D62</f>
        <v>0</v>
      </c>
      <c r="C71" s="34">
        <f>0.8727*E62*B62</f>
        <v>0</v>
      </c>
      <c r="D71" s="34">
        <f>11.7333*E62*B62</f>
        <v>0</v>
      </c>
      <c r="E71" s="34">
        <f>IF(G62=0,0,0.6952*B62*(G62+H62*2))</f>
        <v>0</v>
      </c>
      <c r="F71" s="34">
        <f>IF(E62=0,0,2.9333*B62*(E62))</f>
        <v>0</v>
      </c>
      <c r="G71" s="34">
        <f>30.8*F62*B62*(G62+H62)</f>
        <v>0</v>
      </c>
      <c r="H71" s="34">
        <f>I71*0.06</f>
        <v>0</v>
      </c>
      <c r="I71" s="34">
        <f>B62*(I62+J62)*L62*M62*32.56</f>
        <v>0</v>
      </c>
      <c r="J71" s="42">
        <f t="shared" ref="J71:J72" si="4">IF(I62=0,0,0.2246*B62*(I62+1)*M62)</f>
        <v>0</v>
      </c>
      <c r="K71" s="42">
        <f t="shared" ref="K71:K72" si="5">0.1247*B62*(I62+J62*2)</f>
        <v>0</v>
      </c>
      <c r="L71" s="42">
        <f t="shared" ref="L71:L72" si="6">2.3467*B62*(K62*11)</f>
        <v>0</v>
      </c>
      <c r="M71" s="34">
        <f>I71*0.01</f>
        <v>0</v>
      </c>
    </row>
    <row r="72" spans="1:13" x14ac:dyDescent="0.2">
      <c r="A72" s="29"/>
      <c r="B72" s="33">
        <f>30.8*B63*C63*D63</f>
        <v>0</v>
      </c>
      <c r="C72" s="34">
        <f>0.8727*E63*B63</f>
        <v>0</v>
      </c>
      <c r="D72" s="34">
        <f>11.7333*E63*B63</f>
        <v>0</v>
      </c>
      <c r="E72" s="34">
        <f>IF(G63=0,0,0.6952*B63*(G63+H63*2))</f>
        <v>0</v>
      </c>
      <c r="F72" s="34">
        <f>IF(E63=0,0,2.9333*B63*(E63))</f>
        <v>0</v>
      </c>
      <c r="G72" s="34">
        <f>30.8*F63*B63*(G63+H63)</f>
        <v>0</v>
      </c>
      <c r="H72" s="34">
        <f>I72*0.06</f>
        <v>0</v>
      </c>
      <c r="I72" s="34">
        <f>B63*(I63+J63)*L63*M63*32.56</f>
        <v>0</v>
      </c>
      <c r="J72" s="42">
        <f t="shared" si="4"/>
        <v>0</v>
      </c>
      <c r="K72" s="42">
        <f t="shared" si="5"/>
        <v>0</v>
      </c>
      <c r="L72" s="42">
        <f t="shared" si="6"/>
        <v>0</v>
      </c>
      <c r="M72" s="34">
        <f>I72*0.01</f>
        <v>0</v>
      </c>
    </row>
    <row r="74" spans="1:13" ht="13.5" thickBot="1" x14ac:dyDescent="0.25">
      <c r="A74" s="35" t="s">
        <v>70</v>
      </c>
      <c r="B74" s="36">
        <f t="shared" ref="B74:G74" si="7">SUM(B70:B73)</f>
        <v>108791.76</v>
      </c>
      <c r="C74" s="36">
        <f t="shared" si="7"/>
        <v>273.32963999999998</v>
      </c>
      <c r="D74" s="36">
        <f t="shared" si="7"/>
        <v>3674.8695599999996</v>
      </c>
      <c r="E74" s="36">
        <f t="shared" si="7"/>
        <v>302.41199999999998</v>
      </c>
      <c r="F74" s="36">
        <f t="shared" si="7"/>
        <v>918.7095599999999</v>
      </c>
      <c r="G74" s="36">
        <f t="shared" si="7"/>
        <v>138267.35999999999</v>
      </c>
      <c r="H74" s="36">
        <f t="shared" ref="H74:M74" si="8">SUM(H70:H73)</f>
        <v>0</v>
      </c>
      <c r="I74" s="36">
        <f t="shared" si="8"/>
        <v>0</v>
      </c>
      <c r="J74" s="36">
        <f t="shared" si="8"/>
        <v>0</v>
      </c>
      <c r="K74" s="36">
        <f t="shared" si="8"/>
        <v>0</v>
      </c>
      <c r="L74" s="36">
        <f t="shared" si="8"/>
        <v>0</v>
      </c>
      <c r="M74" s="36">
        <f t="shared" si="8"/>
        <v>0</v>
      </c>
    </row>
    <row r="75" spans="1:13" ht="13.5" thickTop="1" x14ac:dyDescent="0.2"/>
  </sheetData>
  <phoneticPr fontId="6" type="noConversion"/>
  <pageMargins left="0.2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4F9E-3EE8-4ED1-9965-2EF9082931B4}">
  <dimension ref="A1:M70"/>
  <sheetViews>
    <sheetView workbookViewId="0">
      <selection activeCell="D32" sqref="D32"/>
    </sheetView>
  </sheetViews>
  <sheetFormatPr defaultRowHeight="12.75" x14ac:dyDescent="0.2"/>
  <cols>
    <col min="1" max="1" width="13.28515625" style="9" customWidth="1"/>
    <col min="2" max="2" width="15" style="9" bestFit="1" customWidth="1"/>
    <col min="3" max="3" width="40.7109375" style="9" bestFit="1" customWidth="1"/>
    <col min="4" max="4" width="14.140625" style="9" bestFit="1" customWidth="1"/>
    <col min="5" max="5" width="15.28515625" style="9" customWidth="1"/>
    <col min="6" max="6" width="15" style="9" bestFit="1" customWidth="1"/>
    <col min="7" max="7" width="13.7109375" style="9" bestFit="1" customWidth="1"/>
    <col min="8" max="8" width="15.5703125" style="9" bestFit="1" customWidth="1"/>
    <col min="9" max="9" width="18.42578125" style="9" bestFit="1" customWidth="1"/>
    <col min="10" max="10" width="15.42578125" style="9" bestFit="1" customWidth="1"/>
    <col min="11" max="11" width="13.42578125" style="9" bestFit="1" customWidth="1"/>
    <col min="12" max="12" width="11" style="9" bestFit="1" customWidth="1"/>
    <col min="13" max="16384" width="9.140625" style="9"/>
  </cols>
  <sheetData>
    <row r="1" spans="1:10" s="2" customFormat="1" ht="13.5" thickBot="1" x14ac:dyDescent="0.2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9" t="s">
        <v>6</v>
      </c>
      <c r="H1" s="49" t="s">
        <v>7</v>
      </c>
      <c r="I1" s="50" t="s">
        <v>8</v>
      </c>
      <c r="J1" s="50" t="s">
        <v>9</v>
      </c>
    </row>
    <row r="2" spans="1:10" ht="13.5" thickTop="1" x14ac:dyDescent="0.2">
      <c r="A2" s="90" t="s">
        <v>141</v>
      </c>
      <c r="B2" s="90" t="s">
        <v>142</v>
      </c>
      <c r="C2" s="90" t="s">
        <v>143</v>
      </c>
      <c r="D2" s="91">
        <v>3.5</v>
      </c>
      <c r="E2" s="101">
        <v>0</v>
      </c>
      <c r="F2" s="47">
        <f t="shared" ref="F2:F29" si="0">E2*D2</f>
        <v>0</v>
      </c>
      <c r="G2" s="7"/>
      <c r="H2" s="7"/>
      <c r="I2" s="88"/>
      <c r="J2" s="8"/>
    </row>
    <row r="3" spans="1:10" x14ac:dyDescent="0.2">
      <c r="A3" s="90" t="s">
        <v>144</v>
      </c>
      <c r="B3" s="90" t="s">
        <v>142</v>
      </c>
      <c r="C3" s="90" t="s">
        <v>145</v>
      </c>
      <c r="D3" s="91">
        <v>7</v>
      </c>
      <c r="E3" s="101">
        <v>0</v>
      </c>
      <c r="F3" s="47">
        <f t="shared" si="0"/>
        <v>0</v>
      </c>
      <c r="G3" s="7"/>
      <c r="H3" s="7"/>
      <c r="I3" s="88"/>
      <c r="J3" s="8"/>
    </row>
    <row r="4" spans="1:10" x14ac:dyDescent="0.2">
      <c r="A4" s="90" t="s">
        <v>146</v>
      </c>
      <c r="B4" s="90" t="s">
        <v>142</v>
      </c>
      <c r="C4" s="90" t="s">
        <v>147</v>
      </c>
      <c r="D4" s="91">
        <v>5</v>
      </c>
      <c r="E4" s="101">
        <v>0</v>
      </c>
      <c r="F4" s="47">
        <f t="shared" si="0"/>
        <v>0</v>
      </c>
      <c r="G4" s="7"/>
      <c r="H4" s="7"/>
      <c r="I4" s="54"/>
      <c r="J4" s="8"/>
    </row>
    <row r="5" spans="1:10" x14ac:dyDescent="0.2">
      <c r="A5" s="103" t="s">
        <v>156</v>
      </c>
      <c r="B5" s="104" t="s">
        <v>142</v>
      </c>
      <c r="C5" s="104" t="s">
        <v>157</v>
      </c>
      <c r="D5" s="105">
        <v>8.15</v>
      </c>
      <c r="E5" s="101">
        <v>0</v>
      </c>
      <c r="F5" s="47">
        <f t="shared" si="0"/>
        <v>0</v>
      </c>
      <c r="G5" s="7"/>
      <c r="H5" s="7"/>
      <c r="I5" s="54"/>
      <c r="J5" s="8"/>
    </row>
    <row r="6" spans="1:10" x14ac:dyDescent="0.2">
      <c r="A6" s="103" t="s">
        <v>158</v>
      </c>
      <c r="B6" s="104" t="s">
        <v>142</v>
      </c>
      <c r="C6" s="104" t="s">
        <v>159</v>
      </c>
      <c r="D6" s="105">
        <v>7.72</v>
      </c>
      <c r="E6" s="101">
        <v>0</v>
      </c>
      <c r="F6" s="47">
        <f t="shared" si="0"/>
        <v>0</v>
      </c>
      <c r="G6" s="7"/>
      <c r="H6" s="7"/>
      <c r="I6" s="54"/>
      <c r="J6" s="8"/>
    </row>
    <row r="7" spans="1:10" x14ac:dyDescent="0.2">
      <c r="A7" s="90" t="s">
        <v>148</v>
      </c>
      <c r="B7" s="90" t="s">
        <v>142</v>
      </c>
      <c r="C7" s="90" t="s">
        <v>149</v>
      </c>
      <c r="D7" s="91">
        <v>1.5</v>
      </c>
      <c r="E7" s="101">
        <v>0</v>
      </c>
      <c r="F7" s="47">
        <f t="shared" si="0"/>
        <v>0</v>
      </c>
      <c r="G7" s="7"/>
      <c r="H7" s="7"/>
      <c r="I7" s="54"/>
      <c r="J7" s="8"/>
    </row>
    <row r="8" spans="1:10" x14ac:dyDescent="0.2">
      <c r="A8" s="44" t="s">
        <v>118</v>
      </c>
      <c r="B8" s="44" t="s">
        <v>119</v>
      </c>
      <c r="C8" s="44" t="s">
        <v>10</v>
      </c>
      <c r="D8" s="45">
        <v>21.07</v>
      </c>
      <c r="E8" s="46">
        <f>0.012*(E10+E11)</f>
        <v>243.19679999999997</v>
      </c>
      <c r="F8" s="47">
        <f>E8*D8</f>
        <v>5124.1565759999994</v>
      </c>
      <c r="G8" s="7"/>
      <c r="H8" s="7"/>
      <c r="I8" s="54"/>
      <c r="J8" s="8"/>
    </row>
    <row r="9" spans="1:10" x14ac:dyDescent="0.2">
      <c r="A9" s="10" t="s">
        <v>136</v>
      </c>
      <c r="B9" s="11" t="s">
        <v>137</v>
      </c>
      <c r="C9" s="11" t="s">
        <v>18</v>
      </c>
      <c r="D9" s="109">
        <v>61454.519</v>
      </c>
      <c r="E9" s="18">
        <v>1</v>
      </c>
      <c r="F9" s="6">
        <f>E9*D9</f>
        <v>61454.519</v>
      </c>
      <c r="G9" s="12"/>
      <c r="H9" s="12"/>
      <c r="J9" s="12"/>
    </row>
    <row r="10" spans="1:10" x14ac:dyDescent="0.2">
      <c r="A10" s="95" t="s">
        <v>11</v>
      </c>
      <c r="B10" s="95" t="s">
        <v>14</v>
      </c>
      <c r="C10" s="95" t="s">
        <v>120</v>
      </c>
      <c r="D10" s="96">
        <v>19</v>
      </c>
      <c r="E10" s="5">
        <f>G69-E11</f>
        <v>8439.1999999999971</v>
      </c>
      <c r="F10" s="6">
        <f t="shared" si="0"/>
        <v>160344.79999999993</v>
      </c>
      <c r="G10" s="7"/>
      <c r="H10" s="12"/>
      <c r="J10" s="12"/>
    </row>
    <row r="11" spans="1:10" x14ac:dyDescent="0.2">
      <c r="A11" s="95" t="s">
        <v>121</v>
      </c>
      <c r="B11" s="95" t="s">
        <v>14</v>
      </c>
      <c r="C11" s="95" t="s">
        <v>12</v>
      </c>
      <c r="D11" s="96">
        <v>7.5</v>
      </c>
      <c r="E11" s="5">
        <f>E12</f>
        <v>11827.2</v>
      </c>
      <c r="F11" s="6">
        <f t="shared" si="0"/>
        <v>88704</v>
      </c>
      <c r="G11" s="7"/>
      <c r="H11" s="12"/>
      <c r="J11" s="12"/>
    </row>
    <row r="12" spans="1:10" x14ac:dyDescent="0.2">
      <c r="A12" s="95" t="s">
        <v>13</v>
      </c>
      <c r="B12" s="95" t="s">
        <v>14</v>
      </c>
      <c r="C12" s="95" t="s">
        <v>122</v>
      </c>
      <c r="D12" s="96">
        <v>7</v>
      </c>
      <c r="E12" s="13">
        <f>B69</f>
        <v>11827.2</v>
      </c>
      <c r="F12" s="6">
        <f t="shared" si="0"/>
        <v>82790.400000000009</v>
      </c>
      <c r="G12" s="7"/>
      <c r="H12" s="12"/>
      <c r="I12" s="12"/>
      <c r="J12" s="12"/>
    </row>
    <row r="13" spans="1:10" x14ac:dyDescent="0.2">
      <c r="A13" s="95" t="s">
        <v>150</v>
      </c>
      <c r="B13" s="95" t="s">
        <v>14</v>
      </c>
      <c r="C13" s="95" t="s">
        <v>151</v>
      </c>
      <c r="D13" s="96">
        <v>750</v>
      </c>
      <c r="E13" s="15">
        <f>H69</f>
        <v>0</v>
      </c>
      <c r="F13" s="6">
        <f>E13*D13</f>
        <v>0</v>
      </c>
      <c r="G13" s="12"/>
      <c r="H13" s="12"/>
      <c r="I13" s="12"/>
      <c r="J13" s="12"/>
    </row>
    <row r="14" spans="1:10" x14ac:dyDescent="0.2">
      <c r="A14" s="100" t="s">
        <v>154</v>
      </c>
      <c r="B14" s="95" t="s">
        <v>14</v>
      </c>
      <c r="C14" s="95" t="s">
        <v>155</v>
      </c>
      <c r="D14" s="96">
        <v>38</v>
      </c>
      <c r="E14" s="15">
        <f>I69</f>
        <v>0</v>
      </c>
      <c r="F14" s="6">
        <f>E14*D14</f>
        <v>0</v>
      </c>
      <c r="G14" s="12"/>
      <c r="H14" s="12"/>
      <c r="I14" s="12"/>
      <c r="J14" s="12"/>
    </row>
    <row r="15" spans="1:10" x14ac:dyDescent="0.2">
      <c r="A15" s="10" t="s">
        <v>130</v>
      </c>
      <c r="B15" s="11" t="s">
        <v>14</v>
      </c>
      <c r="C15" s="11" t="s">
        <v>16</v>
      </c>
      <c r="D15" s="109">
        <v>223.89500000000001</v>
      </c>
      <c r="E15" s="15">
        <f>M69</f>
        <v>0</v>
      </c>
      <c r="F15" s="6">
        <f>E15*D15</f>
        <v>0</v>
      </c>
      <c r="G15" s="12"/>
      <c r="H15" s="12"/>
      <c r="I15" s="12"/>
      <c r="J15" s="12"/>
    </row>
    <row r="16" spans="1:10" x14ac:dyDescent="0.2">
      <c r="A16" s="97" t="s">
        <v>160</v>
      </c>
      <c r="B16" s="98" t="s">
        <v>161</v>
      </c>
      <c r="C16" s="98" t="s">
        <v>162</v>
      </c>
      <c r="D16" s="109">
        <v>613.03200000000004</v>
      </c>
      <c r="E16" s="108">
        <f>B60*2</f>
        <v>2</v>
      </c>
      <c r="F16" s="6">
        <f t="shared" ref="F16:F17" si="1">E16*D16</f>
        <v>1226.0640000000001</v>
      </c>
      <c r="G16" s="12"/>
      <c r="H16" s="12"/>
      <c r="I16" s="12"/>
      <c r="J16" s="12"/>
    </row>
    <row r="17" spans="1:10" x14ac:dyDescent="0.2">
      <c r="A17" s="97" t="s">
        <v>164</v>
      </c>
      <c r="B17" s="98" t="s">
        <v>161</v>
      </c>
      <c r="C17" s="98" t="s">
        <v>165</v>
      </c>
      <c r="D17" s="109">
        <v>1169.556</v>
      </c>
      <c r="E17" s="108">
        <f>$B$60</f>
        <v>1</v>
      </c>
      <c r="F17" s="6">
        <f t="shared" si="1"/>
        <v>1169.556</v>
      </c>
      <c r="G17" s="12"/>
      <c r="H17" s="12"/>
      <c r="I17" s="12"/>
      <c r="J17" s="12"/>
    </row>
    <row r="18" spans="1:10" x14ac:dyDescent="0.2">
      <c r="A18" s="10" t="s">
        <v>123</v>
      </c>
      <c r="B18" s="11" t="s">
        <v>14</v>
      </c>
      <c r="C18" s="11" t="s">
        <v>124</v>
      </c>
      <c r="D18" s="109">
        <v>917.96100000000001</v>
      </c>
      <c r="E18" s="5">
        <f>E69</f>
        <v>37.540800000000004</v>
      </c>
      <c r="F18" s="6">
        <f t="shared" si="0"/>
        <v>34460.990308800006</v>
      </c>
      <c r="G18" s="14"/>
      <c r="H18" s="12"/>
      <c r="I18" s="12"/>
      <c r="J18" s="12"/>
    </row>
    <row r="19" spans="1:10" x14ac:dyDescent="0.2">
      <c r="A19" s="97" t="s">
        <v>131</v>
      </c>
      <c r="B19" s="98" t="s">
        <v>14</v>
      </c>
      <c r="C19" s="98" t="s">
        <v>132</v>
      </c>
      <c r="D19" s="109">
        <v>630.42899999999997</v>
      </c>
      <c r="E19" s="15">
        <f>J69</f>
        <v>0</v>
      </c>
      <c r="F19" s="6">
        <f>E19*D19</f>
        <v>0</v>
      </c>
      <c r="G19" s="12"/>
      <c r="H19" s="12"/>
      <c r="I19" s="12"/>
      <c r="J19" s="12"/>
    </row>
    <row r="20" spans="1:10" x14ac:dyDescent="0.2">
      <c r="A20" s="10" t="s">
        <v>133</v>
      </c>
      <c r="B20" s="11" t="s">
        <v>14</v>
      </c>
      <c r="C20" s="11" t="s">
        <v>134</v>
      </c>
      <c r="D20" s="109">
        <v>855.29300000000001</v>
      </c>
      <c r="E20" s="15">
        <f>K69</f>
        <v>0</v>
      </c>
      <c r="F20" s="6">
        <f>E20*D20</f>
        <v>0</v>
      </c>
      <c r="G20" s="12"/>
      <c r="H20" s="12"/>
      <c r="I20" s="12"/>
      <c r="J20" s="12"/>
    </row>
    <row r="21" spans="1:10" x14ac:dyDescent="0.2">
      <c r="A21" s="10" t="s">
        <v>125</v>
      </c>
      <c r="B21" s="11" t="s">
        <v>14</v>
      </c>
      <c r="C21" s="11" t="s">
        <v>15</v>
      </c>
      <c r="D21" s="109">
        <v>47.579000000000001</v>
      </c>
      <c r="E21" s="5">
        <f>F69</f>
        <v>70.399200000000008</v>
      </c>
      <c r="F21" s="6">
        <f t="shared" si="0"/>
        <v>3349.5235368000003</v>
      </c>
      <c r="G21" s="12"/>
      <c r="H21" s="12"/>
      <c r="I21" s="12"/>
      <c r="J21" s="12"/>
    </row>
    <row r="22" spans="1:10" x14ac:dyDescent="0.2">
      <c r="A22" s="10" t="s">
        <v>135</v>
      </c>
      <c r="B22" s="11" t="s">
        <v>14</v>
      </c>
      <c r="C22" s="11" t="s">
        <v>17</v>
      </c>
      <c r="D22" s="109">
        <v>51.468000000000004</v>
      </c>
      <c r="E22" s="15">
        <f>L69</f>
        <v>0</v>
      </c>
      <c r="F22" s="6">
        <f>E22*D22</f>
        <v>0</v>
      </c>
      <c r="G22" s="12"/>
      <c r="H22" s="12"/>
      <c r="I22" s="12"/>
      <c r="J22" s="12"/>
    </row>
    <row r="23" spans="1:10" x14ac:dyDescent="0.2">
      <c r="A23" s="10" t="s">
        <v>126</v>
      </c>
      <c r="B23" s="11" t="s">
        <v>14</v>
      </c>
      <c r="C23" s="3" t="s">
        <v>127</v>
      </c>
      <c r="D23" s="109">
        <v>514.92899999999997</v>
      </c>
      <c r="E23" s="15">
        <f>C69</f>
        <v>20.944800000000001</v>
      </c>
      <c r="F23" s="6">
        <f t="shared" si="0"/>
        <v>10785.084919200001</v>
      </c>
      <c r="G23" s="12"/>
      <c r="H23" s="12"/>
      <c r="I23" s="12"/>
      <c r="J23" s="12"/>
    </row>
    <row r="24" spans="1:10" x14ac:dyDescent="0.2">
      <c r="A24" s="10" t="s">
        <v>128</v>
      </c>
      <c r="B24" s="11" t="s">
        <v>14</v>
      </c>
      <c r="C24" s="16" t="s">
        <v>129</v>
      </c>
      <c r="D24" s="109">
        <v>31.971</v>
      </c>
      <c r="E24" s="15">
        <f>D69</f>
        <v>281.5992</v>
      </c>
      <c r="F24" s="6">
        <f t="shared" si="0"/>
        <v>9003.0080232</v>
      </c>
      <c r="G24" s="12"/>
      <c r="H24" s="12"/>
      <c r="I24" s="12"/>
      <c r="J24" s="12"/>
    </row>
    <row r="25" spans="1:10" x14ac:dyDescent="0.2">
      <c r="A25" s="10" t="s">
        <v>180</v>
      </c>
      <c r="B25" s="11" t="s">
        <v>138</v>
      </c>
      <c r="C25" s="11" t="s">
        <v>181</v>
      </c>
      <c r="D25" s="4">
        <v>13437.607</v>
      </c>
      <c r="E25" s="18">
        <v>1</v>
      </c>
      <c r="F25" s="6">
        <f>E25*D25</f>
        <v>13437.607</v>
      </c>
      <c r="G25" s="12"/>
      <c r="H25" s="12"/>
      <c r="I25" s="12"/>
      <c r="J25" s="12"/>
    </row>
    <row r="26" spans="1:10" x14ac:dyDescent="0.2">
      <c r="A26" s="10" t="s">
        <v>25</v>
      </c>
      <c r="B26" s="11" t="s">
        <v>23</v>
      </c>
      <c r="C26" s="11" t="s">
        <v>26</v>
      </c>
      <c r="D26" s="4">
        <v>1000</v>
      </c>
      <c r="E26" s="53">
        <f>0.07/1000*SUM(F2:F25,F28:F37)*1.0277</f>
        <v>71.143737370569795</v>
      </c>
      <c r="F26" s="6">
        <f>E26*D26</f>
        <v>71143.737370569797</v>
      </c>
      <c r="G26" s="12"/>
      <c r="H26" s="12"/>
      <c r="I26" s="12"/>
      <c r="J26" s="12"/>
    </row>
    <row r="27" spans="1:10" x14ac:dyDescent="0.2">
      <c r="A27" s="10" t="s">
        <v>27</v>
      </c>
      <c r="B27" s="11" t="s">
        <v>23</v>
      </c>
      <c r="C27" s="11" t="s">
        <v>28</v>
      </c>
      <c r="D27" s="4">
        <v>1000</v>
      </c>
      <c r="E27" s="102">
        <f>0.0277/1000*SUM(F2:F25,F28:F37)*1.1</f>
        <v>30.133163898320262</v>
      </c>
      <c r="F27" s="6">
        <f>E27*D27</f>
        <v>30133.163898320261</v>
      </c>
      <c r="G27" s="12"/>
      <c r="H27" s="12"/>
      <c r="I27" s="12"/>
      <c r="J27" s="12"/>
    </row>
    <row r="28" spans="1:10" x14ac:dyDescent="0.2">
      <c r="A28" s="17" t="s">
        <v>22</v>
      </c>
      <c r="B28" s="11" t="s">
        <v>23</v>
      </c>
      <c r="C28" s="11" t="s">
        <v>24</v>
      </c>
      <c r="D28" s="4">
        <v>1000</v>
      </c>
      <c r="E28" s="18">
        <v>0</v>
      </c>
      <c r="F28" s="6">
        <f>E28*D28</f>
        <v>0</v>
      </c>
      <c r="G28" s="12"/>
      <c r="H28" s="12"/>
      <c r="I28" s="84"/>
      <c r="J28" s="12"/>
    </row>
    <row r="29" spans="1:10" x14ac:dyDescent="0.2">
      <c r="A29" s="82" t="s">
        <v>166</v>
      </c>
      <c r="B29" s="82" t="s">
        <v>20</v>
      </c>
      <c r="C29" s="82" t="s">
        <v>167</v>
      </c>
      <c r="D29" s="89">
        <v>5000</v>
      </c>
      <c r="E29" s="108">
        <f>$B$60</f>
        <v>1</v>
      </c>
      <c r="F29" s="6">
        <f t="shared" si="0"/>
        <v>5000</v>
      </c>
      <c r="G29" s="12"/>
      <c r="H29" s="12"/>
      <c r="I29" s="84"/>
      <c r="J29" s="12"/>
    </row>
    <row r="30" spans="1:10" x14ac:dyDescent="0.2">
      <c r="A30" s="83" t="s">
        <v>168</v>
      </c>
      <c r="B30" s="82" t="s">
        <v>20</v>
      </c>
      <c r="C30" s="82" t="s">
        <v>169</v>
      </c>
      <c r="D30" s="109">
        <v>2208.3809034836809</v>
      </c>
      <c r="E30" s="108">
        <f>$B$60</f>
        <v>1</v>
      </c>
      <c r="F30" s="6">
        <f>E30*D30</f>
        <v>2208.3809034836809</v>
      </c>
      <c r="G30" s="12"/>
      <c r="H30" s="12"/>
      <c r="I30" s="12"/>
      <c r="J30" s="12"/>
    </row>
    <row r="31" spans="1:10" x14ac:dyDescent="0.2">
      <c r="A31" s="93" t="s">
        <v>176</v>
      </c>
      <c r="B31" s="93" t="s">
        <v>20</v>
      </c>
      <c r="C31" s="93" t="s">
        <v>177</v>
      </c>
      <c r="D31" s="109">
        <v>379366.85</v>
      </c>
      <c r="E31" s="108">
        <f>$B$60</f>
        <v>1</v>
      </c>
      <c r="F31" s="6">
        <f t="shared" ref="F31:F37" si="2">E31*D31</f>
        <v>379366.85</v>
      </c>
      <c r="G31" s="12"/>
      <c r="H31" s="12"/>
      <c r="I31" s="12"/>
      <c r="J31" s="12"/>
    </row>
    <row r="32" spans="1:10" x14ac:dyDescent="0.2">
      <c r="A32" s="17" t="s">
        <v>178</v>
      </c>
      <c r="B32" s="11" t="s">
        <v>20</v>
      </c>
      <c r="C32" s="110" t="s">
        <v>186</v>
      </c>
      <c r="D32" s="89">
        <v>168255.47</v>
      </c>
      <c r="E32" s="108">
        <v>0</v>
      </c>
      <c r="F32" s="6">
        <f t="shared" si="2"/>
        <v>0</v>
      </c>
      <c r="G32" s="12"/>
      <c r="H32" s="12"/>
      <c r="I32" s="12"/>
      <c r="J32" s="12"/>
    </row>
    <row r="33" spans="1:10" x14ac:dyDescent="0.2">
      <c r="A33" s="17" t="s">
        <v>179</v>
      </c>
      <c r="B33" s="11" t="s">
        <v>20</v>
      </c>
      <c r="C33" s="110" t="s">
        <v>185</v>
      </c>
      <c r="D33" s="89">
        <v>199164.32</v>
      </c>
      <c r="E33" s="108">
        <v>0</v>
      </c>
      <c r="F33" s="6">
        <f t="shared" si="2"/>
        <v>0</v>
      </c>
      <c r="G33" s="12"/>
      <c r="H33" s="12"/>
      <c r="I33" s="12"/>
      <c r="J33" s="12"/>
    </row>
    <row r="34" spans="1:10" x14ac:dyDescent="0.2">
      <c r="A34" s="10" t="s">
        <v>19</v>
      </c>
      <c r="B34" s="11" t="s">
        <v>20</v>
      </c>
      <c r="C34" s="11" t="s">
        <v>21</v>
      </c>
      <c r="D34" s="92">
        <v>7315.5515152731596</v>
      </c>
      <c r="E34" s="108">
        <f>$B$60</f>
        <v>1</v>
      </c>
      <c r="F34" s="6">
        <f>E34*D34</f>
        <v>7315.5515152731596</v>
      </c>
      <c r="G34" s="12"/>
      <c r="H34" s="12"/>
      <c r="I34" s="12"/>
      <c r="J34" s="12"/>
    </row>
    <row r="35" spans="1:10" x14ac:dyDescent="0.2">
      <c r="A35" s="93" t="s">
        <v>174</v>
      </c>
      <c r="B35" s="93" t="s">
        <v>20</v>
      </c>
      <c r="C35" s="93" t="s">
        <v>175</v>
      </c>
      <c r="D35" s="94">
        <v>91878.198804600179</v>
      </c>
      <c r="E35" s="108">
        <f>$B$60</f>
        <v>1</v>
      </c>
      <c r="F35" s="6">
        <f t="shared" si="2"/>
        <v>91878.198804600179</v>
      </c>
      <c r="G35" s="12"/>
      <c r="H35" s="12"/>
      <c r="I35" s="12"/>
      <c r="J35" s="12"/>
    </row>
    <row r="36" spans="1:10" x14ac:dyDescent="0.2">
      <c r="A36" s="10" t="s">
        <v>31</v>
      </c>
      <c r="B36" s="11" t="s">
        <v>20</v>
      </c>
      <c r="C36" s="3" t="s">
        <v>32</v>
      </c>
      <c r="D36" s="4">
        <v>31326.629344387813</v>
      </c>
      <c r="E36" s="108">
        <f>$B$60</f>
        <v>1</v>
      </c>
      <c r="F36" s="6">
        <f t="shared" si="2"/>
        <v>31326.629344387813</v>
      </c>
      <c r="G36" s="12"/>
      <c r="H36" s="12"/>
      <c r="I36" s="12"/>
      <c r="J36" s="12"/>
    </row>
    <row r="37" spans="1:10" x14ac:dyDescent="0.2">
      <c r="A37" s="17" t="s">
        <v>139</v>
      </c>
      <c r="B37" s="11" t="s">
        <v>33</v>
      </c>
      <c r="C37" s="11" t="s">
        <v>140</v>
      </c>
      <c r="D37" s="4">
        <v>35732.046000000002</v>
      </c>
      <c r="E37" s="18">
        <v>0</v>
      </c>
      <c r="F37" s="6">
        <f t="shared" si="2"/>
        <v>0</v>
      </c>
      <c r="G37" s="12"/>
      <c r="H37" s="12"/>
      <c r="I37" s="12"/>
      <c r="J37" s="12"/>
    </row>
    <row r="38" spans="1:10" x14ac:dyDescent="0.2">
      <c r="A38" s="19"/>
    </row>
    <row r="39" spans="1:10" x14ac:dyDescent="0.2">
      <c r="A39" s="19"/>
      <c r="D39" s="20" t="s">
        <v>34</v>
      </c>
      <c r="F39" s="21">
        <f>SUM(F2:F37)</f>
        <v>1090222.221200635</v>
      </c>
    </row>
    <row r="40" spans="1:10" x14ac:dyDescent="0.2">
      <c r="A40" s="19"/>
      <c r="D40" s="20" t="s">
        <v>35</v>
      </c>
      <c r="E40" s="22">
        <v>0</v>
      </c>
      <c r="F40" s="21">
        <f>F39*(1+E40)</f>
        <v>1090222.221200635</v>
      </c>
    </row>
    <row r="41" spans="1:10" x14ac:dyDescent="0.2">
      <c r="A41" s="19"/>
      <c r="D41" s="9" t="s">
        <v>36</v>
      </c>
      <c r="E41" s="23">
        <v>0.1</v>
      </c>
      <c r="F41" s="21">
        <f>E41*F40</f>
        <v>109022.2221200635</v>
      </c>
    </row>
    <row r="42" spans="1:10" ht="15.75" x14ac:dyDescent="0.2">
      <c r="A42" s="19"/>
      <c r="D42" s="24" t="s">
        <v>37</v>
      </c>
      <c r="E42" s="99">
        <v>5.5E-2</v>
      </c>
      <c r="F42" s="21">
        <f>E42*F40</f>
        <v>59962.222166034924</v>
      </c>
    </row>
    <row r="43" spans="1:10" ht="15.75" x14ac:dyDescent="0.2">
      <c r="A43" s="19"/>
      <c r="C43" s="20"/>
      <c r="D43" s="24" t="s">
        <v>38</v>
      </c>
      <c r="E43" s="25">
        <v>3.5000000000000003E-2</v>
      </c>
      <c r="F43" s="21">
        <f>E43*F40</f>
        <v>38157.777742022226</v>
      </c>
    </row>
    <row r="44" spans="1:10" ht="15.75" x14ac:dyDescent="0.2">
      <c r="A44" s="19"/>
      <c r="D44" s="24" t="s">
        <v>39</v>
      </c>
      <c r="E44" s="26">
        <v>0</v>
      </c>
      <c r="F44" s="21">
        <f>1000*E44</f>
        <v>0</v>
      </c>
      <c r="H44" s="84"/>
      <c r="J44" s="12"/>
    </row>
    <row r="45" spans="1:10" ht="15.75" x14ac:dyDescent="0.2">
      <c r="A45" s="19"/>
      <c r="D45" s="24" t="s">
        <v>40</v>
      </c>
      <c r="E45" s="26">
        <v>0</v>
      </c>
      <c r="F45" s="21">
        <f>1000*E45</f>
        <v>0</v>
      </c>
    </row>
    <row r="46" spans="1:10" ht="15.75" x14ac:dyDescent="0.2">
      <c r="A46" s="19" t="s">
        <v>41</v>
      </c>
      <c r="D46" s="24" t="s">
        <v>42</v>
      </c>
      <c r="F46" s="27">
        <f>SUM(F40:F45)</f>
        <v>1297364.4432287556</v>
      </c>
      <c r="H46" s="84"/>
    </row>
    <row r="47" spans="1:10" x14ac:dyDescent="0.2">
      <c r="A47" s="19"/>
      <c r="H47" s="84"/>
    </row>
    <row r="49" spans="1:13" x14ac:dyDescent="0.2">
      <c r="A49" s="19"/>
      <c r="B49" s="21"/>
      <c r="C49" s="84"/>
    </row>
    <row r="50" spans="1:13" x14ac:dyDescent="0.2">
      <c r="A50" s="19"/>
      <c r="B50" s="21"/>
      <c r="C50" s="84"/>
    </row>
    <row r="51" spans="1:13" x14ac:dyDescent="0.2">
      <c r="A51" s="19"/>
      <c r="B51" s="21"/>
      <c r="C51" s="84"/>
    </row>
    <row r="52" spans="1:13" x14ac:dyDescent="0.2">
      <c r="A52" s="19"/>
      <c r="F52" s="21"/>
    </row>
    <row r="53" spans="1:13" ht="18" x14ac:dyDescent="0.2">
      <c r="A53" s="28" t="s">
        <v>43</v>
      </c>
    </row>
    <row r="54" spans="1:13" x14ac:dyDescent="0.2">
      <c r="A54" s="19"/>
    </row>
    <row r="55" spans="1:13" s="1" customFormat="1" ht="39" customHeight="1" thickBot="1" x14ac:dyDescent="0.25">
      <c r="A55" s="39" t="s">
        <v>44</v>
      </c>
      <c r="B55" s="40" t="s">
        <v>45</v>
      </c>
      <c r="C55" s="39" t="s">
        <v>46</v>
      </c>
      <c r="D55" s="39" t="s">
        <v>47</v>
      </c>
      <c r="E55" s="39" t="s">
        <v>48</v>
      </c>
      <c r="F55" s="39" t="s">
        <v>49</v>
      </c>
      <c r="G55" s="39" t="s">
        <v>50</v>
      </c>
      <c r="H55" s="39" t="s">
        <v>51</v>
      </c>
      <c r="I55" s="39" t="s">
        <v>52</v>
      </c>
      <c r="J55" s="39" t="s">
        <v>53</v>
      </c>
      <c r="K55" s="39" t="s">
        <v>54</v>
      </c>
      <c r="L55" s="39" t="s">
        <v>55</v>
      </c>
      <c r="M55" s="39" t="s">
        <v>56</v>
      </c>
    </row>
    <row r="56" spans="1:13" x14ac:dyDescent="0.2">
      <c r="A56" s="38"/>
      <c r="B56" s="81">
        <v>1</v>
      </c>
      <c r="C56" s="38">
        <v>32</v>
      </c>
      <c r="D56" s="38">
        <v>12</v>
      </c>
      <c r="E56" s="38">
        <v>24</v>
      </c>
      <c r="F56" s="38">
        <v>14</v>
      </c>
      <c r="G56" s="38">
        <v>40</v>
      </c>
      <c r="H56" s="38">
        <v>7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</row>
    <row r="57" spans="1:13" x14ac:dyDescent="0.2">
      <c r="A57" s="29"/>
      <c r="B57" s="51">
        <v>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1:13" x14ac:dyDescent="0.2">
      <c r="A58" s="29"/>
      <c r="B58" s="51">
        <v>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</row>
    <row r="59" spans="1:13" ht="13.5" thickBot="1" x14ac:dyDescent="0.25">
      <c r="B59" s="52"/>
      <c r="C59" s="31"/>
      <c r="D59" s="31"/>
      <c r="E59" s="31"/>
      <c r="F59" s="31"/>
      <c r="G59" s="31"/>
    </row>
    <row r="60" spans="1:13" ht="13.5" thickBot="1" x14ac:dyDescent="0.25">
      <c r="A60" s="106" t="s">
        <v>163</v>
      </c>
      <c r="B60" s="107">
        <f>SUM(B56:B58)</f>
        <v>1</v>
      </c>
      <c r="C60" s="31"/>
      <c r="D60" s="31"/>
      <c r="E60" s="31"/>
      <c r="F60" s="31"/>
      <c r="G60" s="31"/>
    </row>
    <row r="61" spans="1:13" x14ac:dyDescent="0.2">
      <c r="B61" s="30"/>
      <c r="C61" s="31"/>
      <c r="D61" s="31"/>
      <c r="E61" s="31"/>
      <c r="F61" s="31"/>
      <c r="G61" s="31"/>
    </row>
    <row r="63" spans="1:13" x14ac:dyDescent="0.2">
      <c r="A63" s="32" t="s">
        <v>57</v>
      </c>
      <c r="B63" s="32"/>
      <c r="C63" s="32"/>
    </row>
    <row r="64" spans="1:13" s="37" customFormat="1" ht="13.5" thickBot="1" x14ac:dyDescent="0.25">
      <c r="A64" s="39" t="s">
        <v>44</v>
      </c>
      <c r="B64" s="43" t="s">
        <v>58</v>
      </c>
      <c r="C64" s="43" t="s">
        <v>59</v>
      </c>
      <c r="D64" s="43" t="s">
        <v>60</v>
      </c>
      <c r="E64" s="43" t="s">
        <v>61</v>
      </c>
      <c r="F64" s="43" t="s">
        <v>62</v>
      </c>
      <c r="G64" s="43" t="s">
        <v>63</v>
      </c>
      <c r="H64" s="43" t="s">
        <v>64</v>
      </c>
      <c r="I64" s="43" t="s">
        <v>65</v>
      </c>
      <c r="J64" s="43" t="s">
        <v>66</v>
      </c>
      <c r="K64" s="43" t="s">
        <v>67</v>
      </c>
      <c r="L64" s="43" t="s">
        <v>68</v>
      </c>
      <c r="M64" s="43" t="s">
        <v>69</v>
      </c>
    </row>
    <row r="65" spans="1:13" x14ac:dyDescent="0.2">
      <c r="A65" s="38"/>
      <c r="B65" s="41">
        <f>30.8*B56*C56*D56</f>
        <v>11827.2</v>
      </c>
      <c r="C65" s="42">
        <f>0.8727*E56*B56</f>
        <v>20.944800000000001</v>
      </c>
      <c r="D65" s="42">
        <f>11.7333*E56*B56</f>
        <v>281.5992</v>
      </c>
      <c r="E65" s="42">
        <f>IF(G56=0,0,0.6952*B56*(G56+H56*2))</f>
        <v>37.540800000000004</v>
      </c>
      <c r="F65" s="42">
        <f>IF(E56=0,0,2.9333*B56*(E56))</f>
        <v>70.399200000000008</v>
      </c>
      <c r="G65" s="42">
        <f>30.8*F56*B56*(G56+H56)</f>
        <v>20266.399999999998</v>
      </c>
      <c r="H65" s="42">
        <f>I65*0.06</f>
        <v>0</v>
      </c>
      <c r="I65" s="42">
        <f>B56*(I56+J56)*L56*M56*32.56</f>
        <v>0</v>
      </c>
      <c r="J65" s="42">
        <f>IF(I56=0,0,0.2246*B56*(I56+1)*M56)</f>
        <v>0</v>
      </c>
      <c r="K65" s="42">
        <f>0.1247*B56*K56</f>
        <v>0</v>
      </c>
      <c r="L65" s="42">
        <f>2.3467*B56*K56</f>
        <v>0</v>
      </c>
      <c r="M65" s="42">
        <f>I65*0.01</f>
        <v>0</v>
      </c>
    </row>
    <row r="66" spans="1:13" x14ac:dyDescent="0.2">
      <c r="A66" s="29"/>
      <c r="B66" s="33">
        <f>30.8*B57*C57*D57</f>
        <v>0</v>
      </c>
      <c r="C66" s="34">
        <f>0.8727*E57*B57</f>
        <v>0</v>
      </c>
      <c r="D66" s="34">
        <f>11.7333*E57*B57</f>
        <v>0</v>
      </c>
      <c r="E66" s="34">
        <f>IF(G57=0,0,0.6952*B57*(G57+H57*2))</f>
        <v>0</v>
      </c>
      <c r="F66" s="34">
        <f>IF(E57=0,0,2.9333*B57*(E57))</f>
        <v>0</v>
      </c>
      <c r="G66" s="34">
        <f>30.8*F57*B57*(G57+H57)</f>
        <v>0</v>
      </c>
      <c r="H66" s="34">
        <f>I66*0.06</f>
        <v>0</v>
      </c>
      <c r="I66" s="34">
        <f>B57*(I57+J57)*L57*M57*32.56</f>
        <v>0</v>
      </c>
      <c r="J66" s="42">
        <f t="shared" ref="J66:J67" si="3">IF(I57=0,0,0.2246*B57*(I57+1)*M57)</f>
        <v>0</v>
      </c>
      <c r="K66" s="34">
        <f>0.1247*B57*K57</f>
        <v>0</v>
      </c>
      <c r="L66" s="34">
        <f>2.3467*B57*K57</f>
        <v>0</v>
      </c>
      <c r="M66" s="34">
        <f>I66*0.01</f>
        <v>0</v>
      </c>
    </row>
    <row r="67" spans="1:13" x14ac:dyDescent="0.2">
      <c r="A67" s="29"/>
      <c r="B67" s="33">
        <f>30.8*B58*C58*D58</f>
        <v>0</v>
      </c>
      <c r="C67" s="34">
        <f>0.8727*E58*B58</f>
        <v>0</v>
      </c>
      <c r="D67" s="34">
        <f>11.7333*E58*B58</f>
        <v>0</v>
      </c>
      <c r="E67" s="34">
        <f>IF(G58=0,0,0.6952*B58*(G58+H58*2))</f>
        <v>0</v>
      </c>
      <c r="F67" s="34">
        <f>IF(E58=0,0,2.9333*B58*(E58))</f>
        <v>0</v>
      </c>
      <c r="G67" s="34">
        <f>30.8*F58*B58*(G58+H58)</f>
        <v>0</v>
      </c>
      <c r="H67" s="34">
        <f>I67*0.06</f>
        <v>0</v>
      </c>
      <c r="I67" s="34">
        <f>B58*(I58+J58)*L58*M58*32.56</f>
        <v>0</v>
      </c>
      <c r="J67" s="42">
        <f t="shared" si="3"/>
        <v>0</v>
      </c>
      <c r="K67" s="34">
        <f>0.1247*B58*K58</f>
        <v>0</v>
      </c>
      <c r="L67" s="34">
        <f>2.3467*B58*K58</f>
        <v>0</v>
      </c>
      <c r="M67" s="34">
        <f>I67*0.01</f>
        <v>0</v>
      </c>
    </row>
    <row r="69" spans="1:13" ht="13.5" thickBot="1" x14ac:dyDescent="0.25">
      <c r="A69" s="35" t="s">
        <v>70</v>
      </c>
      <c r="B69" s="36">
        <f t="shared" ref="B69:G69" si="4">SUM(B65:B68)</f>
        <v>11827.2</v>
      </c>
      <c r="C69" s="36">
        <f t="shared" si="4"/>
        <v>20.944800000000001</v>
      </c>
      <c r="D69" s="36">
        <f t="shared" si="4"/>
        <v>281.5992</v>
      </c>
      <c r="E69" s="36">
        <f t="shared" si="4"/>
        <v>37.540800000000004</v>
      </c>
      <c r="F69" s="36">
        <f t="shared" si="4"/>
        <v>70.399200000000008</v>
      </c>
      <c r="G69" s="36">
        <f t="shared" si="4"/>
        <v>20266.399999999998</v>
      </c>
      <c r="H69" s="36">
        <f t="shared" ref="H69:M69" si="5">SUM(H65:H68)</f>
        <v>0</v>
      </c>
      <c r="I69" s="36">
        <f t="shared" si="5"/>
        <v>0</v>
      </c>
      <c r="J69" s="36">
        <f t="shared" si="5"/>
        <v>0</v>
      </c>
      <c r="K69" s="36">
        <f t="shared" si="5"/>
        <v>0</v>
      </c>
      <c r="L69" s="36">
        <f t="shared" si="5"/>
        <v>0</v>
      </c>
      <c r="M69" s="36">
        <f t="shared" si="5"/>
        <v>0</v>
      </c>
    </row>
    <row r="70" spans="1:13" ht="13.5" thickTop="1" x14ac:dyDescent="0.2"/>
  </sheetData>
  <pageMargins left="0.2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0"/>
  <sheetViews>
    <sheetView zoomScaleNormal="100" workbookViewId="0">
      <selection activeCell="S44" sqref="S44"/>
    </sheetView>
  </sheetViews>
  <sheetFormatPr defaultRowHeight="12.75" x14ac:dyDescent="0.2"/>
  <cols>
    <col min="1" max="1" width="2.7109375" customWidth="1"/>
    <col min="2" max="2" width="22.28515625" customWidth="1"/>
    <col min="3" max="3" width="2.7109375" customWidth="1"/>
    <col min="4" max="4" width="7.85546875" customWidth="1"/>
    <col min="5" max="5" width="2.7109375" customWidth="1"/>
    <col min="6" max="6" width="17.42578125" customWidth="1"/>
    <col min="7" max="7" width="2.7109375" customWidth="1"/>
    <col min="8" max="8" width="7.85546875" customWidth="1"/>
    <col min="9" max="9" width="2.7109375" customWidth="1"/>
    <col min="10" max="10" width="15" customWidth="1"/>
    <col min="11" max="11" width="2.7109375" customWidth="1"/>
    <col min="12" max="12" width="6.7109375" style="63" customWidth="1"/>
  </cols>
  <sheetData>
    <row r="1" spans="1:15" ht="18" x14ac:dyDescent="0.25">
      <c r="A1" s="113" t="s">
        <v>71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56"/>
    </row>
    <row r="2" spans="1:15" ht="18" x14ac:dyDescent="0.25">
      <c r="B2" s="57" t="s">
        <v>72</v>
      </c>
      <c r="C2" s="114"/>
      <c r="D2" s="115"/>
      <c r="E2" s="115"/>
      <c r="F2" s="57" t="s">
        <v>73</v>
      </c>
      <c r="G2" s="115"/>
      <c r="H2" s="115"/>
      <c r="I2" s="115"/>
      <c r="J2" s="55"/>
      <c r="K2" s="55"/>
      <c r="L2" s="58"/>
    </row>
    <row r="4" spans="1:15" ht="15.75" x14ac:dyDescent="0.25">
      <c r="A4" s="111" t="s">
        <v>74</v>
      </c>
      <c r="B4" s="111"/>
      <c r="C4" s="116"/>
      <c r="D4" s="116"/>
      <c r="E4" s="116"/>
      <c r="F4" s="116"/>
      <c r="G4" s="116"/>
      <c r="H4" s="116"/>
      <c r="I4" s="116"/>
      <c r="J4" s="116"/>
      <c r="K4" s="116"/>
      <c r="L4" s="59"/>
    </row>
    <row r="5" spans="1:15" ht="15.75" x14ac:dyDescent="0.25">
      <c r="A5" s="111" t="s">
        <v>75</v>
      </c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59"/>
    </row>
    <row r="6" spans="1:15" ht="15.75" x14ac:dyDescent="0.25">
      <c r="A6" s="111" t="s">
        <v>76</v>
      </c>
      <c r="B6" s="111"/>
      <c r="C6" s="112"/>
      <c r="D6" s="112"/>
      <c r="E6" s="112"/>
      <c r="F6" s="112"/>
      <c r="G6" s="112"/>
      <c r="H6" s="112"/>
      <c r="I6" s="112"/>
      <c r="J6" s="112"/>
      <c r="K6" s="112"/>
      <c r="L6" s="59"/>
    </row>
    <row r="7" spans="1:15" ht="15.75" x14ac:dyDescent="0.25">
      <c r="A7" s="111" t="s">
        <v>77</v>
      </c>
      <c r="B7" s="111"/>
      <c r="C7" s="112"/>
      <c r="D7" s="112"/>
      <c r="E7" s="112"/>
      <c r="F7" s="112"/>
      <c r="G7" s="112"/>
      <c r="H7" s="112"/>
      <c r="I7" s="112"/>
      <c r="J7" s="112"/>
      <c r="K7" s="112"/>
      <c r="L7" s="59"/>
    </row>
    <row r="8" spans="1:15" ht="15.75" x14ac:dyDescent="0.25">
      <c r="A8" s="111" t="s">
        <v>78</v>
      </c>
      <c r="B8" s="111"/>
      <c r="C8" s="112"/>
      <c r="D8" s="112"/>
      <c r="E8" s="112"/>
      <c r="F8" s="112"/>
      <c r="G8" s="112"/>
      <c r="H8" s="112"/>
      <c r="I8" s="112"/>
      <c r="J8" s="112"/>
      <c r="K8" s="112"/>
      <c r="L8" s="59"/>
    </row>
    <row r="9" spans="1:15" ht="15.75" x14ac:dyDescent="0.25">
      <c r="A9" s="111" t="s">
        <v>79</v>
      </c>
      <c r="B9" s="111"/>
      <c r="C9" s="112"/>
      <c r="D9" s="112"/>
      <c r="E9" s="112"/>
      <c r="F9" s="112"/>
      <c r="G9" s="112"/>
      <c r="H9" s="112"/>
      <c r="I9" s="112"/>
      <c r="J9" s="112"/>
      <c r="K9" s="112"/>
      <c r="L9" s="59"/>
      <c r="O9" s="37"/>
    </row>
    <row r="10" spans="1:15" ht="15.75" x14ac:dyDescent="0.25">
      <c r="A10" s="111" t="s">
        <v>80</v>
      </c>
      <c r="B10" s="111"/>
      <c r="C10" s="117"/>
      <c r="D10" s="117"/>
      <c r="E10" s="117"/>
      <c r="F10" s="117"/>
      <c r="G10" s="117"/>
      <c r="H10" s="117"/>
      <c r="I10" s="117"/>
      <c r="J10" s="117"/>
      <c r="K10" s="117"/>
      <c r="L10" s="59"/>
    </row>
    <row r="11" spans="1:15" x14ac:dyDescent="0.2">
      <c r="B11" s="60"/>
      <c r="C11" s="61"/>
      <c r="H11" s="62"/>
      <c r="I11" s="63"/>
      <c r="J11" s="63"/>
      <c r="K11" s="63"/>
    </row>
    <row r="12" spans="1:15" x14ac:dyDescent="0.2">
      <c r="A12" s="127" t="s">
        <v>81</v>
      </c>
      <c r="B12" s="127"/>
      <c r="C12" s="65"/>
      <c r="E12" s="127" t="s">
        <v>82</v>
      </c>
      <c r="F12" s="127"/>
      <c r="H12" s="62"/>
      <c r="I12" s="127" t="s">
        <v>83</v>
      </c>
      <c r="J12" s="127"/>
    </row>
    <row r="13" spans="1:15" ht="6.75" customHeight="1" x14ac:dyDescent="0.2">
      <c r="B13" s="66"/>
      <c r="C13" s="61"/>
      <c r="F13" s="66"/>
      <c r="H13" s="62"/>
      <c r="I13" s="63"/>
      <c r="J13" s="66"/>
    </row>
    <row r="14" spans="1:15" x14ac:dyDescent="0.2">
      <c r="A14" s="67"/>
      <c r="B14" s="68" t="s">
        <v>84</v>
      </c>
      <c r="C14" s="63"/>
      <c r="E14" s="75"/>
      <c r="F14" s="68" t="s">
        <v>85</v>
      </c>
      <c r="H14" s="62"/>
      <c r="I14" s="75"/>
      <c r="J14" s="68" t="s">
        <v>86</v>
      </c>
    </row>
    <row r="15" spans="1:15" ht="6.75" customHeight="1" x14ac:dyDescent="0.2">
      <c r="A15" s="61"/>
      <c r="B15" s="68"/>
      <c r="C15" s="61"/>
      <c r="E15" s="63"/>
      <c r="F15" s="69"/>
      <c r="H15" s="62"/>
      <c r="J15" s="69"/>
    </row>
    <row r="16" spans="1:15" x14ac:dyDescent="0.2">
      <c r="A16" s="67"/>
      <c r="B16" s="68" t="s">
        <v>87</v>
      </c>
      <c r="C16" s="63"/>
      <c r="E16" s="67"/>
      <c r="F16" s="68" t="s">
        <v>88</v>
      </c>
      <c r="H16" s="62"/>
      <c r="I16" s="67"/>
      <c r="J16" s="68" t="s">
        <v>89</v>
      </c>
    </row>
    <row r="17" spans="1:13" ht="6.75" customHeight="1" x14ac:dyDescent="0.2">
      <c r="A17" s="61"/>
      <c r="B17" s="68"/>
      <c r="C17" s="61"/>
      <c r="F17" s="69"/>
      <c r="H17" s="62"/>
      <c r="I17" s="63"/>
      <c r="J17" s="69"/>
    </row>
    <row r="18" spans="1:13" x14ac:dyDescent="0.2">
      <c r="A18" s="67"/>
      <c r="B18" s="68" t="s">
        <v>90</v>
      </c>
      <c r="C18" s="63"/>
      <c r="E18" s="67"/>
      <c r="F18" t="s">
        <v>91</v>
      </c>
      <c r="H18" s="62"/>
      <c r="I18" s="67"/>
      <c r="J18" s="68" t="s">
        <v>92</v>
      </c>
    </row>
    <row r="19" spans="1:13" ht="6.75" customHeight="1" x14ac:dyDescent="0.2">
      <c r="A19" s="61"/>
      <c r="B19" s="68"/>
      <c r="C19" s="61"/>
      <c r="E19" s="63"/>
      <c r="F19" s="70"/>
      <c r="H19" s="62"/>
    </row>
    <row r="20" spans="1:13" x14ac:dyDescent="0.2">
      <c r="A20" s="75"/>
      <c r="B20" s="68" t="s">
        <v>93</v>
      </c>
      <c r="C20" s="63"/>
      <c r="E20" s="67"/>
      <c r="F20" s="68" t="s">
        <v>94</v>
      </c>
      <c r="H20" s="62"/>
      <c r="M20" s="63"/>
    </row>
    <row r="21" spans="1:13" ht="6.75" customHeight="1" x14ac:dyDescent="0.2">
      <c r="B21" s="71"/>
      <c r="C21" s="63"/>
      <c r="H21" s="62"/>
      <c r="I21" s="63"/>
      <c r="M21" s="63"/>
    </row>
    <row r="22" spans="1:13" ht="12.75" customHeight="1" x14ac:dyDescent="0.2">
      <c r="E22" s="67"/>
      <c r="F22" s="68" t="s">
        <v>95</v>
      </c>
      <c r="I22" s="64" t="s">
        <v>96</v>
      </c>
      <c r="J22" s="64"/>
      <c r="M22" s="63"/>
    </row>
    <row r="23" spans="1:13" ht="6.75" customHeight="1" x14ac:dyDescent="0.2">
      <c r="J23" s="66"/>
      <c r="L23" s="72"/>
      <c r="M23" s="63"/>
    </row>
    <row r="24" spans="1:13" ht="12.75" customHeight="1" x14ac:dyDescent="0.2">
      <c r="A24" s="127" t="s">
        <v>97</v>
      </c>
      <c r="B24" s="127"/>
      <c r="G24" s="63"/>
      <c r="I24" s="86"/>
      <c r="J24" s="73" t="s">
        <v>98</v>
      </c>
      <c r="M24" s="63"/>
    </row>
    <row r="25" spans="1:13" ht="6.75" customHeight="1" x14ac:dyDescent="0.2">
      <c r="B25" s="66"/>
      <c r="G25" s="63"/>
      <c r="J25" s="73"/>
      <c r="M25" s="63"/>
    </row>
    <row r="26" spans="1:13" ht="12.75" customHeight="1" x14ac:dyDescent="0.2">
      <c r="A26" s="67"/>
      <c r="B26" s="128" t="s">
        <v>99</v>
      </c>
      <c r="D26" s="63"/>
      <c r="E26" s="127" t="s">
        <v>100</v>
      </c>
      <c r="F26" s="127"/>
      <c r="J26" s="73"/>
      <c r="K26" s="66"/>
      <c r="M26" s="63"/>
    </row>
    <row r="27" spans="1:13" ht="6.75" customHeight="1" x14ac:dyDescent="0.2">
      <c r="B27" s="128"/>
      <c r="D27" s="63"/>
      <c r="E27" s="63"/>
      <c r="F27" s="66"/>
      <c r="J27" s="73"/>
      <c r="K27" s="66"/>
      <c r="L27" s="72"/>
      <c r="M27" s="63"/>
    </row>
    <row r="28" spans="1:13" ht="12.75" customHeight="1" x14ac:dyDescent="0.2">
      <c r="B28" s="128"/>
      <c r="D28" s="74"/>
      <c r="E28" s="67"/>
      <c r="F28" s="68" t="s">
        <v>101</v>
      </c>
      <c r="I28" s="64" t="s">
        <v>102</v>
      </c>
      <c r="J28" s="64"/>
      <c r="M28" s="63"/>
    </row>
    <row r="29" spans="1:13" ht="6.75" customHeight="1" x14ac:dyDescent="0.2">
      <c r="F29" s="69"/>
      <c r="J29" s="64"/>
      <c r="M29" s="63"/>
    </row>
    <row r="30" spans="1:13" ht="12.75" customHeight="1" x14ac:dyDescent="0.2">
      <c r="E30" s="67"/>
      <c r="F30" s="68" t="s">
        <v>103</v>
      </c>
      <c r="I30" s="75"/>
      <c r="J30" s="68" t="s">
        <v>104</v>
      </c>
      <c r="K30" s="63"/>
      <c r="M30" s="63"/>
    </row>
    <row r="31" spans="1:13" ht="6.75" customHeight="1" x14ac:dyDescent="0.2">
      <c r="F31" s="69"/>
      <c r="I31" s="63"/>
      <c r="J31" s="69"/>
      <c r="K31" s="63"/>
      <c r="M31" s="63"/>
    </row>
    <row r="32" spans="1:13" ht="12.75" customHeight="1" x14ac:dyDescent="0.2">
      <c r="A32" s="127" t="s">
        <v>105</v>
      </c>
      <c r="B32" s="127"/>
      <c r="C32" s="76"/>
      <c r="E32" s="67"/>
      <c r="F32" s="68" t="s">
        <v>106</v>
      </c>
      <c r="I32" s="67"/>
      <c r="J32" s="69" t="s">
        <v>107</v>
      </c>
      <c r="K32" s="63"/>
      <c r="M32" s="63"/>
    </row>
    <row r="33" spans="1:13" ht="6.75" customHeight="1" x14ac:dyDescent="0.2">
      <c r="B33" s="66"/>
      <c r="C33" s="76"/>
      <c r="E33" s="63"/>
      <c r="I33" s="63"/>
      <c r="J33" s="69"/>
      <c r="K33" s="63"/>
      <c r="M33" s="63"/>
    </row>
    <row r="34" spans="1:13" ht="12.75" customHeight="1" x14ac:dyDescent="0.2">
      <c r="A34" s="129" t="s">
        <v>152</v>
      </c>
      <c r="B34" s="129"/>
      <c r="C34" s="74"/>
      <c r="I34" s="75"/>
      <c r="J34" s="68" t="s">
        <v>108</v>
      </c>
      <c r="K34" s="64"/>
      <c r="M34" s="63"/>
    </row>
    <row r="35" spans="1:13" ht="6.75" customHeight="1" x14ac:dyDescent="0.2">
      <c r="A35" s="85"/>
      <c r="B35" s="85"/>
      <c r="K35" s="64"/>
      <c r="M35" s="63"/>
    </row>
    <row r="36" spans="1:13" x14ac:dyDescent="0.2">
      <c r="E36" s="64" t="s">
        <v>109</v>
      </c>
      <c r="F36" s="64"/>
      <c r="I36" s="67"/>
      <c r="J36" t="s">
        <v>110</v>
      </c>
      <c r="M36" s="63"/>
    </row>
    <row r="37" spans="1:13" ht="6.75" customHeight="1" x14ac:dyDescent="0.2">
      <c r="E37" s="63"/>
      <c r="F37" s="66"/>
      <c r="M37" s="63"/>
    </row>
    <row r="38" spans="1:13" x14ac:dyDescent="0.2">
      <c r="A38" s="127" t="s">
        <v>111</v>
      </c>
      <c r="B38" s="127"/>
      <c r="E38" s="67"/>
      <c r="F38" s="69" t="s">
        <v>112</v>
      </c>
      <c r="I38" s="67"/>
      <c r="J38" t="s">
        <v>113</v>
      </c>
      <c r="M38" s="63"/>
    </row>
    <row r="39" spans="1:13" ht="6.75" customHeight="1" x14ac:dyDescent="0.2">
      <c r="B39" s="66"/>
      <c r="F39" s="69"/>
    </row>
    <row r="40" spans="1:13" x14ac:dyDescent="0.2">
      <c r="A40" s="75"/>
      <c r="B40" s="68" t="s">
        <v>153</v>
      </c>
      <c r="E40" s="67"/>
      <c r="F40" s="69" t="s">
        <v>114</v>
      </c>
    </row>
    <row r="41" spans="1:13" ht="6.75" customHeight="1" x14ac:dyDescent="0.2">
      <c r="A41" s="63"/>
      <c r="B41" s="69"/>
      <c r="E41" s="77"/>
      <c r="F41" s="78"/>
    </row>
    <row r="42" spans="1:13" x14ac:dyDescent="0.2">
      <c r="A42" s="67"/>
      <c r="B42" s="68" t="s">
        <v>115</v>
      </c>
      <c r="E42" s="75"/>
      <c r="F42" s="69" t="s">
        <v>116</v>
      </c>
    </row>
    <row r="43" spans="1:13" ht="6.75" customHeight="1" x14ac:dyDescent="0.2"/>
    <row r="45" spans="1:13" ht="6.75" customHeight="1" x14ac:dyDescent="0.2"/>
    <row r="46" spans="1:13" ht="13.5" thickBot="1" x14ac:dyDescent="0.25">
      <c r="A46" s="64" t="s">
        <v>117</v>
      </c>
      <c r="D46" s="79"/>
      <c r="H46" s="79"/>
      <c r="I46" s="79"/>
    </row>
    <row r="47" spans="1:13" ht="12.75" customHeight="1" x14ac:dyDescent="0.2">
      <c r="A47" s="118"/>
      <c r="B47" s="119"/>
      <c r="C47" s="119"/>
      <c r="D47" s="119"/>
      <c r="E47" s="119"/>
      <c r="F47" s="119"/>
      <c r="G47" s="119"/>
      <c r="H47" s="119"/>
      <c r="I47" s="119"/>
      <c r="J47" s="119"/>
      <c r="K47" s="120"/>
    </row>
    <row r="48" spans="1:13" ht="12.75" customHeight="1" x14ac:dyDescent="0.2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3"/>
    </row>
    <row r="49" spans="1:12" ht="6.75" customHeight="1" x14ac:dyDescent="0.2">
      <c r="A49" s="121"/>
      <c r="B49" s="122"/>
      <c r="C49" s="122"/>
      <c r="D49" s="122"/>
      <c r="E49" s="122"/>
      <c r="F49" s="122"/>
      <c r="G49" s="122"/>
      <c r="H49" s="122"/>
      <c r="I49" s="122"/>
      <c r="J49" s="122"/>
      <c r="K49" s="123"/>
    </row>
    <row r="50" spans="1:12" ht="12.75" customHeight="1" x14ac:dyDescent="0.2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3"/>
    </row>
    <row r="51" spans="1:12" ht="6.75" customHeight="1" x14ac:dyDescent="0.2">
      <c r="A51" s="121"/>
      <c r="B51" s="122"/>
      <c r="C51" s="122"/>
      <c r="D51" s="122"/>
      <c r="E51" s="122"/>
      <c r="F51" s="122"/>
      <c r="G51" s="122"/>
      <c r="H51" s="122"/>
      <c r="I51" s="122"/>
      <c r="J51" s="122"/>
      <c r="K51" s="123"/>
    </row>
    <row r="52" spans="1:12" ht="12.75" customHeight="1" x14ac:dyDescent="0.2">
      <c r="A52" s="121"/>
      <c r="B52" s="122"/>
      <c r="C52" s="122"/>
      <c r="D52" s="122"/>
      <c r="E52" s="122"/>
      <c r="F52" s="122"/>
      <c r="G52" s="122"/>
      <c r="H52" s="122"/>
      <c r="I52" s="122"/>
      <c r="J52" s="122"/>
      <c r="K52" s="123"/>
    </row>
    <row r="53" spans="1:12" ht="6.75" customHeight="1" x14ac:dyDescent="0.2">
      <c r="A53" s="121"/>
      <c r="B53" s="122"/>
      <c r="C53" s="122"/>
      <c r="D53" s="122"/>
      <c r="E53" s="122"/>
      <c r="F53" s="122"/>
      <c r="G53" s="122"/>
      <c r="H53" s="122"/>
      <c r="I53" s="122"/>
      <c r="J53" s="122"/>
      <c r="K53" s="123"/>
      <c r="L53" s="80"/>
    </row>
    <row r="54" spans="1:12" x14ac:dyDescent="0.2">
      <c r="A54" s="121"/>
      <c r="B54" s="122"/>
      <c r="C54" s="122"/>
      <c r="D54" s="122"/>
      <c r="E54" s="122"/>
      <c r="F54" s="122"/>
      <c r="G54" s="122"/>
      <c r="H54" s="122"/>
      <c r="I54" s="122"/>
      <c r="J54" s="122"/>
      <c r="K54" s="123"/>
      <c r="L54" s="80"/>
    </row>
    <row r="55" spans="1:12" ht="6.75" customHeight="1" x14ac:dyDescent="0.2">
      <c r="A55" s="121"/>
      <c r="B55" s="122"/>
      <c r="C55" s="122"/>
      <c r="D55" s="122"/>
      <c r="E55" s="122"/>
      <c r="F55" s="122"/>
      <c r="G55" s="122"/>
      <c r="H55" s="122"/>
      <c r="I55" s="122"/>
      <c r="J55" s="122"/>
      <c r="K55" s="123"/>
      <c r="L55" s="80"/>
    </row>
    <row r="56" spans="1:12" x14ac:dyDescent="0.2">
      <c r="A56" s="121"/>
      <c r="B56" s="122"/>
      <c r="C56" s="122"/>
      <c r="D56" s="122"/>
      <c r="E56" s="122"/>
      <c r="F56" s="122"/>
      <c r="G56" s="122"/>
      <c r="H56" s="122"/>
      <c r="I56" s="122"/>
      <c r="J56" s="122"/>
      <c r="K56" s="123"/>
      <c r="L56" s="80"/>
    </row>
    <row r="57" spans="1:12" ht="6.75" customHeight="1" x14ac:dyDescent="0.2">
      <c r="A57" s="121"/>
      <c r="B57" s="122"/>
      <c r="C57" s="122"/>
      <c r="D57" s="122"/>
      <c r="E57" s="122"/>
      <c r="F57" s="122"/>
      <c r="G57" s="122"/>
      <c r="H57" s="122"/>
      <c r="I57" s="122"/>
      <c r="J57" s="122"/>
      <c r="K57" s="123"/>
      <c r="L57" s="80"/>
    </row>
    <row r="58" spans="1:12" ht="6.75" customHeight="1" x14ac:dyDescent="0.2">
      <c r="A58" s="121"/>
      <c r="B58" s="122"/>
      <c r="C58" s="122"/>
      <c r="D58" s="122"/>
      <c r="E58" s="122"/>
      <c r="F58" s="122"/>
      <c r="G58" s="122"/>
      <c r="H58" s="122"/>
      <c r="I58" s="122"/>
      <c r="J58" s="122"/>
      <c r="K58" s="123"/>
      <c r="L58" s="80"/>
    </row>
    <row r="59" spans="1:12" x14ac:dyDescent="0.2">
      <c r="A59" s="121"/>
      <c r="B59" s="122"/>
      <c r="C59" s="122"/>
      <c r="D59" s="122"/>
      <c r="E59" s="122"/>
      <c r="F59" s="122"/>
      <c r="G59" s="122"/>
      <c r="H59" s="122"/>
      <c r="I59" s="122"/>
      <c r="J59" s="122"/>
      <c r="K59" s="123"/>
      <c r="L59" s="80"/>
    </row>
    <row r="60" spans="1:12" ht="13.5" thickBot="1" x14ac:dyDescent="0.25">
      <c r="A60" s="124"/>
      <c r="B60" s="125"/>
      <c r="C60" s="125"/>
      <c r="D60" s="125"/>
      <c r="E60" s="125"/>
      <c r="F60" s="125"/>
      <c r="G60" s="125"/>
      <c r="H60" s="125"/>
      <c r="I60" s="125"/>
      <c r="J60" s="125"/>
      <c r="K60" s="126"/>
    </row>
  </sheetData>
  <mergeCells count="27">
    <mergeCell ref="C9:K9"/>
    <mergeCell ref="A10:B10"/>
    <mergeCell ref="C10:K10"/>
    <mergeCell ref="A47:K60"/>
    <mergeCell ref="A24:B24"/>
    <mergeCell ref="B26:B28"/>
    <mergeCell ref="E26:F26"/>
    <mergeCell ref="A32:B32"/>
    <mergeCell ref="A34:B34"/>
    <mergeCell ref="A38:B38"/>
    <mergeCell ref="A12:B12"/>
    <mergeCell ref="E12:F12"/>
    <mergeCell ref="I12:J12"/>
    <mergeCell ref="A9:B9"/>
    <mergeCell ref="A6:B6"/>
    <mergeCell ref="C6:K6"/>
    <mergeCell ref="A7:B7"/>
    <mergeCell ref="C7:K7"/>
    <mergeCell ref="A8:B8"/>
    <mergeCell ref="C8:K8"/>
    <mergeCell ref="A5:B5"/>
    <mergeCell ref="C5:K5"/>
    <mergeCell ref="A1:K1"/>
    <mergeCell ref="C2:E2"/>
    <mergeCell ref="G2:I2"/>
    <mergeCell ref="A4:B4"/>
    <mergeCell ref="C4:K4"/>
  </mergeCells>
  <phoneticPr fontId="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Shld Wdn RSI</vt:lpstr>
      <vt:lpstr>Checklist</vt:lpstr>
      <vt:lpstr>Checklist!Print_Area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trpr14428</dc:creator>
  <cp:lastModifiedBy>Prouty, Brace</cp:lastModifiedBy>
  <cp:lastPrinted>2007-05-03T13:26:24Z</cp:lastPrinted>
  <dcterms:created xsi:type="dcterms:W3CDTF">2004-09-16T14:15:45Z</dcterms:created>
  <dcterms:modified xsi:type="dcterms:W3CDTF">2023-02-10T19:57:14Z</dcterms:modified>
</cp:coreProperties>
</file>