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K:\Trans\Grant Applications\2023 Grants\RAISE\Olmsted County CSAH 44_US 14\Final Submission\"/>
    </mc:Choice>
  </mc:AlternateContent>
  <xr:revisionPtr revIDLastSave="0" documentId="13_ncr:1_{06A67993-EDE8-4AC9-87C9-6065AF0667F2}" xr6:coauthVersionLast="47" xr6:coauthVersionMax="47" xr10:uidLastSave="{00000000-0000-0000-0000-000000000000}"/>
  <bookViews>
    <workbookView xWindow="-120" yWindow="-120" windowWidth="20730" windowHeight="11160" tabRatio="855" xr2:uid="{00000000-000D-0000-FFFF-FFFF00000000}"/>
  </bookViews>
  <sheets>
    <sheet name="Assumptions" sheetId="28" r:id="rId1"/>
    <sheet name="BCA Summary " sheetId="46" r:id="rId2"/>
    <sheet name="Travel Time Savings " sheetId="36" r:id="rId3"/>
    <sheet name="Operation Benefits" sheetId="44" r:id="rId4"/>
    <sheet name="Safety Benefits" sheetId="50" r:id="rId5"/>
    <sheet name="Air Quality" sheetId="47" r:id="rId6"/>
    <sheet name="Operating and Maintenance Costs" sheetId="48" r:id="rId7"/>
    <sheet name="Capital Cost and RCV Calc" sheetId="42" r:id="rId8"/>
    <sheet name="Crashes and Rates" sheetId="52" r:id="rId9"/>
    <sheet name="Crash Data" sheetId="54" r:id="rId10"/>
    <sheet name="VISSIM Results" sheetId="55" r:id="rId11"/>
  </sheets>
  <externalReferences>
    <externalReference r:id="rId12"/>
    <externalReference r:id="rId13"/>
  </externalReferences>
  <definedNames>
    <definedName name="_Fill" hidden="1">#REF!</definedName>
    <definedName name="_xlnm._FilterDatabase" localSheetId="9" hidden="1">'Crash Data'!$A$1:$DD$282</definedName>
    <definedName name="_Key1" hidden="1">'[1]Journal Entry'!#REF!</definedName>
    <definedName name="_Key2" hidden="1">'[1]Journal Entry'!#REF!</definedName>
    <definedName name="_Order1" hidden="1">255</definedName>
    <definedName name="_Order2" hidden="1">255</definedName>
    <definedName name="BEx3O85IKWARA6NCJOLRBRJFMEWW" hidden="1">'[2]Q2 09 Rail BS Leads'!#REF!</definedName>
    <definedName name="BEx5MLQZM68YQSKARVWTTPINFQ2C" hidden="1">'[2]Q2 09 Rail BS Leads'!#REF!</definedName>
    <definedName name="BExERWCEBKQRYWRQLYJ4UCMMKTHG" hidden="1">'[2]Q2 09 Rail BS Leads'!#REF!</definedName>
    <definedName name="BExMBYPQDG9AYDQ5E8IECVFREPO6" hidden="1">'[2]Q2 09 Rail BS Leads'!#REF!</definedName>
    <definedName name="BExQ9ZLYHWABXAA9NJDW8ZS0UQ9P" hidden="1">'[2]Q2 09 Rail BS Leads'!#REF!</definedName>
    <definedName name="BExTUY9WNSJ91GV8CP0SKJTEIV82" hidden="1">'[2]Q2 09 Rail BS Leads'!#REF!</definedName>
    <definedName name="_xlnm.Print_Area" localSheetId="5">'Air Quality'!$A$2:$AS$52</definedName>
    <definedName name="_xlnm.Print_Area" localSheetId="1">'BCA Summary '!$A$1:$K$88</definedName>
    <definedName name="_xlnm.Print_Area" localSheetId="7">'Capital Cost and RCV Calc'!$A$1:$AC$76</definedName>
    <definedName name="_xlnm.Print_Area" localSheetId="6">'Operating and Maintenance Costs'!$A$1:$H$49</definedName>
    <definedName name="_xlnm.Print_Area" localSheetId="4">'Safety Benefits'!$A$1:$AO$142</definedName>
    <definedName name="SAPBEXhrIndnt" hidden="1">"Wide"</definedName>
    <definedName name="SAPsysID" hidden="1">"708C5W7SBKP804JT78WJ0JNKI"</definedName>
    <definedName name="SAPwbID" hidden="1">"ARS"</definedName>
    <definedName name="solver_typ" localSheetId="7" hidden="1">2</definedName>
    <definedName name="solver_typ" localSheetId="6" hidden="1">2</definedName>
    <definedName name="solver_ver" localSheetId="7" hidden="1">17</definedName>
    <definedName name="solver_ver" localSheetId="6" hidden="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29" i="55" l="1"/>
  <c r="X29" i="55"/>
  <c r="W29" i="55"/>
  <c r="V29" i="55"/>
  <c r="Y28" i="55"/>
  <c r="X28" i="55"/>
  <c r="W28" i="55"/>
  <c r="V28" i="55"/>
  <c r="Y27" i="55"/>
  <c r="X27" i="55"/>
  <c r="W27" i="55"/>
  <c r="V27" i="55"/>
  <c r="M128" i="50" l="1"/>
  <c r="M124" i="50"/>
  <c r="M120" i="50"/>
  <c r="M116" i="50"/>
  <c r="M113" i="50"/>
  <c r="M110" i="50"/>
  <c r="M107" i="50"/>
  <c r="M98" i="50"/>
  <c r="M94" i="50"/>
  <c r="M90" i="50"/>
  <c r="M86" i="50"/>
  <c r="M83" i="50"/>
  <c r="O70" i="50"/>
  <c r="O69" i="50"/>
  <c r="O68" i="50"/>
  <c r="O67" i="50"/>
  <c r="O66" i="50"/>
  <c r="P70" i="50"/>
  <c r="P69" i="50"/>
  <c r="P68" i="50"/>
  <c r="P67" i="50"/>
  <c r="P66" i="50"/>
  <c r="O65" i="50"/>
  <c r="P65" i="50" s="1"/>
  <c r="G18" i="48" l="1"/>
  <c r="H18" i="48"/>
  <c r="H17" i="48"/>
  <c r="G17" i="48"/>
  <c r="G16" i="48"/>
  <c r="H16" i="48"/>
  <c r="G14" i="48"/>
  <c r="H15" i="48"/>
  <c r="G15" i="48"/>
  <c r="H14" i="48"/>
  <c r="G8" i="48" s="1"/>
  <c r="F70" i="42"/>
  <c r="D64" i="42"/>
  <c r="C5" i="48"/>
  <c r="N27" i="50"/>
  <c r="F21" i="42"/>
  <c r="F22" i="42"/>
  <c r="F23" i="42"/>
  <c r="F24" i="42"/>
  <c r="F25" i="42"/>
  <c r="F26" i="42"/>
  <c r="F27" i="42"/>
  <c r="F28" i="42"/>
  <c r="F29" i="42"/>
  <c r="F30" i="42"/>
  <c r="F31" i="42"/>
  <c r="T16" i="50" l="1"/>
  <c r="AA16" i="50" s="1"/>
  <c r="X26" i="50"/>
  <c r="W26" i="50"/>
  <c r="V26" i="50"/>
  <c r="AC26" i="50" s="1"/>
  <c r="U26" i="50"/>
  <c r="AB26" i="50" s="1"/>
  <c r="T26" i="50"/>
  <c r="AA26" i="50" s="1"/>
  <c r="X25" i="50"/>
  <c r="W25" i="50"/>
  <c r="V25" i="50"/>
  <c r="AC25" i="50" s="1"/>
  <c r="U25" i="50"/>
  <c r="T25" i="50"/>
  <c r="X24" i="50"/>
  <c r="AE24" i="50" s="1"/>
  <c r="W24" i="50"/>
  <c r="V24" i="50"/>
  <c r="AC24" i="50" s="1"/>
  <c r="U24" i="50"/>
  <c r="T24" i="50"/>
  <c r="X23" i="50"/>
  <c r="AE23" i="50" s="1"/>
  <c r="W23" i="50"/>
  <c r="V23" i="50"/>
  <c r="U23" i="50"/>
  <c r="AB23" i="50" s="1"/>
  <c r="T23" i="50"/>
  <c r="X22" i="50"/>
  <c r="AE22" i="50" s="1"/>
  <c r="W22" i="50"/>
  <c r="V22" i="50"/>
  <c r="U22" i="50"/>
  <c r="AB22" i="50" s="1"/>
  <c r="T22" i="50"/>
  <c r="X21" i="50"/>
  <c r="W21" i="50"/>
  <c r="V21" i="50"/>
  <c r="AC21" i="50" s="1"/>
  <c r="U21" i="50"/>
  <c r="AB21" i="50" s="1"/>
  <c r="T21" i="50"/>
  <c r="X20" i="50"/>
  <c r="AE20" i="50" s="1"/>
  <c r="W20" i="50"/>
  <c r="AD20" i="50" s="1"/>
  <c r="V20" i="50"/>
  <c r="U20" i="50"/>
  <c r="T20" i="50"/>
  <c r="AA20" i="50" s="1"/>
  <c r="X19" i="50"/>
  <c r="W19" i="50"/>
  <c r="AD19" i="50" s="1"/>
  <c r="V19" i="50"/>
  <c r="U19" i="50"/>
  <c r="T19" i="50"/>
  <c r="AA19" i="50" s="1"/>
  <c r="X18" i="50"/>
  <c r="W18" i="50"/>
  <c r="V18" i="50"/>
  <c r="AC18" i="50" s="1"/>
  <c r="U18" i="50"/>
  <c r="T18" i="50"/>
  <c r="AA18" i="50" s="1"/>
  <c r="X17" i="50"/>
  <c r="W17" i="50"/>
  <c r="V17" i="50"/>
  <c r="AC17" i="50" s="1"/>
  <c r="U17" i="50"/>
  <c r="T17" i="50"/>
  <c r="X16" i="50"/>
  <c r="AE16" i="50" s="1"/>
  <c r="W16" i="50"/>
  <c r="V16" i="50"/>
  <c r="AK21" i="50" s="1"/>
  <c r="U16" i="50"/>
  <c r="AD26" i="50"/>
  <c r="AE26" i="50"/>
  <c r="AB20" i="50"/>
  <c r="AC20" i="50"/>
  <c r="AA21" i="50"/>
  <c r="AE21" i="50"/>
  <c r="AA22" i="50"/>
  <c r="AC22" i="50"/>
  <c r="AD22" i="50"/>
  <c r="AA23" i="50"/>
  <c r="AC23" i="50"/>
  <c r="AD23" i="50"/>
  <c r="AA24" i="50"/>
  <c r="AB24" i="50"/>
  <c r="AD24" i="50"/>
  <c r="AA25" i="50"/>
  <c r="AB25" i="50"/>
  <c r="AD25" i="50"/>
  <c r="AE25" i="50"/>
  <c r="AB19" i="50"/>
  <c r="AC19" i="50"/>
  <c r="AE19" i="50"/>
  <c r="AD16" i="50"/>
  <c r="AB16" i="50"/>
  <c r="AB17" i="50"/>
  <c r="AD17" i="50"/>
  <c r="AE17" i="50"/>
  <c r="AB18" i="50"/>
  <c r="AD18" i="50"/>
  <c r="AE18" i="50"/>
  <c r="AA17" i="50"/>
  <c r="AI27" i="50" s="1"/>
  <c r="I50" i="50"/>
  <c r="AJ27" i="50" l="1"/>
  <c r="AM27" i="50"/>
  <c r="AL21" i="50"/>
  <c r="AI21" i="50"/>
  <c r="AI33" i="50" s="1"/>
  <c r="AC16" i="50"/>
  <c r="AK27" i="50" s="1"/>
  <c r="AK33" i="50" s="1"/>
  <c r="AM21" i="50"/>
  <c r="AM33" i="50" s="1"/>
  <c r="AJ21" i="50"/>
  <c r="AJ33" i="50" s="1"/>
  <c r="AD21" i="50"/>
  <c r="AL27" i="50" s="1"/>
  <c r="J40" i="50"/>
  <c r="U39" i="50" s="1"/>
  <c r="AB39" i="50" s="1"/>
  <c r="K40" i="50"/>
  <c r="V39" i="50" s="1"/>
  <c r="AC39" i="50" s="1"/>
  <c r="L40" i="50"/>
  <c r="W39" i="50" s="1"/>
  <c r="AD39" i="50" s="1"/>
  <c r="M40" i="50"/>
  <c r="X39" i="50" s="1"/>
  <c r="AE39" i="50" s="1"/>
  <c r="I40" i="50"/>
  <c r="T39" i="50" s="1"/>
  <c r="AA39" i="50" s="1"/>
  <c r="J27" i="50"/>
  <c r="V48" i="50" s="1"/>
  <c r="K27" i="50"/>
  <c r="W48" i="50" s="1"/>
  <c r="L27" i="50"/>
  <c r="X48" i="50" s="1"/>
  <c r="M27" i="50"/>
  <c r="Y48" i="50" s="1"/>
  <c r="I27" i="50"/>
  <c r="U48" i="50" s="1"/>
  <c r="J11" i="50"/>
  <c r="I60" i="50"/>
  <c r="I56" i="50"/>
  <c r="K56" i="50" s="1"/>
  <c r="P22" i="36"/>
  <c r="O22" i="36"/>
  <c r="N22" i="36"/>
  <c r="AH44" i="36"/>
  <c r="AG44" i="36"/>
  <c r="AF44" i="36"/>
  <c r="AE44" i="36"/>
  <c r="AD44" i="36"/>
  <c r="AH43" i="36"/>
  <c r="AG43" i="36"/>
  <c r="AF43" i="36"/>
  <c r="AE43" i="36"/>
  <c r="AD43" i="36"/>
  <c r="AH53" i="36"/>
  <c r="AG53" i="36"/>
  <c r="AF53" i="36"/>
  <c r="AE53" i="36"/>
  <c r="AD53" i="36"/>
  <c r="AC53" i="36"/>
  <c r="AH52" i="36"/>
  <c r="AG52" i="36"/>
  <c r="AF52" i="36"/>
  <c r="AE52" i="36"/>
  <c r="AD52" i="36"/>
  <c r="AC52" i="36"/>
  <c r="AH51" i="36"/>
  <c r="AG51" i="36"/>
  <c r="AF51" i="36"/>
  <c r="AE51" i="36"/>
  <c r="AD51" i="36"/>
  <c r="AC51" i="36"/>
  <c r="AH50" i="36"/>
  <c r="AG50" i="36"/>
  <c r="AF50" i="36"/>
  <c r="AE50" i="36"/>
  <c r="AD50" i="36"/>
  <c r="AC50" i="36"/>
  <c r="AH49" i="36"/>
  <c r="AG49" i="36"/>
  <c r="AF49" i="36"/>
  <c r="AE49" i="36"/>
  <c r="AD49" i="36"/>
  <c r="AC49" i="36"/>
  <c r="AH48" i="36"/>
  <c r="AG48" i="36"/>
  <c r="AF48" i="36"/>
  <c r="AE48" i="36"/>
  <c r="AD48" i="36"/>
  <c r="AC48" i="36"/>
  <c r="AH47" i="36"/>
  <c r="AG47" i="36"/>
  <c r="AF47" i="36"/>
  <c r="AE47" i="36"/>
  <c r="AD47" i="36"/>
  <c r="AC47" i="36"/>
  <c r="AH46" i="36"/>
  <c r="AG46" i="36"/>
  <c r="AF46" i="36"/>
  <c r="AE46" i="36"/>
  <c r="AD46" i="36"/>
  <c r="AC46" i="36"/>
  <c r="AH45" i="36"/>
  <c r="AG45" i="36"/>
  <c r="AF45" i="36"/>
  <c r="AE45" i="36"/>
  <c r="AD45" i="36"/>
  <c r="AC45" i="36"/>
  <c r="AC44" i="36"/>
  <c r="AB53" i="36"/>
  <c r="AB52" i="36"/>
  <c r="AB51" i="36"/>
  <c r="AB50" i="36"/>
  <c r="AB49" i="36"/>
  <c r="AB48" i="36"/>
  <c r="AB47" i="36"/>
  <c r="AB46" i="36"/>
  <c r="AB45" i="36"/>
  <c r="AB44" i="36"/>
  <c r="AB43" i="36"/>
  <c r="AH42" i="36"/>
  <c r="AG42" i="36"/>
  <c r="AF42" i="36"/>
  <c r="AE42" i="36"/>
  <c r="AD42" i="36"/>
  <c r="AC42" i="36"/>
  <c r="AB42" i="36"/>
  <c r="AR43" i="36"/>
  <c r="AQ43" i="36"/>
  <c r="AP43" i="36"/>
  <c r="AO43" i="36"/>
  <c r="AN43" i="36"/>
  <c r="AR53" i="36"/>
  <c r="AQ53" i="36"/>
  <c r="AP53" i="36"/>
  <c r="AO53" i="36"/>
  <c r="AN53" i="36"/>
  <c r="AM53" i="36"/>
  <c r="AR52" i="36"/>
  <c r="AQ52" i="36"/>
  <c r="AP52" i="36"/>
  <c r="AO52" i="36"/>
  <c r="AN52" i="36"/>
  <c r="AM52" i="36"/>
  <c r="AR51" i="36"/>
  <c r="AQ51" i="36"/>
  <c r="AP51" i="36"/>
  <c r="AO51" i="36"/>
  <c r="AN51" i="36"/>
  <c r="AM51" i="36"/>
  <c r="AR50" i="36"/>
  <c r="AQ50" i="36"/>
  <c r="AP50" i="36"/>
  <c r="AO50" i="36"/>
  <c r="AN50" i="36"/>
  <c r="AM50" i="36"/>
  <c r="AR49" i="36"/>
  <c r="AQ49" i="36"/>
  <c r="AP49" i="36"/>
  <c r="AO49" i="36"/>
  <c r="AN49" i="36"/>
  <c r="AM49" i="36"/>
  <c r="AR48" i="36"/>
  <c r="AQ48" i="36"/>
  <c r="AP48" i="36"/>
  <c r="AO48" i="36"/>
  <c r="AN48" i="36"/>
  <c r="AM48" i="36"/>
  <c r="AR47" i="36"/>
  <c r="AQ47" i="36"/>
  <c r="AP47" i="36"/>
  <c r="AO47" i="36"/>
  <c r="AN47" i="36"/>
  <c r="AM47" i="36"/>
  <c r="AR46" i="36"/>
  <c r="AQ46" i="36"/>
  <c r="AP46" i="36"/>
  <c r="AO46" i="36"/>
  <c r="AN46" i="36"/>
  <c r="AM46" i="36"/>
  <c r="AR45" i="36"/>
  <c r="AQ45" i="36"/>
  <c r="AP45" i="36"/>
  <c r="AO45" i="36"/>
  <c r="AN45" i="36"/>
  <c r="AM45" i="36"/>
  <c r="AR44" i="36"/>
  <c r="AQ44" i="36"/>
  <c r="AP44" i="36"/>
  <c r="AO44" i="36"/>
  <c r="AN44" i="36"/>
  <c r="AM44" i="36"/>
  <c r="AL53" i="36"/>
  <c r="AL52" i="36"/>
  <c r="AL51" i="36"/>
  <c r="AL50" i="36"/>
  <c r="AL49" i="36"/>
  <c r="AL48" i="36"/>
  <c r="AL47" i="36"/>
  <c r="AL46" i="36"/>
  <c r="AL45" i="36"/>
  <c r="AL44" i="36"/>
  <c r="AL43" i="36"/>
  <c r="AR42" i="36"/>
  <c r="AQ42" i="36"/>
  <c r="AP42" i="36"/>
  <c r="AO42" i="36"/>
  <c r="AN42" i="36"/>
  <c r="AM42" i="36"/>
  <c r="AL42" i="36"/>
  <c r="AR28" i="36"/>
  <c r="AQ28" i="36"/>
  <c r="AP28" i="36"/>
  <c r="AO28" i="36"/>
  <c r="AN28" i="36"/>
  <c r="AR38" i="36"/>
  <c r="AQ38" i="36"/>
  <c r="AP38" i="36"/>
  <c r="AO38" i="36"/>
  <c r="AN38" i="36"/>
  <c r="AM38" i="36"/>
  <c r="AR37" i="36"/>
  <c r="AQ37" i="36"/>
  <c r="AP37" i="36"/>
  <c r="AO37" i="36"/>
  <c r="AN37" i="36"/>
  <c r="AM37" i="36"/>
  <c r="AR36" i="36"/>
  <c r="AQ36" i="36"/>
  <c r="AP36" i="36"/>
  <c r="AO36" i="36"/>
  <c r="AN36" i="36"/>
  <c r="AM36" i="36"/>
  <c r="AR35" i="36"/>
  <c r="AQ35" i="36"/>
  <c r="AP35" i="36"/>
  <c r="AO35" i="36"/>
  <c r="AN35" i="36"/>
  <c r="AM35" i="36"/>
  <c r="AR34" i="36"/>
  <c r="AQ34" i="36"/>
  <c r="AP34" i="36"/>
  <c r="AO34" i="36"/>
  <c r="AN34" i="36"/>
  <c r="AM34" i="36"/>
  <c r="AR33" i="36"/>
  <c r="AQ33" i="36"/>
  <c r="AP33" i="36"/>
  <c r="AO33" i="36"/>
  <c r="AN33" i="36"/>
  <c r="AM33" i="36"/>
  <c r="AR32" i="36"/>
  <c r="AQ32" i="36"/>
  <c r="AP32" i="36"/>
  <c r="AO32" i="36"/>
  <c r="AN32" i="36"/>
  <c r="AM32" i="36"/>
  <c r="AR31" i="36"/>
  <c r="AQ31" i="36"/>
  <c r="AP31" i="36"/>
  <c r="AO31" i="36"/>
  <c r="AN31" i="36"/>
  <c r="AM31" i="36"/>
  <c r="AR30" i="36"/>
  <c r="AQ30" i="36"/>
  <c r="AP30" i="36"/>
  <c r="AO30" i="36"/>
  <c r="AN30" i="36"/>
  <c r="AM30" i="36"/>
  <c r="AR29" i="36"/>
  <c r="AQ29" i="36"/>
  <c r="AP29" i="36"/>
  <c r="AO29" i="36"/>
  <c r="AN29" i="36"/>
  <c r="AM29" i="36"/>
  <c r="AL38" i="36"/>
  <c r="AL37" i="36"/>
  <c r="AL36" i="36"/>
  <c r="AL35" i="36"/>
  <c r="AL34" i="36"/>
  <c r="AL33" i="36"/>
  <c r="AL32" i="36"/>
  <c r="AL31" i="36"/>
  <c r="AL30" i="36"/>
  <c r="AL29" i="36"/>
  <c r="AL28" i="36"/>
  <c r="AR27" i="36"/>
  <c r="AQ27" i="36"/>
  <c r="AP27" i="36"/>
  <c r="AO27" i="36"/>
  <c r="AN27" i="36"/>
  <c r="AM27" i="36"/>
  <c r="AL27" i="36"/>
  <c r="AH28" i="36"/>
  <c r="AG28" i="36"/>
  <c r="AF28" i="36"/>
  <c r="AE28" i="36"/>
  <c r="AD28" i="36"/>
  <c r="AH38" i="36"/>
  <c r="AG38" i="36"/>
  <c r="AF38" i="36"/>
  <c r="AE38" i="36"/>
  <c r="AD38" i="36"/>
  <c r="AC38" i="36"/>
  <c r="AH37" i="36"/>
  <c r="AG37" i="36"/>
  <c r="AF37" i="36"/>
  <c r="AE37" i="36"/>
  <c r="AD37" i="36"/>
  <c r="AC37" i="36"/>
  <c r="AH36" i="36"/>
  <c r="AG36" i="36"/>
  <c r="AF36" i="36"/>
  <c r="AE36" i="36"/>
  <c r="AD36" i="36"/>
  <c r="AC36" i="36"/>
  <c r="AH35" i="36"/>
  <c r="AG35" i="36"/>
  <c r="AF35" i="36"/>
  <c r="AE35" i="36"/>
  <c r="AD35" i="36"/>
  <c r="AC35" i="36"/>
  <c r="AH34" i="36"/>
  <c r="AG34" i="36"/>
  <c r="AF34" i="36"/>
  <c r="AE34" i="36"/>
  <c r="AD34" i="36"/>
  <c r="AC34" i="36"/>
  <c r="AH33" i="36"/>
  <c r="AG33" i="36"/>
  <c r="AF33" i="36"/>
  <c r="AE33" i="36"/>
  <c r="AD33" i="36"/>
  <c r="AC33" i="36"/>
  <c r="AH32" i="36"/>
  <c r="AG32" i="36"/>
  <c r="AF32" i="36"/>
  <c r="AE32" i="36"/>
  <c r="AD32" i="36"/>
  <c r="AC32" i="36"/>
  <c r="AH31" i="36"/>
  <c r="AG31" i="36"/>
  <c r="AF31" i="36"/>
  <c r="AE31" i="36"/>
  <c r="AD31" i="36"/>
  <c r="AC31" i="36"/>
  <c r="AH30" i="36"/>
  <c r="AG30" i="36"/>
  <c r="AF30" i="36"/>
  <c r="AE30" i="36"/>
  <c r="AD30" i="36"/>
  <c r="AC30" i="36"/>
  <c r="AH29" i="36"/>
  <c r="AG29" i="36"/>
  <c r="AF29" i="36"/>
  <c r="AE29" i="36"/>
  <c r="AD29" i="36"/>
  <c r="AC29" i="36"/>
  <c r="AB38" i="36"/>
  <c r="AB37" i="36"/>
  <c r="AB36" i="36"/>
  <c r="AB35" i="36"/>
  <c r="AB34" i="36"/>
  <c r="AB33" i="36"/>
  <c r="AB32" i="36"/>
  <c r="AB31" i="36"/>
  <c r="AB30" i="36"/>
  <c r="AB29" i="36"/>
  <c r="AB28" i="36"/>
  <c r="AH27" i="36"/>
  <c r="AG27" i="36"/>
  <c r="AF27" i="36"/>
  <c r="AE27" i="36"/>
  <c r="AD27" i="36"/>
  <c r="AB27" i="36"/>
  <c r="AR39" i="36"/>
  <c r="AS39" i="36"/>
  <c r="O23" i="36" s="1"/>
  <c r="AH54" i="36"/>
  <c r="AI54" i="36"/>
  <c r="N23" i="36" s="1"/>
  <c r="Z17" i="47" s="1"/>
  <c r="AR54" i="36"/>
  <c r="AS54" i="36"/>
  <c r="P23" i="36" s="1"/>
  <c r="AT54" i="36"/>
  <c r="M22" i="36" l="1"/>
  <c r="AC27" i="36"/>
  <c r="AL33" i="50"/>
  <c r="U49" i="50"/>
  <c r="Y49" i="50"/>
  <c r="X49" i="50"/>
  <c r="W49" i="50"/>
  <c r="V49" i="50"/>
  <c r="N90" i="50"/>
  <c r="N116" i="50"/>
  <c r="N86" i="50"/>
  <c r="N113" i="50"/>
  <c r="N83" i="50"/>
  <c r="U58" i="42"/>
  <c r="U57" i="42"/>
  <c r="U56" i="42"/>
  <c r="U59" i="42" s="1"/>
  <c r="U53" i="42"/>
  <c r="U52" i="42"/>
  <c r="U54" i="42" s="1"/>
  <c r="U49" i="42"/>
  <c r="U48" i="42"/>
  <c r="U47" i="42"/>
  <c r="U46" i="42"/>
  <c r="U45" i="42"/>
  <c r="U44" i="42"/>
  <c r="U43" i="42"/>
  <c r="U50" i="42" s="1"/>
  <c r="U40" i="42"/>
  <c r="U39" i="42"/>
  <c r="U38" i="42"/>
  <c r="U37" i="42"/>
  <c r="U41" i="42" s="1"/>
  <c r="U32" i="42"/>
  <c r="U11" i="42"/>
  <c r="U12" i="42"/>
  <c r="U13" i="42"/>
  <c r="U14" i="42"/>
  <c r="U15" i="42"/>
  <c r="U16" i="42"/>
  <c r="U17" i="42"/>
  <c r="U18" i="42"/>
  <c r="U19" i="42"/>
  <c r="U20" i="42"/>
  <c r="U21" i="42"/>
  <c r="U22" i="42"/>
  <c r="U23" i="42"/>
  <c r="U24" i="42"/>
  <c r="U25" i="42"/>
  <c r="U26" i="42"/>
  <c r="U27" i="42"/>
  <c r="U28" i="42"/>
  <c r="U10" i="42"/>
  <c r="U29" i="42" s="1"/>
  <c r="U34" i="42" l="1"/>
  <c r="U33" i="42"/>
  <c r="U31" i="42"/>
  <c r="U35" i="42" s="1"/>
  <c r="U61" i="42"/>
  <c r="N120" i="50"/>
  <c r="N94" i="50"/>
  <c r="N124" i="50"/>
  <c r="N98" i="50"/>
  <c r="N128" i="50"/>
  <c r="F6" i="42"/>
  <c r="F5" i="42"/>
  <c r="N80" i="50"/>
  <c r="M80" i="50"/>
  <c r="N77" i="50"/>
  <c r="M77" i="50"/>
  <c r="N74" i="50"/>
  <c r="M30" i="52"/>
  <c r="M31" i="52"/>
  <c r="M29" i="52"/>
  <c r="AI31" i="52"/>
  <c r="N31" i="52"/>
  <c r="F31" i="52"/>
  <c r="AI30" i="52"/>
  <c r="N30" i="52"/>
  <c r="F30" i="52"/>
  <c r="N29" i="52"/>
  <c r="N32" i="52" s="1"/>
  <c r="F29" i="52"/>
  <c r="U67" i="42" l="1"/>
  <c r="U65" i="42"/>
  <c r="U66" i="42"/>
  <c r="U64" i="42"/>
  <c r="U69" i="42" s="1"/>
  <c r="U70" i="42" s="1"/>
  <c r="U71" i="42" s="1"/>
  <c r="U73" i="42" s="1"/>
  <c r="M74" i="50"/>
  <c r="K60" i="50"/>
  <c r="N101" i="50"/>
  <c r="M101" i="50"/>
  <c r="K135" i="50" s="1"/>
  <c r="L29" i="52"/>
  <c r="K29" i="52"/>
  <c r="I29" i="52"/>
  <c r="H29" i="52"/>
  <c r="M32" i="52"/>
  <c r="AR34" i="52"/>
  <c r="O34" i="52"/>
  <c r="P34" i="52"/>
  <c r="Q34" i="52"/>
  <c r="R34" i="52"/>
  <c r="S34" i="52"/>
  <c r="T34" i="52"/>
  <c r="U34" i="52"/>
  <c r="V34" i="52"/>
  <c r="W34" i="52"/>
  <c r="X34" i="52"/>
  <c r="Y34" i="52"/>
  <c r="Z34" i="52"/>
  <c r="AA34" i="52"/>
  <c r="AB34" i="52"/>
  <c r="AC34" i="52"/>
  <c r="AD34" i="52"/>
  <c r="AI29" i="52"/>
  <c r="AI32" i="52" s="1"/>
  <c r="AF34" i="52"/>
  <c r="AG34" i="52"/>
  <c r="AH34" i="52"/>
  <c r="AJ34" i="52"/>
  <c r="AK34" i="52"/>
  <c r="AL34" i="52"/>
  <c r="AM34" i="52"/>
  <c r="AN34" i="52"/>
  <c r="AO34" i="52"/>
  <c r="AP34" i="52"/>
  <c r="AQ34" i="52"/>
  <c r="L30" i="52"/>
  <c r="K30" i="52"/>
  <c r="I30" i="52"/>
  <c r="H30" i="52"/>
  <c r="L31" i="52"/>
  <c r="K31" i="52"/>
  <c r="I31" i="52"/>
  <c r="H31" i="52"/>
  <c r="AE34" i="52" l="1"/>
  <c r="M7" i="36" l="1"/>
  <c r="M6" i="36"/>
  <c r="I51" i="50"/>
  <c r="I52" i="50"/>
  <c r="I53" i="50"/>
  <c r="I54" i="50"/>
  <c r="I55" i="50"/>
  <c r="I57" i="50"/>
  <c r="K57" i="50" s="1"/>
  <c r="I58" i="50"/>
  <c r="K58" i="50" s="1"/>
  <c r="I59" i="50"/>
  <c r="K59" i="50" s="1"/>
  <c r="I61" i="50" l="1"/>
  <c r="B44" i="44"/>
  <c r="I6" i="42" l="1"/>
  <c r="I7" i="42" s="1"/>
  <c r="I8" i="42" s="1"/>
  <c r="C34" i="48" l="1"/>
  <c r="C33" i="48"/>
  <c r="C32" i="48"/>
  <c r="C31" i="48"/>
  <c r="C30" i="48"/>
  <c r="C29" i="48"/>
  <c r="C28" i="48"/>
  <c r="C27" i="48"/>
  <c r="C26" i="48"/>
  <c r="C25" i="48"/>
  <c r="C24" i="48"/>
  <c r="C23" i="48"/>
  <c r="C22" i="48"/>
  <c r="C21" i="48"/>
  <c r="C20" i="48"/>
  <c r="C19" i="48"/>
  <c r="C18" i="48"/>
  <c r="C17" i="48"/>
  <c r="C16" i="48"/>
  <c r="C15" i="48"/>
  <c r="C14" i="48"/>
  <c r="C13" i="48"/>
  <c r="C12" i="48"/>
  <c r="C11" i="48"/>
  <c r="C10" i="48"/>
  <c r="C9" i="48"/>
  <c r="C8" i="48"/>
  <c r="C7" i="48"/>
  <c r="C6" i="48"/>
  <c r="H7" i="46" l="1"/>
  <c r="H8" i="46"/>
  <c r="H9" i="46"/>
  <c r="H10" i="46"/>
  <c r="H11" i="46"/>
  <c r="H12" i="46"/>
  <c r="H13" i="46"/>
  <c r="H14" i="46"/>
  <c r="H15" i="46"/>
  <c r="H16" i="46"/>
  <c r="H17" i="46"/>
  <c r="H18" i="46"/>
  <c r="H19" i="46"/>
  <c r="H20" i="46"/>
  <c r="H21" i="46"/>
  <c r="H22" i="46"/>
  <c r="H23" i="46"/>
  <c r="H24" i="46"/>
  <c r="H25" i="46"/>
  <c r="H26" i="46"/>
  <c r="H27" i="46"/>
  <c r="H28" i="46"/>
  <c r="H29" i="46"/>
  <c r="H30" i="46"/>
  <c r="H31" i="46"/>
  <c r="H32" i="46"/>
  <c r="H33" i="46"/>
  <c r="H34" i="46"/>
  <c r="H35" i="46"/>
  <c r="H36" i="46"/>
  <c r="B39" i="44" l="1"/>
  <c r="B43" i="36"/>
  <c r="B39" i="36"/>
  <c r="E15" i="28"/>
  <c r="D15" i="28"/>
  <c r="D23" i="28" s="1"/>
  <c r="D8" i="28"/>
  <c r="B6" i="50" s="1"/>
  <c r="I8" i="46"/>
  <c r="I9" i="46"/>
  <c r="I10" i="46"/>
  <c r="I11" i="46"/>
  <c r="I12" i="46"/>
  <c r="I13" i="46"/>
  <c r="I14" i="46"/>
  <c r="I15" i="46"/>
  <c r="I16" i="46"/>
  <c r="I17" i="46"/>
  <c r="I18" i="46"/>
  <c r="I19" i="46"/>
  <c r="I20" i="46"/>
  <c r="I21" i="46"/>
  <c r="I22" i="46"/>
  <c r="I23" i="46"/>
  <c r="I24" i="46"/>
  <c r="I25" i="46"/>
  <c r="I26" i="46"/>
  <c r="I27" i="46"/>
  <c r="I28" i="46"/>
  <c r="I29" i="46"/>
  <c r="I30" i="46"/>
  <c r="I31" i="46"/>
  <c r="I32" i="46"/>
  <c r="I33" i="46"/>
  <c r="I34" i="46"/>
  <c r="I35" i="46"/>
  <c r="Y6" i="47"/>
  <c r="Y13" i="47" s="1"/>
  <c r="D9" i="28" l="1"/>
  <c r="T50" i="50" l="1"/>
  <c r="B7" i="50"/>
  <c r="AK26" i="47"/>
  <c r="V8" i="47" s="1"/>
  <c r="AJ26" i="47"/>
  <c r="U8" i="47" s="1"/>
  <c r="AI26" i="47"/>
  <c r="T8" i="47" s="1"/>
  <c r="AH26" i="47"/>
  <c r="S8" i="47" s="1"/>
  <c r="AK25" i="47"/>
  <c r="V7" i="47" s="1"/>
  <c r="AJ25" i="47"/>
  <c r="U7" i="47" s="1"/>
  <c r="AI25" i="47"/>
  <c r="T7" i="47" s="1"/>
  <c r="AH25" i="47"/>
  <c r="S7" i="47" s="1"/>
  <c r="F32" i="42"/>
  <c r="F33" i="42"/>
  <c r="F34" i="42"/>
  <c r="F35" i="42"/>
  <c r="J9" i="42"/>
  <c r="T51" i="50" l="1"/>
  <c r="Y50" i="50" a="1"/>
  <c r="Y50" i="50" s="1"/>
  <c r="X50" i="50" a="1"/>
  <c r="X50" i="50" s="1"/>
  <c r="W50" i="50" a="1"/>
  <c r="W50" i="50" s="1"/>
  <c r="V50" i="50" a="1"/>
  <c r="V50" i="50" s="1"/>
  <c r="U50" i="50" a="1"/>
  <c r="U50" i="50" s="1"/>
  <c r="B8" i="50"/>
  <c r="T52" i="50" l="1"/>
  <c r="Y51" i="50" a="1"/>
  <c r="Y51" i="50" s="1"/>
  <c r="X51" i="50" a="1"/>
  <c r="X51" i="50" s="1"/>
  <c r="W51" i="50" a="1"/>
  <c r="W51" i="50" s="1"/>
  <c r="V51" i="50" a="1"/>
  <c r="V51" i="50" s="1"/>
  <c r="U51" i="50" a="1"/>
  <c r="U51" i="50" s="1"/>
  <c r="B9" i="50"/>
  <c r="V45" i="47"/>
  <c r="V46" i="47" s="1"/>
  <c r="V47" i="47" s="1"/>
  <c r="V48" i="47" s="1"/>
  <c r="V49" i="47" s="1"/>
  <c r="V50" i="47" s="1"/>
  <c r="V51" i="47" s="1"/>
  <c r="T53" i="50" l="1"/>
  <c r="Y52" i="50" a="1"/>
  <c r="Y52" i="50" s="1"/>
  <c r="X52" i="50" a="1"/>
  <c r="X52" i="50" s="1"/>
  <c r="W52" i="50" a="1"/>
  <c r="W52" i="50" s="1"/>
  <c r="V52" i="50" a="1"/>
  <c r="V52" i="50" s="1"/>
  <c r="U52" i="50" a="1"/>
  <c r="U52" i="50" s="1"/>
  <c r="B10" i="50"/>
  <c r="T45" i="47"/>
  <c r="T46" i="47" s="1"/>
  <c r="T47" i="47" s="1"/>
  <c r="T48" i="47" s="1"/>
  <c r="T49" i="47" s="1"/>
  <c r="T50" i="47" s="1"/>
  <c r="T51" i="47" s="1"/>
  <c r="U45" i="47"/>
  <c r="U46" i="47" s="1"/>
  <c r="U47" i="47" s="1"/>
  <c r="U48" i="47" s="1"/>
  <c r="U49" i="47" s="1"/>
  <c r="U50" i="47" s="1"/>
  <c r="U51" i="47" s="1"/>
  <c r="S45" i="47"/>
  <c r="S46" i="47" s="1"/>
  <c r="S47" i="47" s="1"/>
  <c r="S48" i="47" s="1"/>
  <c r="S49" i="47" s="1"/>
  <c r="S50" i="47" s="1"/>
  <c r="S51" i="47" s="1"/>
  <c r="T54" i="50" l="1"/>
  <c r="Y53" i="50" a="1"/>
  <c r="Y53" i="50" s="1"/>
  <c r="X53" i="50" a="1"/>
  <c r="X53" i="50" s="1"/>
  <c r="W53" i="50" a="1"/>
  <c r="W53" i="50" s="1"/>
  <c r="V53" i="50" a="1"/>
  <c r="V53" i="50" s="1"/>
  <c r="U53" i="50" a="1"/>
  <c r="U53" i="50" s="1"/>
  <c r="B11" i="50"/>
  <c r="I7" i="46"/>
  <c r="F11" i="42"/>
  <c r="F12" i="42"/>
  <c r="F13" i="42"/>
  <c r="F14" i="42"/>
  <c r="F15" i="42"/>
  <c r="F16" i="42"/>
  <c r="F17" i="42"/>
  <c r="F18" i="42"/>
  <c r="F19" i="42"/>
  <c r="F20" i="42"/>
  <c r="J5" i="42"/>
  <c r="T55" i="50" l="1"/>
  <c r="Y54" i="50" a="1"/>
  <c r="Y54" i="50" s="1"/>
  <c r="X54" i="50" a="1"/>
  <c r="X54" i="50" s="1"/>
  <c r="W54" i="50" a="1"/>
  <c r="W54" i="50" s="1"/>
  <c r="V54" i="50" a="1"/>
  <c r="V54" i="50" s="1"/>
  <c r="U54" i="50" a="1"/>
  <c r="U54" i="50" s="1"/>
  <c r="B12" i="50"/>
  <c r="T56" i="50" l="1"/>
  <c r="Y55" i="50" a="1"/>
  <c r="Y55" i="50" s="1"/>
  <c r="X55" i="50" a="1"/>
  <c r="X55" i="50" s="1"/>
  <c r="W55" i="50" a="1"/>
  <c r="W55" i="50" s="1"/>
  <c r="V55" i="50" a="1"/>
  <c r="V55" i="50" s="1"/>
  <c r="U55" i="50" a="1"/>
  <c r="U55" i="50" s="1"/>
  <c r="B13" i="50"/>
  <c r="T57" i="50" l="1"/>
  <c r="Y56" i="50" a="1"/>
  <c r="Y56" i="50" s="1"/>
  <c r="X56" i="50" a="1"/>
  <c r="X56" i="50" s="1"/>
  <c r="W56" i="50" a="1"/>
  <c r="W56" i="50" s="1"/>
  <c r="V56" i="50" a="1"/>
  <c r="V56" i="50" s="1"/>
  <c r="U56" i="50" a="1"/>
  <c r="U56" i="50" s="1"/>
  <c r="B14" i="50"/>
  <c r="T58" i="50" l="1"/>
  <c r="Y57" i="50" a="1"/>
  <c r="Y57" i="50" s="1"/>
  <c r="X57" i="50" a="1"/>
  <c r="X57" i="50" s="1"/>
  <c r="W57" i="50" a="1"/>
  <c r="W57" i="50" s="1"/>
  <c r="V57" i="50" a="1"/>
  <c r="V57" i="50" s="1"/>
  <c r="U57" i="50" a="1"/>
  <c r="U57" i="50" s="1"/>
  <c r="B15" i="50"/>
  <c r="T59" i="50" l="1"/>
  <c r="Y58" i="50" a="1"/>
  <c r="Y58" i="50" s="1"/>
  <c r="X58" i="50" a="1"/>
  <c r="X58" i="50" s="1"/>
  <c r="W58" i="50" a="1"/>
  <c r="W58" i="50" s="1"/>
  <c r="V58" i="50" a="1"/>
  <c r="V58" i="50" s="1"/>
  <c r="U58" i="50" a="1"/>
  <c r="U58" i="50" s="1"/>
  <c r="B16" i="50"/>
  <c r="F9" i="42"/>
  <c r="F10" i="42"/>
  <c r="T60" i="50" l="1"/>
  <c r="Y59" i="50" a="1"/>
  <c r="Y59" i="50" s="1"/>
  <c r="X59" i="50" a="1"/>
  <c r="X59" i="50" s="1"/>
  <c r="W59" i="50" a="1"/>
  <c r="W59" i="50" s="1"/>
  <c r="V59" i="50" a="1"/>
  <c r="V59" i="50" s="1"/>
  <c r="U59" i="50" a="1"/>
  <c r="U59" i="50" s="1"/>
  <c r="B17" i="50"/>
  <c r="M10" i="36"/>
  <c r="T61" i="50" l="1"/>
  <c r="Y60" i="50" a="1"/>
  <c r="Y60" i="50" s="1"/>
  <c r="X60" i="50" a="1"/>
  <c r="X60" i="50" s="1"/>
  <c r="W60" i="50" a="1"/>
  <c r="W60" i="50" s="1"/>
  <c r="V60" i="50" a="1"/>
  <c r="V60" i="50" s="1"/>
  <c r="U60" i="50" a="1"/>
  <c r="U60" i="50" s="1"/>
  <c r="B18" i="50"/>
  <c r="C35" i="48"/>
  <c r="T62" i="50" l="1"/>
  <c r="Y61" i="50" a="1"/>
  <c r="Y61" i="50" s="1"/>
  <c r="X61" i="50" a="1"/>
  <c r="X61" i="50" s="1"/>
  <c r="W61" i="50" a="1"/>
  <c r="W61" i="50" s="1"/>
  <c r="V61" i="50" a="1"/>
  <c r="V61" i="50" s="1"/>
  <c r="U61" i="50" a="1"/>
  <c r="U61" i="50" s="1"/>
  <c r="B19" i="50"/>
  <c r="B5" i="42"/>
  <c r="T63" i="50" l="1"/>
  <c r="U62" i="50" a="1"/>
  <c r="U62" i="50" s="1"/>
  <c r="Y62" i="50" a="1"/>
  <c r="Y62" i="50" s="1"/>
  <c r="X62" i="50" a="1"/>
  <c r="X62" i="50" s="1"/>
  <c r="W62" i="50" a="1"/>
  <c r="W62" i="50" s="1"/>
  <c r="V62" i="50" a="1"/>
  <c r="V62" i="50" s="1"/>
  <c r="B20" i="50"/>
  <c r="B42" i="46"/>
  <c r="T64" i="50" l="1"/>
  <c r="Y63" i="50" a="1"/>
  <c r="Y63" i="50" s="1"/>
  <c r="X63" i="50" a="1"/>
  <c r="X63" i="50" s="1"/>
  <c r="W63" i="50" a="1"/>
  <c r="W63" i="50" s="1"/>
  <c r="V63" i="50" a="1"/>
  <c r="V63" i="50" s="1"/>
  <c r="U63" i="50" a="1"/>
  <c r="U63" i="50" s="1"/>
  <c r="B21" i="50"/>
  <c r="B43" i="46"/>
  <c r="T65" i="50" l="1"/>
  <c r="Y64" i="50" a="1"/>
  <c r="Y64" i="50" s="1"/>
  <c r="X64" i="50" a="1"/>
  <c r="X64" i="50" s="1"/>
  <c r="W64" i="50" a="1"/>
  <c r="W64" i="50" s="1"/>
  <c r="V64" i="50" a="1"/>
  <c r="V64" i="50" s="1"/>
  <c r="U64" i="50" a="1"/>
  <c r="U64" i="50" s="1"/>
  <c r="B22" i="50"/>
  <c r="F36" i="42"/>
  <c r="F8" i="42"/>
  <c r="F7" i="42"/>
  <c r="T66" i="50" l="1"/>
  <c r="T67" i="50" s="1"/>
  <c r="Y65" i="50" a="1"/>
  <c r="Y65" i="50" s="1"/>
  <c r="X65" i="50" a="1"/>
  <c r="X65" i="50" s="1"/>
  <c r="W65" i="50" a="1"/>
  <c r="W65" i="50" s="1"/>
  <c r="V65" i="50" a="1"/>
  <c r="V65" i="50" s="1"/>
  <c r="U65" i="50" a="1"/>
  <c r="U65" i="50" s="1"/>
  <c r="B23" i="50"/>
  <c r="B6" i="42"/>
  <c r="T68" i="50" l="1"/>
  <c r="V67" i="50" a="1"/>
  <c r="V67" i="50" s="1"/>
  <c r="W67" i="50" a="1"/>
  <c r="W67" i="50" s="1"/>
  <c r="X67" i="50" a="1"/>
  <c r="X67" i="50" s="1"/>
  <c r="Y67" i="50" a="1"/>
  <c r="Y67" i="50" s="1"/>
  <c r="U67" i="50" a="1"/>
  <c r="U67" i="50" s="1"/>
  <c r="Y66" i="50" a="1"/>
  <c r="Y66" i="50" s="1"/>
  <c r="X66" i="50" a="1"/>
  <c r="X66" i="50" s="1"/>
  <c r="W66" i="50" a="1"/>
  <c r="W66" i="50" s="1"/>
  <c r="V66" i="50" a="1"/>
  <c r="V66" i="50" s="1"/>
  <c r="U66" i="50" a="1"/>
  <c r="U66" i="50" s="1"/>
  <c r="B24" i="50"/>
  <c r="B7" i="42"/>
  <c r="T69" i="50" l="1"/>
  <c r="V68" i="50" a="1"/>
  <c r="V68" i="50" s="1"/>
  <c r="W68" i="50" a="1"/>
  <c r="W68" i="50" s="1"/>
  <c r="X68" i="50" a="1"/>
  <c r="X68" i="50" s="1"/>
  <c r="Y68" i="50" a="1"/>
  <c r="Y68" i="50" s="1"/>
  <c r="U68" i="50" a="1"/>
  <c r="U68" i="50" s="1"/>
  <c r="B25" i="50"/>
  <c r="B8" i="42"/>
  <c r="D8" i="42" s="1"/>
  <c r="T70" i="50" l="1"/>
  <c r="V69" i="50" a="1"/>
  <c r="V69" i="50" s="1"/>
  <c r="W69" i="50" a="1"/>
  <c r="W69" i="50" s="1"/>
  <c r="X69" i="50" a="1"/>
  <c r="X69" i="50" s="1"/>
  <c r="Y69" i="50" a="1"/>
  <c r="Y69" i="50" s="1"/>
  <c r="U69" i="50" a="1"/>
  <c r="U69" i="50" s="1"/>
  <c r="B26" i="50"/>
  <c r="B9" i="42"/>
  <c r="V70" i="50" l="1" a="1"/>
  <c r="V70" i="50" s="1"/>
  <c r="W70" i="50" a="1"/>
  <c r="W70" i="50" s="1"/>
  <c r="X70" i="50" a="1"/>
  <c r="X70" i="50" s="1"/>
  <c r="Y70" i="50" a="1"/>
  <c r="Y70" i="50" s="1"/>
  <c r="U70" i="50" a="1"/>
  <c r="U70" i="50" s="1"/>
  <c r="T71" i="50"/>
  <c r="B27" i="50"/>
  <c r="B10" i="42"/>
  <c r="D9" i="42"/>
  <c r="M11" i="36"/>
  <c r="T72" i="50" l="1"/>
  <c r="Y71" i="50" a="1"/>
  <c r="Y71" i="50" s="1"/>
  <c r="X71" i="50" a="1"/>
  <c r="X71" i="50" s="1"/>
  <c r="W71" i="50" a="1"/>
  <c r="W71" i="50" s="1"/>
  <c r="V71" i="50" a="1"/>
  <c r="V71" i="50" s="1"/>
  <c r="U71" i="50" a="1"/>
  <c r="U71" i="50" s="1"/>
  <c r="B28" i="50"/>
  <c r="B11" i="42"/>
  <c r="D10" i="42"/>
  <c r="M15" i="36"/>
  <c r="M14" i="36"/>
  <c r="M18" i="36" s="1"/>
  <c r="T73" i="50" l="1"/>
  <c r="Y72" i="50" a="1"/>
  <c r="Y72" i="50" s="1"/>
  <c r="X72" i="50" a="1"/>
  <c r="X72" i="50" s="1"/>
  <c r="W72" i="50" a="1"/>
  <c r="W72" i="50" s="1"/>
  <c r="V72" i="50" a="1"/>
  <c r="V72" i="50" s="1"/>
  <c r="U72" i="50" a="1"/>
  <c r="U72" i="50" s="1"/>
  <c r="B29" i="50"/>
  <c r="D11" i="42"/>
  <c r="B12" i="42"/>
  <c r="T74" i="50" l="1"/>
  <c r="Y73" i="50" a="1"/>
  <c r="Y73" i="50" s="1"/>
  <c r="X73" i="50" a="1"/>
  <c r="X73" i="50" s="1"/>
  <c r="W73" i="50" a="1"/>
  <c r="W73" i="50" s="1"/>
  <c r="V73" i="50" a="1"/>
  <c r="V73" i="50" s="1"/>
  <c r="U73" i="50" a="1"/>
  <c r="U73" i="50" s="1"/>
  <c r="B30" i="50"/>
  <c r="B13" i="42"/>
  <c r="D12" i="42"/>
  <c r="T75" i="50" l="1"/>
  <c r="Y74" i="50" a="1"/>
  <c r="Y74" i="50" s="1"/>
  <c r="X74" i="50" a="1"/>
  <c r="X74" i="50" s="1"/>
  <c r="W74" i="50" a="1"/>
  <c r="W74" i="50" s="1"/>
  <c r="V74" i="50" a="1"/>
  <c r="V74" i="50" s="1"/>
  <c r="U74" i="50" a="1"/>
  <c r="U74" i="50" s="1"/>
  <c r="B31" i="50"/>
  <c r="B14" i="42"/>
  <c r="B15" i="42" s="1"/>
  <c r="B16" i="42" s="1"/>
  <c r="D13" i="42"/>
  <c r="T76" i="50" l="1"/>
  <c r="Y75" i="50" a="1"/>
  <c r="Y75" i="50" s="1"/>
  <c r="X75" i="50" a="1"/>
  <c r="X75" i="50" s="1"/>
  <c r="W75" i="50" a="1"/>
  <c r="W75" i="50" s="1"/>
  <c r="V75" i="50" a="1"/>
  <c r="V75" i="50" s="1"/>
  <c r="U75" i="50" a="1"/>
  <c r="U75" i="50" s="1"/>
  <c r="B32" i="50"/>
  <c r="D14" i="42"/>
  <c r="T77" i="50" l="1"/>
  <c r="Y76" i="50" a="1"/>
  <c r="Y76" i="50" s="1"/>
  <c r="X76" i="50" a="1"/>
  <c r="X76" i="50" s="1"/>
  <c r="W76" i="50" a="1"/>
  <c r="W76" i="50" s="1"/>
  <c r="V76" i="50" a="1"/>
  <c r="V76" i="50" s="1"/>
  <c r="U76" i="50" a="1"/>
  <c r="U76" i="50" s="1"/>
  <c r="B33" i="50"/>
  <c r="B7" i="46"/>
  <c r="B5" i="48"/>
  <c r="D5" i="48" s="1"/>
  <c r="B5" i="47"/>
  <c r="B6" i="44"/>
  <c r="B6" i="36"/>
  <c r="T78" i="50" l="1"/>
  <c r="Y77" i="50" a="1"/>
  <c r="Y77" i="50" s="1"/>
  <c r="X77" i="50" a="1"/>
  <c r="X77" i="50" s="1"/>
  <c r="W77" i="50" a="1"/>
  <c r="W77" i="50" s="1"/>
  <c r="V77" i="50" a="1"/>
  <c r="V77" i="50" s="1"/>
  <c r="U77" i="50" a="1"/>
  <c r="U77" i="50" s="1"/>
  <c r="B6" i="47"/>
  <c r="B34" i="50"/>
  <c r="B8" i="46"/>
  <c r="B7" i="47"/>
  <c r="D15" i="42"/>
  <c r="B6" i="48"/>
  <c r="D6" i="48" s="1"/>
  <c r="B9" i="46"/>
  <c r="B7" i="36"/>
  <c r="B7" i="44"/>
  <c r="B44" i="46"/>
  <c r="T79" i="50" l="1"/>
  <c r="Y78" i="50" a="1"/>
  <c r="Y78" i="50" s="1"/>
  <c r="X78" i="50" a="1"/>
  <c r="X78" i="50" s="1"/>
  <c r="W78" i="50" a="1"/>
  <c r="W78" i="50" s="1"/>
  <c r="V78" i="50" a="1"/>
  <c r="V78" i="50" s="1"/>
  <c r="U78" i="50" a="1"/>
  <c r="U78" i="50" s="1"/>
  <c r="B35" i="50"/>
  <c r="B8" i="47"/>
  <c r="D16" i="42"/>
  <c r="B17" i="42"/>
  <c r="B45" i="46"/>
  <c r="B7" i="48"/>
  <c r="D7" i="48" s="1"/>
  <c r="B10" i="46"/>
  <c r="B8" i="36"/>
  <c r="B9" i="36" s="1"/>
  <c r="B10" i="36" s="1"/>
  <c r="B11" i="36" s="1"/>
  <c r="B12" i="36" s="1"/>
  <c r="B13" i="36" s="1"/>
  <c r="B14" i="36" s="1"/>
  <c r="B15" i="36" s="1"/>
  <c r="B16" i="36" s="1"/>
  <c r="B17" i="36" s="1"/>
  <c r="B18" i="36" s="1"/>
  <c r="B19" i="36" s="1"/>
  <c r="B20" i="36" s="1"/>
  <c r="B21" i="36" s="1"/>
  <c r="B22" i="36" s="1"/>
  <c r="B23" i="36" s="1"/>
  <c r="B8" i="44"/>
  <c r="Y79" i="50" l="1" a="1"/>
  <c r="Y79" i="50" s="1"/>
  <c r="X79" i="50" a="1"/>
  <c r="X79" i="50" s="1"/>
  <c r="W79" i="50" a="1"/>
  <c r="W79" i="50" s="1"/>
  <c r="V79" i="50" a="1"/>
  <c r="V79" i="50" s="1"/>
  <c r="U79" i="50" a="1"/>
  <c r="U79" i="50" s="1"/>
  <c r="B9" i="47"/>
  <c r="B18" i="42"/>
  <c r="D17" i="42"/>
  <c r="B46" i="46"/>
  <c r="C45" i="46"/>
  <c r="D45" i="46" s="1"/>
  <c r="B8" i="48"/>
  <c r="D8" i="48" s="1"/>
  <c r="B11" i="46"/>
  <c r="B9" i="44"/>
  <c r="U80" i="50" l="1"/>
  <c r="V80" i="50"/>
  <c r="W80" i="50"/>
  <c r="X80" i="50"/>
  <c r="Y80" i="50"/>
  <c r="B10" i="47"/>
  <c r="D18" i="42"/>
  <c r="B19" i="42"/>
  <c r="B47" i="46"/>
  <c r="C46" i="46"/>
  <c r="D46" i="46" s="1"/>
  <c r="B9" i="48"/>
  <c r="D9" i="48" s="1"/>
  <c r="B12" i="46"/>
  <c r="B10" i="44"/>
  <c r="B11" i="47" l="1"/>
  <c r="B11" i="44"/>
  <c r="B12" i="44" s="1"/>
  <c r="D19" i="42"/>
  <c r="B20" i="42"/>
  <c r="B21" i="42" s="1"/>
  <c r="B48" i="46"/>
  <c r="C47" i="46"/>
  <c r="D47" i="46" s="1"/>
  <c r="B10" i="48"/>
  <c r="D10" i="48" s="1"/>
  <c r="B13" i="46"/>
  <c r="D21" i="42" l="1"/>
  <c r="B22" i="42"/>
  <c r="B12" i="47"/>
  <c r="D20" i="42"/>
  <c r="B49" i="46"/>
  <c r="B50" i="46" s="1"/>
  <c r="B51" i="46" s="1"/>
  <c r="B52" i="46" s="1"/>
  <c r="B53" i="46" s="1"/>
  <c r="B54" i="46" s="1"/>
  <c r="B55" i="46" s="1"/>
  <c r="B56" i="46" s="1"/>
  <c r="B57" i="46" s="1"/>
  <c r="B58" i="46" s="1"/>
  <c r="B59" i="46" s="1"/>
  <c r="B60" i="46" s="1"/>
  <c r="B61" i="46" s="1"/>
  <c r="C48" i="46"/>
  <c r="D48" i="46" s="1"/>
  <c r="B13" i="44"/>
  <c r="B11" i="48"/>
  <c r="D11" i="48" s="1"/>
  <c r="B14" i="46"/>
  <c r="D22" i="42" l="1"/>
  <c r="B23" i="42"/>
  <c r="B13" i="47"/>
  <c r="B12" i="48"/>
  <c r="D12" i="48" s="1"/>
  <c r="B14" i="44"/>
  <c r="B15" i="46"/>
  <c r="B24" i="36"/>
  <c r="D23" i="42" l="1"/>
  <c r="B24" i="42"/>
  <c r="B62" i="46"/>
  <c r="B14" i="47"/>
  <c r="B15" i="44"/>
  <c r="B13" i="48"/>
  <c r="D13" i="48" s="1"/>
  <c r="B16" i="46"/>
  <c r="B25" i="36"/>
  <c r="D24" i="42" l="1"/>
  <c r="B25" i="42"/>
  <c r="B63" i="46"/>
  <c r="B15" i="47"/>
  <c r="C49" i="46"/>
  <c r="D49" i="46" s="1"/>
  <c r="B16" i="44"/>
  <c r="B14" i="48"/>
  <c r="D14" i="48" s="1"/>
  <c r="B17" i="46"/>
  <c r="B26" i="36"/>
  <c r="D25" i="42" l="1"/>
  <c r="B26" i="42"/>
  <c r="B64" i="46"/>
  <c r="B16" i="47"/>
  <c r="B15" i="48"/>
  <c r="D15" i="48" s="1"/>
  <c r="B17" i="44"/>
  <c r="B18" i="46"/>
  <c r="B27" i="36"/>
  <c r="D26" i="42" l="1"/>
  <c r="B27" i="42"/>
  <c r="B65" i="46"/>
  <c r="B17" i="47"/>
  <c r="B16" i="48"/>
  <c r="D16" i="48" s="1"/>
  <c r="B18" i="44"/>
  <c r="B19" i="46"/>
  <c r="B28" i="36"/>
  <c r="D27" i="42" l="1"/>
  <c r="B28" i="42"/>
  <c r="B66" i="46"/>
  <c r="B18" i="47"/>
  <c r="B19" i="44"/>
  <c r="B17" i="48"/>
  <c r="D17" i="48" s="1"/>
  <c r="B20" i="46"/>
  <c r="B29" i="36"/>
  <c r="D28" i="42" l="1"/>
  <c r="B29" i="42"/>
  <c r="B67" i="46"/>
  <c r="B19" i="47"/>
  <c r="B18" i="48"/>
  <c r="D18" i="48" s="1"/>
  <c r="B20" i="44"/>
  <c r="B21" i="46"/>
  <c r="B30" i="36"/>
  <c r="D29" i="42" l="1"/>
  <c r="B30" i="42"/>
  <c r="B68" i="46"/>
  <c r="B69" i="46" s="1"/>
  <c r="B70" i="46" s="1"/>
  <c r="B71" i="46" s="1"/>
  <c r="B72" i="46" s="1"/>
  <c r="B73" i="46" s="1"/>
  <c r="B20" i="47"/>
  <c r="B21" i="44"/>
  <c r="B19" i="48"/>
  <c r="D19" i="48" s="1"/>
  <c r="B22" i="46"/>
  <c r="B31" i="36"/>
  <c r="D30" i="42" l="1"/>
  <c r="B31" i="42"/>
  <c r="D31" i="42" s="1"/>
  <c r="B32" i="42"/>
  <c r="B21" i="47"/>
  <c r="B20" i="48"/>
  <c r="D20" i="48" s="1"/>
  <c r="B22" i="44"/>
  <c r="B23" i="46"/>
  <c r="B32" i="36"/>
  <c r="D32" i="42" l="1"/>
  <c r="B33" i="42"/>
  <c r="B22" i="47"/>
  <c r="B23" i="44"/>
  <c r="B21" i="48"/>
  <c r="D21" i="48" s="1"/>
  <c r="B24" i="46"/>
  <c r="B33" i="36"/>
  <c r="D33" i="42" l="1"/>
  <c r="B34" i="42"/>
  <c r="B23" i="47"/>
  <c r="B24" i="44"/>
  <c r="B22" i="48"/>
  <c r="D22" i="48" s="1"/>
  <c r="B25" i="46"/>
  <c r="B34" i="36"/>
  <c r="D34" i="42" l="1"/>
  <c r="B35" i="42"/>
  <c r="D35" i="42" s="1"/>
  <c r="B24" i="47"/>
  <c r="B25" i="44"/>
  <c r="B23" i="48"/>
  <c r="D23" i="48" s="1"/>
  <c r="B26" i="46"/>
  <c r="B35" i="36"/>
  <c r="B25" i="47" l="1"/>
  <c r="B36" i="42"/>
  <c r="B26" i="44"/>
  <c r="B24" i="48"/>
  <c r="D24" i="48" s="1"/>
  <c r="B27" i="46"/>
  <c r="C67" i="46" l="1"/>
  <c r="D67" i="46" s="1"/>
  <c r="B26" i="47"/>
  <c r="D36" i="42"/>
  <c r="B37" i="42"/>
  <c r="B25" i="48"/>
  <c r="D25" i="48" s="1"/>
  <c r="B27" i="44"/>
  <c r="B28" i="46"/>
  <c r="C61" i="46" l="1"/>
  <c r="D61" i="46" s="1"/>
  <c r="C63" i="46"/>
  <c r="D63" i="46" s="1"/>
  <c r="C62" i="46"/>
  <c r="D62" i="46" s="1"/>
  <c r="C64" i="46"/>
  <c r="D64" i="46" s="1"/>
  <c r="C65" i="46"/>
  <c r="D65" i="46" s="1"/>
  <c r="C66" i="46"/>
  <c r="D66" i="46" s="1"/>
  <c r="B27" i="47"/>
  <c r="C58" i="46"/>
  <c r="D58" i="46" s="1"/>
  <c r="C60" i="46"/>
  <c r="D60" i="46" s="1"/>
  <c r="C52" i="46"/>
  <c r="D52" i="46" s="1"/>
  <c r="C50" i="46"/>
  <c r="D50" i="46" s="1"/>
  <c r="C57" i="46"/>
  <c r="D57" i="46" s="1"/>
  <c r="C73" i="46"/>
  <c r="D73" i="46" s="1"/>
  <c r="C53" i="46"/>
  <c r="D53" i="46" s="1"/>
  <c r="C55" i="46"/>
  <c r="D55" i="46" s="1"/>
  <c r="C59" i="46"/>
  <c r="D59" i="46" s="1"/>
  <c r="C54" i="46"/>
  <c r="D54" i="46" s="1"/>
  <c r="C70" i="46"/>
  <c r="D70" i="46" s="1"/>
  <c r="C56" i="46"/>
  <c r="D56" i="46" s="1"/>
  <c r="C68" i="46"/>
  <c r="D68" i="46" s="1"/>
  <c r="C51" i="46"/>
  <c r="D51" i="46" s="1"/>
  <c r="C69" i="46"/>
  <c r="D69" i="46" s="1"/>
  <c r="C72" i="46"/>
  <c r="D72" i="46" s="1"/>
  <c r="C71" i="46"/>
  <c r="D71" i="46" s="1"/>
  <c r="D37" i="42"/>
  <c r="B26" i="48"/>
  <c r="D26" i="48" s="1"/>
  <c r="B28" i="44"/>
  <c r="B29" i="46"/>
  <c r="B28" i="47" l="1"/>
  <c r="B29" i="44"/>
  <c r="B27" i="48"/>
  <c r="D27" i="48" s="1"/>
  <c r="B30" i="46"/>
  <c r="B29" i="47" l="1"/>
  <c r="B30" i="44"/>
  <c r="B28" i="48"/>
  <c r="D28" i="48" s="1"/>
  <c r="B31" i="46"/>
  <c r="B30" i="47" l="1"/>
  <c r="B29" i="48"/>
  <c r="D29" i="48" s="1"/>
  <c r="B31" i="44"/>
  <c r="B32" i="46"/>
  <c r="B31" i="47" l="1"/>
  <c r="B32" i="44"/>
  <c r="B30" i="48"/>
  <c r="D30" i="48" s="1"/>
  <c r="B33" i="46"/>
  <c r="B32" i="47" l="1"/>
  <c r="B31" i="48"/>
  <c r="D31" i="48" s="1"/>
  <c r="B33" i="44"/>
  <c r="B34" i="46"/>
  <c r="B33" i="47" l="1"/>
  <c r="B34" i="44"/>
  <c r="B32" i="48"/>
  <c r="D32" i="48" s="1"/>
  <c r="B35" i="46"/>
  <c r="B34" i="47" l="1"/>
  <c r="B33" i="48"/>
  <c r="D33" i="48" s="1"/>
  <c r="B35" i="44"/>
  <c r="B36" i="46"/>
  <c r="B34" i="48" l="1"/>
  <c r="D34" i="48" s="1"/>
  <c r="D35" i="48" l="1"/>
  <c r="N75" i="46" s="1"/>
  <c r="N85" i="46" s="1"/>
  <c r="AA17" i="47" l="1"/>
  <c r="AA21" i="47" s="1"/>
  <c r="D7" i="36" a="1"/>
  <c r="D7" i="36" s="1"/>
  <c r="G7" i="36" s="1"/>
  <c r="D9" i="36" a="1"/>
  <c r="D9" i="36" s="1"/>
  <c r="G9" i="36" s="1"/>
  <c r="D13" i="36" a="1"/>
  <c r="D13" i="36" s="1"/>
  <c r="G13" i="36" s="1"/>
  <c r="D10" i="36" a="1"/>
  <c r="D10" i="36" s="1"/>
  <c r="G10" i="36" s="1"/>
  <c r="D14" i="36" a="1"/>
  <c r="D14" i="36" s="1"/>
  <c r="G14" i="36" s="1"/>
  <c r="D11" i="36" a="1"/>
  <c r="D11" i="36" s="1"/>
  <c r="G11" i="36" s="1"/>
  <c r="D15" i="36" a="1"/>
  <c r="D15" i="36" s="1"/>
  <c r="G15" i="36" s="1"/>
  <c r="D8" i="36" a="1"/>
  <c r="D8" i="36" s="1"/>
  <c r="G8" i="36" s="1"/>
  <c r="D22" i="36" a="1"/>
  <c r="D22" i="36" s="1"/>
  <c r="G22" i="36" s="1"/>
  <c r="D16" i="36" a="1"/>
  <c r="D16" i="36" s="1"/>
  <c r="G16" i="36" s="1"/>
  <c r="D23" i="36" a="1"/>
  <c r="D23" i="36" s="1"/>
  <c r="G23" i="36" s="1"/>
  <c r="D18" i="36" a="1"/>
  <c r="D18" i="36" s="1"/>
  <c r="G18" i="36" s="1"/>
  <c r="D12" i="36" a="1"/>
  <c r="D12" i="36" s="1"/>
  <c r="G12" i="36" s="1"/>
  <c r="D21" i="36" a="1"/>
  <c r="D21" i="36" s="1"/>
  <c r="G21" i="36" s="1"/>
  <c r="D19" i="36" a="1"/>
  <c r="D19" i="36" s="1"/>
  <c r="G19" i="36" s="1"/>
  <c r="D20" i="36" a="1"/>
  <c r="D20" i="36" s="1"/>
  <c r="G20" i="36" s="1"/>
  <c r="D17" i="36" a="1"/>
  <c r="D17" i="36" s="1"/>
  <c r="G17" i="36" s="1"/>
  <c r="D24" i="36" a="1"/>
  <c r="D24" i="36" s="1"/>
  <c r="D25" i="36" s="1"/>
  <c r="D26" i="36" s="1"/>
  <c r="D27" i="36" s="1"/>
  <c r="D28" i="36" s="1"/>
  <c r="D29" i="36" s="1"/>
  <c r="D30" i="36" s="1"/>
  <c r="D31" i="36" s="1"/>
  <c r="D32" i="36" s="1"/>
  <c r="D33" i="36" s="1"/>
  <c r="D34" i="36" s="1"/>
  <c r="D35" i="36" s="1"/>
  <c r="D6" i="36" a="1"/>
  <c r="D6" i="36" s="1"/>
  <c r="G6" i="36" s="1"/>
  <c r="G24" i="36" l="1"/>
  <c r="AB17" i="47"/>
  <c r="AB21" i="47" s="1"/>
  <c r="G25" i="36" l="1"/>
  <c r="G26" i="36" l="1"/>
  <c r="Z21" i="47"/>
  <c r="G27" i="36" l="1"/>
  <c r="G28" i="36" l="1"/>
  <c r="G29" i="36" l="1"/>
  <c r="G30" i="36" l="1"/>
  <c r="G31" i="36" l="1"/>
  <c r="G32" i="36" l="1"/>
  <c r="G33" i="36" l="1"/>
  <c r="G35" i="36" l="1"/>
  <c r="G34" i="36"/>
  <c r="K70" i="50" l="1"/>
  <c r="L70" i="50" s="1"/>
  <c r="K55" i="50" s="1"/>
  <c r="K65" i="50"/>
  <c r="L65" i="50" s="1"/>
  <c r="K50" i="50" l="1"/>
  <c r="K68" i="50"/>
  <c r="L68" i="50" s="1"/>
  <c r="K53" i="50" s="1"/>
  <c r="K69" i="50"/>
  <c r="L69" i="50" s="1"/>
  <c r="K54" i="50" s="1"/>
  <c r="K66" i="50"/>
  <c r="L66" i="50" s="1"/>
  <c r="K51" i="50" s="1"/>
  <c r="K67" i="50" l="1"/>
  <c r="L67" i="50" s="1"/>
  <c r="K52" i="50" s="1"/>
  <c r="K61" i="50" s="1"/>
  <c r="I135" i="50" l="1"/>
  <c r="Z48" i="50"/>
  <c r="AD48" i="50"/>
  <c r="AC48" i="50"/>
  <c r="AB48" i="50"/>
  <c r="AA48" i="50"/>
  <c r="N110" i="50"/>
  <c r="I35" i="50" l="1"/>
  <c r="T34" i="50" s="1"/>
  <c r="AA34" i="50" s="1"/>
  <c r="N104" i="50"/>
  <c r="M104" i="50"/>
  <c r="I37" i="50" s="1"/>
  <c r="T36" i="50" s="1"/>
  <c r="AA36" i="50" s="1"/>
  <c r="I31" i="50"/>
  <c r="T30" i="50" s="1"/>
  <c r="AA30" i="50" s="1"/>
  <c r="J31" i="50"/>
  <c r="U30" i="50" s="1"/>
  <c r="AB30" i="50" s="1"/>
  <c r="K31" i="50"/>
  <c r="V30" i="50" s="1"/>
  <c r="AC30" i="50" s="1"/>
  <c r="L31" i="50"/>
  <c r="W30" i="50" s="1"/>
  <c r="AD30" i="50" s="1"/>
  <c r="M31" i="50"/>
  <c r="X30" i="50" s="1"/>
  <c r="AE30" i="50" s="1"/>
  <c r="J35" i="50"/>
  <c r="U34" i="50" s="1"/>
  <c r="AB34" i="50" s="1"/>
  <c r="K35" i="50"/>
  <c r="V34" i="50" s="1"/>
  <c r="AC34" i="50" s="1"/>
  <c r="L35" i="50"/>
  <c r="W34" i="50" s="1"/>
  <c r="AD34" i="50" s="1"/>
  <c r="M35" i="50"/>
  <c r="X34" i="50" s="1"/>
  <c r="AE34" i="50" s="1"/>
  <c r="J39" i="50"/>
  <c r="U38" i="50" s="1"/>
  <c r="AB38" i="50" s="1"/>
  <c r="K39" i="50"/>
  <c r="V38" i="50" s="1"/>
  <c r="AC38" i="50" s="1"/>
  <c r="L39" i="50"/>
  <c r="W38" i="50" s="1"/>
  <c r="AD38" i="50" s="1"/>
  <c r="M39" i="50"/>
  <c r="X38" i="50" s="1"/>
  <c r="AE38" i="50" s="1"/>
  <c r="I39" i="50"/>
  <c r="T38" i="50" s="1"/>
  <c r="AA38" i="50" s="1"/>
  <c r="J37" i="50" l="1"/>
  <c r="U36" i="50" s="1"/>
  <c r="AB36" i="50" s="1"/>
  <c r="K37" i="50"/>
  <c r="V36" i="50" s="1"/>
  <c r="AC36" i="50" s="1"/>
  <c r="L37" i="50"/>
  <c r="W36" i="50" s="1"/>
  <c r="AD36" i="50" s="1"/>
  <c r="M37" i="50"/>
  <c r="X36" i="50" s="1"/>
  <c r="AE36" i="50" s="1"/>
  <c r="I34" i="50" l="1"/>
  <c r="T33" i="50" s="1"/>
  <c r="AA33" i="50" s="1"/>
  <c r="J34" i="50"/>
  <c r="U33" i="50" s="1"/>
  <c r="AB33" i="50" s="1"/>
  <c r="K34" i="50"/>
  <c r="V33" i="50" s="1"/>
  <c r="AC33" i="50" s="1"/>
  <c r="L34" i="50"/>
  <c r="W33" i="50" s="1"/>
  <c r="AD33" i="50" s="1"/>
  <c r="M34" i="50"/>
  <c r="X33" i="50" s="1"/>
  <c r="AE33" i="50" s="1"/>
  <c r="I33" i="50" l="1"/>
  <c r="T32" i="50" s="1"/>
  <c r="AA32" i="50" s="1"/>
  <c r="J33" i="50"/>
  <c r="U32" i="50" s="1"/>
  <c r="AB32" i="50" s="1"/>
  <c r="K33" i="50"/>
  <c r="V32" i="50" s="1"/>
  <c r="AC32" i="50" s="1"/>
  <c r="L33" i="50"/>
  <c r="W32" i="50" s="1"/>
  <c r="AD32" i="50" s="1"/>
  <c r="M33" i="50"/>
  <c r="X32" i="50" s="1"/>
  <c r="AE32" i="50" s="1"/>
  <c r="N107" i="50"/>
  <c r="N129" i="50" s="1"/>
  <c r="I30" i="50" l="1"/>
  <c r="T29" i="50" s="1"/>
  <c r="K30" i="50"/>
  <c r="V29" i="50" s="1"/>
  <c r="J30" i="50"/>
  <c r="U29" i="50" s="1"/>
  <c r="L30" i="50"/>
  <c r="W29" i="50" s="1"/>
  <c r="M30" i="50"/>
  <c r="X29" i="50" s="1"/>
  <c r="AC29" i="50" l="1"/>
  <c r="AE29" i="50"/>
  <c r="AD29" i="50"/>
  <c r="AB29" i="50"/>
  <c r="AA29" i="50"/>
  <c r="M129" i="50"/>
  <c r="L135" i="50" s="1"/>
  <c r="J38" i="50" l="1"/>
  <c r="U37" i="50" s="1"/>
  <c r="AB37" i="50" s="1"/>
  <c r="K38" i="50"/>
  <c r="V37" i="50" s="1"/>
  <c r="AC37" i="50" s="1"/>
  <c r="L38" i="50"/>
  <c r="W37" i="50" s="1"/>
  <c r="AD37" i="50" s="1"/>
  <c r="M38" i="50"/>
  <c r="X37" i="50" s="1"/>
  <c r="AE37" i="50" s="1"/>
  <c r="I38" i="50"/>
  <c r="T37" i="50" s="1"/>
  <c r="AA37" i="50" s="1"/>
  <c r="I32" i="50" l="1"/>
  <c r="T31" i="50" s="1"/>
  <c r="J51" i="50"/>
  <c r="L51" i="50" s="1"/>
  <c r="J53" i="50"/>
  <c r="L53" i="50" s="1"/>
  <c r="J54" i="50"/>
  <c r="L54" i="50" s="1"/>
  <c r="J55" i="50"/>
  <c r="L55" i="50" s="1"/>
  <c r="AA31" i="50" l="1"/>
  <c r="J36" i="50"/>
  <c r="U35" i="50" s="1"/>
  <c r="AB35" i="50" s="1"/>
  <c r="K36" i="50"/>
  <c r="V35" i="50" s="1"/>
  <c r="AC35" i="50" s="1"/>
  <c r="L36" i="50"/>
  <c r="W35" i="50" s="1"/>
  <c r="AD35" i="50" s="1"/>
  <c r="M36" i="50"/>
  <c r="X35" i="50" s="1"/>
  <c r="AE35" i="50" s="1"/>
  <c r="I36" i="50"/>
  <c r="T35" i="50" s="1"/>
  <c r="AA35" i="50" s="1"/>
  <c r="J32" i="50"/>
  <c r="U31" i="50" s="1"/>
  <c r="K32" i="50"/>
  <c r="V31" i="50" s="1"/>
  <c r="L32" i="50"/>
  <c r="W31" i="50" s="1"/>
  <c r="M32" i="50"/>
  <c r="X31" i="50" s="1"/>
  <c r="J57" i="50"/>
  <c r="L57" i="50" s="1"/>
  <c r="J58" i="50"/>
  <c r="L58" i="50" s="1"/>
  <c r="J59" i="50"/>
  <c r="L59" i="50" s="1"/>
  <c r="J52" i="50"/>
  <c r="L52" i="50" s="1"/>
  <c r="AL24" i="50" l="1"/>
  <c r="AI30" i="50"/>
  <c r="AM24" i="50"/>
  <c r="AK24" i="50"/>
  <c r="AJ24" i="50"/>
  <c r="AI24" i="50"/>
  <c r="AI34" i="50" s="1"/>
  <c r="AE31" i="50"/>
  <c r="AM30" i="50" s="1"/>
  <c r="AC31" i="50"/>
  <c r="AK30" i="50" s="1"/>
  <c r="AD31" i="50"/>
  <c r="AL30" i="50" s="1"/>
  <c r="AB31" i="50"/>
  <c r="AJ30" i="50" s="1"/>
  <c r="K41" i="50"/>
  <c r="T7" i="50" s="1"/>
  <c r="M41" i="50"/>
  <c r="T6" i="50" s="1"/>
  <c r="AH39" i="36"/>
  <c r="AI39" i="36" s="1"/>
  <c r="M23" i="36" s="1"/>
  <c r="Y17" i="47" l="1"/>
  <c r="C23" i="36" a="1"/>
  <c r="C23" i="36" s="1"/>
  <c r="C6" i="36" a="1"/>
  <c r="C6" i="36" s="1"/>
  <c r="Y21" i="47"/>
  <c r="F5" i="47" s="1"/>
  <c r="C6" i="44" s="1"/>
  <c r="AJ40" i="50"/>
  <c r="AJ41" i="50"/>
  <c r="AJ42" i="50"/>
  <c r="AJ43" i="50"/>
  <c r="AJ44" i="50"/>
  <c r="AJ45" i="50"/>
  <c r="AJ46" i="50"/>
  <c r="AJ47" i="50"/>
  <c r="AJ48" i="50"/>
  <c r="AJ49" i="50"/>
  <c r="AJ50" i="50"/>
  <c r="AJ51" i="50"/>
  <c r="AJ52" i="50"/>
  <c r="AJ53" i="50"/>
  <c r="AJ54" i="50"/>
  <c r="AJ55" i="50"/>
  <c r="AJ56" i="50"/>
  <c r="AJ57" i="50"/>
  <c r="AJ58" i="50"/>
  <c r="AJ59" i="50"/>
  <c r="AJ60" i="50"/>
  <c r="AJ61" i="50"/>
  <c r="AJ62" i="50"/>
  <c r="AJ63" i="50"/>
  <c r="AJ64" i="50"/>
  <c r="AJ65" i="50"/>
  <c r="AJ66" i="50"/>
  <c r="AJ67" i="50"/>
  <c r="AJ68" i="50"/>
  <c r="AJ39" i="50"/>
  <c r="AJ37" i="50" s="1"/>
  <c r="AJ34" i="50"/>
  <c r="AK34" i="50"/>
  <c r="AM34" i="50"/>
  <c r="AL34" i="50"/>
  <c r="AT39" i="36"/>
  <c r="E6" i="44" l="1"/>
  <c r="D6" i="44"/>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39" i="50"/>
  <c r="AM37" i="50" s="1"/>
  <c r="AN40" i="50"/>
  <c r="AN41" i="50"/>
  <c r="AN42" i="50"/>
  <c r="AN43" i="50"/>
  <c r="AN44" i="50"/>
  <c r="AN45" i="50"/>
  <c r="AN46" i="50"/>
  <c r="AN47" i="50"/>
  <c r="AN48" i="50"/>
  <c r="AN49" i="50"/>
  <c r="AN50" i="50"/>
  <c r="AN51" i="50"/>
  <c r="AN52" i="50"/>
  <c r="AN53" i="50"/>
  <c r="AN54" i="50"/>
  <c r="AN55" i="50"/>
  <c r="AN56" i="50"/>
  <c r="AN57" i="50"/>
  <c r="AN58" i="50"/>
  <c r="AN59" i="50"/>
  <c r="AN60" i="50"/>
  <c r="AN61" i="50"/>
  <c r="AN62" i="50"/>
  <c r="AN63" i="50"/>
  <c r="AN64" i="50"/>
  <c r="AN65" i="50"/>
  <c r="AN66" i="50"/>
  <c r="AN67" i="50"/>
  <c r="AN68" i="50"/>
  <c r="AN39" i="50"/>
  <c r="AN37" i="50" s="1"/>
  <c r="AL40" i="50"/>
  <c r="AL41" i="50"/>
  <c r="AL42" i="50"/>
  <c r="AL43" i="50"/>
  <c r="AL44" i="50"/>
  <c r="AL45" i="50"/>
  <c r="AL46" i="50"/>
  <c r="AL47" i="50"/>
  <c r="AL48" i="50"/>
  <c r="AL49" i="50"/>
  <c r="AL50" i="50"/>
  <c r="AL51" i="50"/>
  <c r="AL52" i="50"/>
  <c r="AL53" i="50"/>
  <c r="AL54" i="50"/>
  <c r="AL55" i="50"/>
  <c r="AL56" i="50"/>
  <c r="AL57" i="50"/>
  <c r="AL58" i="50"/>
  <c r="AL59" i="50"/>
  <c r="AL60" i="50"/>
  <c r="AL61" i="50"/>
  <c r="AL62" i="50"/>
  <c r="AL63" i="50"/>
  <c r="AL64" i="50"/>
  <c r="AL65" i="50"/>
  <c r="AL66" i="50"/>
  <c r="AL67" i="50"/>
  <c r="AL68" i="50"/>
  <c r="AL39" i="50"/>
  <c r="AL37" i="50" s="1"/>
  <c r="AK40" i="50"/>
  <c r="AK41" i="50"/>
  <c r="AK42" i="50"/>
  <c r="AK43" i="50"/>
  <c r="AK44" i="50"/>
  <c r="AK45" i="50"/>
  <c r="AK46" i="50"/>
  <c r="AK47" i="50"/>
  <c r="AK48" i="50"/>
  <c r="AK49" i="50"/>
  <c r="AK50" i="50"/>
  <c r="AK51" i="50"/>
  <c r="AK52" i="50"/>
  <c r="AK53" i="50"/>
  <c r="AK54" i="50"/>
  <c r="AK55" i="50"/>
  <c r="AK56" i="50"/>
  <c r="AK57" i="50"/>
  <c r="AK58" i="50"/>
  <c r="AK59" i="50"/>
  <c r="AK60" i="50"/>
  <c r="AK61" i="50"/>
  <c r="AK62" i="50"/>
  <c r="AK63" i="50"/>
  <c r="AK64" i="50"/>
  <c r="AK65" i="50"/>
  <c r="AK66" i="50"/>
  <c r="AK67" i="50"/>
  <c r="AK68" i="50"/>
  <c r="AK39" i="50"/>
  <c r="AK37" i="50" s="1"/>
  <c r="C19" i="36" a="1"/>
  <c r="C19" i="36" s="1"/>
  <c r="C15" i="36" a="1"/>
  <c r="C15" i="36" s="1"/>
  <c r="C11" i="36" a="1"/>
  <c r="C11" i="36" s="1"/>
  <c r="C7" i="36" a="1"/>
  <c r="C7" i="36" s="1"/>
  <c r="C20" i="36" a="1"/>
  <c r="C20" i="36" s="1"/>
  <c r="C16" i="36" a="1"/>
  <c r="C16" i="36" s="1"/>
  <c r="C22" i="36" a="1"/>
  <c r="C22" i="36" s="1"/>
  <c r="C18" i="36" a="1"/>
  <c r="C18" i="36" s="1"/>
  <c r="C14" i="36" a="1"/>
  <c r="C14" i="36" s="1"/>
  <c r="C10" i="36" a="1"/>
  <c r="C10" i="36" s="1"/>
  <c r="C8" i="36" a="1"/>
  <c r="C8" i="36" s="1"/>
  <c r="C24" i="36" a="1"/>
  <c r="C24" i="36" s="1"/>
  <c r="C25" i="36" s="1"/>
  <c r="C26" i="36" s="1"/>
  <c r="C27" i="36" s="1"/>
  <c r="C28" i="36" s="1"/>
  <c r="C29" i="36" s="1"/>
  <c r="C30" i="36" s="1"/>
  <c r="C31" i="36" s="1"/>
  <c r="C32" i="36" s="1"/>
  <c r="C33" i="36" s="1"/>
  <c r="C34" i="36" s="1"/>
  <c r="C35" i="36" s="1"/>
  <c r="C21" i="36" a="1"/>
  <c r="C21" i="36" s="1"/>
  <c r="C17" i="36" a="1"/>
  <c r="C17" i="36" s="1"/>
  <c r="C13" i="36" a="1"/>
  <c r="C13" i="36" s="1"/>
  <c r="C9" i="36" a="1"/>
  <c r="C9" i="36" s="1"/>
  <c r="C12" i="36" a="1"/>
  <c r="C12" i="36" s="1"/>
  <c r="F12" i="36" l="1"/>
  <c r="H12" i="36" s="1"/>
  <c r="D13" i="46" s="1"/>
  <c r="E12" i="36"/>
  <c r="F9" i="36"/>
  <c r="H9" i="36" s="1"/>
  <c r="D10" i="46" s="1"/>
  <c r="E9" i="36"/>
  <c r="F13" i="36"/>
  <c r="H13" i="36" s="1"/>
  <c r="D14" i="46" s="1"/>
  <c r="E13" i="36"/>
  <c r="F17" i="36"/>
  <c r="H17" i="36" s="1"/>
  <c r="D18" i="46" s="1"/>
  <c r="E17" i="36"/>
  <c r="F21" i="36"/>
  <c r="H21" i="36" s="1"/>
  <c r="D22" i="46" s="1"/>
  <c r="E21" i="36"/>
  <c r="F25" i="36"/>
  <c r="H25" i="36" s="1"/>
  <c r="D26" i="46" s="1"/>
  <c r="E25" i="36"/>
  <c r="F24" i="36"/>
  <c r="H24" i="36" s="1"/>
  <c r="D25" i="46" s="1"/>
  <c r="E24" i="36"/>
  <c r="F8" i="36"/>
  <c r="H8" i="36" s="1"/>
  <c r="D9" i="46" s="1"/>
  <c r="E8" i="36"/>
  <c r="F10" i="36"/>
  <c r="H10" i="36" s="1"/>
  <c r="D11" i="46" s="1"/>
  <c r="E10" i="36"/>
  <c r="F14" i="36"/>
  <c r="H14" i="36" s="1"/>
  <c r="D15" i="46" s="1"/>
  <c r="E14" i="36"/>
  <c r="F18" i="36"/>
  <c r="H18" i="36" s="1"/>
  <c r="D19" i="46" s="1"/>
  <c r="E18" i="36"/>
  <c r="F22" i="36"/>
  <c r="H22" i="36" s="1"/>
  <c r="D23" i="46" s="1"/>
  <c r="E22" i="36"/>
  <c r="F26" i="36"/>
  <c r="H26" i="36" s="1"/>
  <c r="D27" i="46" s="1"/>
  <c r="E26" i="36"/>
  <c r="F16" i="36"/>
  <c r="H16" i="36" s="1"/>
  <c r="D17" i="46" s="1"/>
  <c r="E16" i="36"/>
  <c r="F6" i="36"/>
  <c r="H6" i="36" s="1"/>
  <c r="E6" i="36"/>
  <c r="F20" i="36"/>
  <c r="H20" i="36" s="1"/>
  <c r="D21" i="46" s="1"/>
  <c r="E20" i="36"/>
  <c r="F7" i="36"/>
  <c r="H7" i="36" s="1"/>
  <c r="D8" i="46" s="1"/>
  <c r="E7" i="36"/>
  <c r="F11" i="36"/>
  <c r="H11" i="36" s="1"/>
  <c r="D12" i="46" s="1"/>
  <c r="E11" i="36"/>
  <c r="F15" i="36"/>
  <c r="H15" i="36" s="1"/>
  <c r="D16" i="46" s="1"/>
  <c r="E15" i="36"/>
  <c r="F19" i="36"/>
  <c r="H19" i="36" s="1"/>
  <c r="D20" i="46" s="1"/>
  <c r="E19" i="36"/>
  <c r="F23" i="36"/>
  <c r="H23" i="36" s="1"/>
  <c r="D24" i="46" s="1"/>
  <c r="E23" i="36"/>
  <c r="F8" i="47"/>
  <c r="F7" i="47"/>
  <c r="H7" i="47" s="1"/>
  <c r="K7" i="47" s="1"/>
  <c r="F6" i="47"/>
  <c r="F21" i="47"/>
  <c r="F16" i="47"/>
  <c r="F22" i="47"/>
  <c r="F19" i="47"/>
  <c r="F18" i="47"/>
  <c r="F17" i="47"/>
  <c r="F12" i="47"/>
  <c r="F11" i="47"/>
  <c r="F10" i="47"/>
  <c r="F9" i="47"/>
  <c r="F20" i="47"/>
  <c r="F23" i="47"/>
  <c r="F24" i="47" s="1"/>
  <c r="F25" i="47" s="1"/>
  <c r="F26" i="47" s="1"/>
  <c r="F27" i="47" s="1"/>
  <c r="F28" i="47" s="1"/>
  <c r="F29" i="47" s="1"/>
  <c r="F30" i="47" s="1"/>
  <c r="F31" i="47" s="1"/>
  <c r="F32" i="47" s="1"/>
  <c r="F33" i="47" s="1"/>
  <c r="F34" i="47" s="1"/>
  <c r="F15" i="47"/>
  <c r="F14" i="47"/>
  <c r="F13" i="47"/>
  <c r="C25" i="44" l="1"/>
  <c r="C24" i="47"/>
  <c r="D24" i="47" s="1"/>
  <c r="E24" i="47" s="1"/>
  <c r="F26" i="46" s="1"/>
  <c r="H24" i="47"/>
  <c r="K24" i="47" s="1"/>
  <c r="I24" i="47"/>
  <c r="L24" i="47" s="1"/>
  <c r="G24" i="47"/>
  <c r="J24" i="47" s="1"/>
  <c r="M24" i="47" s="1"/>
  <c r="E26" i="46" s="1"/>
  <c r="C14" i="44"/>
  <c r="I13" i="47"/>
  <c r="L13" i="47" s="1"/>
  <c r="G13" i="47"/>
  <c r="J13" i="47" s="1"/>
  <c r="C13" i="47"/>
  <c r="D13" i="47" s="1"/>
  <c r="E13" i="47" s="1"/>
  <c r="F15" i="46" s="1"/>
  <c r="H13" i="47"/>
  <c r="K13" i="47" s="1"/>
  <c r="C30" i="44"/>
  <c r="G29" i="47"/>
  <c r="J29" i="47" s="1"/>
  <c r="H29" i="47"/>
  <c r="K29" i="47" s="1"/>
  <c r="C29" i="47"/>
  <c r="D29" i="47" s="1"/>
  <c r="E29" i="47" s="1"/>
  <c r="F31" i="46" s="1"/>
  <c r="I29" i="47"/>
  <c r="L29" i="47" s="1"/>
  <c r="C15" i="44"/>
  <c r="G14" i="47"/>
  <c r="J14" i="47" s="1"/>
  <c r="C14" i="47"/>
  <c r="D14" i="47" s="1"/>
  <c r="E14" i="47" s="1"/>
  <c r="F16" i="46" s="1"/>
  <c r="H14" i="47"/>
  <c r="K14" i="47" s="1"/>
  <c r="I14" i="47"/>
  <c r="L14" i="47" s="1"/>
  <c r="C31" i="44"/>
  <c r="C30" i="47"/>
  <c r="D30" i="47" s="1"/>
  <c r="E30" i="47" s="1"/>
  <c r="F32" i="46" s="1"/>
  <c r="H30" i="47"/>
  <c r="K30" i="47" s="1"/>
  <c r="I30" i="47"/>
  <c r="L30" i="47" s="1"/>
  <c r="G30" i="47"/>
  <c r="J30" i="47" s="1"/>
  <c r="M30" i="47" s="1"/>
  <c r="E32" i="46" s="1"/>
  <c r="C16" i="44"/>
  <c r="H15" i="47"/>
  <c r="K15" i="47" s="1"/>
  <c r="I15" i="47"/>
  <c r="L15" i="47" s="1"/>
  <c r="G15" i="47"/>
  <c r="J15" i="47" s="1"/>
  <c r="M15" i="47" s="1"/>
  <c r="E17" i="46" s="1"/>
  <c r="C15" i="47"/>
  <c r="D15" i="47" s="1"/>
  <c r="E15" i="47" s="1"/>
  <c r="F17" i="46" s="1"/>
  <c r="C32" i="44"/>
  <c r="H31" i="47"/>
  <c r="K31" i="47" s="1"/>
  <c r="I31" i="47"/>
  <c r="L31" i="47" s="1"/>
  <c r="G31" i="47"/>
  <c r="J31" i="47" s="1"/>
  <c r="M31" i="47" s="1"/>
  <c r="E33" i="46" s="1"/>
  <c r="C31" i="47"/>
  <c r="D31" i="47" s="1"/>
  <c r="E31" i="47" s="1"/>
  <c r="F33" i="46" s="1"/>
  <c r="C33" i="44"/>
  <c r="H32" i="47"/>
  <c r="K32" i="47" s="1"/>
  <c r="I32" i="47"/>
  <c r="L32" i="47" s="1"/>
  <c r="G32" i="47"/>
  <c r="J32" i="47" s="1"/>
  <c r="M32" i="47" s="1"/>
  <c r="E34" i="46" s="1"/>
  <c r="C32" i="47"/>
  <c r="D32" i="47" s="1"/>
  <c r="E32" i="47" s="1"/>
  <c r="F34" i="46" s="1"/>
  <c r="C24" i="44"/>
  <c r="H23" i="47"/>
  <c r="K23" i="47" s="1"/>
  <c r="I23" i="47"/>
  <c r="L23" i="47" s="1"/>
  <c r="G23" i="47"/>
  <c r="J23" i="47" s="1"/>
  <c r="M23" i="47" s="1"/>
  <c r="E25" i="46" s="1"/>
  <c r="C23" i="47"/>
  <c r="D23" i="47" s="1"/>
  <c r="E23" i="47" s="1"/>
  <c r="F25" i="46" s="1"/>
  <c r="C21" i="44"/>
  <c r="H20" i="47"/>
  <c r="K20" i="47" s="1"/>
  <c r="I20" i="47"/>
  <c r="L20" i="47" s="1"/>
  <c r="G20" i="47"/>
  <c r="J20" i="47" s="1"/>
  <c r="M20" i="47" s="1"/>
  <c r="E22" i="46" s="1"/>
  <c r="C20" i="47"/>
  <c r="D20" i="47" s="1"/>
  <c r="E20" i="47" s="1"/>
  <c r="F22" i="46" s="1"/>
  <c r="C10" i="44"/>
  <c r="G9" i="47"/>
  <c r="J9" i="47" s="1"/>
  <c r="C9" i="47"/>
  <c r="D9" i="47" s="1"/>
  <c r="E9" i="47" s="1"/>
  <c r="F11" i="46" s="1"/>
  <c r="H9" i="47"/>
  <c r="K9" i="47" s="1"/>
  <c r="I9" i="47"/>
  <c r="L9" i="47" s="1"/>
  <c r="C11" i="44"/>
  <c r="C10" i="47"/>
  <c r="D10" i="47" s="1"/>
  <c r="E10" i="47" s="1"/>
  <c r="F12" i="46" s="1"/>
  <c r="H10" i="47"/>
  <c r="K10" i="47" s="1"/>
  <c r="I10" i="47"/>
  <c r="L10" i="47" s="1"/>
  <c r="G10" i="47"/>
  <c r="J10" i="47" s="1"/>
  <c r="M10" i="47" s="1"/>
  <c r="E12" i="46" s="1"/>
  <c r="C12" i="44"/>
  <c r="G11" i="47"/>
  <c r="J11" i="47" s="1"/>
  <c r="H11" i="47"/>
  <c r="K11" i="47" s="1"/>
  <c r="I11" i="47"/>
  <c r="L11" i="47" s="1"/>
  <c r="C11" i="47"/>
  <c r="D11" i="47" s="1"/>
  <c r="E11" i="47" s="1"/>
  <c r="F13" i="46" s="1"/>
  <c r="C28" i="44"/>
  <c r="G27" i="47"/>
  <c r="J27" i="47" s="1"/>
  <c r="C27" i="47"/>
  <c r="D27" i="47" s="1"/>
  <c r="E27" i="47" s="1"/>
  <c r="F29" i="46" s="1"/>
  <c r="H27" i="47"/>
  <c r="K27" i="47" s="1"/>
  <c r="I27" i="47"/>
  <c r="L27" i="47" s="1"/>
  <c r="C13" i="44"/>
  <c r="G12" i="47"/>
  <c r="J12" i="47" s="1"/>
  <c r="C12" i="47"/>
  <c r="D12" i="47" s="1"/>
  <c r="E12" i="47" s="1"/>
  <c r="F14" i="46" s="1"/>
  <c r="H12" i="47"/>
  <c r="K12" i="47" s="1"/>
  <c r="I12" i="47"/>
  <c r="L12" i="47" s="1"/>
  <c r="C29" i="44"/>
  <c r="C28" i="47"/>
  <c r="D28" i="47" s="1"/>
  <c r="E28" i="47" s="1"/>
  <c r="F30" i="46" s="1"/>
  <c r="H28" i="47"/>
  <c r="K28" i="47" s="1"/>
  <c r="I28" i="47"/>
  <c r="L28" i="47" s="1"/>
  <c r="G28" i="47"/>
  <c r="J28" i="47" s="1"/>
  <c r="M28" i="47" s="1"/>
  <c r="E30" i="46" s="1"/>
  <c r="C18" i="44"/>
  <c r="I17" i="47"/>
  <c r="L17" i="47" s="1"/>
  <c r="G17" i="47"/>
  <c r="J17" i="47" s="1"/>
  <c r="C17" i="47"/>
  <c r="D17" i="47" s="1"/>
  <c r="E17" i="47" s="1"/>
  <c r="F19" i="46" s="1"/>
  <c r="H17" i="47"/>
  <c r="K17" i="47" s="1"/>
  <c r="C34" i="44"/>
  <c r="C33" i="47"/>
  <c r="D33" i="47" s="1"/>
  <c r="E33" i="47" s="1"/>
  <c r="F35" i="46" s="1"/>
  <c r="H33" i="47"/>
  <c r="K33" i="47" s="1"/>
  <c r="I33" i="47"/>
  <c r="L33" i="47" s="1"/>
  <c r="G33" i="47"/>
  <c r="J33" i="47" s="1"/>
  <c r="M33" i="47" s="1"/>
  <c r="E35" i="46" s="1"/>
  <c r="C19" i="44"/>
  <c r="G18" i="47"/>
  <c r="J18" i="47" s="1"/>
  <c r="C18" i="47"/>
  <c r="D18" i="47" s="1"/>
  <c r="E18" i="47" s="1"/>
  <c r="F20" i="46" s="1"/>
  <c r="H18" i="47"/>
  <c r="K18" i="47" s="1"/>
  <c r="I18" i="47"/>
  <c r="L18" i="47" s="1"/>
  <c r="C35" i="44"/>
  <c r="G34" i="47"/>
  <c r="J34" i="47" s="1"/>
  <c r="C34" i="47"/>
  <c r="D34" i="47" s="1"/>
  <c r="E34" i="47" s="1"/>
  <c r="F36" i="46" s="1"/>
  <c r="H34" i="47"/>
  <c r="K34" i="47" s="1"/>
  <c r="I34" i="47"/>
  <c r="L34" i="47" s="1"/>
  <c r="C20" i="44"/>
  <c r="I19" i="47"/>
  <c r="L19" i="47" s="1"/>
  <c r="C19" i="47"/>
  <c r="D19" i="47" s="1"/>
  <c r="E19" i="47" s="1"/>
  <c r="F21" i="46" s="1"/>
  <c r="G19" i="47"/>
  <c r="J19" i="47" s="1"/>
  <c r="H19" i="47"/>
  <c r="K19" i="47" s="1"/>
  <c r="C23" i="44"/>
  <c r="H22" i="47"/>
  <c r="K22" i="47" s="1"/>
  <c r="I22" i="47"/>
  <c r="L22" i="47" s="1"/>
  <c r="G22" i="47"/>
  <c r="J22" i="47" s="1"/>
  <c r="M22" i="47" s="1"/>
  <c r="E24" i="46" s="1"/>
  <c r="C22" i="47"/>
  <c r="D22" i="47" s="1"/>
  <c r="E22" i="47" s="1"/>
  <c r="F24" i="46" s="1"/>
  <c r="C26" i="44"/>
  <c r="I25" i="47"/>
  <c r="L25" i="47" s="1"/>
  <c r="G25" i="47"/>
  <c r="J25" i="47" s="1"/>
  <c r="C25" i="47"/>
  <c r="D25" i="47" s="1"/>
  <c r="E25" i="47" s="1"/>
  <c r="F27" i="46" s="1"/>
  <c r="H25" i="47"/>
  <c r="K25" i="47" s="1"/>
  <c r="C27" i="44"/>
  <c r="I26" i="47"/>
  <c r="L26" i="47" s="1"/>
  <c r="G26" i="47"/>
  <c r="J26" i="47" s="1"/>
  <c r="C26" i="47"/>
  <c r="D26" i="47" s="1"/>
  <c r="E26" i="47" s="1"/>
  <c r="F28" i="46" s="1"/>
  <c r="H26" i="47"/>
  <c r="K26" i="47" s="1"/>
  <c r="C17" i="44"/>
  <c r="G16" i="47"/>
  <c r="J16" i="47" s="1"/>
  <c r="C16" i="47"/>
  <c r="D16" i="47" s="1"/>
  <c r="E16" i="47" s="1"/>
  <c r="F18" i="46" s="1"/>
  <c r="H16" i="47"/>
  <c r="K16" i="47" s="1"/>
  <c r="I16" i="47"/>
  <c r="L16" i="47" s="1"/>
  <c r="C22" i="44"/>
  <c r="C21" i="47"/>
  <c r="D21" i="47" s="1"/>
  <c r="E21" i="47" s="1"/>
  <c r="F23" i="46" s="1"/>
  <c r="H21" i="47"/>
  <c r="K21" i="47" s="1"/>
  <c r="I21" i="47"/>
  <c r="L21" i="47" s="1"/>
  <c r="G21" i="47"/>
  <c r="J21" i="47" s="1"/>
  <c r="M21" i="47" s="1"/>
  <c r="E23" i="46" s="1"/>
  <c r="C7" i="44"/>
  <c r="C6" i="47"/>
  <c r="D6" i="47" s="1"/>
  <c r="E6" i="47" s="1"/>
  <c r="F8" i="46" s="1"/>
  <c r="H6" i="47"/>
  <c r="K6" i="47" s="1"/>
  <c r="I6" i="47"/>
  <c r="L6" i="47" s="1"/>
  <c r="G6" i="47"/>
  <c r="J6" i="47" s="1"/>
  <c r="M6" i="47" s="1"/>
  <c r="E8" i="46" s="1"/>
  <c r="C8" i="44"/>
  <c r="I7" i="47"/>
  <c r="L7" i="47" s="1"/>
  <c r="G7" i="47"/>
  <c r="J7" i="47" s="1"/>
  <c r="M7" i="47" s="1"/>
  <c r="E9" i="46" s="1"/>
  <c r="C7" i="47"/>
  <c r="D7" i="47" s="1"/>
  <c r="E7" i="47" s="1"/>
  <c r="F9" i="46" s="1"/>
  <c r="H5" i="47"/>
  <c r="G5" i="47"/>
  <c r="C5" i="47"/>
  <c r="I5" i="47"/>
  <c r="C9" i="44"/>
  <c r="I8" i="47"/>
  <c r="L8" i="47" s="1"/>
  <c r="G8" i="47"/>
  <c r="J8" i="47" s="1"/>
  <c r="C8" i="47"/>
  <c r="D8" i="47" s="1"/>
  <c r="E8" i="47" s="1"/>
  <c r="F10" i="46" s="1"/>
  <c r="H8" i="47"/>
  <c r="K8" i="47" s="1"/>
  <c r="I23" i="36"/>
  <c r="I19" i="36"/>
  <c r="I15" i="36"/>
  <c r="I11" i="36"/>
  <c r="I7" i="36"/>
  <c r="I20" i="36"/>
  <c r="AA6" i="47"/>
  <c r="D7" i="46"/>
  <c r="I6" i="36"/>
  <c r="I16" i="36"/>
  <c r="I26" i="36"/>
  <c r="E27" i="36"/>
  <c r="F27" i="36"/>
  <c r="H27" i="36" s="1"/>
  <c r="D28" i="46" s="1"/>
  <c r="I22" i="36"/>
  <c r="I18" i="36"/>
  <c r="I14" i="36"/>
  <c r="I10" i="36"/>
  <c r="I8" i="36"/>
  <c r="I24" i="36"/>
  <c r="I25" i="36"/>
  <c r="I21" i="36"/>
  <c r="I17" i="36"/>
  <c r="I13" i="36"/>
  <c r="I9" i="36"/>
  <c r="I12" i="36"/>
  <c r="I27" i="36" l="1"/>
  <c r="F28" i="36"/>
  <c r="H28" i="36" s="1"/>
  <c r="D29" i="46" s="1"/>
  <c r="E28" i="36"/>
  <c r="M8" i="47"/>
  <c r="E10" i="46" s="1"/>
  <c r="D9" i="44"/>
  <c r="E9" i="44"/>
  <c r="L5" i="47"/>
  <c r="I35" i="47"/>
  <c r="I36" i="47" s="1"/>
  <c r="C50" i="47" s="1"/>
  <c r="D5" i="47"/>
  <c r="E5" i="47" s="1"/>
  <c r="C35" i="47"/>
  <c r="C47" i="47" s="1"/>
  <c r="J5" i="47"/>
  <c r="G35" i="47"/>
  <c r="G36" i="47" s="1"/>
  <c r="C48" i="47" s="1"/>
  <c r="K5" i="47"/>
  <c r="H35" i="47"/>
  <c r="H36" i="47" s="1"/>
  <c r="C49" i="47" s="1"/>
  <c r="N7" i="47"/>
  <c r="P7" i="47" s="1"/>
  <c r="O7" i="47"/>
  <c r="E8" i="44"/>
  <c r="D8" i="44"/>
  <c r="F8" i="44" s="1"/>
  <c r="C9" i="46" s="1"/>
  <c r="N6" i="47"/>
  <c r="P6" i="47" s="1"/>
  <c r="O6" i="47"/>
  <c r="D7" i="44"/>
  <c r="E7" i="44"/>
  <c r="N21" i="47"/>
  <c r="P21" i="47" s="1"/>
  <c r="O21" i="47"/>
  <c r="D22" i="44"/>
  <c r="E22" i="44"/>
  <c r="M16" i="47"/>
  <c r="E18" i="46" s="1"/>
  <c r="D17" i="44"/>
  <c r="E17" i="44"/>
  <c r="M26" i="47"/>
  <c r="E28" i="46" s="1"/>
  <c r="D27" i="44"/>
  <c r="E27" i="44"/>
  <c r="M25" i="47"/>
  <c r="E27" i="46" s="1"/>
  <c r="D26" i="44"/>
  <c r="E26" i="44"/>
  <c r="N22" i="47"/>
  <c r="P22" i="47" s="1"/>
  <c r="O22" i="47"/>
  <c r="D23" i="44"/>
  <c r="E23" i="44"/>
  <c r="M19" i="47"/>
  <c r="E21" i="46" s="1"/>
  <c r="E20" i="44"/>
  <c r="D20" i="44"/>
  <c r="F20" i="44" s="1"/>
  <c r="C21" i="46" s="1"/>
  <c r="M34" i="47"/>
  <c r="E36" i="46" s="1"/>
  <c r="D35" i="44"/>
  <c r="E35" i="44"/>
  <c r="M18" i="47"/>
  <c r="E20" i="46" s="1"/>
  <c r="D19" i="44"/>
  <c r="E19" i="44"/>
  <c r="N33" i="47"/>
  <c r="P33" i="47" s="1"/>
  <c r="O33" i="47"/>
  <c r="E34" i="44"/>
  <c r="D34" i="44"/>
  <c r="F34" i="44" s="1"/>
  <c r="C35" i="46" s="1"/>
  <c r="M17" i="47"/>
  <c r="E19" i="46" s="1"/>
  <c r="D18" i="44"/>
  <c r="E18" i="44"/>
  <c r="N28" i="47"/>
  <c r="P28" i="47" s="1"/>
  <c r="O28" i="47"/>
  <c r="E29" i="44"/>
  <c r="D29" i="44"/>
  <c r="F29" i="44" s="1"/>
  <c r="C30" i="46" s="1"/>
  <c r="M12" i="47"/>
  <c r="E14" i="46" s="1"/>
  <c r="E13" i="44"/>
  <c r="D13" i="44"/>
  <c r="F13" i="44" s="1"/>
  <c r="C14" i="46" s="1"/>
  <c r="M27" i="47"/>
  <c r="E29" i="46" s="1"/>
  <c r="E28" i="44"/>
  <c r="D28" i="44"/>
  <c r="F28" i="44" s="1"/>
  <c r="C29" i="46" s="1"/>
  <c r="M11" i="47"/>
  <c r="E13" i="46" s="1"/>
  <c r="E12" i="44"/>
  <c r="D12" i="44"/>
  <c r="F12" i="44" s="1"/>
  <c r="C13" i="46" s="1"/>
  <c r="O10" i="47"/>
  <c r="N10" i="47"/>
  <c r="P10" i="47" s="1"/>
  <c r="D11" i="44"/>
  <c r="E11" i="44"/>
  <c r="M9" i="47"/>
  <c r="E11" i="46" s="1"/>
  <c r="D10" i="44"/>
  <c r="E10" i="44"/>
  <c r="N20" i="47"/>
  <c r="P20" i="47" s="1"/>
  <c r="O20" i="47"/>
  <c r="D21" i="44"/>
  <c r="E21" i="44"/>
  <c r="N23" i="47"/>
  <c r="P23" i="47" s="1"/>
  <c r="O23" i="47"/>
  <c r="D24" i="44"/>
  <c r="E24" i="44"/>
  <c r="N32" i="47"/>
  <c r="P32" i="47" s="1"/>
  <c r="O32" i="47"/>
  <c r="E33" i="44"/>
  <c r="D33" i="44"/>
  <c r="F33" i="44" s="1"/>
  <c r="C34" i="46" s="1"/>
  <c r="N31" i="47"/>
  <c r="P31" i="47" s="1"/>
  <c r="O31" i="47"/>
  <c r="E32" i="44"/>
  <c r="D32" i="44"/>
  <c r="F32" i="44" s="1"/>
  <c r="C33" i="46" s="1"/>
  <c r="N15" i="47"/>
  <c r="P15" i="47" s="1"/>
  <c r="O15" i="47"/>
  <c r="E16" i="44"/>
  <c r="D16" i="44"/>
  <c r="F16" i="44" s="1"/>
  <c r="C17" i="46" s="1"/>
  <c r="N30" i="47"/>
  <c r="P30" i="47" s="1"/>
  <c r="O30" i="47"/>
  <c r="D31" i="44"/>
  <c r="E31" i="44"/>
  <c r="M14" i="47"/>
  <c r="E16" i="46" s="1"/>
  <c r="E15" i="44"/>
  <c r="D15" i="44"/>
  <c r="F15" i="44" s="1"/>
  <c r="C16" i="46" s="1"/>
  <c r="M29" i="47"/>
  <c r="E31" i="46" s="1"/>
  <c r="E30" i="44"/>
  <c r="D30" i="44"/>
  <c r="F30" i="44" s="1"/>
  <c r="C31" i="46" s="1"/>
  <c r="M13" i="47"/>
  <c r="E15" i="46" s="1"/>
  <c r="E14" i="44"/>
  <c r="D14" i="44"/>
  <c r="F14" i="44" s="1"/>
  <c r="C15" i="46" s="1"/>
  <c r="N24" i="47"/>
  <c r="P24" i="47" s="1"/>
  <c r="O24" i="47"/>
  <c r="E25" i="44"/>
  <c r="D25" i="44"/>
  <c r="F25" i="44" s="1"/>
  <c r="C26" i="46" s="1"/>
  <c r="G25" i="44" l="1"/>
  <c r="G14" i="44"/>
  <c r="N13" i="47"/>
  <c r="P13" i="47" s="1"/>
  <c r="O13" i="47"/>
  <c r="G30" i="44"/>
  <c r="N29" i="47"/>
  <c r="P29" i="47" s="1"/>
  <c r="O29" i="47"/>
  <c r="G15" i="44"/>
  <c r="N14" i="47"/>
  <c r="P14" i="47" s="1"/>
  <c r="O14" i="47"/>
  <c r="F31" i="44"/>
  <c r="C32" i="46" s="1"/>
  <c r="G16" i="44"/>
  <c r="G32" i="44"/>
  <c r="G33" i="44"/>
  <c r="F24" i="44"/>
  <c r="C25" i="46" s="1"/>
  <c r="F21" i="44"/>
  <c r="C22" i="46" s="1"/>
  <c r="F10" i="44"/>
  <c r="C11" i="46" s="1"/>
  <c r="N9" i="47"/>
  <c r="P9" i="47" s="1"/>
  <c r="O9" i="47"/>
  <c r="F11" i="44"/>
  <c r="C12" i="46" s="1"/>
  <c r="G12" i="44"/>
  <c r="N11" i="47"/>
  <c r="P11" i="47" s="1"/>
  <c r="O11" i="47"/>
  <c r="G28" i="44"/>
  <c r="N27" i="47"/>
  <c r="P27" i="47" s="1"/>
  <c r="O27" i="47"/>
  <c r="G13" i="44"/>
  <c r="O12" i="47"/>
  <c r="N12" i="47"/>
  <c r="P12" i="47" s="1"/>
  <c r="G29" i="44"/>
  <c r="F18" i="44"/>
  <c r="C19" i="46" s="1"/>
  <c r="N17" i="47"/>
  <c r="P17" i="47" s="1"/>
  <c r="O17" i="47"/>
  <c r="G34" i="44"/>
  <c r="F19" i="44"/>
  <c r="C20" i="46" s="1"/>
  <c r="N18" i="47"/>
  <c r="P18" i="47" s="1"/>
  <c r="O18" i="47"/>
  <c r="F35" i="44"/>
  <c r="C36" i="46" s="1"/>
  <c r="N34" i="47"/>
  <c r="P34" i="47" s="1"/>
  <c r="O34" i="47"/>
  <c r="G20" i="44"/>
  <c r="N19" i="47"/>
  <c r="P19" i="47" s="1"/>
  <c r="O19" i="47"/>
  <c r="F23" i="44"/>
  <c r="C24" i="46" s="1"/>
  <c r="F26" i="44"/>
  <c r="C27" i="46" s="1"/>
  <c r="N25" i="47"/>
  <c r="P25" i="47" s="1"/>
  <c r="O25" i="47"/>
  <c r="F27" i="44"/>
  <c r="C28" i="46" s="1"/>
  <c r="N26" i="47"/>
  <c r="P26" i="47" s="1"/>
  <c r="O26" i="47"/>
  <c r="F17" i="44"/>
  <c r="C18" i="46" s="1"/>
  <c r="N16" i="47"/>
  <c r="P16" i="47" s="1"/>
  <c r="O16" i="47"/>
  <c r="F22" i="44"/>
  <c r="C23" i="46" s="1"/>
  <c r="F7" i="44"/>
  <c r="C8" i="46" s="1"/>
  <c r="G8" i="44"/>
  <c r="F6" i="44"/>
  <c r="M5" i="47"/>
  <c r="F7" i="46"/>
  <c r="E35" i="47"/>
  <c r="F9" i="44"/>
  <c r="C10" i="46" s="1"/>
  <c r="N8" i="47"/>
  <c r="P8" i="47" s="1"/>
  <c r="O8" i="47"/>
  <c r="E29" i="36"/>
  <c r="F29" i="36"/>
  <c r="H29" i="36" s="1"/>
  <c r="D30" i="46" s="1"/>
  <c r="I28" i="36"/>
  <c r="I29" i="36" l="1"/>
  <c r="E30" i="36"/>
  <c r="F30" i="36"/>
  <c r="H30" i="36" s="1"/>
  <c r="D31" i="46" s="1"/>
  <c r="G9" i="44"/>
  <c r="N5" i="47"/>
  <c r="O5" i="47"/>
  <c r="O35" i="47" s="1"/>
  <c r="E7" i="46"/>
  <c r="C7" i="46"/>
  <c r="G6" i="44"/>
  <c r="G7" i="44"/>
  <c r="G22" i="44"/>
  <c r="G17" i="44"/>
  <c r="G27" i="44"/>
  <c r="G26" i="44"/>
  <c r="G23" i="44"/>
  <c r="G35" i="44"/>
  <c r="G19" i="44"/>
  <c r="G18" i="44"/>
  <c r="G11" i="44"/>
  <c r="G10" i="44"/>
  <c r="G21" i="44"/>
  <c r="G24" i="44"/>
  <c r="G31" i="44"/>
  <c r="G36" i="44" l="1"/>
  <c r="N72" i="46" s="1"/>
  <c r="N82" i="46" s="1"/>
  <c r="P5" i="47"/>
  <c r="P35" i="47" s="1"/>
  <c r="N74" i="46" s="1"/>
  <c r="N84" i="46" s="1"/>
  <c r="N35" i="47"/>
  <c r="I30" i="36"/>
  <c r="E31" i="36"/>
  <c r="F31" i="36"/>
  <c r="H31" i="36" s="1"/>
  <c r="D32" i="46" s="1"/>
  <c r="I31" i="36" l="1"/>
  <c r="E32" i="36"/>
  <c r="F32" i="36"/>
  <c r="H32" i="36" s="1"/>
  <c r="D33" i="46" s="1"/>
  <c r="I32" i="36" l="1"/>
  <c r="E33" i="36"/>
  <c r="F33" i="36"/>
  <c r="H33" i="36" s="1"/>
  <c r="D34" i="46" s="1"/>
  <c r="I33" i="36" l="1"/>
  <c r="E34" i="36"/>
  <c r="F34" i="36"/>
  <c r="H34" i="36" s="1"/>
  <c r="D35" i="46" s="1"/>
  <c r="I34" i="36" l="1"/>
  <c r="E35" i="36"/>
  <c r="Z6" i="47" s="1"/>
  <c r="F35" i="36"/>
  <c r="H35" i="36" s="1"/>
  <c r="D36" i="46" s="1"/>
  <c r="I35" i="36" l="1"/>
  <c r="I36" i="36" s="1"/>
  <c r="N71" i="46" l="1"/>
  <c r="N81" i="46" l="1"/>
  <c r="J56" i="50" l="1"/>
  <c r="L56" i="50" s="1"/>
  <c r="J60" i="50" l="1"/>
  <c r="L60" i="50" s="1"/>
  <c r="AF48" i="50" l="1"/>
  <c r="AE49" i="50"/>
  <c r="AE50" i="50"/>
  <c r="AE52" i="50"/>
  <c r="AE53" i="50"/>
  <c r="AE54" i="50"/>
  <c r="AE55" i="50"/>
  <c r="AE56" i="50"/>
  <c r="AE57" i="50"/>
  <c r="AE58" i="50"/>
  <c r="AE59" i="50"/>
  <c r="AE60" i="50"/>
  <c r="AE61" i="50"/>
  <c r="AE62" i="50"/>
  <c r="AE63" i="50"/>
  <c r="AE64" i="50"/>
  <c r="AE65" i="50"/>
  <c r="AE66" i="50"/>
  <c r="AE67" i="50"/>
  <c r="AE68" i="50"/>
  <c r="AE69" i="50"/>
  <c r="AE70" i="50"/>
  <c r="AE71" i="50"/>
  <c r="AE72" i="50"/>
  <c r="AE73" i="50"/>
  <c r="AE74" i="50"/>
  <c r="AE75" i="50"/>
  <c r="AE76" i="50"/>
  <c r="AE77" i="50"/>
  <c r="AE78" i="50"/>
  <c r="AE79" i="50"/>
  <c r="AE48" i="50"/>
  <c r="J50" i="50"/>
  <c r="L50" i="50" l="1"/>
  <c r="L61" i="50" s="1"/>
  <c r="J61" i="50"/>
  <c r="J135" i="50" s="1"/>
  <c r="C6" i="50" s="1"/>
  <c r="AC56" i="50" l="1"/>
  <c r="AB64" i="50"/>
  <c r="AC51" i="50"/>
  <c r="AD73" i="50"/>
  <c r="Z61" i="50"/>
  <c r="AB69" i="50"/>
  <c r="Z52" i="50"/>
  <c r="AA78" i="50"/>
  <c r="AB65" i="50"/>
  <c r="AC52" i="50"/>
  <c r="AC57" i="50"/>
  <c r="Z70" i="50"/>
  <c r="AA57" i="50"/>
  <c r="AA75" i="50"/>
  <c r="Z73" i="50"/>
  <c r="AA60" i="50"/>
  <c r="Z50" i="50"/>
  <c r="AA72" i="50"/>
  <c r="AB59" i="50"/>
  <c r="AB50" i="50"/>
  <c r="AB78" i="50"/>
  <c r="AC76" i="50"/>
  <c r="AD63" i="50"/>
  <c r="Z51" i="50"/>
  <c r="AA51" i="50"/>
  <c r="AC68" i="50"/>
  <c r="AC55" i="50"/>
  <c r="AD67" i="50"/>
  <c r="AB71" i="50"/>
  <c r="AC58" i="50"/>
  <c r="AA77" i="50"/>
  <c r="AA67" i="50"/>
  <c r="AA66" i="50"/>
  <c r="AB70" i="50"/>
  <c r="AD57" i="50"/>
  <c r="AC73" i="50"/>
  <c r="Z72" i="50"/>
  <c r="Z75" i="50"/>
  <c r="AB62" i="50"/>
  <c r="AC49" i="50"/>
  <c r="AC79" i="50"/>
  <c r="AD66" i="50"/>
  <c r="Z54" i="50"/>
  <c r="AC62" i="50"/>
  <c r="AA69" i="50"/>
  <c r="Z57" i="50"/>
  <c r="Z62" i="50"/>
  <c r="AB53" i="50"/>
  <c r="AC64" i="50"/>
  <c r="AD51" i="50"/>
  <c r="AB72" i="50"/>
  <c r="AC59" i="50"/>
  <c r="AA63" i="50"/>
  <c r="Z69" i="50"/>
  <c r="AA56" i="50"/>
  <c r="AA68" i="50"/>
  <c r="AC65" i="50"/>
  <c r="AB73" i="50"/>
  <c r="AC60" i="50"/>
  <c r="U7" i="50"/>
  <c r="V7" i="50" s="1"/>
  <c r="Z78" i="50"/>
  <c r="AA65" i="50"/>
  <c r="AB52" i="50"/>
  <c r="AB54" i="50"/>
  <c r="AD68" i="50"/>
  <c r="AB55" i="50"/>
  <c r="C16" i="50"/>
  <c r="D16" i="50" s="1"/>
  <c r="C17" i="50"/>
  <c r="D17" i="50" s="1"/>
  <c r="C9" i="50"/>
  <c r="D9" i="50" s="1"/>
  <c r="C8" i="50"/>
  <c r="D8" i="50" s="1"/>
  <c r="C11" i="50"/>
  <c r="D11" i="50" s="1"/>
  <c r="C12" i="50"/>
  <c r="D12" i="50" s="1"/>
  <c r="C7" i="50"/>
  <c r="D7" i="50" s="1"/>
  <c r="C14" i="50"/>
  <c r="D14" i="50" s="1"/>
  <c r="D6" i="50"/>
  <c r="C10" i="50"/>
  <c r="D10" i="50" s="1"/>
  <c r="C23" i="50"/>
  <c r="D23" i="50" s="1"/>
  <c r="C13" i="50"/>
  <c r="D13" i="50" s="1"/>
  <c r="C15" i="50"/>
  <c r="D15" i="50" s="1"/>
  <c r="C21" i="50"/>
  <c r="D21" i="50" s="1"/>
  <c r="C18" i="50"/>
  <c r="D18" i="50" s="1"/>
  <c r="C24" i="50"/>
  <c r="C19" i="50"/>
  <c r="D19" i="50" s="1"/>
  <c r="C20" i="50"/>
  <c r="D20" i="50" s="1"/>
  <c r="C22" i="50"/>
  <c r="D22" i="50" s="1"/>
  <c r="AA61" i="50"/>
  <c r="AD64" i="50"/>
  <c r="AD75" i="50"/>
  <c r="Z63" i="50"/>
  <c r="AA50" i="50"/>
  <c r="AA70" i="50"/>
  <c r="Z58" i="50"/>
  <c r="AA55" i="50"/>
  <c r="AC67" i="50"/>
  <c r="AC54" i="50"/>
  <c r="AD60" i="50"/>
  <c r="AA59" i="50"/>
  <c r="AD71" i="50"/>
  <c r="Z59" i="50"/>
  <c r="AA71" i="50"/>
  <c r="AB76" i="50"/>
  <c r="AC63" i="50"/>
  <c r="AD50" i="50"/>
  <c r="AB79" i="50"/>
  <c r="AC66" i="50"/>
  <c r="AD53" i="50"/>
  <c r="AC69" i="50"/>
  <c r="AC75" i="50"/>
  <c r="Z79" i="50"/>
  <c r="AD72" i="50"/>
  <c r="AA74" i="50"/>
  <c r="AD69" i="50"/>
  <c r="AB56" i="50"/>
  <c r="AC78" i="50"/>
  <c r="AD65" i="50"/>
  <c r="Z53" i="50"/>
  <c r="AD52" i="50"/>
  <c r="Z56" i="50"/>
  <c r="AD70" i="50"/>
  <c r="AB57" i="50"/>
  <c r="AD76" i="50"/>
  <c r="AD74" i="50"/>
  <c r="AA62" i="50"/>
  <c r="AB49" i="50"/>
  <c r="AD77" i="50"/>
  <c r="Z65" i="50"/>
  <c r="AA52" i="50"/>
  <c r="AB66" i="50"/>
  <c r="AD56" i="50"/>
  <c r="AB74" i="50"/>
  <c r="AC61" i="50"/>
  <c r="AB61" i="50"/>
  <c r="AC53" i="50"/>
  <c r="AC72" i="50"/>
  <c r="AD59" i="50"/>
  <c r="Z60" i="50"/>
  <c r="AB67" i="50"/>
  <c r="AD54" i="50"/>
  <c r="Z77" i="50"/>
  <c r="AA64" i="50"/>
  <c r="AB51" i="50"/>
  <c r="AA79" i="50"/>
  <c r="AD49" i="50"/>
  <c r="AB68" i="50"/>
  <c r="AD55" i="50"/>
  <c r="AC70" i="50"/>
  <c r="AA73" i="50"/>
  <c r="AB60" i="50"/>
  <c r="U6" i="50"/>
  <c r="V6" i="50" s="1"/>
  <c r="W6" i="50" s="1"/>
  <c r="AA76" i="50"/>
  <c r="AB63" i="50"/>
  <c r="AC50" i="50"/>
  <c r="Z55" i="50"/>
  <c r="Z74" i="50"/>
  <c r="AB77" i="50"/>
  <c r="AC77" i="50"/>
  <c r="Z76" i="50"/>
  <c r="Z71" i="50"/>
  <c r="AA58" i="50"/>
  <c r="AD78" i="50"/>
  <c r="Z66" i="50"/>
  <c r="AF66" i="50" s="1"/>
  <c r="AA53" i="50"/>
  <c r="AB75" i="50"/>
  <c r="AD62" i="50"/>
  <c r="Z49" i="50"/>
  <c r="Z68" i="50"/>
  <c r="AF68" i="50" s="1"/>
  <c r="AD79" i="50"/>
  <c r="Z67" i="50"/>
  <c r="AA54" i="50"/>
  <c r="Z64" i="50"/>
  <c r="AC71" i="50"/>
  <c r="AD58" i="50"/>
  <c r="AB58" i="50"/>
  <c r="AC74" i="50"/>
  <c r="AD61" i="50"/>
  <c r="AA49" i="50"/>
  <c r="D24" i="50" l="1"/>
  <c r="C25" i="50"/>
  <c r="AF55" i="50"/>
  <c r="AF59" i="50"/>
  <c r="AF76" i="50"/>
  <c r="AF49" i="50"/>
  <c r="AF64" i="50"/>
  <c r="AF67" i="50"/>
  <c r="AF71" i="50"/>
  <c r="AF65" i="50"/>
  <c r="AF56" i="50"/>
  <c r="G14" i="46"/>
  <c r="J14" i="46" s="1"/>
  <c r="E13" i="50"/>
  <c r="G9" i="46"/>
  <c r="J9" i="46" s="1"/>
  <c r="E8" i="50"/>
  <c r="AF51" i="50"/>
  <c r="AF79" i="50"/>
  <c r="G23" i="46"/>
  <c r="J23" i="46" s="1"/>
  <c r="E22" i="50"/>
  <c r="G24" i="46"/>
  <c r="J24" i="46" s="1"/>
  <c r="E23" i="50"/>
  <c r="AF62" i="50"/>
  <c r="AF73" i="50"/>
  <c r="AF52" i="50"/>
  <c r="AF53" i="50"/>
  <c r="AF58" i="50"/>
  <c r="G21" i="46"/>
  <c r="J21" i="46" s="1"/>
  <c r="E20" i="50"/>
  <c r="E10" i="50"/>
  <c r="G11" i="46"/>
  <c r="J11" i="46" s="1"/>
  <c r="E9" i="50"/>
  <c r="G10" i="46"/>
  <c r="J10" i="46" s="1"/>
  <c r="AF69" i="50"/>
  <c r="AF57" i="50"/>
  <c r="AF75" i="50"/>
  <c r="AF77" i="50"/>
  <c r="G20" i="46"/>
  <c r="J20" i="46" s="1"/>
  <c r="E19" i="50"/>
  <c r="G7" i="46"/>
  <c r="J7" i="46" s="1"/>
  <c r="E6" i="50"/>
  <c r="G18" i="46"/>
  <c r="J18" i="46" s="1"/>
  <c r="E17" i="50"/>
  <c r="AF78" i="50"/>
  <c r="AF72" i="50"/>
  <c r="AF61" i="50"/>
  <c r="AF74" i="50"/>
  <c r="AA80" i="50"/>
  <c r="G25" i="46"/>
  <c r="J25" i="46" s="1"/>
  <c r="E24" i="50"/>
  <c r="E14" i="50"/>
  <c r="G15" i="46"/>
  <c r="J15" i="46" s="1"/>
  <c r="G17" i="46"/>
  <c r="J17" i="46" s="1"/>
  <c r="E16" i="50"/>
  <c r="AB80" i="50"/>
  <c r="AF70" i="50"/>
  <c r="AF63" i="50"/>
  <c r="G19" i="46"/>
  <c r="J19" i="46" s="1"/>
  <c r="E18" i="50"/>
  <c r="G8" i="46"/>
  <c r="J8" i="46" s="1"/>
  <c r="E7" i="50"/>
  <c r="AF54" i="50"/>
  <c r="AC80" i="50"/>
  <c r="AF60" i="50"/>
  <c r="G22" i="46"/>
  <c r="J22" i="46" s="1"/>
  <c r="E21" i="50"/>
  <c r="G13" i="46"/>
  <c r="J13" i="46" s="1"/>
  <c r="E12" i="50"/>
  <c r="AD80" i="50"/>
  <c r="E15" i="50"/>
  <c r="G16" i="46"/>
  <c r="J16" i="46" s="1"/>
  <c r="G12" i="46"/>
  <c r="J12" i="46" s="1"/>
  <c r="E11" i="50"/>
  <c r="Z80" i="50"/>
  <c r="AF50" i="50"/>
  <c r="C26" i="50" l="1"/>
  <c r="D25" i="50"/>
  <c r="AF80" i="50"/>
  <c r="U8" i="50" s="1"/>
  <c r="E25" i="50" l="1"/>
  <c r="G26" i="46"/>
  <c r="J26" i="46" s="1"/>
  <c r="C27" i="50"/>
  <c r="D26" i="50"/>
  <c r="G27" i="46" l="1"/>
  <c r="J27" i="46" s="1"/>
  <c r="E26" i="50"/>
  <c r="D27" i="50"/>
  <c r="C28" i="50"/>
  <c r="C29" i="50" l="1"/>
  <c r="D28" i="50"/>
  <c r="E27" i="50"/>
  <c r="G28" i="46"/>
  <c r="J28" i="46" s="1"/>
  <c r="E28" i="50" l="1"/>
  <c r="G29" i="46"/>
  <c r="J29" i="46" s="1"/>
  <c r="D29" i="50"/>
  <c r="C30" i="50"/>
  <c r="D30" i="50" l="1"/>
  <c r="C31" i="50"/>
  <c r="G30" i="46"/>
  <c r="J30" i="46" s="1"/>
  <c r="E29" i="50"/>
  <c r="C32" i="50" l="1"/>
  <c r="D31" i="50"/>
  <c r="G31" i="46"/>
  <c r="J31" i="46" s="1"/>
  <c r="E30" i="50"/>
  <c r="E31" i="50" l="1"/>
  <c r="G32" i="46"/>
  <c r="J32" i="46" s="1"/>
  <c r="D32" i="50"/>
  <c r="C33" i="50"/>
  <c r="D33" i="50" l="1"/>
  <c r="C34" i="50"/>
  <c r="G33" i="46"/>
  <c r="J33" i="46" s="1"/>
  <c r="E32" i="50"/>
  <c r="C35" i="50" l="1"/>
  <c r="D35" i="50" s="1"/>
  <c r="D34" i="50"/>
  <c r="E33" i="50"/>
  <c r="G34" i="46"/>
  <c r="J34" i="46" s="1"/>
  <c r="E34" i="50" l="1"/>
  <c r="G35" i="46"/>
  <c r="J35" i="46" s="1"/>
  <c r="G36" i="46"/>
  <c r="E35" i="50"/>
  <c r="E36" i="50" s="1"/>
  <c r="N73" i="46" l="1"/>
  <c r="N83" i="46" l="1"/>
  <c r="D69" i="42"/>
  <c r="D68" i="42"/>
  <c r="D67" i="42"/>
  <c r="D66" i="42"/>
  <c r="D65" i="42"/>
  <c r="D70" i="42" l="1"/>
  <c r="E64" i="42"/>
  <c r="E65" i="42"/>
  <c r="F65" i="42" s="1"/>
  <c r="G65" i="42" s="1"/>
  <c r="K16" i="42" s="1"/>
  <c r="L16" i="42" s="1"/>
  <c r="E68" i="42"/>
  <c r="F68" i="42" s="1"/>
  <c r="G68" i="42" s="1"/>
  <c r="K19" i="42" s="1"/>
  <c r="F64" i="42" l="1"/>
  <c r="G64" i="42" s="1"/>
  <c r="E69" i="42"/>
  <c r="F69" i="42" s="1"/>
  <c r="G69" i="42" s="1"/>
  <c r="K20" i="42" s="1"/>
  <c r="E67" i="42"/>
  <c r="F67" i="42" s="1"/>
  <c r="G67" i="42" s="1"/>
  <c r="K18" i="42" s="1"/>
  <c r="L18" i="42" s="1"/>
  <c r="E66" i="42"/>
  <c r="F66" i="42" l="1"/>
  <c r="G66" i="42" s="1"/>
  <c r="K17" i="42" s="1"/>
  <c r="L17" i="42" s="1"/>
  <c r="E70" i="42"/>
  <c r="K15" i="42"/>
  <c r="G70" i="42"/>
  <c r="L15" i="42" l="1"/>
  <c r="L21" i="42" s="1"/>
  <c r="E37" i="42" s="1"/>
  <c r="K21" i="42"/>
  <c r="C7" i="42" l="1"/>
  <c r="C5" i="42"/>
  <c r="C6" i="42"/>
  <c r="I36" i="46"/>
  <c r="J36" i="46" s="1"/>
  <c r="J37" i="46" s="1"/>
  <c r="C78" i="46" s="1"/>
  <c r="F37" i="42"/>
  <c r="F38" i="42" s="1"/>
  <c r="N76" i="46" l="1"/>
  <c r="K37" i="46"/>
  <c r="C84" i="46"/>
  <c r="C43" i="46"/>
  <c r="D43" i="46" s="1"/>
  <c r="D6" i="42"/>
  <c r="D5" i="42"/>
  <c r="C42" i="46"/>
  <c r="D42" i="46" s="1"/>
  <c r="C38" i="42"/>
  <c r="C44" i="46"/>
  <c r="D44" i="46" s="1"/>
  <c r="D7" i="42"/>
  <c r="D74" i="46" l="1"/>
  <c r="C79" i="46" s="1"/>
  <c r="D38" i="42"/>
  <c r="E74" i="46" s="1"/>
  <c r="N86" i="46"/>
  <c r="N87" i="46" s="1"/>
  <c r="N77" i="46"/>
  <c r="C85" i="46" l="1"/>
  <c r="C80" i="46"/>
  <c r="C81" i="46"/>
  <c r="C86" i="46" l="1"/>
  <c r="C87" i="46"/>
  <c r="AE51" i="50"/>
  <c r="AE80" i="50"/>
  <c r="T8" i="50"/>
  <c r="V8" i="5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<sst xmlns="http://schemas.openxmlformats.org/spreadsheetml/2006/main" count="4918" uniqueCount="1138">
  <si>
    <t>Analysis Year</t>
  </si>
  <si>
    <t>7% Discount</t>
  </si>
  <si>
    <t>Total Benefit</t>
  </si>
  <si>
    <t>NOTES:</t>
  </si>
  <si>
    <t xml:space="preserve">Cost Category </t>
  </si>
  <si>
    <t>Total</t>
  </si>
  <si>
    <t>Years of Construction</t>
  </si>
  <si>
    <t>STATE OF GOOD REPIAR - CAPITAL COST AND RESIDUAL PROJECT VALUE</t>
  </si>
  <si>
    <t>BENEFITS</t>
  </si>
  <si>
    <t>COSTS</t>
  </si>
  <si>
    <t>Economic Competitiveness</t>
  </si>
  <si>
    <t>Safety</t>
  </si>
  <si>
    <t>Crash Savings</t>
  </si>
  <si>
    <t>Benefits</t>
  </si>
  <si>
    <t>Costs</t>
  </si>
  <si>
    <t>B/C Ratio</t>
  </si>
  <si>
    <t>7% Discount Total</t>
  </si>
  <si>
    <t>Table 1 - Years of Construction</t>
  </si>
  <si>
    <t>Table 2 - Capital Costs</t>
  </si>
  <si>
    <t>SUMMARY</t>
  </si>
  <si>
    <t>No Build</t>
  </si>
  <si>
    <t>Build</t>
  </si>
  <si>
    <t>Service Life</t>
  </si>
  <si>
    <t>Table 1 - Analysis Timeframe Assumptions</t>
  </si>
  <si>
    <r>
      <t xml:space="preserve">Year of Construction </t>
    </r>
    <r>
      <rPr>
        <vertAlign val="superscript"/>
        <sz val="9"/>
        <rFont val="Calibri"/>
        <family val="2"/>
        <scheme val="minor"/>
      </rPr>
      <t>(1)</t>
    </r>
  </si>
  <si>
    <r>
      <t xml:space="preserve">Duration of Construction </t>
    </r>
    <r>
      <rPr>
        <vertAlign val="superscript"/>
        <sz val="9"/>
        <rFont val="Calibri"/>
        <family val="2"/>
        <scheme val="minor"/>
      </rPr>
      <t>(1)</t>
    </r>
  </si>
  <si>
    <r>
      <t xml:space="preserve">Benefit-Cost First Year of Benefit </t>
    </r>
    <r>
      <rPr>
        <vertAlign val="superscript"/>
        <sz val="9"/>
        <rFont val="Calibri"/>
        <family val="2"/>
        <scheme val="minor"/>
      </rPr>
      <t>(1)</t>
    </r>
  </si>
  <si>
    <t>Benefit-Cost Final Year of Benefit</t>
  </si>
  <si>
    <t>Table 2 - Network Assumptions</t>
  </si>
  <si>
    <t>Table 3 - Global Assumptions and Factors</t>
  </si>
  <si>
    <t>1)</t>
  </si>
  <si>
    <t>K</t>
  </si>
  <si>
    <t>A</t>
  </si>
  <si>
    <t>B</t>
  </si>
  <si>
    <t>C</t>
  </si>
  <si>
    <t>PDO</t>
  </si>
  <si>
    <t>Right-of-Way</t>
  </si>
  <si>
    <t>Major Structures</t>
  </si>
  <si>
    <t>Grading and Drainage</t>
  </si>
  <si>
    <t>Sub Base and Base</t>
  </si>
  <si>
    <t>Surface</t>
  </si>
  <si>
    <t>Miscellaneous (Sunk)</t>
  </si>
  <si>
    <t>Travel Time Savings</t>
  </si>
  <si>
    <t>2)</t>
  </si>
  <si>
    <t>3)</t>
  </si>
  <si>
    <t>4)</t>
  </si>
  <si>
    <t>5)</t>
  </si>
  <si>
    <t>Composite Cost per Hour</t>
  </si>
  <si>
    <t>Years of Benefit-Cost Analysis Period</t>
  </si>
  <si>
    <t>Aggregate Travel Time Cost</t>
  </si>
  <si>
    <t>Table 4 - Travel Time Cost Saving ($ per person hour)</t>
  </si>
  <si>
    <t>Truck Vehicle Occupancy</t>
  </si>
  <si>
    <t>Truck Percentage</t>
  </si>
  <si>
    <t>Auto Percentage</t>
  </si>
  <si>
    <t>Truck Travel Time Cost</t>
  </si>
  <si>
    <t>Travel Time Cost Savings</t>
  </si>
  <si>
    <t>Build Travel Time Cost</t>
  </si>
  <si>
    <t>No Build Travel Time Cost</t>
  </si>
  <si>
    <t>Build Annual VHT</t>
  </si>
  <si>
    <t xml:space="preserve">No Build Annual VHT </t>
  </si>
  <si>
    <t>Entire Network</t>
  </si>
  <si>
    <t>Remaining Capital Value (7%)</t>
  </si>
  <si>
    <t>Present Value RCV 7% Discount</t>
  </si>
  <si>
    <t>Forecast Traffic Year</t>
  </si>
  <si>
    <r>
      <t xml:space="preserve">Percent Autos </t>
    </r>
    <r>
      <rPr>
        <vertAlign val="superscript"/>
        <sz val="9"/>
        <rFont val="Calibri"/>
        <family val="2"/>
        <scheme val="minor"/>
      </rPr>
      <t>(2)</t>
    </r>
  </si>
  <si>
    <r>
      <t xml:space="preserve">Percent Trucks </t>
    </r>
    <r>
      <rPr>
        <vertAlign val="superscript"/>
        <sz val="9"/>
        <rFont val="Calibri"/>
        <family val="2"/>
        <scheme val="minor"/>
      </rPr>
      <t>(2)</t>
    </r>
  </si>
  <si>
    <r>
      <t xml:space="preserve">Auto Occupancy </t>
    </r>
    <r>
      <rPr>
        <vertAlign val="superscript"/>
        <sz val="9"/>
        <rFont val="Calibri"/>
        <family val="2"/>
        <scheme val="minor"/>
      </rPr>
      <t>(3)</t>
    </r>
  </si>
  <si>
    <r>
      <t xml:space="preserve">Truck Occupancy </t>
    </r>
    <r>
      <rPr>
        <vertAlign val="superscript"/>
        <sz val="9"/>
        <rFont val="Calibri"/>
        <family val="2"/>
        <scheme val="minor"/>
      </rPr>
      <t>(3)</t>
    </r>
  </si>
  <si>
    <r>
      <t xml:space="preserve">Number of Days in a Year </t>
    </r>
    <r>
      <rPr>
        <vertAlign val="superscript"/>
        <sz val="9"/>
        <rFont val="Calibri"/>
        <family val="2"/>
        <scheme val="minor"/>
      </rPr>
      <t>(4)</t>
    </r>
  </si>
  <si>
    <t>All-Purpose Travel Time Cost</t>
  </si>
  <si>
    <t>Passenger Vehicle Occupancy</t>
  </si>
  <si>
    <r>
      <t xml:space="preserve">Value of Time </t>
    </r>
    <r>
      <rPr>
        <vertAlign val="superscript"/>
        <sz val="9"/>
        <rFont val="Calibri"/>
        <family val="2"/>
        <scheme val="minor"/>
      </rPr>
      <t>(5)</t>
    </r>
    <r>
      <rPr>
        <sz val="9"/>
        <rFont val="Calibri"/>
        <family val="2"/>
        <scheme val="minor"/>
      </rPr>
      <t xml:space="preserve"> - All-Purpose Travel</t>
    </r>
  </si>
  <si>
    <r>
      <t xml:space="preserve">Value of Time </t>
    </r>
    <r>
      <rPr>
        <vertAlign val="superscript"/>
        <sz val="9"/>
        <rFont val="Calibri"/>
        <family val="2"/>
        <scheme val="minor"/>
      </rPr>
      <t>(5)</t>
    </r>
    <r>
      <rPr>
        <sz val="9"/>
        <rFont val="Calibri"/>
        <family val="2"/>
        <scheme val="minor"/>
      </rPr>
      <t xml:space="preserve"> - Truck Travel</t>
    </r>
  </si>
  <si>
    <t>Base Year</t>
  </si>
  <si>
    <t>Total (7% Discount)</t>
  </si>
  <si>
    <t>ENVIRONMENTAL SUSTAINABILITY - AIR QUALITY</t>
  </si>
  <si>
    <t>Mode</t>
  </si>
  <si>
    <t>Automobile</t>
  </si>
  <si>
    <t>Trucks</t>
  </si>
  <si>
    <t>ECONOMIC COMPETITIVENESS - OPERATIONAL BENEFITS</t>
  </si>
  <si>
    <t>Total Cost Savings</t>
  </si>
  <si>
    <t>Environmental Sustainability</t>
  </si>
  <si>
    <t>Operations Savings</t>
  </si>
  <si>
    <r>
      <t xml:space="preserve">Cost per Mile </t>
    </r>
    <r>
      <rPr>
        <vertAlign val="superscript"/>
        <sz val="9"/>
        <rFont val="Calibri"/>
        <family val="2"/>
        <scheme val="minor"/>
      </rPr>
      <t>(6)</t>
    </r>
    <r>
      <rPr>
        <sz val="9"/>
        <rFont val="Calibri"/>
        <family val="2"/>
        <scheme val="minor"/>
      </rPr>
      <t xml:space="preserve"> - Auto</t>
    </r>
  </si>
  <si>
    <r>
      <t xml:space="preserve">Cost per Mile </t>
    </r>
    <r>
      <rPr>
        <vertAlign val="superscript"/>
        <sz val="9"/>
        <rFont val="Calibri"/>
        <family val="2"/>
        <scheme val="minor"/>
      </rPr>
      <t>(6)</t>
    </r>
    <r>
      <rPr>
        <sz val="9"/>
        <rFont val="Calibri"/>
        <family val="2"/>
        <scheme val="minor"/>
      </rPr>
      <t xml:space="preserve"> - Truck</t>
    </r>
  </si>
  <si>
    <t>Year</t>
  </si>
  <si>
    <t>VHT</t>
  </si>
  <si>
    <t>Table 3 - Vehicle Occupancy</t>
  </si>
  <si>
    <t>NPV</t>
  </si>
  <si>
    <t>TRAVEL TIME SAVINGS</t>
  </si>
  <si>
    <t xml:space="preserve">Capital Costs    </t>
  </si>
  <si>
    <t>Other Emissions Cost Savings</t>
  </si>
  <si>
    <t>Total (Carbon + Other Emissions)</t>
  </si>
  <si>
    <t>Subtotal</t>
  </si>
  <si>
    <t>Annual Pavement Maintenance Costs</t>
  </si>
  <si>
    <t>Operation and Maintenance Costs</t>
  </si>
  <si>
    <t>Jan</t>
  </si>
  <si>
    <t>Feb</t>
  </si>
  <si>
    <t>Mar</t>
  </si>
  <si>
    <t>Apr</t>
  </si>
  <si>
    <t>May</t>
  </si>
  <si>
    <t>Aug</t>
  </si>
  <si>
    <t>Oct</t>
  </si>
  <si>
    <t>Nov</t>
  </si>
  <si>
    <t>Dec</t>
  </si>
  <si>
    <t>Total Construction Months</t>
  </si>
  <si>
    <t>NOX</t>
  </si>
  <si>
    <t>SO2</t>
  </si>
  <si>
    <t>PM2.5</t>
  </si>
  <si>
    <t>CO2</t>
  </si>
  <si>
    <t>3% Discount</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</si>
  <si>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</si>
  <si>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</si>
  <si>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Source Type</t>
  </si>
  <si>
    <t>HPMS Description</t>
  </si>
  <si>
    <t>Auto/Truck</t>
  </si>
  <si>
    <t>Motorcycle</t>
  </si>
  <si>
    <t>Auto</t>
  </si>
  <si>
    <t>Light-Duty Vehicle</t>
  </si>
  <si>
    <t>Buses</t>
  </si>
  <si>
    <t>Truck</t>
  </si>
  <si>
    <t>Single-Unit Truck</t>
  </si>
  <si>
    <t>Combination Truck</t>
  </si>
  <si>
    <t>MOVES Model Output (grams per VMT)</t>
  </si>
  <si>
    <t>*Damage costs for emissions in years beyond 2050 assume costs provided for year 2050.</t>
  </si>
  <si>
    <t>Automobile (gallons per hour)</t>
  </si>
  <si>
    <t>*Note conservative estimate does not include trucks which  reflects an undercount in benefits.</t>
  </si>
  <si>
    <t>Type</t>
  </si>
  <si>
    <t>Average MPG</t>
  </si>
  <si>
    <t>1 hour of delay is equivalent to</t>
  </si>
  <si>
    <t>VMT</t>
  </si>
  <si>
    <t>Location</t>
  </si>
  <si>
    <t>Source: U.S. Department of Energy</t>
  </si>
  <si>
    <t>U.S. Department of Energy, Vehicle Technology Office</t>
  </si>
  <si>
    <t>Fact of the Week # 861</t>
  </si>
  <si>
    <t>Idle Consumption at Idle for Selected Gasoline and Diesel Vehicles</t>
  </si>
  <si>
    <t>Vehicle Type</t>
  </si>
  <si>
    <t>Fuel Type</t>
  </si>
  <si>
    <t>Engine Size (liter)</t>
  </si>
  <si>
    <t>Gross Vehicle Weight (GVW) (lb)</t>
  </si>
  <si>
    <t>Idling fuel use (Gal/hr with no load)</t>
  </si>
  <si>
    <t>Tractor-Semitrailer</t>
  </si>
  <si>
    <t>Diesel</t>
  </si>
  <si>
    <t>-</t>
  </si>
  <si>
    <t>Bucket Truck</t>
  </si>
  <si>
    <t>Transit Bus</t>
  </si>
  <si>
    <t>Medium Heavy Truck</t>
  </si>
  <si>
    <t>6-10</t>
  </si>
  <si>
    <t>23,000-33,000</t>
  </si>
  <si>
    <t>Tow Truck</t>
  </si>
  <si>
    <t>Delivery Truck</t>
  </si>
  <si>
    <t>Gas</t>
  </si>
  <si>
    <t>5-7</t>
  </si>
  <si>
    <t>19,700-26,000</t>
  </si>
  <si>
    <t>Compact Sedan</t>
  </si>
  <si>
    <t>Large Sedan</t>
  </si>
  <si>
    <t xml:space="preserve">Source: Argonne National Laboratory, Idling Reduction Savings Calculator, </t>
  </si>
  <si>
    <t>http://www.transportation.anl.gov/pdfs/idling_worksheet.pdf</t>
  </si>
  <si>
    <t>Table 6 - Annual VHT Summary</t>
  </si>
  <si>
    <t>Network</t>
  </si>
  <si>
    <t>Table 1 - Per-mile Travel Time Cost by Mode</t>
  </si>
  <si>
    <t>Table 2 - Fleet Composition</t>
  </si>
  <si>
    <t>Yearly Operations Savings for Passenger Vehicles
($)</t>
  </si>
  <si>
    <t>Yearly Operations Savings for Commercial Trucks
($)</t>
  </si>
  <si>
    <t>Change in NOx 
(metric tons)</t>
  </si>
  <si>
    <t>Change in NOx 
($)</t>
  </si>
  <si>
    <t>Change in PM
($)</t>
  </si>
  <si>
    <t xml:space="preserve">Yearly Emissions Savings in Current Dollars ($) </t>
  </si>
  <si>
    <t>Table 1 - Pollution Emission by Mode (g/VMT)</t>
  </si>
  <si>
    <t>Table 2 - Damage Costs for Emissions per metric ton</t>
  </si>
  <si>
    <t>Base Capital Cost in Constant Dollars</t>
  </si>
  <si>
    <t>Base RCV in Constant Dollars (7%)</t>
  </si>
  <si>
    <t>Change in PM
(metric tons)</t>
  </si>
  <si>
    <r>
      <t>Change in SO</t>
    </r>
    <r>
      <rPr>
        <vertAlign val="subscript"/>
        <sz val="9"/>
        <color theme="1"/>
        <rFont val="Calibri"/>
        <family val="2"/>
        <scheme val="minor"/>
      </rPr>
      <t>2</t>
    </r>
    <r>
      <rPr>
        <sz val="9"/>
        <color theme="1"/>
        <rFont val="Calibri"/>
        <family val="2"/>
        <scheme val="minor"/>
      </rPr>
      <t xml:space="preserve">
(metric tons)</t>
    </r>
  </si>
  <si>
    <r>
      <t>Change in SO</t>
    </r>
    <r>
      <rPr>
        <vertAlign val="subscript"/>
        <sz val="9"/>
        <color theme="1"/>
        <rFont val="Calibri"/>
        <family val="2"/>
        <scheme val="minor"/>
      </rPr>
      <t>2</t>
    </r>
    <r>
      <rPr>
        <sz val="9"/>
        <color theme="1"/>
        <rFont val="Calibri"/>
        <family val="2"/>
        <scheme val="minor"/>
      </rPr>
      <t xml:space="preserve">
($)</t>
    </r>
  </si>
  <si>
    <t>Yearly Emissions Savings - Carbon in Current Dollars ($)</t>
  </si>
  <si>
    <t>Change in VMT Equivalents</t>
  </si>
  <si>
    <r>
      <t>Change in C0</t>
    </r>
    <r>
      <rPr>
        <vertAlign val="subscript"/>
        <sz val="9"/>
        <color theme="1"/>
        <rFont val="Calibri"/>
        <family val="2"/>
        <scheme val="minor"/>
      </rPr>
      <t>2</t>
    </r>
    <r>
      <rPr>
        <sz val="9"/>
        <color theme="1"/>
        <rFont val="Calibri"/>
        <family val="2"/>
        <scheme val="minor"/>
      </rPr>
      <t xml:space="preserve"> (metric tons)</t>
    </r>
  </si>
  <si>
    <r>
      <t>CO</t>
    </r>
    <r>
      <rPr>
        <b/>
        <vertAlign val="subscript"/>
        <sz val="11"/>
        <color theme="1"/>
        <rFont val="Calibri"/>
        <family val="2"/>
        <scheme val="minor"/>
      </rPr>
      <t>2</t>
    </r>
    <r>
      <rPr>
        <b/>
        <sz val="11"/>
        <color theme="1"/>
        <rFont val="Calibri"/>
        <family val="2"/>
        <scheme val="minor"/>
      </rPr>
      <t xml:space="preserve"> Savings Estimations</t>
    </r>
  </si>
  <si>
    <r>
      <t>NO</t>
    </r>
    <r>
      <rPr>
        <b/>
        <vertAlign val="subscript"/>
        <sz val="11"/>
        <color theme="1"/>
        <rFont val="Calibri"/>
        <family val="2"/>
        <scheme val="minor"/>
      </rPr>
      <t>X</t>
    </r>
  </si>
  <si>
    <r>
      <t>SO</t>
    </r>
    <r>
      <rPr>
        <b/>
        <vertAlign val="subscript"/>
        <sz val="11"/>
        <color theme="1"/>
        <rFont val="Calibri"/>
        <family val="2"/>
        <scheme val="minor"/>
      </rPr>
      <t>2</t>
    </r>
  </si>
  <si>
    <r>
      <t>PM</t>
    </r>
    <r>
      <rPr>
        <b/>
        <vertAlign val="subscript"/>
        <sz val="11"/>
        <color theme="1"/>
        <rFont val="Calibri"/>
        <family val="2"/>
        <scheme val="minor"/>
      </rPr>
      <t>2.5</t>
    </r>
  </si>
  <si>
    <r>
      <t>CO</t>
    </r>
    <r>
      <rPr>
        <b/>
        <vertAlign val="subscript"/>
        <sz val="11"/>
        <color theme="1"/>
        <rFont val="Calibri"/>
        <family val="2"/>
        <scheme val="minor"/>
      </rPr>
      <t>2</t>
    </r>
  </si>
  <si>
    <t>Table 3 - Average Gallons of Fuel Consumed Per Hour Idle</t>
  </si>
  <si>
    <t>Table 4 - Average MPG for VMT Equivalent</t>
  </si>
  <si>
    <t>Table 5 - VMT Equivalent</t>
  </si>
  <si>
    <t>Table 7 - Annual  VMT Equivalent</t>
  </si>
  <si>
    <t>SAFETY - CRASH COST SAVINGS</t>
  </si>
  <si>
    <r>
      <t xml:space="preserve">Table 1 - Crash Costs by Severity </t>
    </r>
    <r>
      <rPr>
        <b/>
        <vertAlign val="superscript"/>
        <sz val="11"/>
        <color theme="1"/>
        <rFont val="Calibri"/>
        <family val="2"/>
        <scheme val="minor"/>
      </rPr>
      <t>5</t>
    </r>
  </si>
  <si>
    <t>Crash Severity</t>
  </si>
  <si>
    <t>Recommended Value</t>
  </si>
  <si>
    <t>Location (Cross street or driveway)</t>
  </si>
  <si>
    <r>
      <t xml:space="preserve">Table 4 - Crash Modification Factor (CMF) Summary </t>
    </r>
    <r>
      <rPr>
        <b/>
        <vertAlign val="superscript"/>
        <sz val="11"/>
        <color theme="1"/>
        <rFont val="Calibri"/>
        <family val="2"/>
        <scheme val="minor"/>
      </rPr>
      <t>2</t>
    </r>
  </si>
  <si>
    <t>Improvement</t>
  </si>
  <si>
    <t>Sources:</t>
  </si>
  <si>
    <t>Existing Crash Cost</t>
  </si>
  <si>
    <t>https://www.cmfclearinghouse.org/detail.cfm?facid=459</t>
  </si>
  <si>
    <t>HSM Chapter 15</t>
  </si>
  <si>
    <t>Convert at-grade intersection into grade-separated interchange</t>
  </si>
  <si>
    <t>Table 1 - Yearly Maintenance Costs</t>
  </si>
  <si>
    <t>Yearly Maintenance Costs</t>
  </si>
  <si>
    <t>Traffic Control</t>
  </si>
  <si>
    <t>Benefit Categories</t>
  </si>
  <si>
    <t>Travel Time</t>
  </si>
  <si>
    <t>Vehicle Operating Costs</t>
  </si>
  <si>
    <t>Air Quality</t>
  </si>
  <si>
    <t>Maintenance</t>
  </si>
  <si>
    <t>Remaining Capital Value</t>
  </si>
  <si>
    <t>Emission Type</t>
  </si>
  <si>
    <t>Reduction</t>
  </si>
  <si>
    <t>CO2 (metric tons)</t>
  </si>
  <si>
    <t>NOx (kg)</t>
  </si>
  <si>
    <t>SO2 (kg)</t>
  </si>
  <si>
    <t>PM2.5 (kg)</t>
  </si>
  <si>
    <t>Percent Reduction</t>
  </si>
  <si>
    <t>Total Crashes</t>
  </si>
  <si>
    <t>Crash Cost ($ millions)*</t>
  </si>
  <si>
    <t>* Crash costs are in undiscounted dollars</t>
  </si>
  <si>
    <t>No Build Crash Cost</t>
  </si>
  <si>
    <t>Build Crash Cost</t>
  </si>
  <si>
    <t>Results</t>
  </si>
  <si>
    <t>Injury Crashes</t>
  </si>
  <si>
    <t>Injury</t>
  </si>
  <si>
    <t>Intersection Crash Cost Savings</t>
  </si>
  <si>
    <t>VHT Reduction</t>
  </si>
  <si>
    <t>Table 5 - Annual VHT Summary</t>
  </si>
  <si>
    <t>Monday</t>
  </si>
  <si>
    <t>Tuesday</t>
  </si>
  <si>
    <t>Wednesday</t>
  </si>
  <si>
    <t>Thursday</t>
  </si>
  <si>
    <t>Friday</t>
  </si>
  <si>
    <t>Saturday</t>
  </si>
  <si>
    <t>Sunday</t>
  </si>
  <si>
    <t>June</t>
  </si>
  <si>
    <t>July</t>
  </si>
  <si>
    <t>Sept</t>
  </si>
  <si>
    <t>Weekly and Monthly Volume Adjustment Factors from StreetLight Data</t>
  </si>
  <si>
    <t>Existing No Build Travel Time</t>
  </si>
  <si>
    <t>Existing Build Travel Time</t>
  </si>
  <si>
    <t>Year 2045 Build Travel Time</t>
  </si>
  <si>
    <t>Year 2045 No Build Travel Time</t>
  </si>
  <si>
    <t>Safety benefits were also quantified for the reduction in potential collisions with trains and other modes of transportation (e.g. vehicles, pedestrians, bicyclists, etc.). The Federal Railroad Administration’s Web Accident Predictive System  was used to estimate the annual frequency of collisions. The Highway 371 rail crossing has a predicted annual frequency of 0.037 collisions. Since the FRA tool does not predict injury severity of collisions, a distribution of deaths and injuries for highway-rail incidents was obtained from the National Safety Council and applied to expected collisions in the analysis.</t>
  </si>
  <si>
    <t>Daily VHT</t>
  </si>
  <si>
    <t>Annual VHT</t>
  </si>
  <si>
    <t>CSAH 44 &amp; 19th St</t>
  </si>
  <si>
    <t>CSAH 44 &amp; 14th St</t>
  </si>
  <si>
    <t>CSAH 44 &amp; TH 14</t>
  </si>
  <si>
    <t>TH 14 &amp; 7th St</t>
  </si>
  <si>
    <t>West Circle Dr &amp; TH 14 North Ramps</t>
  </si>
  <si>
    <t>West Circle Dr &amp; TH 14 South Ramps</t>
  </si>
  <si>
    <t>Intersections</t>
  </si>
  <si>
    <t>CSAH 44 from TH 14 to 19th St</t>
  </si>
  <si>
    <t>TH 14 from CSAH 44 to 7th St</t>
  </si>
  <si>
    <t>CSAH 44 from Country Club Rd to TH 14</t>
  </si>
  <si>
    <t>Segments</t>
  </si>
  <si>
    <t>Existing PH Volume</t>
  </si>
  <si>
    <t>No Build PH Volume</t>
  </si>
  <si>
    <t>Build PH Volume</t>
  </si>
  <si>
    <t>*Note these are the sum of the peak hour volumes</t>
  </si>
  <si>
    <t>2045 RIRO</t>
  </si>
  <si>
    <t>Table 5 - Crash Cost by Location</t>
  </si>
  <si>
    <t>Corridor</t>
  </si>
  <si>
    <t>2045 Build</t>
  </si>
  <si>
    <t>2022 Build</t>
  </si>
  <si>
    <t>Crash Rates</t>
  </si>
  <si>
    <t>Severity Rates</t>
  </si>
  <si>
    <t>Crashes</t>
  </si>
  <si>
    <t>Severity</t>
  </si>
  <si>
    <t>Diagram</t>
  </si>
  <si>
    <t>Vehicle Direction</t>
  </si>
  <si>
    <t>Total Vehicles</t>
  </si>
  <si>
    <t>Light Condition</t>
  </si>
  <si>
    <t>Road Condition</t>
  </si>
  <si>
    <t>Vehicles Involved</t>
  </si>
  <si>
    <t>Description</t>
  </si>
  <si>
    <t>Major 1</t>
  </si>
  <si>
    <t>Major 2</t>
  </si>
  <si>
    <t>Minor 1</t>
  </si>
  <si>
    <t>Minor 2</t>
  </si>
  <si>
    <t>ADT</t>
  </si>
  <si>
    <t>Entering Vehicles</t>
  </si>
  <si>
    <t>Expected Crash Rate*</t>
  </si>
  <si>
    <t>Facility Type</t>
  </si>
  <si>
    <t>Actual Crash Rate</t>
  </si>
  <si>
    <t>Critical Crash Rate</t>
  </si>
  <si>
    <t>Expected Severity Rate</t>
  </si>
  <si>
    <t>Actual Severity Rate</t>
  </si>
  <si>
    <t>Critical Severity Rate</t>
  </si>
  <si>
    <t>Total Severe Crashes</t>
  </si>
  <si>
    <t>PD</t>
  </si>
  <si>
    <t>Pedestrian</t>
  </si>
  <si>
    <t>Bike</t>
  </si>
  <si>
    <t>Single Vehicle ROR</t>
  </si>
  <si>
    <t>Single Vehicle Other</t>
  </si>
  <si>
    <t>Sideswipe Passing</t>
  </si>
  <si>
    <t>Sideswipe Opposing</t>
  </si>
  <si>
    <t>Rear End</t>
  </si>
  <si>
    <t>Head On</t>
  </si>
  <si>
    <t>Left Turn</t>
  </si>
  <si>
    <t>Angle</t>
  </si>
  <si>
    <t>Other</t>
  </si>
  <si>
    <t>NB</t>
  </si>
  <si>
    <t>SB</t>
  </si>
  <si>
    <t>EB</t>
  </si>
  <si>
    <t>WB</t>
  </si>
  <si>
    <t>Day</t>
  </si>
  <si>
    <t>Dawn/
Dusk</t>
  </si>
  <si>
    <t>Dark with Streetlights</t>
  </si>
  <si>
    <t>Dark</t>
  </si>
  <si>
    <t>Other/
Unknown</t>
  </si>
  <si>
    <t>Dry</t>
  </si>
  <si>
    <t>Wet</t>
  </si>
  <si>
    <t>Snow/
Slush</t>
  </si>
  <si>
    <t>Single Vehicle Crashes</t>
  </si>
  <si>
    <t>Multi-Vehicle Crashes</t>
  </si>
  <si>
    <t>Thru Stop</t>
  </si>
  <si>
    <t>Thru/STOP, Rural</t>
  </si>
  <si>
    <t>CSAH 44 &amp; Country Club Rd</t>
  </si>
  <si>
    <t xml:space="preserve">Valleyhigh Rd &amp; 50th Ave </t>
  </si>
  <si>
    <t>Roundabout</t>
  </si>
  <si>
    <t xml:space="preserve">Roundabout </t>
  </si>
  <si>
    <t>West Circle Dr &amp; Valleyhigh Rd</t>
  </si>
  <si>
    <t>Signalized</t>
  </si>
  <si>
    <t>Signal, High Volume (&gt;20K)</t>
  </si>
  <si>
    <t>West Circle Dr &amp; 26th St</t>
  </si>
  <si>
    <t>West Circle Dr &amp; 19th St</t>
  </si>
  <si>
    <t>West Circle Dr &amp; N Frontage Rd/Wilder Rd</t>
  </si>
  <si>
    <t>West Circle Dr &amp; 9th St</t>
  </si>
  <si>
    <t>West Circle Dr &amp; 7th St</t>
  </si>
  <si>
    <t>Notes:</t>
  </si>
  <si>
    <t>*Expected rates from MnDOT's 2022 Statewise TH Intersection Rates</t>
  </si>
  <si>
    <t>2021 AADT</t>
  </si>
  <si>
    <t>2015 Toolkit</t>
  </si>
  <si>
    <t>Crash Rate &lt; Expected Crash Rate</t>
  </si>
  <si>
    <t xml:space="preserve">Estimated using 20% of AADTs </t>
  </si>
  <si>
    <t xml:space="preserve"> </t>
  </si>
  <si>
    <t>Expected Crash Rate &lt; Crash Rate &lt; Critical Crash Rate</t>
  </si>
  <si>
    <t>Crash Rate &gt; Critical Crash Rate</t>
  </si>
  <si>
    <t>Crash Rates - All Crashes</t>
  </si>
  <si>
    <t>ID</t>
  </si>
  <si>
    <t>AADT</t>
  </si>
  <si>
    <t>Length</t>
  </si>
  <si>
    <t>Rural 2-Lane AADT 1500-4999</t>
  </si>
  <si>
    <t>Rural 4-Lane Divided</t>
  </si>
  <si>
    <t>Rural 2-Lane AADT 1-1499</t>
  </si>
  <si>
    <t xml:space="preserve">*All crashes taken including intersections </t>
  </si>
  <si>
    <t xml:space="preserve">2015-2019 MnCMAT Crash Data </t>
  </si>
  <si>
    <t>*Expected rates from MnDOT's 2015 Segment Green Sheets</t>
  </si>
  <si>
    <t>Table 3 - Existing Five-Year Crashes by Severity from from year 2017-2021</t>
  </si>
  <si>
    <t>% Difference</t>
  </si>
  <si>
    <t>Difference</t>
  </si>
  <si>
    <t>Year 2022 Difference in Volume from No Build to Interchange</t>
  </si>
  <si>
    <t>No Build Volume</t>
  </si>
  <si>
    <t>Build Volume</t>
  </si>
  <si>
    <t>Year 2022</t>
  </si>
  <si>
    <t>TH 14 to 14th</t>
  </si>
  <si>
    <t>14th to 19th</t>
  </si>
  <si>
    <t>No Build VMT</t>
  </si>
  <si>
    <t>Build VMT</t>
  </si>
  <si>
    <t>CSAH 44 to 7th</t>
  </si>
  <si>
    <t>Country Club to TH 14</t>
  </si>
  <si>
    <t>Length (mi)</t>
  </si>
  <si>
    <t>Year 2045</t>
  </si>
  <si>
    <t>Initial Capital Costs in Constant Dollars</t>
  </si>
  <si>
    <t>%</t>
  </si>
  <si>
    <t>Additional Cost</t>
  </si>
  <si>
    <t>STATE OF GOOD REPAIR - CAPITAL COST AND RESIDUAL PROJECT VALUE</t>
  </si>
  <si>
    <t>Remaining Capital Value in Constant Dollars</t>
  </si>
  <si>
    <t>Option 1 (2008 EA) Totals</t>
  </si>
  <si>
    <t>ITEM DESCRIPTION</t>
  </si>
  <si>
    <t>UNIT</t>
  </si>
  <si>
    <t>PAVING AND GRADING COSTS</t>
  </si>
  <si>
    <t>GrP  1a</t>
  </si>
  <si>
    <t>2106 Excavation - common &amp; subgrade</t>
  </si>
  <si>
    <t>cu. yd.</t>
  </si>
  <si>
    <t>GrP 2a</t>
  </si>
  <si>
    <t>2106 Common Embankment (CV)</t>
  </si>
  <si>
    <t>GrP 2b</t>
  </si>
  <si>
    <t>2106 Granular Subgrade "SuperSand"</t>
  </si>
  <si>
    <t>GrP 2c</t>
  </si>
  <si>
    <t>2106 Select Granular - Structural Backfill (CV)</t>
  </si>
  <si>
    <t>GrP 2d</t>
  </si>
  <si>
    <t>2106 Granular Subgrade (CV)</t>
  </si>
  <si>
    <t>GrP 3a</t>
  </si>
  <si>
    <t>Mainline TH 14 Pavement</t>
  </si>
  <si>
    <t>sq. yd.</t>
  </si>
  <si>
    <t>GrP 3b</t>
  </si>
  <si>
    <t>Mainline TH 14 Shoulder Pavement</t>
  </si>
  <si>
    <t>GrP 3c</t>
  </si>
  <si>
    <t>Ramp Pavement</t>
  </si>
  <si>
    <t>GrP 3d</t>
  </si>
  <si>
    <t>Ramp Shoulder Pavement</t>
  </si>
  <si>
    <t>GrP 3e</t>
  </si>
  <si>
    <t>CSAH 44 Pavement</t>
  </si>
  <si>
    <t>GrP 3f</t>
  </si>
  <si>
    <t>CSAH 44 Shoulder Pavement</t>
  </si>
  <si>
    <t>GrP 3g</t>
  </si>
  <si>
    <t>7th Street Pavement</t>
  </si>
  <si>
    <t>GrP 3h</t>
  </si>
  <si>
    <t>7th Street Shoulder Pavement</t>
  </si>
  <si>
    <t>GrP 4a</t>
  </si>
  <si>
    <t>Concrete Walk / Trail / Median</t>
  </si>
  <si>
    <t>GrP 4b</t>
  </si>
  <si>
    <t>Bituminous Walk / Trail</t>
  </si>
  <si>
    <t>GrP 4c</t>
  </si>
  <si>
    <t>ADA Pedestrian Curb Ramp</t>
  </si>
  <si>
    <t>each</t>
  </si>
  <si>
    <t>GrP 5</t>
  </si>
  <si>
    <t>Concrete Curb and Gutter</t>
  </si>
  <si>
    <t>lin. ft.</t>
  </si>
  <si>
    <t>GrP 8a</t>
  </si>
  <si>
    <t>Removals - Pavement</t>
  </si>
  <si>
    <t>GrP 8b</t>
  </si>
  <si>
    <t>Concrete Median Barrier (Permanent)</t>
  </si>
  <si>
    <t>SUBTOTAL PAVING AND GRADING COSTS:</t>
  </si>
  <si>
    <t>DRAINAGE, UTILITIES AND EROSION CONTROL</t>
  </si>
  <si>
    <t>Dr 5</t>
  </si>
  <si>
    <t>Drainage - urban</t>
  </si>
  <si>
    <t>Dr 6</t>
  </si>
  <si>
    <t>Drainage - rural</t>
  </si>
  <si>
    <t>mile</t>
  </si>
  <si>
    <t>Dr 7</t>
  </si>
  <si>
    <t>Turf Establishment &amp; Erosion Control</t>
  </si>
  <si>
    <t>Dr 8</t>
  </si>
  <si>
    <t>Landscaping</t>
  </si>
  <si>
    <t>SUBTOTAL DRAINAGE, UTILITIES AND EROSION CONTROL</t>
  </si>
  <si>
    <t>BRIDGE COSTS</t>
  </si>
  <si>
    <t>Br 1</t>
  </si>
  <si>
    <t>Bridge - CSAH 44 over TH 14 and Railroad</t>
  </si>
  <si>
    <t>sq. ft.</t>
  </si>
  <si>
    <t>Br 3</t>
  </si>
  <si>
    <t>Bridge - Exit Ramp Over Railroad</t>
  </si>
  <si>
    <t>Br 4</t>
  </si>
  <si>
    <t>Bridge - Entrance Ramp Over Railroad</t>
  </si>
  <si>
    <t>Br 5</t>
  </si>
  <si>
    <t>Bridge - 7th Street Overpass</t>
  </si>
  <si>
    <t>SUBTOTAL BRIDGE COSTS:</t>
  </si>
  <si>
    <t>RETAINING WALLS  &amp; OTHER MINOR STRUCTURAL COSTS</t>
  </si>
  <si>
    <t>RW 21</t>
  </si>
  <si>
    <t>MSE Ret. Walls  5' high</t>
  </si>
  <si>
    <t>RW 22</t>
  </si>
  <si>
    <t>MSE Ret. Walls  10' high</t>
  </si>
  <si>
    <t>RW 23</t>
  </si>
  <si>
    <t>MSE Ret. Walls  15' high</t>
  </si>
  <si>
    <t>RW 24</t>
  </si>
  <si>
    <t>MSE Ret. Walls  20' high</t>
  </si>
  <si>
    <t>RW 25</t>
  </si>
  <si>
    <t>MSE Ret. Walls  25' high</t>
  </si>
  <si>
    <t>RW 26</t>
  </si>
  <si>
    <t>MSE Ret. Walls  30' high</t>
  </si>
  <si>
    <t>RW 27</t>
  </si>
  <si>
    <t>MSE Wall - Moment Slab</t>
  </si>
  <si>
    <t>SUBTOTAL RETAINING WALLS &amp; OTHER MINOR STRUCTURAL COSTS:</t>
  </si>
  <si>
    <t>SIGNAL AND LIGHTING COSTS</t>
  </si>
  <si>
    <t>SGL 1</t>
  </si>
  <si>
    <t>Signals (permanent)</t>
  </si>
  <si>
    <t>SGL 4</t>
  </si>
  <si>
    <t>Mainline Lighting (permanent)</t>
  </si>
  <si>
    <t>SUBTOTAL SIGNAL AND LIGHTING COSTS:</t>
  </si>
  <si>
    <t>SIGNING &amp; STRIPING COSTS</t>
  </si>
  <si>
    <t>SGN 1</t>
  </si>
  <si>
    <t>Mainline Signing (C&amp;D)</t>
  </si>
  <si>
    <t>SGN 2</t>
  </si>
  <si>
    <t>Mainline Striping</t>
  </si>
  <si>
    <t>SGN 3</t>
  </si>
  <si>
    <t>Mainline Signing (A, OH, Br Mtd)</t>
  </si>
  <si>
    <t>SUBTOTAL SIGNING &amp; STRIPING COSTS:</t>
  </si>
  <si>
    <t>SUBTOTAL  CONSTRUCTION COSTS:</t>
  </si>
  <si>
    <t>MISCELLANEOUS COSTS</t>
  </si>
  <si>
    <t>M 1</t>
  </si>
  <si>
    <t>Mobilization</t>
  </si>
  <si>
    <t>M 2</t>
  </si>
  <si>
    <t>Non Quantified Minor Items</t>
  </si>
  <si>
    <t>M 7</t>
  </si>
  <si>
    <t>Temporary Pavement &amp; Drainage</t>
  </si>
  <si>
    <t>M 8</t>
  </si>
  <si>
    <t>SUBTOTAL MISCELLANEOUS COSTS:</t>
  </si>
  <si>
    <t>ESTIMATED TOTAL CONSTRUCTION COSTS without Contingency:</t>
  </si>
  <si>
    <t>Contingency or "risk"</t>
  </si>
  <si>
    <t>Inflation Cost (To 2025; 3yrs @4% per yr)</t>
  </si>
  <si>
    <t>Factor</t>
  </si>
  <si>
    <t>ESTIMATED TOTAL CONSTRUCTION COST (ROUNDED 2025 DOLLARS, $M)</t>
  </si>
  <si>
    <r>
      <rPr>
        <sz val="9"/>
        <rFont val="Times New Roman"/>
        <family val="1"/>
      </rPr>
      <t>UNIT
PRICE</t>
    </r>
  </si>
  <si>
    <r>
      <rPr>
        <sz val="9"/>
        <rFont val="Times New Roman"/>
        <family val="1"/>
      </rPr>
      <t>EST.
QUANTITY</t>
    </r>
  </si>
  <si>
    <r>
      <rPr>
        <sz val="9"/>
        <rFont val="Times New Roman"/>
        <family val="1"/>
      </rPr>
      <t>EST.
AMOUNT</t>
    </r>
  </si>
  <si>
    <t>19th to TH 14</t>
  </si>
  <si>
    <t>W. Circle Drive from 19th St to TH 14</t>
  </si>
  <si>
    <t>W. Circle Drive from Valleyhigh to 19th St</t>
  </si>
  <si>
    <t>Valleyhigh from CSAH 44 to W. Circle Drive</t>
  </si>
  <si>
    <t>19th St from CSAH 44 to W. Circle Drive</t>
  </si>
  <si>
    <t>W. Circle Drive from TH 14 to Country Club Rd</t>
  </si>
  <si>
    <t>19th to Valleyhigh</t>
  </si>
  <si>
    <t>Segment</t>
  </si>
  <si>
    <t>W Circle to 50th Ave</t>
  </si>
  <si>
    <t>50th Ave to CSAH 44</t>
  </si>
  <si>
    <t>50th to CSAH 44</t>
  </si>
  <si>
    <t>50th Ave to 60th Ave</t>
  </si>
  <si>
    <t>TH 14 to 7th St</t>
  </si>
  <si>
    <t>7th St to Country Club Rd</t>
  </si>
  <si>
    <t>Table 6 - Total Savings</t>
  </si>
  <si>
    <t>Railroad Related Crashes</t>
  </si>
  <si>
    <t>INCIDENTID</t>
  </si>
  <si>
    <t>RTESYSCODE</t>
  </si>
  <si>
    <t>RTENUMBER</t>
  </si>
  <si>
    <t>MEASURE</t>
  </si>
  <si>
    <t>COUNTY_SPATIAL</t>
  </si>
  <si>
    <t>CITY_NAME</t>
  </si>
  <si>
    <t>TOWNSHIP_NAME</t>
  </si>
  <si>
    <t>MNDOT_DISTRICT_SPATIAL</t>
  </si>
  <si>
    <t>STATE_PATROL_DIST_SPATIAL</t>
  </si>
  <si>
    <t>TRIBAL_GOVERNMENT_SPATIAL</t>
  </si>
  <si>
    <t>LOCALID</t>
  </si>
  <si>
    <t>ACCIDENT_NUMBER</t>
  </si>
  <si>
    <t>CRASH_MONTH</t>
  </si>
  <si>
    <t>CRASH_DAY</t>
  </si>
  <si>
    <t>CRASH_YEAR</t>
  </si>
  <si>
    <t>CRASH_DAYOFWEEK</t>
  </si>
  <si>
    <t>CRASH_HOUR</t>
  </si>
  <si>
    <t>DIVIDEDRDWYDIR</t>
  </si>
  <si>
    <t>CRASHSEVERITY</t>
  </si>
  <si>
    <t>NUMBERKILLED</t>
  </si>
  <si>
    <t>NUMBEROFVEHICLES</t>
  </si>
  <si>
    <t>MANNEROFCOLLISION</t>
  </si>
  <si>
    <t>FIRSTHARMFULEVENT</t>
  </si>
  <si>
    <t>RELATIONTOINTERSECTION</t>
  </si>
  <si>
    <t>LIGHTCONDITION</t>
  </si>
  <si>
    <t>WEATHERPRIMARY</t>
  </si>
  <si>
    <t>WEATHERSECONDARY</t>
  </si>
  <si>
    <t>RDWYSURFACE</t>
  </si>
  <si>
    <t>WORKZONETYPE</t>
  </si>
  <si>
    <t>ROADWAY_NAME</t>
  </si>
  <si>
    <t>INTERSECTION_NAME</t>
  </si>
  <si>
    <t>ROUTE_ID</t>
  </si>
  <si>
    <t>BASIC_TYPE</t>
  </si>
  <si>
    <t>UNITTYPEU1</t>
  </si>
  <si>
    <t>VEHICLETYPEU1</t>
  </si>
  <si>
    <t>DIRECTIONU1</t>
  </si>
  <si>
    <t>PRECRASHMANEUVERU1</t>
  </si>
  <si>
    <t>AGEU1</t>
  </si>
  <si>
    <t>SEXU1</t>
  </si>
  <si>
    <t>PHYSICALCONDITIONU1</t>
  </si>
  <si>
    <t>CONTRIBFACTOR1U1</t>
  </si>
  <si>
    <t>CONTRIBFACTOR2U1</t>
  </si>
  <si>
    <t>NONMOTORISTMANEUVERU1</t>
  </si>
  <si>
    <t>NONMOTORISTLOCATIONU1</t>
  </si>
  <si>
    <t>RDWYDESIGNU1</t>
  </si>
  <si>
    <t>TRAFFICCONTROLDEVICEU1</t>
  </si>
  <si>
    <t>SPEEDLIMITU1</t>
  </si>
  <si>
    <t>ALIGNMENTU1</t>
  </si>
  <si>
    <t>GRADEU1</t>
  </si>
  <si>
    <t>UNITTYPEU2</t>
  </si>
  <si>
    <t>VEHICLETYPEU2</t>
  </si>
  <si>
    <t>DIRECTIONU2</t>
  </si>
  <si>
    <t>PRECRASHMANEUVERU2</t>
  </si>
  <si>
    <t>AGEU2</t>
  </si>
  <si>
    <t>SEXU2</t>
  </si>
  <si>
    <t>PHYSICALCONDITIONU2</t>
  </si>
  <si>
    <t>CONTRIBFACTOR1U2</t>
  </si>
  <si>
    <t>CONTRIBFACTOR2U2</t>
  </si>
  <si>
    <t>NONMOTORISTMANEUVERU2</t>
  </si>
  <si>
    <t>NONMOTORISTLOCATIONU2</t>
  </si>
  <si>
    <t>RDWYDESIGNU2</t>
  </si>
  <si>
    <t>TRAFFICCONTROLDEVICEU2</t>
  </si>
  <si>
    <t>SPEEDLIMITU2</t>
  </si>
  <si>
    <t>ALIGNMENTU2</t>
  </si>
  <si>
    <t>GRADEU2</t>
  </si>
  <si>
    <t>UNITTYPEU3</t>
  </si>
  <si>
    <t>VEHICLETYPEU3</t>
  </si>
  <si>
    <t>DIRECTIONU3</t>
  </si>
  <si>
    <t>PRECRASHMANEUVERU3</t>
  </si>
  <si>
    <t>AGEU3</t>
  </si>
  <si>
    <t>SEXU3</t>
  </si>
  <si>
    <t>PHYSICALCONDITIONU3</t>
  </si>
  <si>
    <t>CONTRIBFACTOR1U3</t>
  </si>
  <si>
    <t>CONTRIBFACTOR2U3</t>
  </si>
  <si>
    <t>NONMOTORISTMANEUVERU3</t>
  </si>
  <si>
    <t>NONMOTORISTLOCATIONU3</t>
  </si>
  <si>
    <t>RDWYDESIGNU3</t>
  </si>
  <si>
    <t>TRAFFICCONTROLDEVICEU3</t>
  </si>
  <si>
    <t>SPEEDLIMITU3</t>
  </si>
  <si>
    <t>ALIGNMENTU3</t>
  </si>
  <si>
    <t>GRADEU3</t>
  </si>
  <si>
    <t>UNITTYPEU4</t>
  </si>
  <si>
    <t>VEHICLETYPEU4</t>
  </si>
  <si>
    <t>DIRECTIONU4</t>
  </si>
  <si>
    <t>PRECRASHMANEUVERU4</t>
  </si>
  <si>
    <t>AGEU4</t>
  </si>
  <si>
    <t>SEXU4</t>
  </si>
  <si>
    <t>PHYSICALCONDITIONU4</t>
  </si>
  <si>
    <t>CONTRIBFACTOR1U4</t>
  </si>
  <si>
    <t>CONTRIBFACTOR2U4</t>
  </si>
  <si>
    <t>NONMOTORISTMANEUVERU4</t>
  </si>
  <si>
    <t>NONMOTORISTLOCATIONU4</t>
  </si>
  <si>
    <t>RDWYDESIGNU4</t>
  </si>
  <si>
    <t>TRAFFICCONTROLDEVICEU4</t>
  </si>
  <si>
    <t>SPEEDLIMITU4</t>
  </si>
  <si>
    <t>ALIGNMENTU4</t>
  </si>
  <si>
    <t>GRADEU4</t>
  </si>
  <si>
    <t>UTMX</t>
  </si>
  <si>
    <t>UTMY</t>
  </si>
  <si>
    <t>LATITUDE</t>
  </si>
  <si>
    <t>LONGITUDE</t>
  </si>
  <si>
    <t>CRASH_DATE_TIME</t>
  </si>
  <si>
    <t>STATUS</t>
  </si>
  <si>
    <t>STATUS_NOTE</t>
  </si>
  <si>
    <t>AGENCY_ORI</t>
  </si>
  <si>
    <t>AGENCY_ORI_GROUP</t>
  </si>
  <si>
    <t>NARRATIVE</t>
  </si>
  <si>
    <t>Kalmar</t>
  </si>
  <si>
    <t>2018-00930206</t>
  </si>
  <si>
    <t>Mon</t>
  </si>
  <si>
    <t>N</t>
  </si>
  <si>
    <t>60TH AVE NW</t>
  </si>
  <si>
    <t>0400006595000044-I</t>
  </si>
  <si>
    <t>M</t>
  </si>
  <si>
    <t>Accepted</t>
  </si>
  <si>
    <t>MN0550000</t>
  </si>
  <si>
    <t>Sheriff</t>
  </si>
  <si>
    <t>On 11/26/2018 at approximately 0805 hours I, Deputy Pacheco badge #1047 was dispatched to a motor vehicle accident without injuries at 60th Ave NW/ 19th St NW Cascade Township. I arrived on scene and made contact with Unit 1 and Unit 2. Unit 1 stated he was traveling northbound on 60th Ave. There were two vehicles ahead of Unit 1. The first vehicle ahead of Unit 1 was turning right (east) on 19th St NOTE this vehicle was not involved with the accident. Unit 2 was the second vehicle ahead of Unit 1 and was turning left (west) onto 19th St NW. Unit 1 observed the uninvolved vehicle ahead of him turning right and did not see Unit 2 ahead of the uninvolved vehicle. Unit 1 attempted past the uninvolved vehicle ahead of him on the left and collided with Unit 2 on the driver side front and rear door panels. Unit 2 confirmed Unit 1's statement. Unit 1 had minor damage. Unit 2 had moderate damage. Both vehicles are drivable. No citations issued.</t>
  </si>
  <si>
    <t>Thu</t>
  </si>
  <si>
    <t>F</t>
  </si>
  <si>
    <t>Unit 1 was WB on 19th Street and stopped at the stop sign intersection at 60th Avenue NW.  Unit 2 was NB on 60th Avenue NW approaching the intersection of 19th Street.  Unit 2 did not have a stop sign.   Driver of Unit 1 pulled out to make a left hand turn to go SB onto 60th Avenue in front of Unit 2.  Unit 2 locked up the brakes which left marks on the roadway.  Unit 2 struck Unit 1 in the drivers side rear door and tire area causing it to spin and come to rest facing NB in the SB lane of 60th Avenue.  Driver of Unit 1 was transported by ambulance to ER for head, back and chest pain. MSP Trooper responded to inspect Unit 2, a commercial vehicle. No mechanical issues were found in the inspection.  Witnesses at the scene reported Unit 1 failed to yield right of way to Unit 2 and pulled out in front of it.  Driver of Unit 1 was mailed a citation for failing to yield right of way.</t>
  </si>
  <si>
    <t>Vehicle 2 was stopped facing southbound on 60th Ave NW with the turn signal activated, waiting for oncoming traffic so the vehicle could turn eastbound (left) onto 19th Street NW in Cascade Township. Vehicle 1 was traveling southbound behind vehicle 2. Driver 1 advised he did not see the turn signal activated however did see the vehicle slowing down to turn. Driver 1 stated he saw a flash, got nervous and put his foot to the gas pedal instead of the break pedal to slow down. Driver 1 advised he did not have time to switch his foot to the break pedal prior to rear ending vehicle 2. Prior to hitting the gas by mistake, driver 1 advised he was traveling approximately 55 MPH. Driver 1 has his instructional permit, his mother who is valid was the front seat passenger. Vehicle 1 rear ended vehicle 2 in the middle of the intersection. The attached witness had just passed the intersection when the crash occurred. The witness advised that he observed that vehicle 2 did have the turn signal activated to turn left and that vehicle 1 rear ended vehicle 2. There were no apparent injuries on scene and all parties involved denied medical attention. Both vehicles sustained severe, disabling damage and were towed by Pulvers Towing Service. Driver 1 was mailed a citation for Failure Drive with Due Care. Photographs were taken of the scene. Body worn camera, squad video and photographs were uploaded. No other reports were completed.</t>
  </si>
  <si>
    <t>Cascade</t>
  </si>
  <si>
    <t>17-913596</t>
  </si>
  <si>
    <t>Tue</t>
  </si>
  <si>
    <t>19TH ST NW</t>
  </si>
  <si>
    <t>0800006595000245-I</t>
  </si>
  <si>
    <t>Unit 1 was WB on 19 St NW, stopped and waiting to turn NB onto 60 Ave NW.  Unit 2 was NB on 60 Ave NW behind an unidentified semi truck.  The semi turned EB onto 19 St NW.  Units 1 and 2 could not see each other due to the semi.  Unit 1 began to turn NB from 19 St onto 60 Ave NW at the same time that Unit 2 maneuvered around the semi to continue NB on 60 Ave NW.  The front left corner of Unit 1 struck Unit 2 on the rear passenger side door.  No apparent or reported injuries.</t>
  </si>
  <si>
    <t>14TH ST NW</t>
  </si>
  <si>
    <t>Unit 2 was stopped on 60th Ave NW preparing to make a left hand turn onto 14th St NW.  Unit 1 came from behind and did not see Unit 2's brake lights or turn signal due to a bicycle rack attached to the trailer hitch of Unit 2.  Unit 1 collided with the rear of Unit 2.  Driver of Unit 1 sustained a minor laceration to his right elbow which did not need medical attention.  Occupants of Unit 2 reported no injuries.  Driver of Unit 1 admitted to not wearing his seatbelt.  Both units towed by Tri-State Towing.  Driver of Unit 1 cited for 1) Fail to Drive with Due Care and 2) Seatbelt Required.</t>
  </si>
  <si>
    <t>21-914223</t>
  </si>
  <si>
    <t>0800006595000227-I</t>
  </si>
  <si>
    <t>Veh. #1 was stopped facing N/B on 60 Ave. NW with their left turn signal engaged. Veh. #2 was S/B on 60 Ave. NW. The driver of veh. #1 stated she did not see veh. #2 approaching and began to make a left hand turn towards 14 St. NW. The driver of vehicle #2 activated her horn but could not avoid striking vehicle #1. Veh. #2 struck veh. #1 on the driver's side front quarter panel / bumper. Vehicle #1 came to rest in the intersection of 14 St. NW and 60 Ave. NW. Veh. #2 continued s/b into the West ditch of 60 Ave. NW and came to rest. Neither driver was transported for injury, both vehicles were towed. No citations were issued.</t>
  </si>
  <si>
    <t>2021-00903622</t>
  </si>
  <si>
    <t>On 02-09-2021 at approximately 1924 hours I, Deputy Wyatt Trester #1060 was dispatched to an accident with injuries call at the T-intersection of 14th Street NW and 60th Avenue NW in the Township of Cascade. I arrived on scene and located the two vehicles that were involved. I then located the driver of MN LIC: CNW117 a black Kia Sorento (Unit 1). Julia Clare Gowan-Nuehring DOB 10/05/2003 stated that she does not remember what happened, her head hurts and that she cant see. I then located the occupants of the other vehicle involved Damaris Lopez Orozco DOB 12/23/1998 and Kevin NMN Lopez DOB 02/26/2002. D. Orozco stated that she was driving MN LIC: FSY503 a blue Toyota Camry (Unit 2). She stated that there was a truck in front of unit 2 that hit their brakes hard so the truck could turn West onto 14th Street NW. D. Orozco stated that she then had to hit her brakes hard and then unit 1 rear-ended her vehicle unit 2. Mayo Clinic Ambulance Service (MCAS) arrived on scene and evaluated all three individuals involved in the crash. MCAS transported D. Orozco and K. Lopez to Saint Marys Hospital Emergency Department (SMHED) for further eval. J. Gowan- Nuehring was transported to SMHED by her mother Margaret Lydon Gowan Mester DOB 02/11/1966. This report is for informational purposes only. See event report under ICR 2021-00903622 for further details.</t>
  </si>
  <si>
    <t>Salem</t>
  </si>
  <si>
    <t>2020-00911499</t>
  </si>
  <si>
    <t>Fri</t>
  </si>
  <si>
    <t>W</t>
  </si>
  <si>
    <t>COUNTRY CLUB RD W</t>
  </si>
  <si>
    <t>0400006595000034-I</t>
  </si>
  <si>
    <t>On 05/08/2020, at 1200 hours, I, Deputy Russell, #1062, was radio dispatched to a two-vehicle accident on Country Club Rd W and 60 AVE SW in the Township of Cascade. I arrived on scene and took non-custodial Body-Worn Camera recorded statements from both drivers involved. Unit 1 driver, Sarah Nicole Amidon (DOB: 03/19/1999) stated that she was driving Northbound on 60 AVE SW. Amidon stated that she believed the intersection at 60 AVE SW and Country Club Rd W was a 4-way stop. Amidon stated she saw Unit 2 vehicle approaching the intersection but thought they were going to stop. Amidon stated she continued through the intersection causing her vehicle to hit Unit 2 on the back left rear bumper. Unit 2 driver, Sarah Jean Schnell (DOB: 04/26/1972) stated that she was driving Westbound on Country Club Rd W when Amidon pulled out in front of her. Schnell stated that Amidon struck her vehicle causing scuffs and paint transfer to the back left rear bumper. There were no injuries or airbag deployments. Both drivers were belted. Both units sustained minor damage not requiring a tow. Photographs of the vehicles were taken. Amidon was cited for failure to stop at a Stop sign.</t>
  </si>
  <si>
    <t>Rochester</t>
  </si>
  <si>
    <t>2020-00920095</t>
  </si>
  <si>
    <t>Wed</t>
  </si>
  <si>
    <t>E</t>
  </si>
  <si>
    <t>COUNTRY CLUB RD NW</t>
  </si>
  <si>
    <t>On 07/22/2020, at approximately 1322 hours, I, Deputy M. Gengler #1063, was radio dispatched to Country Club Road W/60th Ave NW in the Township of Cascade for a motor vehicle accident. A brown 2005 Honda CRV (MN/LIC: 330CNH) (UNIT 1) was driving eastbound on County Club Road W. A white Chevrolet Pickup (UNIT 2) was traveling southbound on 60th Ave and failed to stop at the stop sign. Unit 2 collided with the Honda CRV on the rear driver's side quarter panel. The Honda CRV appeared to make 1 1/2 counterclockwise rotation due to the collision. The Honda CRV came to a rest facing westbound and had disabled the rear driver's side tire. Airbag deployment occurred on the driver's side window only. Driver, Kendra Lynn Blank (DOB: 4/22/1998) was wearing her seat belt and complained of soreness in her left shoulder area. Passenger, Melissa Ann Bieber (DOB: 10/23/1998) was wearing her seat belt and reported no injuries at the time. Both Blank and Bieber were medically evaluated by Mayo Clinic Ambulance Service and cleared. Witness, Gayle Patricia Olsen (DOB: 04/01/1947) reported the white pickup with a flatbed trailer had failed to stop at the stop sign on 60th Ave NW and collided with the Honda CRV. Olsen stated the pickup stopped briefly and then continued southbound on 60th Ave. Gene Truman Cox III (DOB:8/29/1976) reported seeing a white Chevrolet pickup with black trim around the wheels, black pull-behind trailer with landscaping/lawn equipment stopped south of the accident. The pickup continued southbound. Cox III was unable to locate the vehicle. Deputies attempted to locate the suspect vehicle, but were unsuccessful. The Honda CRV was towed vehicle via Rochester Towing. Photographs were taken of the accident scene.</t>
  </si>
  <si>
    <t>19-903351</t>
  </si>
  <si>
    <t>On 02-01-19 at 0830 hours, driver of Unit 1 was traveling NB on 60th AVE SW approaching the stop sign at County Club Road W. Driver attempted to stop for the stop sign at County Club Road W and began sliding due to the icy roadway conditions. Driver slid to the right side of the roadway and struck the stop sign on the SE side of the intersection causing the stop sign to bend over and minimal damage to the vehicle. No citation issued. Photos taken and uploaded.</t>
  </si>
  <si>
    <t>17-921630</t>
  </si>
  <si>
    <t>Sun</t>
  </si>
  <si>
    <t>Unit 1 was driving westbound on County Club Road W approaching 60th Avenue NW.  Unit 2 was following Unit 1, also driving westbound.  Unit 1 signaled a right turn to northbound 60th Avenue.  Driver 1 stated that he was in the turn lane but was making a slightly wide turn to northbound 60th Avenue.  Driver 2 stated that Unit 1 had entered the right hand turn lane, but then re-entered the westbound lane of travel as if Unit 1 was going to continue westbound.  Driver 2 stated the she was unable to avoid colliding with Unit 1 as her only other option was the oncoming traffic lane.  Unit 2 collided with Unit 1.  No citations issued as cause of crash was unclear.</t>
  </si>
  <si>
    <t>19-938625</t>
  </si>
  <si>
    <t>Sat</t>
  </si>
  <si>
    <t>60TH AVE SW</t>
  </si>
  <si>
    <t>Witness and driver of Vehicle 1 stated the following.  Vehicle 1 was heading northbound on 60th Ave SW approaching the intersection with Country Club Rd SW.  Vehicle 1 knew about the stop sign on 60th Ave, but forgot as he was talking to his passenger.  Vehicle 1 ran through the stop sign on 60th Ave Country Club Rd SW at approximately 55 mph.  Vehicle 1 struck (broadsided) Vehicle 2 as Vehicle was traveling westbound on Country Club Rd.  This collision knocked Vehicle 2 into Vehicle 3 which was parked on 60th Ave SW at the stop sign facing southbound.  All three involved vehicle were considered totaled and towed from the scene by Tri-State Towing.  Passenger from Vehicle 1 and both driver and passenger from Vehicle 2 were transported to St Mary's Hospital ER.  Both passengers by ground transport and the driver by air ambulance.  Driver of Vehicle 1 cited for 1) Careless Driving and 2) Fail to Stop for Stop Sign.</t>
  </si>
  <si>
    <t>2021-00915699</t>
  </si>
  <si>
    <t>Unit 1 was traveling northbound on 60th Ave SW. Unit 2 was believed to be traveling westbound on Country Club Rd W. Unit 1 and Unit 2 collided into each other on the north side of the intersection, 60th Ave SW and Country Club Rd W. The specific details of that collision are still under investigation. The driver of Unit 2 was declared deceased on scene. The investigation on this incident is still on going and his being handled by Olmsted Co. Sheriff's Office- Investigations Division and FMU. Note: Unit 1 was inspected by a State Vehicle Inspector, Inspection Report # MN00YS001694. The results of that inspection are pending.</t>
  </si>
  <si>
    <t>Unit #1 (MN CEG617) driven by Matthew Joseph Ritter DOB 12-20-1974 was SB on 60th Ave NW (Olmsted County Rd 104).  Ritter crested the top of the hill and began to slow down for the stop sign and he was unable to get his vehicle to stop due to the icy conditions.  Ritter's vehicle slid into the intersection and was struck by unit #2 (MN CKZ154) driven by Suzanne Marie Hansen DOB 02-25-1952 who was traveling WB on Country Club Rd W (Olmsted County Rd. 34).  When unit #1 slid through the intersection it was struck on the rear driver's side by unit #2's front passenger side.  Hansen was complaining of some head pain and was checked out by Mayo Clinic Ambulance Service, but declined transport.  Aidan Joseph Ritter DOB 06-28-2006 was a passenger in unit # 1 and did not suffer any injuries.  M. Ritter did not suffer any injuries.  Unit #1 received moderate damage but was able to be driven from the scene.  Unit #2 suffered moderate damage and was towed from the scene by CSC Towing.  The road conditions in the area were very poor with most intersections glazed with ice.</t>
  </si>
  <si>
    <t>Unit #1 MN-BJB340 driven by Waleed Brinjikji dob/03-14-85 was traveling south on 60th Ave SW/Co Rd 104 approaching the intersection of Country Club Road West, attempted to stop for the stop sign but slid through the intersection, unable to stop due to snow packed roads.  Unit #1 spun around in the intersection and was now facing north in the intersection and was struck by Unit #2 MN-AAY064 driven by Julie Christine Dahanaike dob/09-01-73 who was traveling west through the intersection.  Unit #2 had the right of way and did not have a stop sign.  Unit #1 sustained heavy damage to the entire right side.   Unit #2 sustained heavy front end damage.  Both vehicles were towed from the scene.  Brinjikji stated he started slowing well before the intersection but was still unable to stop.  No injuries.  No citations.</t>
  </si>
  <si>
    <t>VALLEYHIGH RD NW</t>
  </si>
  <si>
    <t>0400006595000004-I</t>
  </si>
  <si>
    <t>Reportable</t>
  </si>
  <si>
    <t>MN0550100</t>
  </si>
  <si>
    <t>Police</t>
  </si>
  <si>
    <t>Both Unit's #1 and #2 were eastbound on Valleyhigh Dr NW approaching 50th Ave NW.  Unit #1 slowed for the roundabout.  Unit #2 was not able to slow enough and collided into the rear of Unit #1.  No injuries, No tows, No citations.</t>
  </si>
  <si>
    <t>0400006595000004-D</t>
  </si>
  <si>
    <t>Unit #1 was westbound on Valleyhigh Dr NW and in the roundabout at 50th Ave NW.  Unit #2 was southbound 50th Ave NW approaching the roundabout, but he was not able to get slowed down enough because of the ice on the roadway.  He turned to the right to try to make the turn into the closes lane of the roundabout.  The rear of his truck slid out to the left and the bike rack that he had connected to his truck struck the right rear of Unit #1.  No citations, No injuries, no tows.  state report filed.</t>
  </si>
  <si>
    <t>50TH AVE NW</t>
  </si>
  <si>
    <t>DRIVER #1 STATED: SHE WAS EB ON VALLEYHIGH DR NW APPROACHING THE ROUNDABOUT AT 50TH AVENUE NW. SHE STARTED TO SLOW TO YIELD TO VEH. #2 BUT SHE SKIDDED THROUGH THE INTERSECTION AND COLLIDED WITH VEH. #2. THE ROAD WAS SO ICEY SHE WAS UNABLE TO TURN OR STOP TO AVOID THE ACCIDENT. NEITHER SHE NOR HER DAUGHTER WERE INJURED.
DRIVER #2 WAS NOT INITIALLY INJURED FROM THIS CALL. HER VEHICLE HAD SLID UP ONTO THE GRASSY AREA IN THE MIDDLE OF THE ROUNDABOUT. SHE GOT OUT OF HER CAR TO MAKE SOME PHONE CALLS AND WAS STRUCK BY ANOTHER VEHICLE. (ICR# 17-2945)SHE WAS UNABLE TO GIVE A STATEMENT AS SHE WAS TAKEN TO SMH WITH OBVIOUS LEG INJURIES. SHE WAS IN CT WHEN I WENT TO CHECK ON HER. 
WITNESS STATEMENT:
GRANTMAN STATED: THAT HE WAS BEHIND VEH. #2 AS SHE ENTERED THE ROUNDABOUT. THE BLUE VEHICLE (VEH.#1) CAME TOWARD THE ROUNDABOUT FROM THE WEST ON VALLEYHIGH DRIVE. IT WAS TRAVELING FAST. IT WAS UNABLE TO STOP AT THE ROUNDABOUT AND COLLIDED WITH VEH. #2. 
VEH. #1 SUSTAINED MODERATE DAMAGE TO THE FRONT
VEH. #2 SUSTAINED MODERATE DAMAGE TO THE PASSENGER SIDE
BOTH VEHICLES WERE TOWED BY CSC
DRIVER #1 WAS CITED FOR DUE CARE
STATE REPORT.</t>
  </si>
  <si>
    <t>DRIVER #1 STATED: HE WAS SB ON 50TH AVE NW APPROACHING THE ROUNDABOUT AT 50TH AVE NW. AS HE NEARED THE YIELD SIGN AND STARTED HIS RIGHT TURN HE FELT THE BIKE SLIP. IT WASN'T TURNING AS IT SHOULD. HE HIT THE CURB BY THE YIELD SIGN, CONTINUED FORWARD HITTING THE CURB TO THE INNER ROUNDABOUT AND CONTINUED UP THE EMBANKMENT. HE AND THE BIKE WENT THROUGH THE TWO LEGS TO THE ARROW SIGN AFTERWHICH HE LAID THE MOTORCYCLE DOWN. HIS LEFT SHOULDER HIT THE SIGN AND CAUSED INJURY. HE DID NOT HAVE A HELMET ON AND DUCKED HIS HEAD AS HE WENT THROUGH THE SIGN SO AS NOT TO HIT HIS HEAD ON THE SIGN. HIS ONLY PAIN RIGHT NOW IS IN HIS LEFT SHOULDER. 
MOTORCYCLE WAS DRIVEABLE AND PICKED UP BY A FRIEND.
DRIVER #1 WAS TAKEN TO SMH VIA GOLD CROSS.
NO CITATIONS.</t>
  </si>
  <si>
    <t>S</t>
  </si>
  <si>
    <t>Unit 1 was traveling east on Valley high RD NW and entering the roundabout from the east and was going to continue on to the east.  Unit 2 was traveling south on 50th AVE NW and entering the roundabout and going to go east.  The two collided in the roundabout.  No injuries.  Unit 1 had minor damage to the driver side rear quarter panel by rear tire.  Unit 2 had minor damage to passenger front of vehicle.  No tows.  No citations.</t>
  </si>
  <si>
    <t>20-48543</t>
  </si>
  <si>
    <t>50TH AVE</t>
  </si>
  <si>
    <t>V1 was traveling west on Valleyhigh Drive NW approaching roundabout at 50th Ave NW. V1 was in the right lane of roundabout. V1 was traveling through roundabout when V2 was on left side of V1 and turned into V1. D1 believes V2 was trying to turn right onto 50th Ave NW. 
Spoke to D2 who stated was confused with the roundabout and made the turn into V1. D2 was trying to drive her son to grandmothers house. 
D1 had a driver stop and stated V2 was traveling at higher rate of speed and passing them who was behind V1. 
I was not able to make contact with witness but had name of Ron and phone 507-282-6494. 
No one claimed of any injuries on scene. 
Both vehicles were able to drive away from scene.</t>
  </si>
  <si>
    <t>18-00057984</t>
  </si>
  <si>
    <t>Driver #1 was EB on Valleyhigh road at 50th Ave.  #1 attempted round about at about 20MPH and slide off the side of the road and into the light pole on the shoulder knocking it down.  Moderate damage to drivers side from of vehicle #1.  Light pole damaged and left on side of round about.  Conditions were snow/ice covered roads and round about was very difficult to maneuver at any speed above a crawl.  Multiple vehicles slide though the roundabout even with my marked squads with light on at the round about.  No injuries, no tows.  State report, Public Works notified of the damaged pole.  Driver #1 was attempting to continue EB on Valleyhigh Rd.</t>
  </si>
  <si>
    <t>Both vehicles were coming around the round a bout to go East on Valleyhigh Dr NW.  Vehicle #1 (Taylor) thought he had enough space and time to change lanes before vehicle #2 (Zwiefel) caught up to him.  He changed lanes from left to right and collided into the left side of vehicle #2.  
No injuries, No tows, no citations.  Taylor was warned for unsafe lane change.</t>
  </si>
  <si>
    <t>0500023963950164-I</t>
  </si>
  <si>
    <t>Unit #1 was coming into the westbound side of the roundabout as unit #2 was going around the south end of the roundabout. Unit #1 slid on the ice and rear-ended unit #2. There were no injuries at this accident and both vehicles were driven from the scene. State report was filed on the DVS site.</t>
  </si>
  <si>
    <t>Vehicle #1 (919DBX-Skoog) was e/b on Valley High Road, said that she had driven this road before and just forgot that there was a round a bout there, and by the time she saw it, it was to late. Vehicle #1 struck the curb to the center island, launched estimated ninety three feet over the mound, and landed on the roadway.  Then vehicle #1 struck a street sign and came to a stop on the center median.  
Driver #1 was transported to St. Mary's via Gold Cross.  Towed by CSC.  No citations.</t>
  </si>
  <si>
    <t>Schleusner was e/b 50th Ave and lost control on the icy road.  He slid sideways and collided with light post.  
No injuries, no citations, no tows.  State report.</t>
  </si>
  <si>
    <t>0500023963950164-D</t>
  </si>
  <si>
    <t>DRIVER #1 STATED: SHE WAS EB ON VALLEYHIGH DRIVE NW APPROACHING THE ROUNDABOUT AT 50TH AVENUE NW. SHE STARTED TO SLOW TO MAKE THE CURVE ONTO THE ROUNDABOUT. SHE SAW THAT SHE COULDN'T TURN RIGHT ONTO THE ROUNDABOUT BECAUSE THERE WAS A CAR DISABLED IN THE LANE. SHE TRIED TO STOP BUT CONTINUED TO SLIDE FORWARD ON THE ICE. HER VEHICLE SLID FORWARD TOWARD ANOTHER DISABLED VEHICLE (VEH. #3) THAT HAD BEEN IN THE CENTER OF THE ROUNDABOUT ON THE MEDIAN AREA. A LADY WAS STANDING IN FRONT OF VEHICLE ON HER PHONE. SHE STRUCK THE LADY AND THE VEHICLE.
WITNESS'S STATEMENTS: R.EAGEN STATED THAT HE HAD SEEN THAT AN ACCIDENT HAD OCCURRED WITHIN THE ROUNDABOUT (17-2932). HE APPROACHED THE ROUNDABOUT FROM THE NORTH. WHILE DOING THIS HE SAW ANOTHER VEHICLE(VEH.#1) CREST THE HILL HEADING EB ON VALLEYHIGH DR TO THE 50TH AVENUE NW ROUNDABOUT. SHE WAS TRAVELING HIGHWAY SPEEDS. SHE MIGHT'VE SLOWED DOWN TO ABOUT 30MPH AS SHE ENTERED THE ROUNDABOUT. IT WAS CLEAR SHE WAS UNABLE TO STOP. HER VEHICLE CONTINUED FORWARD INTO VEH. #3 AND THE PEDESTRIAN. HE ISN'T SURE IF THE PEDESTRIAN WAS HIT BY VEH. #1 OR BY THE IMPACT OF THE TWO VEHICLES. 
VEH#3 WAS STRUCK BROADSIDE ON THE DRIVER'S SIDE
THE DRIVER OF VEH. #3, THE PEDESTRIAN, WAS STANDING BY THE DRIVER'S DOOR OF THE VEHICLE PRIOR TO IMPACT. SHE WAS TRANSPORTED TO SMH WITH OBVIOUS INJURIES TO ONE OR BOTH LEGS.
VEH. #1 SUSTAINED MODERATE DAMAGE AND WAS TOWED BY CSC
VEH. #3 SUSTAINED SEVERE DAMAGE AND WAS TOWED BY CSC
DRIVER #1 WAS NOT INJURED; SHE WAS CITED FOR DUE CARE.
STATED REPORT.</t>
  </si>
  <si>
    <t>Unit 1 was driving westbound through the roundabout in the right lane. Unit 1 did have right of way. Unit 2 entered the roundabout from the north heading southbound. Unit 2 hit unit 1 on the passenger side. Both drivers not injured. No tows.</t>
  </si>
  <si>
    <t>19-11077</t>
  </si>
  <si>
    <t>Driver of Unit 1 was not on scene at accident location. Driver of Unit 1 called to report the accident I spoke to Driver of Unit 1 over the phone. 
Driver of Unit 1 stated he was traveling South on 50 AVE NW and his vehicle slid on ice at the roundabout on Valleyhigh RD NW and he collided with a yield sign. Driver of Unit 1 stated there was minor damage to the front of his vehicle and he was not injured. 
Yield sign was bent in 45 degree angle. I contacted dispatch to call to have the sign fixed. 
No citations, No tows.</t>
  </si>
  <si>
    <t>Vehicle 1 was westbound in the left lane of the roundabout at Valleyhigh Drive and 50TH AV NW.  Vehicle 2 was southbound on 50TH AV NW.  Driver 2 stated he tried to slow down at the yield sign but hit a patch of ice causing him to slide into the intersection.  The front of Vehicle 1 struck the front left side of Vehicle 2.  Vehicle 2 went off the road striking a light pole.
Both vehicles were towed by Pulvers.  No injuries.</t>
  </si>
  <si>
    <t>-- NOT ON ROADWAY --</t>
  </si>
  <si>
    <t>Driver of Unit 1 stated he was traveling Southbound on 50 AVE NW and was going through the roundabout to take a left onto Valleyhigh RD NW. Driver stated he hit ice and ended up driving off the road and struck a light pole. 
No injuries reported by driver of Unit 1. 
Unit 1 had disabling damage to the front end and was towed by Tristate towing. 
Rochester Public Utilities was contacted to fix the light pole on the SE corner of the roundabout. 
No citations issued.</t>
  </si>
  <si>
    <t>Unit #1 MN-270VNN driven by Neil Robert Montague dob/06-29-80 was traveling south on West Circle Dr NW approaching the intersection with Valleyhigh Rd NW.  Montague turned right (west) onto Valleyhigh Rd NW, because of snow/ice covered roads he was unable to make the turn and/or stop and slid into the median divider,  hitting the road divided sign at the intersection.  Unit #1 sustained damage to the left front panel/bumper/light assembly.   Montague's daughter Malia Elyse Montague dob/04-21-12 was a passenger in the back seat (left side). No damage to sign.  No injuries.  Montague driver's license is cancelled.  Montague issued citation #550000023510 for Drive After Cancellation 171.24.3.  Montague called for his own tow.   Photographs taken and downloaded.  BWC used.</t>
  </si>
  <si>
    <t>2019-00900705</t>
  </si>
  <si>
    <t>On 01/08/2018 at approximately 1220 hours I, Deputy  Hennen responded to a crash in the area of Valley High Rd NW and West Circle Dr. NW in the Township of Cascade. I arrived on scene. Vehicle 1 (MN Lic. Plate 1PG925) was attempting to turn northbound on to West Circle Dr. NW from the eastbound turn lane of Valley High Rd NW. Vehicle 2 (MN Lic. Plate 358TJT) was attempting to turn northbound on to West Circle Dr. NW from the eastbound turn lane of Valley High Rd NW. The semaphore displayed a green light. Vehicle 2 moved forward and rear ended Vehicle 1. The driver of Vehicle 1 had not started to move, as traffic in front of her was still stopped. Vehicle 2 had moderate damage to its front bumper and hood of the vehicle. Vehicle 1 had moderate damage to its rear bumper. The driver of Vehicle 1, Barbara Jean Robinson DOB 05/10/1974, reported she was not injured. The driver of Vehicle 2, Zachary Gerald Holper DOB 03/26/1989, reported he was not injured. I took photographs of the damage to both vehicles and mediated an exchange of insurance information. No citations issued. BWC used.</t>
  </si>
  <si>
    <t>WEST CIRCLE DR NW</t>
  </si>
  <si>
    <t>According to witnesses on scene, vehicle one was travelling west bound on Valleyhigh Dr through the Valleyhigh Dr/West Circle Dr intersection with a green light. Vehicle two was initially going south on West Circle Dr. Vehicle two ran the red light at the intersection, and struck vehicle one. Driver one was complaining of neck/upper back pain, and transported to St. Marys. Driver two did not recall any of the events happening, and was unable to give a statement. Driver two was transported to St. Mary's as well. Both vehicles totaled, and towed by Pulvers to their impound lots. Driver two to be cited.</t>
  </si>
  <si>
    <t>DRIVER #1 STATED: HE WAS IN THE INSIDE LEFT TURN LANE OF WEST CIRCLE DRIVE (NB)WAITING TO MAKE A LEFT ONTO VALLEYHIGH DRIVE. WHEN THE LIGHT TURNED GREEN HE PROCEEDED WITH HIS TURN. HE MAY NOT HAVE TURNED TIGHT ENOUGH AND DRIFTED INTO THE OUTSIDE (RIGHT) LEFT TURN LANE SIDE SWIPING VEH. #2. HE NOR HIS PASSENGER WERE INJURED. 
DRIVER #2 STATED: SHE WAS IN THE OUTSIDE (RIGHT SIDE) LEFT TURN LANE OF WEST CIRCLE DRIVE WAITING TO MAKE A LEFT TURN ONTO VALLEYHIGH DR (WB). WHEN THE LIGHT TURNED GREEN SHE PROCEEDED WITH HER TURN. DURING THE TURN VEH. #1 VEERED INTO HER LANE STRIKING HER VEHICLE. SHE DOESN'T THINK HE SAW HER THERE AT ALL. SHE WAS NOT INJURED. 
NO INJURIES
NO TOWS
NO CITATIONS
RPD REPORT</t>
  </si>
  <si>
    <t>At about 1303 on 10/20/2017, Unit #1 was WB on Valleyhigh Dr NW and ran the red light at West Circle Dr NW where it was struck by Unit #2 which was SB on W Circle Dr NW and had the right-of-way.  Unit #1 subsequently spun around and struck a median signpost, while its spare tire was ejected and struck Unit #3, which was stopped facing EB on Valleyhigh Rd NW.
Driver #1 stated that he was WB on Valleyhigh Dr NW in the left lane.  He said he thought the light at W Circle Dr NW was green when he went through the intersection, but he was not certain.  Driver #1 said he just remembered being spun around after he entered the intersection.  He complained of neck and shoulder pain and had a laceration to his right temple area.  Driver #1 was evaluated on scene by RFD and Gold Cross, but declined transport.  Unit #1 had significant damage to the right rear wheel and door area and was removed by Virgils.  The spare tire had been torn loose from under the rear frame of the vehicle.
Driver #2 stated that she was SB on West Circle Dr NW in the left lane approaching Valleyhigh Dr NW.  She said the light was green as she approached the intersection when she suddenly saw Unit #1 come across the intersection in front of her.  She said she slammed on her brakes, but could not stop in time and struck Unit #1, causing her vehicle to spin around and then flip onto its roof.  Driver #2 said she hurt all over.  She was evaluated on scene by RFD and Gold Cross, but declined transport and said she would seek medical attention on her own.  Unit #2 had severe damage to the front end and other visible damage all over the body.  Front and both side curtain airbags were deployed.  The spare tire for Unit #2 was still inside the vehicle.  Unit #2 was righted and removed by Virgils.  
Driver #3 said he was stopped facing EB on Valleyhigh Rd NW in the left thru-lane when the collision occurred.  He said the spare tire from Unit #1 struck his vehicle after it was ejected.  Driver #3 did not report any injuries.  Unit #3 had an obvious dent and scuff marks on the left rear door from the spare tire, but did not require a tow.
Witnesses 1 and 2 were both facing NB on W Circle Dr NW at the time of the collision.  Both stated that the lights on W Circle Dr NW had turned green and the east/west lights on Valleyhigh Dr NW were red prior to the collision.  They advised that Unit #1 crossed the intersection WB and was struck by Unit #2.
Witness #3 stated she was SB on W Circle Dr NW some distance behind Unit #2, preparing to take the turn lane to WB Valleyhigh Rd NW.  She said the SB light was green before and during the collision.  She stated that Unit #1 crossed WB in front of Unit #2 and thought it might have come from the NB left turn lane.
I cited Driver #1 for Failure to Obey Traffic Signal.  All drivers were given the case number before leaving the scene.
Axon video uploaded/Photos uploaded/State report filed.</t>
  </si>
  <si>
    <t>Dr 1 stated she was southbound on W Circle Dr attempting to plug in her iPhone and fix her dash lights that were not one. Dr 1 stated when she looked up she her light was red and she attempted to stop the vehicle but went through the interections at Valleyhigh Dr NW.Dr 1 complianed of left hip pain, was not transorted, passenger 1 complained of a sprained ankel, none were transported. Vehicle towed by Virgils due to disabling damage.
Dr 2 stated he had a green arrow and drove into the intersection beginning to turn north when he was struck on the driver's side by veh 1. Passenger complained of hip pain and leg pain but was not transported. Vehicle towed by Virgils due to disabling damage.
Dr 1 cited for due care.</t>
  </si>
  <si>
    <t>At about 0031 on 1/26/2019, Unit #1 was EB in the curbside lane of Valleyhigh Rd NW approaching West Circle Dr NW and rear-ended Unit #2, which had stopped for the light.
Driver #1 stated that she was following her friends in Unit #2 in the EB lanes of Valleyhigh Rd NW approaching West Circle Dr NW.  She said she saw the light change from green to yellow as they approached the intersection and thought Unit #2 was going to continue through.  She said she was caught by surprise when Unit #2 suddenly stopped and she ended up rear-ending it.  Driver #1 said she bumped her head on the steering wheel, which left a visible bruise.  She later complained of feeling sleepy and having trouble seeing in one eye so her companions drove her to the ER after consulting with Gold Cross on scene.  Unit #1 had heavy front-end damage and was towed by Virgils.
Driver #2 stated that she was EB on Valleyhigh Rd NW and the light at West Circle Dr NW turned from green to yellow as she came up to the intersection.  She said she slammed on her brakes to stop and was then rear-ended by her friend in Unit #1.  Driver #1 (Instruction Permit) and her front passenger (Valid DL) both stated they might have bumped their heads from the collision, but neither had any visible injuries and both stated they would seek medical assistance on their own later if they felt they needed it.  Unit #2 had significant rear-end damage and was towed by Virgils.
I provided both drivers with the case number on my business card as well as MN driver's collision report forms.  I opted not to cite Driver #1 for Due Care based on Driver #2's statement that she had slammed on her brakes when the light turned yellow.
Axon video uploaded/State report filed.</t>
  </si>
  <si>
    <t>17-30387</t>
  </si>
  <si>
    <t>VALLEYHIGH DR NW</t>
  </si>
  <si>
    <t>V2 NB was making a left turn on a green arrow from WCD NW at Valleyhigh NW on Valleyhigh when V1 SB  on WCD NW ran thru red light striking V2. W1 was behind V2 and was following V2 on the green arrow turn when W1 said that V1 didn't look like it was going to stop and W1 stopped after V2 had made the turn. W1 stated V1 struck V2 and V1 ran a red light. D1 stated they ran a red light and that he was confused with the road construction barrels and all the other construction in town and just was not seeing the light. Moderate damage to both vehicles. Vehicles towed by Virgils. D1 cited for semaphore violation and FTYRW. P1 of V2 was transported to SMH with an injury. State report.</t>
  </si>
  <si>
    <t>20-1991</t>
  </si>
  <si>
    <t>At about 0624 on 1/14/2020, Unit #1 was EB on Valleyhigh Rd NW and slid on the ice while attempting to stop for the red light at West Circle Dr NW, sliding into the intersection and striking a signpost and Unit #2, which was SB on West Circle Drive.
Driver #1 stated that he was EB on Valleyhigh Rd NW coming down the hill approaching West Circle Dr NW when he saw the light change to red.  He said his vehicle slid on the fresh snow and ice even as he repeatedly applied his brakes.  Driver #1 said he steered to the right in an attempt to avoid sliding into the intersection, but ultimately side-swiped Unit #2 which was SB on the roadway in front of him.  Driver #1 stated he was not injured.  Unit #1 had body damage along the driver's side and the steering was not functional.  It was removed by Pulvers Towing.
Driver #2 stated that she was SB on West Circle Dr NW on a green light at the Valleyhigh Rd NW intersection when she saw Unit #1 sliding into the intersection on her passenger side.  She said it sideswiped her and disabled her vehicle.  Driver #2 said she was not injured.  The right front wheel of Unit #2 was hanging off and there was body damage along the passenger side.  It was removed by Pulvers also.
I also noted a yellow reflective diamond sign at the SW corner of the intersection that Unit #1 knocked over while attempting to turn out of the slide.  Olmsted County Highway was notified of the damage.
I provided both drivers with the case number on my business card as well as MN driver's collision report forms.  I did not cite Driver #1 for the collision due to the slippery roadway conditions from the snow overnight.
Axon video/photos uploaded/state report filed.</t>
  </si>
  <si>
    <t>2019-11442</t>
  </si>
  <si>
    <t>V2 was merging from  westbound Valleyhigh Dr NW onto northbound West Circle Dr NW.  V1 was behind V2 and also attempting to merge.  DV2 said she stopped for a vehicle that was stopped because it was unable to merge.   DV1 said he was looking to the rear to see if he could merge when he ran into the rear of V2. No injuries.  No tows.  No cites.</t>
  </si>
  <si>
    <t>D1 Stated he was travelling Northbound on West Circle Drive NW.  He said we was making a left turn in the right, left most turn lane to travel westbound on Valleyhigh Rd NW.  He said he turned into the left, left lane and struck U2.
D2 Stated he was travelling Northbound on West Circle Drive NW.  He said we was making a left turn in the left, left most turn lane to travel westbound on Valleyhigh Rd NW.  He said as he turned to the left, V1 came into his lane, and bumped him, knocking him over.
No injuries reported.  No citations, no tows.</t>
  </si>
  <si>
    <t>Unit 1 was NB WCD approaching Valley High RD NW and used turn signal to move into left of two left turn lanes.  Unit 2 was NB WCD behind Unit 1.  Unit 2 attempted to pass Unit 1 on the left.  Unit 2 side swiped Unit 1.  Unit 1 stopped.  Unit 2 stopped in front of Unit 1.  Unit 2 put veh in reverse and attempted to back into Unit 1.  Unit 1 moved out of the way.  Driver of Unit 2 started yelling profanities at occupants of Unit 1.  Unit 2 drove off WB Valleyhigh RD NW without exchanging info.  No injuries.  Photographs were taken of driver of Unit 2.  Driver of Unit 2 was identified by officer.</t>
  </si>
  <si>
    <t>V1- 632UVC- D1- Wocelka- (507-363-6084) D1 insurance USAA # 026394162R71017 --- V2-ZY325- D2 Kevin Arhelger- V2P1- Ruth Arhelger (507-271-5082) D2 Insurance American Family #JTKKT604760149447V1 was traveling NB on West circle Dr. V2 was traveling EB on Valleyhigh Dr. V1 was approaching the intersection and had a read light. V2 was sitting still at red light, Light changed green V2 started through the intersection, V1 ran the red light and crashed into the side of V2. V1 stated she was looking for 41st St and was looking at the Valleyhigh sign on top of the traffic light. Witness 1 Lucier stated he was stopped at at the light NB on West circle Dr and saw V1 go through the red light colliding with V2. D1 had no apparent injury, V1 towed by CSC. D2 had apparent minor injury and was transported by Gold Cross to SMH, P1 was injured and was transported to SMH by Gold Cross. V2 was towed by Virgils. D1 was cited.</t>
  </si>
  <si>
    <t>2021-05591</t>
  </si>
  <si>
    <t>0400006595000022-D</t>
  </si>
  <si>
    <t>V#1) 639NNL was driven by Stephanie Marie Giorno  West Bend Insurance # HHN8013174xx
V#2) FGD154 Was driven by Abbigail Celsete Staloch Auto Pamn 8619121.
V#1) Was driving Southbound merging onto west circle drive from Valley High Dr. Crossed both lanes of traffic into the far left lane. V#1 collided with V#2. 
V#2) Was driving Southbound on West Circle . V#1 crossed into V#2 far left lane. V#1 collided with V#2. 
No airbag deployment. 
No Tows.</t>
  </si>
  <si>
    <t>0400006595000022-I</t>
  </si>
  <si>
    <t>V1 WAS SITTING WAITING AT THE RED LIGHT ON WCD AT VALLEYHIGH DR NW, WAITING FOR  LIGHT TO CHANGE GREEN. V2 WAS BEHIND V1 AND ROLLED INTO THE HITCH OF V1 CASUING MINOR DAMAGE TO BOTH VEHICLES. NO INJURY AND NO TOW</t>
  </si>
  <si>
    <t>Unit #2 was stopped in the left-hand turn lane going northbound on West Cir., Drive. Driver of unit #1 stated he was stopped behind her and observed the light turned green stepped on the accelerator to move forward and collided with the rear end of her vehicle. Then looked up and saw his arrow was still red. Neither driver was injured and unit #2 ended up being towed from the scene because muffler was jarred loose in the collision. No citations issued state report will be filed on the DVS site.</t>
  </si>
  <si>
    <t>Two vehicle, non-injury collision. 
Unit 1 was behind Unit 2, driver of Unit 1 said she reached down for her vape and took her eyes off the roadway.  The front of Unit 1 struck the rear of Unit 2.  
Unit 2 was stopped at the red light, the rear of Unit 2 was struck by the front of Unit 1.
Both units pulled off the roadway and into the nearby parking lot of the Holiday Station.</t>
  </si>
  <si>
    <t>2019-00903261</t>
  </si>
  <si>
    <t>Unit one MN license plate 755GZK driven by Heins, Matthew Daniel was traveling northbound on West Circle Drive approaching the intersection of Valleyhigh Dr NW.  Heins advised there was a mechanical failure with unit one possibly an accelerator malfunction causing the vehicle to accelerate as he was attempting to slow.  Heins advised he made the decision to swerve instead of rear ending the vehicle in front of him striking unit two.  Unit two MN license plate 928WDL driven by Patricia Joan Oxley was parked on West circle drive waiting to turn right onto Valleyhigh Dr NW.  Oxley advised she was waiting for the light to change and Unit one hit her on the drivers right side.  No parties complained of any injury.</t>
  </si>
  <si>
    <t>DRIVER #1 STATED: SHE WAS NB ON WEST CIRCLE DR, STOPPED AT THE INTERSECTION OF VALLEYHIGH DRIVE WHEN SHE WAS STRUCK FROM BEHIND. SHE IS ALREADY SORE. 
DRIVER #2 STATED: HE WAS NB ON WEST CIRCLE DR, STOPPED AT THE INTERSECTION OF VALLEYHIGH DR. HE DOESN'T KNOW WHAT HAPPENED BUT HIS VEHICLE ROLLED FORWARD AND STRUCK VEH. #1. HE WAS NOT INJURED. 
NO DAMAGE TO EITHER VEHICLE. 
NO TOWS.
DRIVER #2 CITED FOR DUE CARE.
RPD REPORT.</t>
  </si>
  <si>
    <t>2017-00038370</t>
  </si>
  <si>
    <t>Unit 2 was traveling north on West Circle DR NW in the 3100 block.  Unit 2 was traveling in the inside lane and Unit 1 was behind her in the same lane.  Unit 2 driver claimed she was traveling straight through a green light at about 60 mph when she got hit form behind.  Unit 1 driver stated that Unit 2 stopped in front of her at the green light and he tried to brake but hit her.  I observed skid marks on the road that were left by Unit 1.  Unit 1 vehicle sustained moderate front end damage and was towed by Pulvers from the scene.  Unit 2 sustained moderate rear end damage and was not towed.  Unit 2 driver was complaining of back pain and was transported to Olmsted Hospital by Gold Cross Ambulance.  No citations were issued and an online state accident report was completed.</t>
  </si>
  <si>
    <t>DRIVER #1 STATED: SHE WAS NB ON WEST CIRCLE DRIVE APPROACHING THE INTERSECTION OF VALLEYHIGH DR NW. THE LIGHT TURNED YELLOW AND SHE STOPPED. SHE WAS THEN STRUCK FROM BEHIND BY VEH. #2. HER BACK AND NECK ARE SORE. SHE DID NOT NEED MEDICAL ATTENTION AT THE SCENE. 
DRIVER #2 STATED: SHE WAS NB ON WEST CIRCLE DRIVE APPROACHING THE INTERSECTION OF VALLEYHIGH DR NW. THE LIGHT TURNED YELLOW. SHE ASSUMED VEH. #1 WAS GOING TO GO THROUGH THE LIGHT SO SHE SPED UP TO MAKE THE LIGHT AS WELL. VEH. #1 STOPPED IN THE MIDDLE OF THE INTERSECTION. SHE STRUCK VEH. #1 FROM BEHIND. SHE WAS NOT INJURED.
THERE WAS CONTENTION ABOUT WHERE VEH. #1 HAD STOPPED. I WAS ABLE TO LOCATE THE SKID (ABS) MARKS IN THE LANE INDICATING THAT THE POINT OF IMPACT WAS IN THE CROSSWALK AREA; NOT IN THE MIDDLE OF THE INTERSECTION.
DRIVER #1 REFUSED MEDICAL ATTENTION AT THE SCENE BUT SAID SHE MAY BRING HERSELF IN
NO TOWS
DRIVER #2 WAS CITED FOR DUE CARE
STATE REPORT</t>
  </si>
  <si>
    <t>18-6189</t>
  </si>
  <si>
    <t>Driver of vehicle 2 was the initial caller. Caller said she pulled into Staybridge hotel, 22350 Commercial Dr NW. 
Vehicle 1 turned around and went to Kwik Trip on Valleyhigh Rd NW to wait as the accident occurred at Valleyhigh Drive and West Circle Drive NW. 
I stopped at Kwik Trip and spoke with the driver of vehicle 1. He stated he was turning onto Northbound West Circle drive from eastbound Valleyhigh Rd NW. He said he had a green arrow and was turning when a car ran the red and clipped his left rear bumper. Other vehicle did not stop.
I tried numerous times to call back vehicle 2 driver. She answered once, said she had to move. When I asked her where she moved to, she hung up on me.
I found her plate from priors we had with the caller and the fact she advised when she called that she had a blue Cadillac, the plate fit.</t>
  </si>
  <si>
    <t>18-901097</t>
  </si>
  <si>
    <t>Unit 1 was EB on Valleyhigh Road approaching the stop light intersection at West Circle Drive NW.  Driver of Unit 1 stated he lost control as he was driving down the hill towards the stop lights and wasn't going to be able to stop in time.  Driver of Unit 1 stated he turned off the road through the turn lane median to avoid hitting the parked vehicles at the stop light but couldn't avoid hitting the stop light post. Driver of Unit 1 issued citation for failing to drive with due care.  A message was left for the Rochester street department about the damaged pole.</t>
  </si>
  <si>
    <t>Two vehicle, injury collision, Honda(Unit 2) was travelling north on W Circle Dr NW, Ford(Unit 1) was travelling west on ValleyHigh Dr NW. Vehicles collided in the intersection. Front of the Honda struck the driver's side of the Ford. Ford rolled several times, coming to rest off the roadway.</t>
  </si>
  <si>
    <t>Unit 1 was making a left hand turn from West Cirle DR NW onto Valleyhigh DR NW. Unit 1 had the green arrow to turn. While Unit 1 was negotiating the turn, Unit 2 crashed into Unit 1. Witness on scene saw the accident occur. Driver of Unit 2 had minor scratches near left eye. Refused medical attention. Both Vehicles towed.</t>
  </si>
  <si>
    <t>Unit #1 was attempting to turn west onto Valleyhigh Rd NW from W. Circle Dr. NW.
Unit #2 was south on W. Circle Dr. NW at Valleyhigh Rd NW.
Unit #1 and Unit #2 collided.
Driver #1 stated she thought that she had a green arrow, went to turn, and was hit.
Driver #2 stated he had a green light and Unit #1 turned in front of him.
Witness #1 stated she was a few vehicles behind Unit #2 driving south and traffic was flowing through the green light when Unit #1 turned left in front of Unit #2.
Possible injuries to passenger of Unit #1, she stated her stomach area hurt but refused medical on scene.  Driver #1 has possible injuries to her right arm but refused medical on scene.
Both vehicles towed by Pulvers.
Driver #1 mailed citation for Fail to obey traffic control device.</t>
  </si>
  <si>
    <t>21-43195</t>
  </si>
  <si>
    <t>V1 was NB WCD NW making a left turn onto Vallyhigh Dr. NW  on a yellow left turn arrow when V1 cross into SB lanes of travel.  V#2 was SB WCD NW in the inside lane coming into the intersection on a green light when V#1 crossed into V2 lane causing D2 to take emergency maneuver actions and D2 swerved right into V3 who was in the outside lane SB at the intersection of Vallyhigh Dr. NW on WCD NW. No 9injuries or tows. Minor damager. D1 stated they thought they has enough time to make the turn on the yellow in front of the oncoming vehicles. D1 stated they caused the accident.</t>
  </si>
  <si>
    <t>Unit #1 Victim MN Lic/2GP581 (Bernatz) was stopped at a red light and Unit #2 suspect vehicle WIS Lic/AFS1762 ran into the back of unit #1. Then the vehicle took off. ATL's put out for suspect vehicle. Witness said that suspect driver appeared to be really high at the time. Unit #1 sustained rear end damage, Unit #2 sustained front end damage. No injuries, no tows. State report. There were two passengers in unit #2 that have not been identified.</t>
  </si>
  <si>
    <t>On Wednesday, January 6, 2021 at approximately 1806 hours, I, Officer M. Venteicher #2452 was dispatched to a vehicle collision with no injuries at Valleyheigh DR NW and West Circle DR NW Rochester, MN 55901. I arrived on scene and observed Vehicle 1 (V1) a White Honda CRV with MN license plate 425WJR with front end damage. I observed Vehicle 2 (V2) a White Kia Sorrento with MN license plate 782XNB with rear end damage. 
I spoke with the driver of V1 who was identified as Allison Mahlon Derome (DOB 10/24/1996). Derome declined medical attention and told me in summary the following information: 
I was in the left lane facing southbound on West Circle DR NW and Valleyheigh DR NW. I was behind V2 and the stop light had just turned green. All the other cars began to go and V2 put their left hand blinker on and let their foot off the break. I thought they were going forward but they were trying to merge over to the left turn lane and I rear ended V2. 
I spoke with the driver of V2 who was identified as Nia Rhae Gardner (DOB 08/11/1994). Gardner declined medical attention when asked and told me in summary the following information:
I was in the left lane facing southbound on West Circle DR NW and Valleyheigh DR NW. The stoplight had turned green and I needed to get in the left hand turn lane. I signaled and as I was merging I was rear ended by V1. 
No vehicles were towed. 
No medical required. 
No citations were issued. 
Photographs uploaded to the server. 
Both drivers were given business cards with the ICR number.</t>
  </si>
  <si>
    <t>Driver of unit #1 stated he was traveling southbound on West Cir., Drive in the outside lane and observed the lights at Valley high Drive were solid red. He began to slow down and then noticed the light turned green so he pressed on the accelerator again. Driver of unit #two stated he had pulled up to flashing red lights at the intersection and waited his turn and then began to go through the intersection. Unit #1 then collided with unit #2 in the center of the intersection pushing unit #2 into the median sign and knocking it over. There were no injuries both vehicles were towed from the scene due to disabling damage. There had been a power outage and the lights were in a flash mode and while we were at the intersection we observe the lights flash on and off twice. Witness also traveling southbound on West Cir., Drive stated he saw the light go from solid red to green. No further police action report was filed on the state DVS site.</t>
  </si>
  <si>
    <t>At about 0633 on 8/02/2018, Unit #2 was stopped for the light in the SB left turn lane of West Circle Drive NW at Valleyhigh Dr NW when it was rear-ended by Unit #1.  Unit #1 then left the scene without providing contact and insurance information as required by law.
Driver #2 stated that he was stopped in the SB left turn lane of West Circle Dr NW waiting for the light to change so he could turn EB onto Valleyhigh Dr NW.  He stated he was rear-ended at low speed by Unit #1.  He said the impact was hard enough to knock his sunglasses off his head and then break them when his head snapped back into the head rest.  Driver #2 said he got out to check for damage and noted that Driver #1 had backed up, revealing a hole just to the right of center in the front panel of Unit #1, caused by the hitch-mounted bike rack on the back of Unit #2.  Driver #2 said he spoke to Driver #1 at the window of his vehicle and Driver #1 said the damage did not look bad and he would pull into the gas station.  Driver #1 then drove around Unit #2 and disappeared.  Driver #2 said he checked both the Holiday and the Kwik Trip and Unit #1 was not there.  He described Unit #1 as a red Chrysler Town and Country mini-van (leaking a large quantity of coolant from the front-end damage)and provided the license plate.  He described Driver #1 as a W/M/40s, shorter build, with a beard.  Driver #2 stated his back was sore from the impact and he would seek medical attention if it worsened.  The bike rack on the back of Unit #2 had scuffs and red paint transfer from the impact, but Driver #2 said the vehicle itself appeared undamaged.
Officers located a coolant trail from the SB left turn lane of West Circle Dr NW as described by Driver #2.  It appeared to go straight SB through the intersection before it tapered and disappeared.  An area check for Unit #1 was unsuccessful.  
I obtained phone numbers for the owner of Unit #1 from the Wabasha County dispatch center, including one with voicemail that identified him by first name.  The other number had a busy signal.  On the evening of 8/02, I left a VM requesting that Owner #1 call me - he did not.  On the evening of 8/03, I again attempted phone contact with Owner #1.  This time, I was unable to reach voicemail and an automated message indicated there were now call restrictions in place.  An automated message for the other number indicated it had been disconnected.  I will follow-up more next week.
Axon video uploaded/Photos uploaded/State report filed.</t>
  </si>
  <si>
    <t>Vehicles 1 and 2 were southbound in the left straight lane of West Circle Drive NW.  The traffic signal at the intersection with Valleyhigh DR NW just turned green for southbound traffic.  Traffic was backed up at the intersection.  Vehicle 2 hit Veh 1.
Driver 1 stated his light for southbound just turned green.  He just started moving forward when he got hit by Veh 2.  Driver 2 stated that the accident was his fault.  He stated that he wasn't paying attention briefly so he did not see that the traffic in front of him was stopped.
Driver 2 was warned for Inattentive Driving and having an Expired Drivers License.  Neither vehicle had to be towed.</t>
  </si>
  <si>
    <t>Both vehicles were southbound on West Circle Dr.  Both wanted to turn left onto Valleyhigh Dr NW.  The turn lane was very icy.  Vehicle #1 (Welsh) got stopped but slid sideways before stopping.  Vehicle #2 (Jhawar) tried to stop, but was unable to and collided into the left rear of vehicle #1.  
No citations, No tows, state report.</t>
  </si>
  <si>
    <t>RAMP23</t>
  </si>
  <si>
    <t>DRIVER #1 STATED: IT WAS HIS FAULT. HE WAS TRAVELING SB ON WEST CIRCLE DRIVE NW APPROACHING THE INTERSECTION OF VALLEYHIGH DR NW. THE LIGHT HAD JUST TURNED GREEN AND TRAFFIC HAD STARTED MOVING. HIS FOOT HAD THEN SLIPPED OFF THE BRAKE PEDAL AND ONTO THE ACCELERATOR. HE STRUCK VEH. #2 FROM BEHIND. HIS KNEES WERE SCRAPED BUT OTHER THAN THAT HE WAS NOT INJURED. 
DRIVER #2 DID NOT SPEAK ENGLISH WELL AND WAS ULTIMATELY TRANSPORTED BY MCAS. SHE COMPLAINED OF POSSIBLE CHEST PAIN (UNCLEAR) HER PASSENGERS WERE NOT INJURED. 
DRIVER #3 STATED: THEY WERE SB ON WEST CIRCLE DRIVE NW APPROACHING THE INTERSECTION OF VALLEYHIGH DRIVE NW. THE LIGHT HAD BEEN GREEN. NO ONE WAS IN FRONT OF HER BUT SHE SLOWED AND PUT HER FOOT ON THE BRAKE READY TO STOP IF THE LIGHT TURNED YELLOW. SHE LOOKED BEHIND HER TO MAKE SURE HER SISTER WAS STILL BEHIND HER AS THEY WERE GOING SOMEWHERE THEY WERE UNFAMILIAR WITH. SHE SAW VEH. #1 STRIKE VEH. #2; VEH. #2 THEN STRUCK HER. THE BACK OF HER HEAD HURTS. SHE DID NOT NEED MEDICAL ASSISTANCE AT THE SCENE. HER PASSENGER WAS NOT INJURED. 
VEH. #1 SUSTAINED SEVERE FRONT END DAMAGE
VEH. #2 SUSTAINED MODERATE/SEVERE REAREND DAMAGE, MINOR FRONT END DAMAGE
VEH. #3 SUSTAINED VERY MINOR DAMAGE TO THE REAR
VEHICLE #1 AND VEHICLE #2 WERE TOWED BY PULVERS TOWING
STATE REPORT REQUIRED</t>
  </si>
  <si>
    <t>UNIT 1 was traveling southbound on West Circle Dr north of the Valleyhigh Dr intersection.  UNIT 2 was in the same location directly in front of UNIT 1.  UNIT 1 and UNIT 2 collided.
Driver 1 stated she saw the red light at West Circle/Valleyhigh and didn't have time to avoid colliding into UNIT 2 in front of her.  She stated she didn't think she was distracted, and there weren't any defects in the braking system.  Driver 1 stated her right hand hurt, and mentioned it might be broken.  She was evaluated on scene by Gold Cross Paramedics due to that, and driver airbag deployment.
Driver 2 stated she was slowing to a stop for the red light at West Circle/Valleyhigh with several cars stopped in front of her.  She said she was ran into by UNIT 1 while doing so.  Driver 2 made no complaint of injury.
There were no tows needed for UNIT 1 or UNIT 2, and no citations issued.  State Report completed due to complaint of injury and damage likely exceeding $1000.</t>
  </si>
  <si>
    <t>21-004919</t>
  </si>
  <si>
    <t>Vehicles 1 and 2 were eastbound on Valleyhigh DR NW making a left turn at the intersection to go north on West Circle DR NW.  Vehicle 1 was in the outer turn lane.  Vehicle 2 was in the inner turn lane.  Vehicle 2 failed to stay in the proper lane and struck vehicle 1.
Driver 1 stated she made her left turn and got struck by Veh 2.  Driver 2 stated he did not see Veh 1 and struck her when he went to change lanes.  
Minor damage on both vehicles.  No citation was issued.  Driver 2 was warned for improper lane use/lane change.
Veh 2 had the wrong plate on the vehicle.  It displayed HA5737 which is another vehicle owned by Driver 2.  He explained he went into the DMV months ago to have Veh 2 changed over to his handicap plate.  State backlog may have caused the delay.  Advised him to contact DMV.</t>
  </si>
  <si>
    <t>DRIVER #1 STATED: SHE WAS SB ON WEST CIRCLE DR NW STOPPED AT THE INTERSECTION OF VALLEYHIGH DR NW. SHE WAS STRUCK FROM BEHIND BY VEH. #2. SHE IS NOT INJURED. 
DRIVER #2 STATED: SHE WAS SB ON WEST CIRCLE DR NW APPROACHING THE INTERSECTION OF VALLEYHIGH DR NW. SHE SAW THAT THE LEFT TURN LANE LIGHT HAD TURNED GREEN. SHE ACCELERATED THINKING THAT EVERYONE HAD STARTED MOVING FORWARD. ONCE SHE REALIZED THAT VEH. #1 HAD NOT YET MOVED FORWARD SHE WAS UNABLE TO STOP IN TIME TO AVOID THE COLLISION. SHE WAS NOT INJURED. 
VEHICLE #1 SUSTAINED MINOR DAMAGE TO THE REAR
VEHICLE #2 SUSTAINED MODERATE FRONT END DAMAGE AND WAS TOWED PER OWNER'S REQUEST
NO INJURIES.
DRIVER #2 WAS CITED FOR DUE CARE.
STATE REPORT.</t>
  </si>
  <si>
    <t>19-59668</t>
  </si>
  <si>
    <t>0500023963950211-I</t>
  </si>
  <si>
    <t>Driver of veh 1 stated he was traveling NB on West Circle Dr. NW approaching Valleyhigh Dr. NW.  He stated veh 2 was directly in front of him facing the same direction.  He stated he accidentally rear ended veh 2.
Driver of veh 2 stated he was stopped in traffic facing NB on West Circle Dr. NW and Valleyhigh Dr. NW.  He stated he was rear ended by veh 1 while he was stopped.
No injuries/tow/citations.</t>
  </si>
  <si>
    <t>Van slid through the intersection. Front driver's side quarter panel of the van, struck the median sign located on the eastern median at the intersection, knocking it over.</t>
  </si>
  <si>
    <t>RAMP24</t>
  </si>
  <si>
    <t>2200006595000024-I</t>
  </si>
  <si>
    <t>UNIT 1, FULLY LOADED GARBAGE TRUCK, WAS TRAVELING EASTBOUND ON VALLEYHIGH DRIVE NW AND ATTEMPTED TO TAKE THE SOUTHBOUND OFF RAMP TO WEST CIRCLE DRIVE NW.  THE VEHICLE WAS TRAVELING TOO FAST AND THE VEHICLE OVERTURNED ONTO ITS DRIVER'S SIDE AND SLID THROUGH THE MEDIAN SEPERATING THE RAMP FROM THE ROADWAY STRIKING A ROAD SIGN.  THE VEHICLE CONTINUED SLIDING THROUGH ALL SOUTHBOUND LANES AND CAME TO FINAL REST JUST UP ONTO THE MEDIAN.  DVR WAS PARTIALLY EJECTED AND RECEIVED A SERIOUS HEAD INJURY.  PULVERS TOWING ARRIVED AND TURNED THE TRUCK BACK ONTO IT'S WHEELS AND TOWED IT AWAY.  SIGNIFICANT GARBAGE STREWN ON THE ROADWAY AND IT WAS CLEANED UP BY LOCAL CONSTRUCTION COMPANY WHO WAS NEARBY.  DVR 1 CITED FOR DUE CARE...STATE REPORT ONLY</t>
  </si>
  <si>
    <t>21-0015774</t>
  </si>
  <si>
    <t>On 04/19/21 at approximately 0710 hours Vehicle #2 was merging to the right because an ambulance was coming. Vehicle #1 was merging onto West Circle Dr from Valleyhigh Dr.  Vehicle #1 struck vehicle #2 from behind. No vehicles were towed and no one was injured. 
Driver #1 stated that she was merging onto West Circle Dr she was slowing down in traffic and she had been pushing on her brakes.  She then accidentally hit her accelerator pedal and struck vehicle #2 from behind.  She was not injured. I observed damage to the lower right front of vehicle #1. The vehicle had paint transfer from vehicle #2 and a broken bumper.
Driver #2 stated that she heard an ambulance coming from behind her.  She merged out of traffic for the ambulance to go by. She was then struck from behind by vehicle #1.  Vehicle #2 sustained left rear bumper damage and paint transfer.
No one was tagged in the incident. Driver #1 was warned for following too closely. No further action.JAB#2366.</t>
  </si>
  <si>
    <t>2020-00027759</t>
  </si>
  <si>
    <t>Julie Ann Huettner was driving N0YQU-1 a 2008 Honda Odyssey east bound on Valley High approaching West Circle when she took the turn / merge lane onto south bound West Circle. Julia Joynian Babar was driving 738UYX, a 2013 Buick Enclave and followed Huettner on the same course of travel. Babar did not notice that Huettner had slowed to merge with traffic and collided with the back of Huettner's vehicle. Moderate damage to both vehicles</t>
  </si>
  <si>
    <t>MNMHP0200</t>
  </si>
  <si>
    <t>State Patrol</t>
  </si>
  <si>
    <t>R20100442 - W.Circle Dr. NW/26th St. NW
Vehicle 1 was SB on W. Circle Dr. NW, lost control of vehicle coming down the hill before the intersection in on the slush, went into median just after intersection and hit the crosswalk post/control, and final rest in the median.  Pulver's towing for winch out, vehicle 1 was drivable.</t>
  </si>
  <si>
    <t>DRIVER #1 STATED SHE WAS DRIVING WEST, CROSSING SOUTHBOUND WEST CIRCLE DR NW AND THOUGHT SOUTHBOUND TRAFFIC WAS CLEAR BUT STATED HER VIEW WAS PARTIALLY OBSTRUCTED BY TRAFFIC IN THE EASTBOUND TURN LANE. STATED SHE PROCEEDED WEST INTO THE LANE OF TRAFFIC AND WAS STRUCK BY UNIT #2. 
DRIVER #2 STATED HE WAS SOUTHBOUND ON WEST CIRCLE DRIVE NW AND THERE WAS TRAFFIC IN THE EAST BOUND TURN LANE. HE STATED UNIT#1 PULLED OUT IN FRONT OF HIM AND HE COULD NOT AVOID THE VEHICLE. 
DRIVER AND PASSENGER#1 OF UNIT #1 WERE TRANSPORTED TO THE HOSPITAL VIA GOLD CROSS-GROUND.
DRIVER OF UNIT #1 STATED SHE HAD NECK PAIN.
PASSENGER#1 OF UNIT #1 HAD HEAD PAIN, NECK PAIN, CHEST PAIN, DIFFICULTY BREATHING AND WAS IN AND OUT OF CONSCIOUSNESS. 
DRIVER OF UNIT #2 DID NOT REPORT ANY INJURIES.
WITNESS#1 STATED SHE WAS BEHIND UNIT #1 AND SAW IT PULL OUT INTO SOUTHBOUND TRAFFIC. SHE ALSO STATED THERE WAS A LARGE SUV IN THE TURN LANE MAKING IT HARD TO SEE SOUTHBOUND TRAFFIC ON WEST CIRCLE DRIVE NW.
UNIT #1 WAS TOWED BY VIRGIL'S TOWING TO VIRGIL'S LOT.
UNIT #2 WAS TOWED BY PULVER'S TOWING TO OWNERS REQUESTED LOCATION.
DRIVER OF UNIT #1 WAS CITED FOR FTYRW (CROSSING INTERSECTION) AND DRIVING AFTER SUSPENSION.
COMMERCIAL VEHICLE INSPECTOR BLOMQUIST #1618 RESPONDED AND COMPLETED A COMMERCIAL VEHICLE INSPECTION ON UNIT #2.
STATE ACCIDENT REPORT.</t>
  </si>
  <si>
    <t>19-906024</t>
  </si>
  <si>
    <t>Unit 1 was northbound on West Circle Dr NW in the left turn lane attempting to turn west onto 26th St NW.  Unit 2 was southbound on West Circle Dr NW in the left lane approaching the 26th St NW intersection.  Units 1 and 2 collided.  Driver 1 stated a semi truck was facing southbound in the left turn lane of West Circle Dr NW waiting to turn east onto 26th St NW.  Driver 1 stated this semi truck blocked her view of the southbound traffic.  Driver 2 stated he passed along with semi truck and could not see Unit 1 until they collided.  Witness stated she saw the collision happen behind her in her rear view mirror.  Witness could not be certain if Unit 1 was turning left or coming straight through the intersection, but saw Unit 1 enter the southbound lanes without yielding to Unit 2.  Unit 1 damage to front and driver's side but was able to be driven from the scene.  Unit 2 disabling damage to front driver's side and was towed by Rochester Towing.  No reported injuries and all involved denied medical attention when offered.  Investigation concluded Driver 1 failed to yield to oncoming traffic and was mailed a citation for that offense.  Photographs were taken and uploaded to Evidence.com.  Body worn camera footage uploaded to Evidence.com.</t>
  </si>
  <si>
    <t>Unit 1 was traveling NB West Circle DR in the right lane.  Unit 2 was at the stop sign facing WB on 26 ST NW.  Unit 2 pulled out to go straight across intersection.  Unit 1 hit Unit 2 in the driver's side causing damage to both vehicles.  Unit 1 spun around and came to rest facing SB in center median area of intersection.  Unit 2 came to rest facing NW in shoulder of NB WCD lanes.  Unit 1 front airbags deployed.  Unit 2 side airbags deployed.  No reported injuries.  Driver of Unit 2 was arrested for DWI.  Both units towed to Pulver's.</t>
  </si>
  <si>
    <t>Location:  West Circle Drive NW @ 26th Street NW
- Vehicle one was traveling West on 26th Street NW.  Vehicle one intended to continue West and cross West Circle Drive NW.  Vehicle two was traveling South on West Circle Drive NW.  Vehicle two intended to continue South and cross 26th Street NW.
- The light turned green for W/B traffic and vehicle one began crossing thru the intersection. 
- Vehicle two drove thru a red light and also entered the intersection.
- Vehicle one struck vehicle two in a right angle manner.
- Both driver one and driver two state the light was green for Westbound traffic.  Driver two explained his attention was likely distracted from being drowsy while working nights recently.
- Vehicle one had moderate damage to the front end.  Vehicle two had moderate disabling damage to the driver side with side airbag deployment.  Vehicle two was towed from the scene.
- Driver one was verbally warned for driving after revocation and driver two was verbally warned for driving thru a red light.
T. Wahlen #2344</t>
  </si>
  <si>
    <t>Unit 1 was travelling north on W Circle Dr NW.  Driver lost control of the vehicle when the vehicle encountered an icy patch on the roadway.  The went sideways, sliding to the northwest.  Unit 1 struck a metal sign post, entered the grass median/ditch.  Unit 1 then came to rest on the passenger side of the vehicle.  There was a fairly brisk, very cold wind from west to east.  The wind was freezing the moisture on the road way, causing numerous areas of black ice.</t>
  </si>
  <si>
    <t>Unit 1, MN EUC644, driven by RIVAS, MIGUEL ANGEL. 201 MAIN ST APT F. CTY/WANAMINGO. STA/MN. ZIP/55983,SEX/M. DOB/19660908 was southbound in the left lane on WCD. He states he was travelling through the intersection with a green light when he collided with Unit 2, MN 954WBJ, driven by BJELLUM, MARCY KINZLER. 4518 PORTAGE ST NW. CTY/ROCHESTER. STA/MN. ZIP/55901-5653. SEX/F. DOB/19750814 who was turning westbound on to 26 ST NW from the northbound lane of traffic on WCD.
Driver of Unit 2 states she had the green arrow to turn west while she was travelling NB.  As she proceeded through the turn into the intersection she was struck by Unit 2 going southbound.</t>
  </si>
  <si>
    <t>Driver #1 advised he was southbound in the 2700 block of W Circle Dr NW when a vehicle crossed from 26th St ahead of him and stopped in the median.  A second vehicle, blue sedan, crossed directly behind it and stopped in the middle of the traffic lane.  He slammed on his brakes and swerved to avoid a collision.  Vehicle #2 was behind him and collided with the rear of his vehicle.  The vehicle stopped in the traffic lane left the scene prior to law enforcements arrival.
Driver #2 advised she was southbound in the 2700 block of W Circle Dr. behind vehicle#1. Vehicle #1 suddenly slowed and swerved to avoid a vehicle ahead of it. She didn't see much because she slammed on her brakes to avoid a collision with vehicle #1 but was unable to.
No injuries/citations.  Vehicle #2 towed due to disabling front end damage.</t>
  </si>
  <si>
    <t>26TH ST</t>
  </si>
  <si>
    <t>DRIVER #1 STATED: SHE WAS WB ON 26TH ST NW ATTEMPTING TO CROSS WEST CIRCLE DRIVE NW. SHE STOPPED AT THE STOP SIGN AND SLOWLY STARTED TO CROSS THE HIGHWAY. THERE WAS A SB CAR IN THE LEFT TURN LANE. SHE CONTINUED ACROSS SLOWLY. WHEN SHE CLEARED THE MEDIAN SHE SAW VEH.#2 COMING SB; JUST BEFORE COLLIDING WITH IT. SHE WAS NOT INJURED.
DRIVER #2 STATED: HE WAS TRAVELING SB ON WEST CIRCLE DRIVE NW AROUND 50MPH. HE WAS STRUCK IN THE DOOR BY VEH.#1 AT THE INTERSECTION OF 26TH ST NW. HE WAS NOT INJURED.
PASSENGER #2 STATED: THEY WERE SB ON WEST CIRCLE DRIVE NW APPROACHING THE INTERSECTION OF 26TH ST NW. HE SAW VEH. #1 TRAVELING ACROSS THE LANES OF NB WEST CIRCLE DRIVE TRAFFIC AT APPROXIMATELY 20MPH. NOT FAST BUT IT DID NOT APPEAR SHE PLANNED TO STOP. THEY WERE STRUCK BY VEH. #1 AS THEY ENTERED THE INTERSECTION. HE WAS NOT INJURED. 
WITNESS STATED: HE WAS NB ON WEST CIRCLE DRIVE NW APPROACHING THE INTERSECTION OF 26TH ST NW. HE SAW VEH. #1 FAIL TO STOP AT THE STOP SIGN AND CONTINUE INTO THE INTERSECTION STRIKING VEH. #2. VEH. #2 HAD BEEN TRAVELING SB ON WEST CIRCLE DRIVE PRIOR TO THE COLLSION. 
NO INJURIES
VEH. #1 TOWED BY VIRGILS
VEH. #2 TOWED BY CSC (CALLED IN BY MNSP)
DRIVER #1 CITED FOR FTYROW
STATE REPORT.</t>
  </si>
  <si>
    <t>UNIT 1 was attempting to turn west from the median of W Circle Dr at 26 St NW.  UNIT 2 was southbound on W Circle Dr.  UNIT 1 and UNIT 2 collided.
Driver 1 stated he had a number of vehicles obscuring his vision that were attempting to turn east off W Circle Dr to 26 St NW.  He believed he had a break in southbound traffic on W Circle Dr.  He entered the left lane of southbound W Circle Dr, and saw UNIT 2 in the left lane coming towards him.  He froze, and could not get out of the way of UNIT 2.
Driver 2 stated he saw UNIT 1 enter his lane to cross traffic, and couldn't adjust before striking him.
CSC towed UNIT 1 due to disabling damage, and Pluvers towed UNIT 2 due to disabling damage.  There were no complaints of injury, and no citations were issued.  State Report completed due to damage likely exceeding $1000.</t>
  </si>
  <si>
    <t>On 10/13/17 at 1332 hours Officers were dispatched to the intersection of 26 St NW and West Circle Dr NW Rochester MN 55901 for a motor vehicle collision. Investigation revealed Unit 1 was travelling West on 26 St NW attempting to cross the intersection while Unit 2 was travelling South in the right lane on West Circle Dr NW. As Unit 1 began to cross the intersection another vehicle was coming South of West Circle Dr NW in the left turn lane and preparing to turn East onto 26 St NW. This vehicle partially obscured the view of Unit 1 and it collided with Unit 2 as it proceeded through the intersection. The driver of Unit 1 stated he did not see Unit 2 until it was too late and he braked but the vehicles still collided. The driver of Unit 2 stated she saw Unit 1 crossing and when she realized he did not see her she swerved to avoid a collision, heard him apply his brakes, but the vehicles collided and her vehicle spun at least once in a full circle.
The collision caused moderate damage to the left side of Unit 2 and moderate damage to the front of Unit 1. The damage to Unit 2 also bent the rim of the left rear tire, making it inoperable. Unit 1 was driven from the scene while Unit 2 was towed by CSC Towing after the driver was unable to reach her insurance company to arrange a tow after several minutes. The driver of Unit 2 complained of some neck/back soreness but denied medical attention. 
A citation was issued to the driver of Unit 1 for FTYRW to on-coming traffic.</t>
  </si>
  <si>
    <t>2018-57611</t>
  </si>
  <si>
    <t>Unit 1 was eastbound in the 4000 block of 26th ST NW and stopped at the intersection of West Circle DR NW at a stop sign.
Unit 2 was southbound in the 2600 block of West Circle DR NW in the left lane of traffic approaching the intersection of 26th ST NW.  
U1 states while waiting for traffic to clear, he noticed an opening so he started to drive across southbound West Circle DR NW traffic when U2 suddenly appeared and hit him.
U1 states he never saw U2 coming.
U2 states U1 pulled out in front of her and she tried to swerve to miss U1 but she hit U1.
U1 was cited for failure to yield - oncoming traffic.</t>
  </si>
  <si>
    <t>Popp (641txj) was s/b east circle dr nw witch is down to a single lane because of construction. Popp stopped at the newly installed traffic lights, that are not operable. Rebeja (ByS423) was behind Popp and could not get stopped in time and collided into the rear of Popp. Rebeja had airbag and seatbelt injuries. refused ambulance. They requested Tri-State Towing to tow thier vehicle. State Report, No citations.</t>
  </si>
  <si>
    <t>DRIVER #1 STATED: SHE WAS NB ON WEST CIRCLE DR NW WAITING TO TAKE A LEFT ONTO 26TH ST NW. SHE STARTED TO MAKE HER TURN AND DIDN'T SEE VEH. #2. SHE WAS STRUCK BY VEH. #2. THE MOMENTUM OF THE COLLISION FORCED HER INTO THE STOP SIGN AND UTILITY BOX OFF OF 26TH ST NW. SHE NOR HER PASSENGER WERE INJURED.
DRIVER #2 STATED: SHE WAS SB ON WEST CIRCLE DR NW APPROACHING THE INTERSECTION OF 26TH ST NW. SHE WAS TRAVELING APPROXIMATELY 45-50 MPH. VEH. #1 MADE A LEFT TURN IN FRONT OF HER. SHE SLAMMED ON HER BRAKES BUT WAS UNABLE TO STOP. SHE STRUCK VEH. #1. THE MOMENTUM OF THE COLLISON FORCED HER INTO VEH. #3. SHE AND BOTH OF HER PASSENGERS WERE INJURED. ALL WERE TRANSPORTED TO SMH BY GOLD CROSS.
DRIVER #3 STATED: SHE WAS EB ON 26TH ST NW STOPPED AT THE STOP SIGN AT WEST CIRCLE DRIVE NW. ALL OF A SUDDEN VEH. #1 AND VEH. #2 STARTED COMING HER WAY. SHE WAS STRUCK BY THE VEHICLES. SHE IS UNSURE WHERE THEY CAME FROM OR WHICH VEHICLE STRUCK WHICH. SHE WAS NOT INJURED.
ALL VEHICLES WERE TOWED BY ROCHESTER TOWING.
ALL OCCUPANTS OF VEH. #2 WERE INJURED AND TRANSPORTED TO SMH VIA GOLD CROSS.
DRIVER #1 WAS ISSUED A CITATION FOR FTYROW
FRONT SEAT PASSENGER OF VEH. #2'S INJURIES WERE SUBTAINTIAL. STERNUM FRACTURES ARE CAUSING HER TO REQUIRE A BREATHING TUBE. FAMILY MEMBER STATES IT IS NOT LOOKING GOOD AT THIS POINT. 01-10-18
STATE REPORT REQUIRED</t>
  </si>
  <si>
    <t>21-44103</t>
  </si>
  <si>
    <t>D1 stated that she was stopped at the traffic control signal as it was red. D1 observed D2 in front of her as the light changed to green. D1 stated that when she saw the green light, she started driving as she collided into D2 who was not moving at the time of the collision. 
D2 stated that she was stopped at the traffic control signal as it was signaling red. D2 advised that D1 collided into the rear bumper of D2. D2 left the area before before I arrived on scene to assess vehicle damage/injury's. D2 stated that her back and neck were hurting. Unknown if D2 ever received medical care. Spoke with D2 on the phone regarding the collision.
No citations issued, No vehicles towed, State accident report submitted</t>
  </si>
  <si>
    <t>On 06/06/18 at approximately 1208 hours Vehicle #2 was traveling south on West Circle Drive NW. Vehicle #1 was turning west onto 26th Street NW.  vehicle #1 proceeded into the roadway of vehicle #2 and crashed in the roadway.  Both vehicles were towed from the scene.  Driver #1 was taken to Olmsted Medical Hospital for further treatment.  
Driver #2 stated that she was headed south on West Circle Drive NW.  Vehicle #1 was turning and turned in front of her. She was not injured and stated that she would go in later if she needed to.  Vehicle #2 had substantial front end damage and was towed by Tri-State Towing.  
Driver #1 stated that she was waiting to turn onto 26th Street NW.  She proceeded to turn and was struck by vehicle #2. Driver #2 stated that she didn't see vehicle #1 coming. Vehicle #1 had substantial damage to the passenger side.  It was towed by Rochester Towing.  Driver #1 was transported to Olmsted Medical Hospital by Gold Cross. 
The witness statement concurs with driver #2. Driver #1 was tagged for failure to yield the right of way.  JAB#2366</t>
  </si>
  <si>
    <t>UNIT 1 collided with a DO NOT ENTER sign in the median at West Circle Dr and 26 St NW.
Driver 1 stated he was southbound on West Circle Dr approaching the 26 St NW intersection.  A vehicle in front of UNIT 1 went airborne on a buckled roadway.  UNIT 1 swerved to avoid collision and traveling over the affected roadway.  UNIT 1 collided with a sign in the median.
No injury complaint.  No tows required.  No citations issued.  State Report completed upon request.</t>
  </si>
  <si>
    <t>D1 was heading southbound on W. Circle Dr NW as she collided with D2 MN LIC 2DD985 at the intersection of 26 St NW. I was unable to speak with D1 as she was being attended to by Paramedics.
D2 stated that he was turning left from 26 St NW onto W. Circle Dr NW as the traffic control signal was green. D2 stated that D1 collided into D2 as he was unable to react in time to avoid the collision. D2 was seen by paramedics without any apparent injury.
Witness statement - Witness was behind D2 as she observed the traffic control signal to be green. D2 proceeded through the traffic control signal as she observed D1 collide into D2 causing significant damage to both vehicles.</t>
  </si>
  <si>
    <t>D4 was stopped at the traffic control signal for a red light at W Circle Dr NW and 26 St NW. D3 was behind D4 as D2 was behind D3. Traffic signal turned green as D4 started going forward to proceed through the control signal. All three drivers stated that they were rear ended into one another. D2 stated that D1 collided into the back of her vehicle causing her vehicle to collide into D3 as he collided into D4. D1 left the scene and was later located. D1 was issued a citation for Due Care. Paramedics arrived on scene to evaluate drivers as no one appeared injured. No vehicles were towed. State accident submitted</t>
  </si>
  <si>
    <t>Unit 1 was traveling northbound on W Circle Dr and was attempting to make a left hand turn onto 26 St NW. Unit 2 was traveling southbound on W. Circle Dr NW. The driver of Unit 1 advised that he checked for oncoming traffic and did not see any cars before starting to make his turn. Driver of Unit 1 advised he saw Unit 2 coming towards him and he tried to stop but the ice on the road prevented him from stopping. Driver of Unit 2 advised that she was going straight on W Circle Dr and that Unit 1 pulled in front of her vehicle attempting to make a left turn. She was unable to make any evasive maneuvers. Both vehicles were damaged and not drivable. No injuries were reported. Driver of Unit 1 was cited for FTYRW, MN Crash report filed.</t>
  </si>
  <si>
    <t>26TH ST NW</t>
  </si>
  <si>
    <t>0500023963950208-I</t>
  </si>
  <si>
    <t>DRIVER #1 STATED: SHE WAS EB ON 26TH ST NW WAITING TO TURN RIGHT ONTO NB WEST CIRCLE DRIVE NW (WCD). SHE HAD THOUGHT SHE COULD GO HOWEVER SOMEONE FROM SB WCD HAD MADE A U-TURN AND THAT MADE HER NERVOUS SO SHE STOPPED. SHE WAS THEN STRUCK FROM BEHIND BY VEH. #2. SHE HAS A PRIOR BACK INJURY FROM AN ACCIDENT THAT OCCURRED ON 02-21-20 (20-08970). SHE IS FEELING DIZZY NOW BUT DOES NOT WANT MEDICAL ATTENTION. 
DRIVER #2 STATED: HE WAS EB ON 26TH ST NW WAITING TO TAKE A RIGHT ONTO NB WCD. HE SAW VEH. #1 MOVE FORWARD. HE LOOKED FOR TRAFFIC AND SAW NONE SO HE STARTED FORWARD. VEH. #1 HAD STOPPED. HE STRUCK VEH. #1 TRAVELING ABOUT 15MPH OR LESS. HE NOR HIS PASSENGERS WERE INJURED. 
NO TOWS
NO CITATIONS 
STATE REPORT</t>
  </si>
  <si>
    <t>V2 was NB WCD NW when V1 right passenger side slid into V2 left rear corner breaking the license plate holder and scuffing the corner of bumper. The passenger side of V1 was scuffed and a scuff crease at the front of rear wheel well. Minor damage to both vehicles. D1 stated that a vehicle came into his lane and they tried to slow and slid on ice and spun and their V1 collided into the V2 which was in front of V1. No injuries. No tows. No citations. State report</t>
  </si>
  <si>
    <t>1000023963951538-I</t>
  </si>
  <si>
    <t>Unit #1 (Soto) was southbound on West Circle Dr approaching 26th ST NW.  Unit #2 (Leal) was eastbound 26th ST NW and trying to cross West Circle Dr from the stop sign.  Unit #2 pulled out in front of Unit #1.  Driver #1 steered to the left to try to miss Unit #1 but couldn't and they collided.  
Driver #2 was cited for failing to yield right of way.  State Report.  Rochester Towing towed both vehicles.</t>
  </si>
  <si>
    <t>17-932336</t>
  </si>
  <si>
    <t>Unit 1 was NB on WCD and then turned WB onto 26th Street NW.  Unit 2 was SB on WCD approaching 26th Street NW.  Unit 1 turned in front of Unit 2 and Unit 1 was stuck in the passenger side doors.  Unit 1 spun around 180 degrees and the right rear corner struck Unit 3 in the front left corner of the bumper.  Unit 3 was stopped on 26th Street, facing EB at the stop sign waiting for his turn. No injuries were reported. Driver of Unit 1 will be mailed a citation for failure to yield right of way.</t>
  </si>
  <si>
    <t>U2 was lawfully travelling southbound on West Circle Drive NW when U1 pulled out in front of U@ while attempting to turn left onto 26 ST NW which resulted in U2 crashing into the right side of U1.  No injuries.  Both units had airbag deployment and were towed.  Driver of U1 cited for failing to drive with due care. Report will be filed online.</t>
  </si>
  <si>
    <t>On 5/8/17 at 0601 hours Officers were dispatched to 4040 28 St NW Rochester MN 55901 for a report of a motor vehicle collision which had occurred at the intersection of W Circle Dr NW and 26 St NW. Investigation revealed Unit 1 was travelling Northbound on W Circle Dr NW while Unit 2 was travelling Southbound on W Circle Dr NW. Unit 1 attempted to make a left turn onto 26 St NW. At the same time another vehicle travelling South was making a left turn in the opposite direction. This vehicle obscured the line-of-sight of both Unit 1 and Unit 2 so that they did not see one another until Unit 1 turned in front of Unit 2. The vehicles collided causing moderate damage to the front of Unit 1 and moderate damage to the left side of Unit 2. 
The driver of Unit 1 stated the accident was his fault as he was drinking coffee while making his turn and did not see Unit 2 until it was too late.
There were no injuries and no vehicles were towed from the scene. The driver of Unit 1 was issued a citation for FTYRW to on-coming traffic.</t>
  </si>
  <si>
    <t>17-27526</t>
  </si>
  <si>
    <t>Vehicle #1 was traveling s/b on W. Circle Dr.  Vehicle #2 was attempting to make a left turn from N/B W. Circle Dr onto 26th St NW.  Driver #2 did not see vehicle #1.  Driver #1 tried to avoid the crash by slamming on brakes and swerving to the right.  Driver #2 cited for due care.  Vehicle #1 towed by CSC.  no injuries</t>
  </si>
  <si>
    <t>Unit 1 driven by Nicholas Jay Pratt was East bound crossing from 26th Street North West across West Circle Drive when he was struck by North bound Unit 2 driven by Elizabeth Ann Ronningen.  Unit 1 then struck Unit 3 driven by Darrel John Peteron who was waiting to go West on 26th Street NW crossing West Circle.  Witness Chad Ascheman stated he saw the incident as described above.  Injuries were reported by all drivers and were treated at the scene by Gold Cross.  Pratt was cited for Fail to Yield.  Unit 1 and 3 were towed by Virgils. Unit 2 was towed by Moodys.</t>
  </si>
  <si>
    <t>Driver of U1 stated she was heading southbound on West Circle Drive. The driver stated she thought she had a green light when she went through the intersection. She stated she was travelling at approximately 45 mph through the intersection when she was t-boned by U2. Driver of U1 stated she did not remember much of the accident. Driver of U1 was trapped inside due to significant damage on the driver side door. RFD assisted in opening the door to free the driver. U1 towed by Pulvers.
Driver of U2 stated she was stopped at a red light. U2 stated the light turned green and she proceeded through heading westbound on 26 St NW. U2 stated she then collided with U1 who was heading southbound. U2 stated she was travelling at approximately 25 mph when the accident occurred. U2 was towed by Pulvers. 
I was unable to determine who was at fault in the accident. No citations issued. Photos uploaded to Axon.</t>
  </si>
  <si>
    <t>V1 TURNED EB ON 26 ST NW FROM WEST CIRCLE DR. NW. V2 HEADED NORTH ON WEST CIRCLE DR. NW. V1 AND V2 COLLIDED. 
D1 SYNOPSIZED THE FOLLOWING:
SHE WAS TURNING LEFT FROM SB WEST CIRCLE DR NW TO GO E ON 26 ST NW. SHE STOPPED FOR SEVERAL VEHICLES TURINING. SHE DID NOT SEE V1. SHE CROSSED WEST CIRCLE AND COLLIDED WITH V1. SHE THOUGHT V1 WAS IN THE LEFT LANE
D2 SYNOPSIZED THE FOLLOWING:
HE WAS HEADED NORTH ON WEST CIRCLE DR. NW. HE WAS IN THE LEFT LANE. HE WAS GOING ABOUT 35-40 MPH. V1 PULLED OUT INFRONT OF HIM. HE COLLIDED WITH V1. HIS VEHICLE SPUN AROUND AND HIT A CITY OWNED ELECTICAL BOX. HE HAS LEFT SHOULDER PAIN FROM THE ACCIDENT.
D2 SAID HE DID NOT NEED IMMEDIATE MEDICAL CARE. BOTH VEHICLES WERE TOWED BY ROCHESTER TOWING. RPU WAS CONTACTED AND RESPONDED. BOTH PARTIES WERE INFORMED THEY NEED TO FILE A STATE ACCIDENT REPORT. I CITED D1 FOR FAILURE TO USE DUE CARE.</t>
  </si>
  <si>
    <t>UNIT 1 was turning left from the southbound lanes of West Circle Dr (WCD) onto 26 St NW.  UNIT 2 was northbound on WCD approaching the 26 St NW intersection.  UNIT 3 was stopped facing west at a stop sign on 26 St NW at the WCD intersection.  UNIT 1, 2, and 3 collided with each other.
Driver 1 couldn't remember anything from the crash while he was being extricated from the vehicle by Firefighters.  He had a serious laceration on his head and was bleeding profusely.
Driver 2 stated he was northbound on WCD when Unit 1 turned in front of him.  He could not avoid the collision.  He complained of leg pain, was checked out by paramedics on scene, and not transported.
Driver 3 said she was stopped at the stop sign and saw Unit 1 pull out in front of Unit 2.  Those two vehicles collided and slid into her car.  Her airbag was deployed but didn't complain of any injury.
Unit 1, 2, and 3 were all towed by Rochester Towing due to disabling damage.  Driver 1 was transported to the hospital by Gold Cross.  Driver 2 complained of leg pain, but refused medical attention.  Driver 1 was mailed a citation for failure to yield right of way.  State Report completed for injury and damage likely exceeding $1000.</t>
  </si>
  <si>
    <t>19-31126</t>
  </si>
  <si>
    <t>Vehicle one was stopped northbound, for a red light in the 1800 block of West Circe Drive NW. Vehicle 2 was also northbound in the 1800 block of Wet Circle Drive NW and did not slow in time before striking the rear of vehicle 1. Driver of vehicle 2 was tagged basic speed.</t>
  </si>
  <si>
    <t>Unit 1 was NB on WCD approaching 19th St NW came to a slow for the red light in the left lane. Unit 2 rear ended unit 1 and then fled the scene after the light changed green. no suspect info other than a gray suv with female driver no injury and no tow</t>
  </si>
  <si>
    <t>2021-00047332</t>
  </si>
  <si>
    <t>Unit #1 MN CNU380, driven by Miranda Sue Lane DOB 05/03/2003, was traveling SB on W circle DR NW just south of the intersection of 19 ST NW &amp; W Circle DR NW, when it rear ended Unit #2 MN AEY211, driven by Cali Gertrude Salley DOB 09/12/1984. Driver of unit #1 Transported by MCAS to ST Mary's for neck pain. No citations issued. Accident report to be filed.
Unit #1 State Farm Insurance 0960273A1923I
Unit #2 State Farm Insurance 1016209A1023K</t>
  </si>
  <si>
    <t>On 5/16/19 at about 1551 hours there was an accident at the intersection of West Circle Drive and 19t St. NW.  Driver of Unit 1 stated she was stopped at the intersection and looked off to the east at the nursery.  The lights turned green and she thought the vehicle in front of her moved forward so she took her foot off of the brake and struck Unit 2.  Driver of Unit 2 stated that she was stopped at the intersection.  The light turned green and the vehicle behind her struck the back of her vehicle.
There was minor damage to the tailgate of Unit 2.  I did not see the damage to Unit 1 because it was not on scene.
No injuries.
No vehicles towed.
No citations issued.</t>
  </si>
  <si>
    <t>20-22333</t>
  </si>
  <si>
    <t>Driver of motorcycle was traveling NB on West Circle Drive coming to the 19th St NW intersection.  Driver of motorcycle was slowing down for a red light. Driver of vehicle #1 stated that he was reaching for his cell phone because someone called him.  He looked back up into the traffic lane and struck the rear end of the motorcycle. Driver of vehicle #1 stated that he didn't see the motorcycle in front of him and couldn't stop in time.  Both the driver and passenger of the motorcycle received injuries at the crash and were transported by MCAS to St. Mary's Hospital. Motorcycle traveled 178 feet from point of impact.  Both occupants of motorcycle were wearing helmets.  Driver of vehicle #1 was cited for distracted driving.  Motorcycle was towed by Pulvers.</t>
  </si>
  <si>
    <t>19-21432</t>
  </si>
  <si>
    <t>Driver of V1 was North on West Circle Dr turning left onto 19th St NW.  Per witness he had a red arrow to turn left.  Witness stated V1 turned left with red arrow and collided with V2.
V2 was Southbound in the intersection on West Circle Dr with a green light when V1 sideswiped his drivers side.
Driver of V1 was arrested on suspicion of DUI by Deputy Kotajarvi.
Driver of V1 arrested for no proof of insurance, failure to yield right of way, failure to obey red light, and DUI.  
Driver of V2 complained of slight left ear pain.
Passenger of V2 complained of slight left hip pain.
Both vehicles towed by CSC towing.</t>
  </si>
  <si>
    <t>Unit 1 was travelling northbound on WCD when he came to a red stoplight at 19 ST NW.  He stopped behind Unit 2.  The driver of Unit 1 states he came to a complete stop behind Unit 2 and believes he fell asleep at the light and his foot came off the brake causing him to rear end Unit 2.  Unit 2 then rear ended Unit 3.  Very minor damage to all vehicles.  All 3 drivers denied medical at scene.</t>
  </si>
  <si>
    <t>21-47041</t>
  </si>
  <si>
    <t>On October 30th 2021 at 2047 hours, I, Officer R. Jacobson #2428 was dispatched to a 2 vehicle crash at the intersection of West Circle Dr. NW and 19th St. NW.
I arrived on scene, and made contact with the driver of unit #1.  She stated that she was driving northbound on West Circle Dr. NW in the right lane and was approaching the intersection with 19th St. NW and had a green light.  She stated that unit #2 rolled through the red light and turned off of Westbound 19th St. NW to travel Northbound on West Circle Dr. NW.  She attempted to avoid the collision with unit #2 and swerved off into the ditch on the right side of the roadway.  She then overcorrected and returned to the roadway and sideswiped unit #2.  Her driver's side struck the passenger side of unit #2.  She complained of neck/back pain, but refused medical.  She advised that she would seek medical attention if the pain gets worse.
I then talked with the driver of unit #2 who stated that he was on 19th St. NW and was looking to turn onto Northbound West Circle Dr. NW.  He saw that unit #1 was in the left lane and pulled out to take position in the right lane.  Suddenly unit #1 somehow struck his vehicle on the passenger side.  
Unit #2 also had a passenger who stated that she was in the front right passenger seat, and was looking at her phone, so she did not know any details leading up to the crash.
No witnesses.
No citations.
No Tows.</t>
  </si>
  <si>
    <t>On September 13th 2017 at around 2114 hours, I, Officer R. Jacobson #2428 came across an accident in the area of W. Circle Dr. and 19th St. NW.
Both units were in the intersection, and the dust was still in the air.  I made contact with all the occupants of the units.  The driver and passenger of unit 1 said that they were traveling southbound on W. Circle Dr. NW and went to turn left (eastbound) on 19th St. NW.  They had a green arrow then they entered the intersection, but it turned yellow as they began to negotiate their turn.  That is when they were struck by unit 2 in the intersection.
Unit 1 had severe damage on the back half of the passenger side.
The driver of unit 2 said that she was traveling northbound on W. Circle Dr. NW in the right lane.  She said that the light at 19th St. NW was green, and she proceeded to go through the intersection.  She struck unit 1 as they turned directly in front of her.
Unit 2 had severe front end damage.
The two witnesses were in the same vehicle.  They were behind unit 1 in the turn lane looking to turn eastbound onto 19th St. NW as well.  They said that the light was red when unit 1 made their turn and was then struck by unit 2.
No injuries.
Both units were towed by Pulvers towing.
The driver of unit 1 was cited for failure to yield right of way.</t>
  </si>
  <si>
    <t>Vehicle #1 (Gellert) was n/b West Circle dr. crossing 19th ST NW.  Vehicle #2 (Ali) was e/b 19th St.  Per witnesses, Ali entered the intersection on a red light, passing through the intersection and colliding into vehicle #1.  Ali said that his light was yellow.  
Witness #1 was stopped to make a left turn from WCD to 19th St.  Said that his light turned green as did the light for northbound traffic.  Saw the van coming through the red light so he waited, the van stopped in front of him and waved, then started to move forward again and collided into the side of vehicle #1.  
Witness #2 had a dash camera and the video shows that driver #2 ran the red light.  See Sgt. Manguson's supplement report
No injuries, Driver #2 cited for through red light.  Vehicle #1 towed by Pulver's.  State Report.</t>
  </si>
  <si>
    <t>Both vehicles were westbound 19th St turning left onto West Circle Dr NW.  Unit #1 (Vargas) was using the inside turn lane.  Unit #2 was using the outside turn lane.  Driver #2 said that he cut the turn to much and caught unit #1 with his trailer and drug her around.  No injuries, No Tows.  State Report.</t>
  </si>
  <si>
    <t>Unit 1 and Unit 2 were facing southbound, stopped at a red light.  Unit 1 was behind Unit 2.  Driver of Unit 1 said his foot slipped off the brake pedal and onto the gas pedal, causing his vehicle to move forward and strike the rear of Unit 2.  Unit 2 was stopped behind a vehicle, when struck, Unit 2 did not strike the vehicle ahead of it.  A MSP squad came upon the collision and had the vehicles move off the roadway and into a parking lot, to await RPD arrival.  No injuries reported, no tow trucks needed.  Driver of Unit 1 did not have current proof of insurance and was cited for same.</t>
  </si>
  <si>
    <t>D1 was on the outside lane facing eastbound to turn left on West Circle Drive NW and D2 was facing eastbound on the inside lane. As both vehicles made a turn to go northbound on West Circle Drive NW, D2 made contact with D1 on the driver side. Both vehicles suffered minor damages. Photographs were taken at the scene. D2 was given a stern warning in regards to his driving conduct. 
***Photographs uploaded to LEC Server***
***State Accident Report filed***</t>
  </si>
  <si>
    <t>UNIT 1 was traveling southbound on W Circle Dr at the 19 St NW intersection.  UNIT 2 was stopped at the same intersection in the right lane.  UNIT 3 was stopped at the same intersection in the left lane.  UNIT 1 collided with UNIT 2, slid and collided with UNIT 3.
Driver 1 said he was going about 20-25mph when he started to slide.  He attempted to use his emergency brake as well.  He collided in the rear of UNIT 2, began to turn sideways and collided in the rear of UNIT 3.
Both Driver 2 and 3 stated they were stopped at the red light when they were struck.
No citations were issued, no tows were called, there were no injuries, and a state report was completed for damage likely exceeding $1000.</t>
  </si>
  <si>
    <t>Both vehicles were southbound outside lane of West Circle Dr NW.  Devibiss (203VNM) was stopped in traffic for a red light.  The light turned green but she had not been able to move yet as traffic in front of her didn't start moving.  Sullivan (425ULR) looked over her left shoulder and when she looked back she didn't have time to stop.  
Sullivan cited for failing to use due care.  Vehicle #2 towed by Virgil's.  No injuries.</t>
  </si>
  <si>
    <t>21-53749</t>
  </si>
  <si>
    <t>19 ST NW</t>
  </si>
  <si>
    <t>U1 was headed SB on W Cir Dr NW and did not notice that the light had turned red and rear-ended U2 who was stopped at the red light, facing SB on W Cir Dr NW at intersection with 19 St NW. U1 had significant front end damage but was still able to drive. I had U1 pull through the intersection and park at the Altra Bank parking lot. U2 had rear bumper and exhaust damage but was still operational. I had U2 move to the Altra Bank Parking lot as well, as both vehicles were blocking lanes of traffic at the intersection. I followed them to the parking lot and got all of their information. I called for a tow and Pulver's came and towed U1.</t>
  </si>
  <si>
    <t>2018-52494</t>
  </si>
  <si>
    <t>Unit #2 was southbound in the 1900 block of West Circle DR NW and stopped in traffic at the stoplight of 19th ST NW.
Unit #1 was southbound in the 1900 block of West Circle DR NW and approaching U2.
U2 states while he was waiting for the light to turn green, he was suddenly rear ended by U1.
U1 states as she was approaching U1, she attempted to press on her brake when her boot became stuck between the brake and gas pedal.
U1 states she couldn't stop and rear ended U2.  
U1 had a license plates attached to her vehicle that were incorrect and expired (MN 773HBJ).
U1 stated she had her updated license plates in her vehicle she had not installed as of yet (MN BZW343).
U1 was warned for failure to display updated license plates.
U1 was cited or due care and no proof insurance as she did not have proof of insurance card in her possession and could not provide insurance information at the scene.
Approximately thirty minutes after U1 left the scene, she contacted me and provided her insurance information which could not be verified if the policy was valid or not.
Nothing further from this Officer.</t>
  </si>
  <si>
    <t>DRIVER #1 STATED SHE WAS APPROACHING A YELLOW LIGHT AT 19 ST NW AND THE VEHICLE (#2) IN FRONT OF HER SLOWED FOR IT, AND SHE REAR ENDED IT.
DRIVER #2 (DRIVING ON AN INTERNATIONAL LICENSE WITH A VALID INTERNATIONAL DRIVING PERMIT) STATED HE WAS SLOWING DOWN TO STOP AFTER HE SAW THE TRAFFIC SIGNAL TURN YELLOW AND WAS REAR ENDED BY VEHICLE #1.
ONE JUV PASSENGER IN VEHICLE #1 HAD BRUISING/REDNESS ON HER NECK FROM THE SEATBELT.
DRIVER #1 AT FAULT FOR THE ACCIDENT, BUT WAS NOT ISSUED A CITATION.
VEHICLE #1 TOWED BY VIRGILS.</t>
  </si>
  <si>
    <t>DRIVER #1 STATED HE WAS LOOKING AT A BUILDING TO THE RIGHT WHILE DRIVING AND WHEN HE LOOKED BACK AT THE ROAD, HE SAW VEHICE #2 STOPPED IN FRONT OF HIM AT A RED LIGHT AND IT WAS TOO LATE TO STOP. HE STATED HE TRIED TO SWERVE TO AVOID THE ACCIDENT BUT COULDN'T.
DRIVER #2 STATED HE WAS STOPPED AT THE RED TRAFFIC LIGHT AND WAS REAR ENDED BY VEHICLE #1.
NO REPORTED INJURIES. 
VEHICLE #1 TOWED BY CSC.
DRIVER #1 CITED FOR DUE CARE.</t>
  </si>
  <si>
    <t>On 03/06/2020 at approximately 1130 hours vehicles 1 &amp; 2 were stopped at the light southbound on West Circle Dr. NW and 19th Street NW.  The traffic began to move forward.  Vehicle #1 struck vehicle #2  from behind.  No injuries reported.  Vehicle #1 was towed by Pulvers.  
Driver #1 stated that she was stopped in traffic.  She then saw traffic moving around her so she began to move forward and struck vehicle #2.  She nor her passenger were injured.  Vehicle #1 sustained front end damage.  It was towed by Pulvers Towing.  
Driver #2 stated that he was stopped at the light. He advised that the light turned green and vehicles in front of him started to go and then all of a sudden stopped causing him to stop. He was then rear ended by vehicle #1. Vehicle #2 sustained rear damage.  Driver #2 was not injured.  
Driver #1 was tagged for due care.  The citation was mailed to the driver due to printer issues.  No further action taken JAB#2366</t>
  </si>
  <si>
    <t>0500023963950122-D</t>
  </si>
  <si>
    <t>On 02/17/19 at approximately 1025 hours vehicle #1 was turning west onto 19th Street NW from West Circle Dr.  Vehicle #2 was stopped at the light heading east on 19th Street NW.  Vehicle #1 drove over an ice patch and struck vehicle #2. No injuries reported nor vehicles towed.
Driver #1 stated that she was trying to turn right onto 19th Street from West Circle Dr. NW.  She drove over an ice patch and couldn't stop.  She tried swerving away but struck vehicle #2.  She was not injured.  I saw no visible damage to vehicle #1.  
Driver #2 stated that he was stopped at the light to go east on 19th Street NW.  He saw vehicle #1 making the turn. Vehicle #1 struck the front of his car as she tried to swerve to avoid hitting his car.  No one was injured nor did the vehicle require towing.  I observed damage on the left front of vehicle #2.  
No one was issued a citation as the roadway was slippery due to the packed snow and ice.  No further investigations needed. JAB#2366.</t>
  </si>
  <si>
    <t>0500023963950122-I</t>
  </si>
  <si>
    <t>Unit1 driven by Bradley Rain was turning from 19th street NW South bound onto West Circle Dr and struck Unit 2 driven by Darcy Loeschen who was also turning South bound.  Rain stated that he had made a wide turn and was going to continue into the left turn lane when the driver of Unit 2 was also turning.  Rain issued warning for improper turn. No injuries were reported at the scene.</t>
  </si>
  <si>
    <t>Birzetiz (BZX462) was westbound on 19th st NW crossing West Circle Dr NW. Eckles (668VUN) was eastbound 19th St and making a left turn to go north on west circle dr nw. Eckles said that he had a green light, slowed on the yellow, stopped on the red. Birzetiz said that he had a green light. Independent witness, George Wacek, said he was 50 to 75 feet behind Birzetiz and said they had the green light to cross West circle. I sat and watched the intersection and saw the lights were working properly. Eckles cited for IP violation. With the way the lights cycle, It would be viable that Eckles saw the through lane light turn green then made his left turn.  He would not have ever had a green light its controlled by a green arrow and and when I said to him, you mean you had a green arrow, he looked dumbfounded and stared up at the lights.</t>
  </si>
  <si>
    <t>SEE EVENT REPORT FILED FOR CASE</t>
  </si>
  <si>
    <t>On 03/05/19 at approximately 1201 hours Vehicles #1, 2, and 3 were west on 19th Street NW.  Vehicle #3 stopped at the light. Vehicle #1 struck vehicle #3 and then vehicle #1 was struck by vehicle #2.  No vehicles were towed and no one reported any injuries.  
Driver #3 stated that she was stopped westbound on 19th Street and West Circle Dr.  She was then struck from behind by vehicle #1 and then felt struck again.  She then realized that vehicle #1 was struck by vehicle #2. She was not injured in the crash.  I observed damage to the rear bumper with a hole in it.  It did not require towing.  
Driver #1 stated that she was trying to stop on 19th Street NW near West Circle Drive. She drove over a patch of ice and the vehicle slid on the ice. She then struck vehicle #1 from behind. Then she was struck from behind by vehicle #2. I observed front end damage to vehicle #1 and minor damage to the rear of vehicle #1.  Driver #1 was not injured.  
Driver #2 stated that he was trying to stop behind vehicle #1 on 19th Street NW westbound near West Circle Dr NW. As he pressed on his brakes he drove over a patch of ice and his car didn't stop. His car then struck vehicle #1 from behind. He was not injured. I observed minor damage to the front end of vehicle #2.  
Due to the icy road conditions, no one was issued a citation in this accident. No further police action. JAB#2366.</t>
  </si>
  <si>
    <t>Unit #2 was stopped at a red light in the NB lane of W Circle DR to turn EB onto 19 ST NW. Unit #1 was behind Unit #2. Unit #1 drivers foot slipped off the break and he rear ended the back driver's side of Unit #2. Minimal damage to both vehicles. No tow, no injuries. Both parties exchanged insurance/contact info.</t>
  </si>
  <si>
    <t>2019-00054296</t>
  </si>
  <si>
    <t>V1, DJC157, Maroon Chevy Cobalt, driven by RO, Garrison, made an improper left turn at 19 St to WEST Circle Drive NW, causing V2, who was making a left turn in her lane, to hit V1 on the driver side door, causing damage to both vehicles. V2, 2AA436, Gray GMC Acadia, driven by RO1, Mary Lee, also had damage to front end. Photos were obtained on scene and uploaded to RPD server. Both vehicles were driven away from the scene. V1 driver, Garrison was tagged for improper left turn at intersection. Both Drivers given contact info w/ Case # for follow-up on Acc Rpt.</t>
  </si>
  <si>
    <t>21-00033819</t>
  </si>
  <si>
    <t>D1 stated that she was turning eastbound onto 19 St NW from W Circle Dr NW. D1 was behind D2 and collided into the rear bumper of D2. 
D2 stated that she was turning eastbound onto 19 St NW from W Circle Dr NW as she had a red turn light. D2 observed another vehicle coming across 19 St from the intersection as she yielded to oncoming traffic. D2 stopped due to this as D1 collided into the rear bumper of D2.
State accident report submitted</t>
  </si>
  <si>
    <t>Unit #2 was sitting in the left turn lane at 19 St NW @ West Circle Dr NW. Unit #1 pulled up in the right turn lane next to Unit #2 to go left. The light turned green, and Unit #1 and 2 began to make the left turn onto West Circle Dr NW. Unit #1 instead was trying to go left into the sidewalk to load fuel to a backhoe. Unit #1 cut off Unit #2 and took off the front bumper, and broke the headlights. No injuries/Unit #2 towed by CSC. Unit #1 was tagged for improper left turn at intersection. State report. Case closed/arrest. Driver of Unit #1 issued a citation at the scene.</t>
  </si>
  <si>
    <t>Unit #1 (Jorde-ADM947) and Unit #2 (Vaaler-BJB203) were both westbound on 19th St NW.  Unit #1 started to stop and she swerved to the right to miss a car in front of her, Unit #2 hit the brakes and skid and turned to the right and hit the rear left corner of Unit #1.  No Injuries, No Tows, state report.  No Citations.</t>
  </si>
  <si>
    <t>18-40352</t>
  </si>
  <si>
    <t>Driver of Unit 1 stated she was traveling west on 19 ST NW and was in the left turn lane to turn left onto West Circle Drive. Driver 1 sneezed and her foot let off the break and she collided with Unit 2. 
Driver of Unit 2 stated he was facing West on 19 ST NW at the stop light to make a left turn onto West Circle DR. While stopped at the stop light Unit 1 collided with the rear of his vehicle.
Minor damage to the rear of Unit 2. 
Minor damage to the front of Unit 1. 
No injuries reported on scene.
No vehicles Towed. 
No citations Issued.</t>
  </si>
  <si>
    <t>On 03/05/19 at approximately 1123 hours vehicles #1 and #2 were west on 19th Street NW. Vehicle #2 came to a stop at the stop light and was struck by vehicle #1 from behind. No one was injured in the accident and no one was injured in the accident.
Driver #1 stated that she was approaching the stop at West Circle Drive NW on 19th Street NW.  She tried to come to a stop at the intersection but drove over a patch of ice.  Her vehicle skidded into vehicle #2. She nor the passengers were injured in the accident. Vehicle #1 sustained front end damage and was not towed.
Driver #2 stated that she was coming to a stop into the intersection on 19th Street NW and West Circle Dr. NW.  She slid out into the intersection because she drove over a patch of ice and the light turned red. She backed up and came to a stop. She was then struck behind by vehicle #1.  She nor her passengers were injured. The vehicle was not towed.  
No one was issued a citation due to the icy road conditions. There had been other accidents in that same intersection.  JAB#2366.</t>
  </si>
  <si>
    <t>Unit 1 was operated by Faysal Ahmed Sugule (01-01-87). Unit 1 was intoxicated and crashed head on into the Utility pole. The driver and sole occupant fled the scene of the crash on foot but was shortly after located nearby. Driver refused to comply with testing and fought with other officers at the ADC resulting with him being taken to SMH. He admitted to drinking alcohol and ingesting methamphetamine. No insurance was found in the vehicle. Vehicle was towed by Pulvers Towing.</t>
  </si>
  <si>
    <t>2019-393</t>
  </si>
  <si>
    <t>Unit 3 was stopped in traffic in the 1100 block of southbound West Circle Drive NW in the right lane of traffic.  
Unit 2 was stopped in traffic in the 1100 block of southbound West Circle Drive NW and behind U3 in the right lane of traffic.
Unit 1 was southbound in the 1100 block of West Circle Drive NW and approaching U2 in the right lane of traffic.
U1 states he was looking behind and to the left of his vehicle as he was going to merge into the left lane of traffic when he suddenly looked ahead of him and saw U2 stopped in front of him.
U1 states he rear ended U2 who then rear ended U3.
U2 states she was rear ended by U1 and then pushed her vehicle into U3.
U3 states she was rear ended by U2.
U1 was cited for due care and driving after revocation.
Nothing further from this Officer.</t>
  </si>
  <si>
    <t>D2 was stopped at a green light on WCD at Wilder Rd NW. D2 was stopped in a long line of cars in gridlock in front of D2. D2 did not stop in intersection as to not impede intersection gridlock and that there was no room to stop past the intersection. D1 was SB on WCD and saw the green light at Wilder Rd. NW and continued SB and rear ended V2 who had been stopped at intersection due to gridlock. V1 rear ended V2. Injuries to D2 sore neck and to passenger of V2 report of sore back. No injuries to D1. Pulver's towed D1. D1 cited inattentive driving. State Report</t>
  </si>
  <si>
    <t>On 05/03/17 at approximately 1716 hours vehicles #1 and #2 were traveling south on West Circle Dr. near N. Frontage Rd. Vehicle #1 came to a stop. Vehicle #2 did not stop and crashed into the rear of vehicle #2. Vehicle #1 was towed by Rochester Towing due to heavy front end damage. Vehicle #2 had heavy rear end damage, but it was drivable. 
Driver #1 stated that   she was going south on West Circle Drive. She saw that the light was green and she was far back in traffic. She continued to drive on and wasnt paying to the traffic in front of her.  She struck vehicle #2 in front of her. She was not hurt. Vehicle #1 had air bag deployment and front end damage.  
Driver #2 stated that he was going south on West Circle Drive.  There was a sudden stop in the cars in traffic near the Frontage Rd.  He stopped as well. He was then struck from behind by vehicle #1.  He was not injured in the accident.  Vehicle #2 sustained heavy rear damage and was drivable.  
 Driver #1 was tagged for failure to use due care.  The citation was mailed to driver #1 as the printer was not operable at the time of the incident.  No further police action taken. JAB#2366.</t>
  </si>
  <si>
    <t>UNIT 1 was northbound on W Circle Dr at Wilder Rd.  UNIT 2 was directly in front of UNIT 1.  UNIT 1 and UNIT 2 collided.
Driver 2 stated he was at the overhead traffic light at Wilder Rd and W Circle Dr.  He said he saw the light turn green, and believed traffic began to move.  He admitted he may have taken his eyes off of UNIT 2 in front of him for a moment.  When he looked in front of him, he noticed UNIT 2 hadn't moved and he didn't have time to avoid the collision.
Driver 1 said she saw the light turn green at Wilder Rd and W Circle Dr, but traffic hadn't begun to move.  Before she began moving, she was struck in the rear by UNIT 1.
There were no complaints of injury or citations issued.  No tows were required.  This report was completed upon request.</t>
  </si>
  <si>
    <t>V1 MN: EFY740 was driving SB on WCD who had the green light, V2 MN: BGW518 was sitting in the turn lane to make a EB turn onto wilder rd from NB WCD V2 did not have green arrow but light was green as well, made the turn and did not see V1. V1 and V2 collided in the intersection at about 45 MPH. V3 MN: ECY876 was sitting waiting at the light at WIlder Rd attempting to make a NB turn onto WCD. V2 after being hit crashed into v3. driver and passenger of v2 transported by MCAS to SMH for minor injuries. All veh towed others got rides and did not appear to be injured.</t>
  </si>
  <si>
    <t>Unit 2 was crossing W Circle Dr NW, from N Frontage Rd to Wilder Rd NW, when it was struck by Unit 1. Unit 1 was travelling north on W Circle Dr NW, driver of Unit 1 said she was not able to stop in time for the red light and struck the passenger side of Unit 2 with the front of her Unit 1.</t>
  </si>
  <si>
    <t>19-57151</t>
  </si>
  <si>
    <t>Driver of veh 2 stated that he was traveling in the right lane NB on West Circle Dr. NW stopped at the stoplight at Wilder Rd NW.  He stated he was stopped directly behind veh 3.  He stated veh 1 traveling directly behind him rear ended him.  He stated the driver of veh 1 stopped initially and provided an insurance card but left going EB on Wilder Rd right after.  
Driver of veh 3 stated she was stopped at the lights when she was rear ended by veh 2 due to veh 1 rear ending veh 2.  
Driver of veh veh 1 stated she was driving NB on WCD when she rear ended veh 2.  
Driver of veh 2 complained of possible back injury but declined medical assistance.
Unable to locate veh 1 at this time.</t>
  </si>
  <si>
    <t>20-24642</t>
  </si>
  <si>
    <t>7TH ST NW</t>
  </si>
  <si>
    <t>Vehicles 1 and 2 were stopped at a red light on northbound West Circle DR and Wilder RD NW.  Driver 2 thought the light changed to green because he saw a car to his right make their turn.  Driver 2 admitted that he could not see Vehicle 1 in front of him because he was close to it.  Driver 2 stated he started to go and hit Vehicle 1.  Driver 1 stated the light turned green right after the were hit.
Driver 1 stated he had some neck pain but refused medical attention.</t>
  </si>
  <si>
    <t>N FRONTAGE RD</t>
  </si>
  <si>
    <t>DRIVER #1 STATED: SHE WAS SB ON WEST CIRCLE DRIVE APPROACHING THE INTERSECTION OF THE N. FRONTAGE ROAD TO W HWY 14. SHE STARTED TO BRAKE TO SLOW DOWN AND HER VEHICLE BEGAN TO SKID. SHE SPUN AROUND AND STRUCK VEH. #2. SHE WAS NOT INJURED.
DRIVER #2 STATED: HE WAS NB ON WEST CIRCLE DRIVE STOPPED IN THE MIDDLE OF THE INTERSECTION OF THE N. FRONTAGE TO W. HWY 14; WAITING TO MAKE A LEFT TURN. VEH. #1 CAME INTO THE INTERSECTION, LOST CONTROL AND SPUN INTO HIM. HE WAS NOT INJURED. 
VEH. #1 WAS TOWED BY PULVER'S PER THE DRIVER'S REQUEST
NO INJURIES
NO CITATIONS 
STATE REPORT</t>
  </si>
  <si>
    <t>Vehicle #1 (947evj) was stopped in the right lane northbound at Wilder Road NW.  Vehicle #2 (675daw) collided into the rear of Vehicle #1.  Driver #1 said that he was not paying attention and hit the gas a little bit and lurched forward, hit the rear of the other vehicle and hurt his wife's neck."
Passenger in vehicle #1 claimed a neck injury.
No tows, No citations, state report.</t>
  </si>
  <si>
    <t>2020-00029750</t>
  </si>
  <si>
    <t>I arrived on scene and observed moderate front end damage to Vehicle 1 and severe front end damage to Vehicle 2.
Witness stated she was travelling northbound behind Vehicle 2. observed Vehicle 1 turning left and hit Vehicle 2 moving forward in the left lane. Witness stated the light was green and Vehicle 1 had a green yield light. Witness stated Vehicle 1 struck Vehicle 2 as Vehicle 1 was turning left.
Vehicle 1 was travelling southbound on West Circle Drive making a left turn onto Wilder Rd. Vehicle 1 stated the light was the green yield light, and when he made the turn a vehicle came out of nowhere. Vehicle 2 travelling northbound on West Circle Drive moving forward. Vehicle 2 stated she was moving forward in the left lane when a vehicle came from the left and hit her vehicle.
No citations issued. Driver in Vehicle 2 was transported by Mayo Clinic Ambulance due to possible injury to left arm and chest pain. Driver in Vehicle 1 had a bloody nose, but declined medical attention. Vehicle 1 and Vehicle 2 towed by Pulver's towing. State Accident Report Filed.</t>
  </si>
  <si>
    <t>Vehicle #1 was attempting to make a left turn from West Circle Dr NW (north) onto North Frontage Road NW.  Vehicle #2 was south on West Circle Drive NW approaching North Frontage Road NW.  Vehicle #1 was in the left turn lane with a steady green light waiting for southbound traffic.  A concrete truck was in the southbound left turn lane blocking his view of oncoming traffic.  Driver of vehicle #1 stated he saw the lights turn from green to yellow.  He had already entered the intersection preparing for the left hand turn.  Since the light had turned yellow he proceeded into the intersection.  As he began to make the turn, vehicle #2 entered the intersection and the two vehicles collided.  Driver of vehicle #2 stated she had a yellow light as she entered the intersection.  No witnesses to the crash.  No citations issued as unable to show fault.  Report only</t>
  </si>
  <si>
    <t>V1D1 WAS SB ON W CIRCLE DRIVE IN THE TURN LANE TO TURN EAST ONTO 7TH ST NW.  V2D2 WAS NB IN THE LEFT LANE OF W CIRCLE DRIVE (CSAH 22).  D1 STATED THERE WAS A VEHICLE, POSSIBLY A FORD EXPLORER, IN THE LEFT TURN LANE TO GO WEST ON THE NORTH FRONTAGE ROAD THAT PROBABLY OBSTRUCTED HIS VISION OF NB TRAFFIC.  HE SAID TWO OTHER VEHICLES WENT BY NB AND HE MADE HIS TURN.  V1 AND V2 COLLIDED IN THE INTERSECTION.  D1 CITED FOR FAIL TO YIELD RIGHT OF WAY.</t>
  </si>
  <si>
    <t>UNIT 1 WAS SB ON WEST CIRCLE DRIVE NW (CTY RD 22) AND MADE AN EASTBOUND, LEFT, TURN IN FRONT OF UNIT 2 WHICH WAS NB ON WEST CIRCLE DRIVE.  BOTH VEHICLES COLLIDED IN THE INTERSECTION.  DVR 1 STATED THEY ARE FROM FLORIDA AND WERE TRYING TO GET TO MAYO CLINIC BECAUSE THEIR SON IS IN TOWN GETTING MEDICAL TREATMENT.  DVR 1 STATED HE WAS TRYING TO FOLLOW THE GPS AND TURNED WHERE IT TOLD HIM TO TURN BUT REALIZED DURING THE TURN THAT IT WAS ACTUALLY ONE TURN IN FRONT OF WHERE HE THOUGHT IT WAS.  DVR 2 STATED SHE HAD A GREEN LIGHT AND THE OTHER VEHICLE TURNED IN FRONT OF HER.  DVR 1 HAD A CUT ON HIS HAND WHICH WAS BLEEDING.  PASS 1 IN UNIT 1 WAS INJURED WITH A POSSIBLE BROKEN RIB AND OTHER RELATED INJURIES AND WAS TRANSPORTED VIA AMBULANCE TO ST MARYS.  DVR 2 HAD VISIBLE INJURIES ON HER NECK AND SHOULDER PAIN.  PASSENGERS IN UNIT 2 ALL HAD CHILD RESTRAINT STRAP BURNS, MARLEY HAD A BLOODY NOSE AND CUTS IN HER MOUTH, AND LAINEY HAD NECK PAIN CONSISTENT WITH WHIPLASH.  PULVERS TOWING TOOK BOTH VEHICLES FROM THE SCENE....DVR 1 CITED FOR FAIL TO YIELD TO ONCOMING TRAFFIC...STATE REPORT ONLY</t>
  </si>
  <si>
    <t>V1 was NB on West Circle Dr, in the left turn lane for the North Frontage Rd.  V2 was SB on West Circle Dr in the left lane.  V1 had a flashing yellow turn arrow, and V2 had a green light.  V1 failed to yield to V2 and they collided nearly head-on in the SB lanes of West Circle Dr.  V1 came to rest in the middle of the intersection, and V2 ran off the road to the right.  
D1 cited for Failure to Yield (mailed).</t>
  </si>
  <si>
    <t>17-000712</t>
  </si>
  <si>
    <t>On January 5th 2017 at around 1536 hours, I, Officer R. Jacobson #2428 was dispatched to the area of West Circle Dr. NW and The Frontage Rd. NW in reference to a motor vehicle accident.
I arrived, and observed that Unit 1 had heavy front end damage, and unit 2 had minor rear end damage.  I made contact with both drivers.  The driver of Unit 1 told me that he was traveling southbound on W. Circle Dr. NW and went to stop because the traffic was backing up from a different accident that happened down the road.  Unit 1 slipped on the ice, and struck unit 2 in the rear.  Unit 1 had to be towed from the scene by Rochester Towing.
Unit 2 was traveling southbound on West Circle Dr. NW and stopped due to the traffic backup from another accident.  Unit 2 was struck in the rear by unit 1.  There was a 9 month old child who was sitting in a child seat in the back seat of the vehicle.  Unit 2 drove away from the scene, and took the child to the hospital for precautionary reasons.
No citations issued.</t>
  </si>
  <si>
    <t>D1 dropped the apple he was eating while he was at a red light.  D1 kept moving forward as he looked down to pick up the apple.  V1 rear-ended V2 as V2 was stopped for the red light.  D1 was not given a citation as V2 sustained minor scratches and V1 was most like totaled.  No injuries.</t>
  </si>
  <si>
    <t>On 1/16/18 at 0907 hours Officers were dispatched to the intersection of W Circle Dr NW and Wilder Rd NW/N Frontage Rd NW for a report of a motor vehicle collision. Investigation revealed Unit 2 was stopped facing South in the right lane of W Circle Dr NW at a red light at the intersection of W Circle Dr NW and Wilder Rd NW/N Frontage Rd NW. Unit 1 was travelling South on W Circle Dr NW in the same lane approaching the red light and began to brake. Unit 1 slid on the ice/snow on the roadway and collided with Unit 2. The collision caused minor damage to front of Unit 1 and minor damage to rear of Unit 2. The driver of Unit 1 stated when he applied the brakes to slow down his vehicle just did not stop and he struck Unit 2. There were no reported injuries, no tows, and no citations.</t>
  </si>
  <si>
    <t>Walther (1PG892), Hennebeck (475WBH) and Mccarthy (6BX368) were all southbound on E. Circle Dr NW on the inside lane.  Walther and Hennebeck stopped when the traffic in front of them stopped, Mccarthy could not get stopped and collided into the rear of Hennebeck, which pushed her into the rear bumper of Walther. 
No injuries, No tows, No citations.  State report filed.</t>
  </si>
  <si>
    <t>N FRONTAGE RD NW</t>
  </si>
  <si>
    <t>DRIVER #1 STATED: HE WAS SB ON WCD APPROACHING THE INTERSECTION OF WILDER DR NW/N.FRONTAGE ROAD NW. HE THOUGHT THE LIGHTS AHEAD WERE GREEN AND DIDN'T REALIZE THAT TRAFFIC WAS STOPPED. HE STRUCK VEH. #2 IN THE REAR. HE WAS NOT INJURED.
DRIVER'S 2-4 STATED: THE TRAFFIC WAS BACKED UP ON SB WEST CIRCLE DR NW. WHILE HEADING SB AND ENTERING THE INTERSECTION OF WILDER DR/N. FRONTAGE RD THE TRAFFIC SUDDENLY STOPPED AHEAD. ALL WERE ABLE TO STOP SAFELY BUT WERE LEFT IN THE INTERSECTION. SUDDENLY VEH. #2 WAS STRUCK FROM BEHIND CAUSING HER TO STRIKE VEH. #3 AND THEN CAUSING VEH. #3 TO BUMP INTO VEH. #4. 
DRIVER #2 STATED THAT HER KNEE ACHED A LITTLE BUT SHE DIDN'T NEED MEDICAL ATTENTION
DRIVER #4 STATED THAT HIS NECK FELT SORE AND STIFF BUT HE DIDN'T NEED MEDICAL ATTENTION
VEH. #1 WAS TOWED BY ROCHESTER TOWING
DRIVER #1 WAS ISSUED A CITATION FOR DUE CARE
STATE REPORT</t>
  </si>
  <si>
    <t>19-36295</t>
  </si>
  <si>
    <t>Driver of veh 1 stated he was traveling NB on WCD approaching N Frontage rd. to take a left hand turn.  He stated he was waiting for SB traffic to clear.  As he waited, he stated his light turn yellow while he was waiting in the middle of the intersection.  As the light turned from yellow to red, he waited for traffic to clear.  He stated he observed the traffic to clear and he attempted to go through the intersection to make a left turn.  He stated veh 2 traveling SB on WCD through the intersection and that was when both vehicles collided.
Driver of veh 2 stated that she was traveling SB on WCD and attempted to go through N Frontage Rd. She stated she had a green light at the intersection and was hit by veh 1 as she approached the intersection.
No witnesses.
Driver of veh 2 stated she had possible injuries to her neck.
Veh 2 towed by Pulvers.
No citations issued.</t>
  </si>
  <si>
    <t>Vehicles 2, 3 &amp; 4 were stopped in traffic on West Circle Dr NW at the intersection of North Frontage Rd NW.  Vehicle #1 was traveling south on the same roadway.  Driver of #1 was not paying attention to traffic conditions and collided with the rear end of vehicle #2.  This began a chain reaction collision with vehicle #2 being pushed into vehicle #3.  Vehicle #3 then was pushed into vehicle #4.  As the vehicles moved to the side of the road, vehicle #1 left the scene.  It was described as a older model red pickup with steel rims.  Should have moderate damage to the front end.  Vehicle #1 could not be located after the crash.</t>
  </si>
  <si>
    <t>2017-00044300</t>
  </si>
  <si>
    <t>0500023963950104-I</t>
  </si>
  <si>
    <t>Unit 2 was stopped on east bound Wilder RD for a red light at the intersection of Wilder RD NW and West Circle NW.  Unit 2 was waiting for the light to turn green so she could turn on to south bound West Circle DR NW.  Unit 1 approached Unit 2 from the rear.  Unit 1 attempted to drive around Unit 2.  Unit 1's front driver's side clipped Unit 2's rear passenger side as they tried to pass Unit 2.  Unit 1 then proceeded through the intersection and onto south bound West Circle DR and was later located at 3719 8th ST NW where the drive was arrested for DUI charges and had 3 children in the car.  I photographed both vehicles and the area of the accident.  Unit 1 sustained major front end damage and was drivable.  Unit 2 sustained moderate rear end damage and was drivable.  Unit 2 driver reported no injury and seatbelt use.  An RPD event report was created to document the DUI portion.</t>
  </si>
  <si>
    <t>1000023963950457-I</t>
  </si>
  <si>
    <t>On Monday, August 9, 2021 at approximately 0651 hours, I, Officer M. Venteicher #2452 was dispatched to a vehicle collision blocking at HWY 14 and West Circle DR NW. Upon my arrival, I observed a North American Van Line Lines, INC blocking southbound lanes of traffic. I observed a White Dodge Dart on the right side of the semi with front end damage. 
I spoke with the driver of Vehicle 1 (V1) who was identified as Tanya Jean Jackson (DOB 07/04/1990). Jackson stated she thought the semi (V2) that was ahead of her was going to be going straight through the intersection. Jackson said v2 started turning and she turned into v2 causing damage. 
I spoke with the driver of vehicle 2 (V2) who was identified as Stanley Gross (DOB 09/07/1969). Gross stated he had his blinker on to turn right on a green light. Gross said he has to make a wide turn or else he would hit the stop light. Gross said as he was turning, he looked in his side mirror and saw V1 running into the side of the trailer. 
V1 had front and left side damage. 
V2 had minor damage to the right side of the trailer. 
No medical and no citations. 
V1 was towed by Pulvers. 
Both parties were provided business cards with the ICR. 
Photos uploaded. 
Axon body worn camera footage uploaded to server.</t>
  </si>
  <si>
    <t>=== Northbound Lanes of NW WEST CIRCLE DR (on bridge over HWY 14 W) ===
VEH1 was stopped in traffic in the left lane for northbound traffic on NW WEST CIRCLE DR on the bridge over HWY 14.  VEH1 was stopped in traffic, due to needing to enter the left turn lane to enter onto westbound traffic for HWY 14 W.  VEH2 was traveling northbound in the left lane of NW WEST CIRCLE DR approaching VEH1.  VEH2 (right front) collided with VEH1 (left front/center).
Mulari (Driver of VEH1) stated that she thought that she was on HWY 52 and was confused on where exactly she was.  Mulari stated that when she realized that she needed to enter the left turn lane to get onto HWY 14 W, there were multiple vehicles already in the turn lane.  Mulari stated that she had stopped her vehicle in the left lane of northbound traffic attempting to gain access with the left turn lane.  Mulari stated that she was then struck by another vehicle.
Gilman (Driver of VEH2) stated that she was driving northbound when all of a sudden, she realized that there was a vehicle stopped in the lane of traffic.  Gilman attempted to brake and move around the vehicle, but as the other vehicle turned into her, she struck the left side of the vehicle.
...appears to be minor damage to both VEH1 and VEH2...
...no injuries...
...no tows requested...
=== NO CITATIONS ISSUED AT THIS TIME ===
***State Accident Report Filed***</t>
  </si>
  <si>
    <t>RAMP781</t>
  </si>
  <si>
    <t>Vehicle #1 was north on West Circle Drive NW in the 900 block range.  Vehicle #2 had exited Highway 14 west and was stopped at a red light with WCD.  Vehicle #2 got a fresh green light and began into traffic.  As the driver of vehicle #2 began turning left on WCD she was struck in the front drivers side by vehicle #1.  Driver of vehicle #1 stated she was focused on a vehicle in front of her that was turning right onto Wilder Dr NW.  The lights between the intersection of Wilder Dr. NW and the off ramp are very close and can sometimes distract the driver from the correct signal light.  Driver of #2 was pregnant and having back pain from the crash.  She did not want and ambulance but was intending to see a doctor to make sure the baby was ok.  Citation issued to driver of #1 for red light violation.</t>
  </si>
  <si>
    <t>2021-00042209</t>
  </si>
  <si>
    <t>WILDER RD NW</t>
  </si>
  <si>
    <t>Unit #1: MN 881UXM, driven by Sydney Lucky Doxtator DOB 12/29/1986, was traveling NB on W Circle DR NW in the right lane just south of Wilder DR NW. Unit #2: MN MDV113, Driven by Tatyanna Michelle Bond, DOB 06/26/1999 was traveling NB on W Circle DR NW in the right lane just south of Wilder DR NW. The front end of Unit #1 struck the  back end of Unit #2.</t>
  </si>
  <si>
    <t>19-27688</t>
  </si>
  <si>
    <t>Vehicle 1 was traveling northbound on West Circle Dr crossing through the intersection with Wilder Rd NW.  Vehicle 2 was traveling southbound on West Circle Dr and attempting to turn left onto Wilder Rd NW.  Both vehicles had a green light.  Vehicle 2 turned in front of Vehicle 1.  Vehicle 1 struck Vehicle 2 on the passenger side rear tire.  Driver 1 stated she attempted to stop but was unable to stop in time.  Driver 2 stated she did not see Vehicle 1 coming when she started turning left.  Vehicle 1 had moderate front end damage with air bag deployment.  Vehicle 2 had moderate passenger side damage with no air bag deployment.</t>
  </si>
  <si>
    <t>V3 was stopped for red light on southbound WCD in the 1100 block at the bridge.  V2 was struck from behind by V1 and veered to the right, V2 hit the rear of V3 causing minor damage.  V1 then came back to the left and struck V3 in the passenger door area causing significant damage. V2 had significant damage to the right rear quarter panel and right rear wheel, wheel broke off.  D1 stated that he was not sure what the light color it was and admitted fault.</t>
  </si>
  <si>
    <t>171XYB was S/B West Circle Dr just N of Hwy 14. Driver #1 stated that as he approached the traffic slowing for the Hwy 14 lights he braked but slid on the icy roadway and struck the rear of 5BH169.  Driver #2 stated that he was stopping for traffic ahead when he was struck by vehicle #1.  No injuries and no tows needed. Driver #1 warned for Due Care/too fast for conditions.  State report filed online.</t>
  </si>
  <si>
    <t>20-51128</t>
  </si>
  <si>
    <t>RAMP322</t>
  </si>
  <si>
    <t>UNIT1 WAS TURNING LEFT TO PROCEED SOUTHBOUND ON W CIRCLE DR NW (CO RD 22).  UNIT2 WAS SOUTHBOUND ON W CIRCLE DR NW (CO RD 22).  UNIT2 CRASHED INTO UNIT1.
DRIVER OF UNIT1 STATED HIS TRAFFIC LIGHT WAS GREEN.  DRIVER STATED HE TURNED LEFT TO GO SOUTHBOUND ON W CIRCLE DR NW.  DRIVER STATED UNIT2 CRASHED INTO THE SIDE OF HIS VEHICLE.
DRIVER OF UNIT2 STATED HE WAS SOUTHBOUND ON W CIRCLE DR NW, LEFT LANE OF TRAVEL.  DRIVER STATED HE LOOKED OVER AT HIS GPS.  DRIVER STATED WHEN HE LOOKED BACK UP, HIS TRAFFIC LIGHT WAS RED.  DRIVER TRIED TO AVOID A COLLISION, BUT CRASHED INTO THE SIDE OF UNIT1.
DRIVER OF UNIT1 WAS TAGGED FOR RED LIGHT VIOLATION.  
NO TOWS REQUIRED.
CRASH REPORT FILED ONLINE WITH DVS.</t>
  </si>
  <si>
    <t>Vehicle #1 had just turned off Wilder Rd onto West Circle Dr (WCD) southbound.  Driver had a large box truck in front of him as he made the turn.  He could not see the traffic control signal due to the height and width of the truck.  As he entered the intersection of WCD and the Hwy 14 ramp, westbound he noticed the light was red.  Vehicle #2 was on the Hwy 14 ramp at WCD (westbound) waiting for the light to turn.  The light turned green and she proceeded into the intersection.  As she turned south on WCD she was struck by vehicle #1.  Driver of vehicle #1 had a green light and therefore had the right-of-way during the collision.  Witness attached confirmed this.</t>
  </si>
  <si>
    <t>21-47329</t>
  </si>
  <si>
    <t>Driver of Unit 1 stated she was Northbound on West Circle DR NW and was going to make a left turn onto the Ramp of HWY 14 West. Driver stated she had a yellow light and made left hand turn and Unit 2 was Southbound on West Circle DR NW and collided with her vehicle. 
Driver of Unit 2 stated he was Southbound on West Circle DR NW and his light was turning yellow about 200 feet from entering the intersection. Driver of Unit 2 continued through the intersection and Unit 1 collided with his vehicle when Unit 2 made left hand turn to go onto HWY 14 West. 
Moderate damage to front of Unit 1. Unit 1 towed by Rochester Towing. 
Moderate disabling damage to drivers side of Unit 2. Unit 2 towed by Rochester Towing. 
Driver of Unit 1 complained of leg pain from airbag but denied transport.
No injuries reported by driver or passenger of Unit 2. 
Driver of Unit 1 issued warning for FTYRW making left hand turn. 
No citations issued.
I am still waiting for insurance Info for Unit 2 have not gotten it at this point.</t>
  </si>
  <si>
    <t>On Wednesday, May 5, 2021 at approximately 1651 hours, I, Officer M. Venteicher #2452 was dispatched to a vehicle collision blocking in the area of 1100 block of West Circle DR NW Rochester, MN 55901. Upon my arrival, I observed vehicle 1 (V1) a Red GMC Sierra with MN license plate 3157CD facing westbound on the HWY 14 on ramp at West Circle DR NW with heavy right and left side damage. I observed vehicle 2 (V2) a Black Toyota Tacoma with MN license plate 8AR873 facing southbound on West Circle DR NW at HWY 14 Bridge with heavy front end damage. 
I spoke with the driver of V1 who was identified as Donna Kay Heinle (DOB 04/08/1959). Heinle declined medical attention when asked and told me in summary the following information: 
I was traveling northbound on West Circle DR NW in the left hand turn lane to go westbound onto HWY 14. The stoplight was solid green and I made the turn. I was then struck by V2 who was traveling southbound on West Circle DR NW. It was all my fault, I turned right in front of her. 
I spoke with the driver of V2 who was identified as Kayla Marie Struckmann (DOB 10/30/1988). Struckmann declined medical treatment when asked and told me in summary the following information: 
I was traveling southbound on West Circle DR NW. The stop light was solid green and as I was traveling southbound, V1 turned in front of my vehicle and I could not avoid the collision, striking V1. 
After gathering both statements and looking at the damage to the vehicles, I issued Heinle a traffic citation for FTYRW to oncoming traffic (550100066277). 
Both vehicles were towed by Pulvers. 
No medical attention required. 
Photographs uploaded to the server. 
Axon body worn camera footage uploaded to the server. 
Both drivers given a business card with the ICR.</t>
  </si>
  <si>
    <t>21-31636</t>
  </si>
  <si>
    <t>Unit 1 was NB WCD at on/off ramp for WB traffic on Highway 14. Unit 1 was in the left lane turning left (WB) onto the Highway 14 WB ramp. Unit 2 was SB WCD approaching same intersection. Unit 2 was in the left lane and there was a large truck in the right lane of SB WCD. Unit 1 turned left in front of Unit 2. Unit 2 struck Unit 1 in the passenger side causing damage to both vehicles. Driver of Unit 1 thought he had green arrow and stated he could not see around large truck going SB. Driver of Unit 2 stated he thought he had green light and also could not see vehicle turning due to large truck going SB. Both vehicles towed by Byron Auto Tow Company.  No injuries.</t>
  </si>
  <si>
    <t>RAMP780</t>
  </si>
  <si>
    <t>V#2, V#3 and V#4 were all in the left lane of south bound W. Circle Dr NW stopped at the intersection with Wilder Dr NW.  V#1 said traffic in front of her stopped suddenly and she couldn't stop in time and rear ended #2 which then rear ended #3 which rear ended #4.  
V#1- Sustained left front bumper and left front fender damage.
V#2- Sustained damage to rear trailer hitch area and minor front bumper damage.
V#3- Sustained left rear bumper and left rear fender damage and damage to front bumper.
V#4- Sustained damage to rear bumper.
No reported injuries, all wearing seatbelts, and no tows needed.  D#1 was cited for Due care #550117557079, and D#2 cited for Failure to display current registration #550117557080.</t>
  </si>
  <si>
    <t>Vehicle #1-Witts (856MXH) was making a left turn to w/b hwy 14. He had a yellow flashing yellow arrow.  Vehicle #2-Dinndorf (911DRH) was going to make a right turn to w/b hwy 14 and decided no to, moved out of the turn lane and headed straight.  She entered the intersection on a green light.  Witts thought vehicle #1 was making her turn so started to turn left and Dinndorf collided into the right front of Witts vehicle.  
Virgil's towed both.  state report.  Passenger in Witts vehicle to St. Mary's via Gold Cross.  
Witts cited for failing to yield.</t>
  </si>
  <si>
    <t>2019-22289</t>
  </si>
  <si>
    <t>V1 and V2 were southbound on West Circle Drive NW at the North Frontage Rd.  V1 was behind V2.  There was stop and go traffic due to congestion and a traffic signal.  V2 was slowing with traffic.  DV1 said he was distracted by reaching for a water bottle and when he saw V2 stopped he could not stop in time and the front of V1 struck the rear of V2.  No injuries. No tows.  No cites.  Cause of accident was distracted DV1 by water bottle.</t>
  </si>
  <si>
    <t>At about 1831 on 11/12/2020, Unit #1 was SB on West Circle Dr NW approaching the Hwy 14 W overpass and slid on the ice, striking the rear of Unit #2, which was slowing for the red light.
Driver #1 stated that she saw another accident on the right shoulder just ahead of her on the overpass and was beginning to move to the left lane when her vehicle slid on the ice and struck Unit #2 which was slowing in front of her.  She said her vehicle lost traction and rotated left as she attempted to change lanes, but kept going straight and her passenger side doors struck the left rear of Unit #2.  Driver #1 stated she was not injured. Unit #1 had significant damage to both passenger side doors, but did not require a tow.
Driver #2 said she was in the right thru lane of SB West Circle Dr NW and was slowing for the red light just prior to the overpass when she was rear-ended by Unit #1.  Driver #2 stated that her right shoulder was a little sore but she declined medical attention.  Unit #2 had body damage to the left rear quarter and bumper panel, but did not require a tow.
I noted that the overpass was extremely icy and that there had been another accident in the SB lanes immediately before this one.  I did not cite Driver #1 due to the road conditions.  I provided both drivers with the case number on my business card as well as MN driver's collision report forms before departing.
Axon video/state report filed.</t>
  </si>
  <si>
    <t>Vehicles 1 and 2 were northbound in the right center lane.  Veh 1 was stopped in traffic.  Driver 1 stated the traffic signal just turned green so he was waiting for the cars in front of him to start moving.  Veh 2 hit Veh 1.
Driver 2 stated that he looked away for a second and didn't realize that traffic was stopped.  He saw that they had a green light prior to the crash.  Driver 2 admitted that the accident was his fault.
Driver 2 only had an instructors permit which required a licensed driver to be with him.  He knew he was violating the restrictions by driving alone.  Driver 2 was issued a citation for the violation.
Pulvers towed Veh 2</t>
  </si>
  <si>
    <t>21-24945</t>
  </si>
  <si>
    <t>Driver of veh 1 stated he was traveling SB on West Circle Dr. NW approaching Highway 14 West intersection.  He stated he rear ended veh 2 which was directly in front of him.
Driver of veh 2 stated she was stopped at the intersection lights when she was rear ended by veh 1.
No injuries/tow.
Driver of veh 1 cited for due care.</t>
  </si>
  <si>
    <t>20-49655</t>
  </si>
  <si>
    <t>Arrived on scene with my partner, RPD Officer Chapman, who made contact with U1 while I made contact with U2. 
Road conditions were glare ice and it was snowing/ freezing rain at the time of the collision.
U2 stated he was legally stopped at the stop light at the intersection when out of nowhere U1 collided the front/right of U1 into the left/rear of U2 causing minor damage to U2.
No contributing factors with U2.
No report of injuries.
No air bag deployment.
No need for tow.
I provided U2 with U1s info and the report # and clear him from the scene ASAP to avoid additional accidents.
Officer Chapman advised me U1 stated he was approaching the stop light at the intersection and attempted to stop but the roadway was too icy.
U1 believed his wheels locked up due to the icy roads and he was not able to stop the vehicle or control it from sliding into U2 who was stopped for the red light.
U1 advised he felt chest pain after the incident and wanted to be seen by Mayo Clinic Ambulance service.
He was checked by Mayo Ambulance but refused treatment or to go with the Ambulance.
He returned to his vehicle and called for his own tow company due to his front right wheel being locked up.
U1 was operating as a Lyft driver and had a passenger in the vehicle at the time of the accident.
Officer Chapman advised me he spoke with the passenger of U1 who stated he was not injured and called for a ride from the scene.
Officer Chapman advised me he provided U1 with U2s info and the report info.
U1 possibly traveling to fast for the RD conditions.
No air bag deployment.
Towed by unknown company.
End of report.</t>
  </si>
  <si>
    <t>Three vehicle non-injury collision.  Vehicles travelling south on W. Circle Dr at the lights for the west bound on-ramp / west bound off-ramp.  Honda CRV(Unit 3) was stopped/stopping for the lights for the on-ramp / off-ramp with Hwy 14 and W Circle Dr NW.  The Ford Edge(Unit 2) was behind the CRV.  The Honda Odyssey(Unit 1) saw the red lights and hit his acceleration pedal instead of his brake pedal.  The Odyssey struck the back of the Edge, the Edge then struck the back of the CRV.</t>
  </si>
  <si>
    <t>2200006595004322-I</t>
  </si>
  <si>
    <t>Unit 1, 2 and 3 were heading north on West Circle DR (county rd 22).
Driver #3 stated a vehicle slammed on his breaks in front of him. He was able to swerve to the right onto the shoulder to avoid striking the vehicle. He was then struck in the rear end causing minor damage.
Driver 2 saw vehicle 3 and the other vehicle in front of him. He swerved to avoid the vehicles. He saw vehicle 1 coming up behind him. He saw and felt vehicle 1 strike him and push him into vehicle 1. 
Driver 1 stated he saw the other vehicle stopping. He has soft and swishy brakes. He attempted to stop but could not. He struck vehicle 2 in the rear end and pushed him into vehicle 3.
State accident report filed with 1 possible injury, 1 tow and no citations.</t>
  </si>
  <si>
    <t>20-19400</t>
  </si>
  <si>
    <t>Unit 1 had exited Highway 14 WB at West Circle Drive NW.  The light changed to green, so Unit 1 entered the intersection to turn left (southbound) onto West Circle Drive NW.  Unit 2 was northbound West Circle DR NW at the exit ramp from Highway 14 Westbound.  Unit 2 had red light.  Unit 2 was in the left lane that travels straight.  Unit 2 failed to stop at red light and continued through the intersection striking Unit 1 in the driver's side door.  Damage to Unit 1 driver's side door and damage to Unit 2 front end.  Unit 2 left the scene of the crash and parked at Staybridge Suites located at 2350 Commerce DR NW in Rochester, MN.  Driver was located in hotel room and admitted to being involved in crash.  SFST's performed on Driver 2.  No impairment noted. Unit 1 towed by Pulver's.
Unit 1 driver was extricated from vehicle by Rochester Fire Department and transported to Saint Mary's Hospital by Mayo Ambulance Service.  Driver suffered concussion.  Unit 1 passenger suffered a small cut on forehead, possible injury to spine/neck area, lower back, and lower left abdomen.  Passenger 1 checked self into hospital the following day and was released. 
Witness 1 was behind Unit 2 at time of crash.  Witness 1 stated Unit 2 ran the red light and crashed into Unit 1, which was turning left onto WCD.  Witness 1 saw white female exit Unit 2 driver's door.  Unit 2 driver got back into Unit 2 and drove away from the scene.  
Witness 2 was behind Unit 1.  Witness 2 stated Unit 1 had green light.  Unit 2 must have ran red and crashed into Unit 1.  Unit 2 left the scene NB on WCD.  Witness 2 advised plate on Unit 2 was 232JGV.</t>
  </si>
  <si>
    <t>2200006595005781-I</t>
  </si>
  <si>
    <t>UNIT #1 Norstad (614RTW) vs. Unit #2 Morales (336RUV).  Both exited Hwy 14 west to WCD.  they were moving forward slowly and Morales bumped into the rear of Norstad's vehicle.  No injuries, No tows.  Morales cited for DAS and Due Care.  State Report.  Owner of Unit#2 was cited for no proof of insurance.  Morales told me two days later that he confirmed with Jessica Leisen, the owner, that there was no insurance on that vehicle.</t>
  </si>
  <si>
    <t>20-11301</t>
  </si>
  <si>
    <t>UNIT1 WAS WESTBOUND ON THE EXIT RAMP FROM US HWY 14 TO CO RD 22 (WEST CIRCLE DR NW). UNIT2 WAS WESTBOUND BEHIND UNIT1.  UNIT2 CRASHED INTO THE REAR OF UNIT1.  
DRIVER OF UNIT1 STATED SHE WAS STOPPED AT A RED TRAFFIC LIGHT IN THE RIGHT TURN LANE.  DRIVER STATED HER VEHICLE WAS STRUCK IN THE REAR BY UNIT2.
DRIVER OF UNIT2 STATED HE WAS BEHIND UNIT1.  DRIVER STATED HE WAS LOOKING TO THE LEFT AT CROSS TRAFFIC.  DRIVER STATED HE THOUGHT UNIT1 MOVED ALREADY WHEN HE STARTED TO ROLL FORWARD AND CRASHED INTO THE REAR OF UNIT1.  
NO TOWS REQUIRED.  NO CITATIONS ISSUED.
CRASH REPORT FILED ONLINE WITH DVS.</t>
  </si>
  <si>
    <t>19-28691</t>
  </si>
  <si>
    <t>UNIT1 WAS WESTBOUND ON US HWY 14 W OFF RAMP TO W CIRCLE DR NW (CO RD 22).  UNIT2 WAS WESTBOUND BEHIND UNIT1.  UNIT2 CRASHED INTO THE REAR OF UNIT1.  
DRIVER OF UNIT1 STATED SHE WAS STOPPED FOR RED TRAFFIC LIGHT ON THE OFF RAMP.  DRIVER STATED UNIT2 CRASHED INTO THE REAR OF HER VEHICLE.
DRIVER OF UNIT2 STATED HE WAS WAITING TO MAKE RIGHT TURN.  DRIVER STATED THE TRAFFIC LIGHT JUST TURNED GREEN.  DRIVER STATED HIS FOOT SLIPPED OFF THE BRAKE AND HIS VEHICLE HIT THE REAR OF UNIT1.  
NO TOWS REQUIRED.  NO CITATIONS ISSUED.
REPORT FILED ONLINE WITH DVS.</t>
  </si>
  <si>
    <t>U1 was stopped at the light from the ramp to go northbound onto West Circle Drive NW. U2 was coming behind U1 on the ramp, and was looking to the traffic coming northbound on West Circle Drive NW, not observing U1 ahead of him. When U2 looked straight ahead, he was too close to U1 and his front bumper made contact with U1's rear bumper. U2's bumper appeared to have damage prior to this accident on the driver side, and duct tape used to patch it. 
I took photographs to document to the damage to both vehicles. Both vehicles had pulled into a McDonald's parking lot to take the report and left without needing a tow. Minor damage to U1 and moderate damage to U2. 
***State accident report filed***</t>
  </si>
  <si>
    <t>21-31329</t>
  </si>
  <si>
    <t>driver of veh 1 was north on west circle dr approaching hwy 14 when she looked down at her phone and collided with veh 2.
Driver of veh 2 was stopping due to veh 3 stopping in front of her when she was rear ended by veh 1 which caused her to hit the rear end of veh 3.
Driver of veh 3 was stopped when veh 2 rear ended her.
Veh 3 had minor damage to rear end.
Veh 2 had minor damage to front and rear end.
Veh 1 had disabling damage and air bag deployment to front end.
Driver of veh 2 complained of head and neck pain.
Driver of veh 1 complained of shortness of breath.
Veh 1 was towed by pulvers.
Driver of Veh 1 was issued citation #550100061246 for due care and suspended license.</t>
  </si>
  <si>
    <t>35TH AVE NW</t>
  </si>
  <si>
    <t>Both vehicles were northbound on West Circle Drive approaching Hwy 14 interchange.  Vehicle #1 (Rowand-376mzr) stopped for traffic in front of him.  Vehicle #2 (Hortop-209gxp)tried to stop but slid on the icy roadway and collided into the back of vehicle #1.  
Hortop was cited for DAS and Due Care.  No tows.  Rowand declined medical treatment from Gold Cross on scene.  State Report.</t>
  </si>
  <si>
    <t>19-10752</t>
  </si>
  <si>
    <t>Driver of Unit 1 stated he was traveling North on West Circle DR NW. Driver stated he was driving in the right lane and there was a Grey Toyota or Accord in front of him that was traveling too fast for conditions in the left lane. Driver of Unit 1 stated it looked like the Grey vehicle was going to collide with a vehicle in front of it but then quickly turned into his lane. Driver of Unit 1 stated he had to turn/swerve right to avoid contact with the grey vehicle and his vehicle went off the road into a snow bank not colliding with any property. Driver of unit 1 was unable to get a license plate on the grey car and the grey car took a right onto HWY 14 E. 
Minor damage to the front right of Unit 1. 
No injuries reported on scene. 
No citations No tows.</t>
  </si>
  <si>
    <t>RAMP968</t>
  </si>
  <si>
    <t>On 5/20/19 at 1633 hours Officers were dispatched to the 1100 block of W Circle Dr NW bridge for a report of a motor vehicle collision. Investigation revealed Unit 1 was Northbound on W Circle Dr NW while Unit 2 was Southbound on W Circle Dr SW in the left turn lane to turn East onto Hwy14. Witness 1 stated she was behind Unit 2 and they had just started moving forward on a green turn arrow when she saw Unit 1 entering the intersection travelling North. The driver of Unit 2 stated he was paying attention to the vehicle in front of him that was turning once the light turned green and did not see Unit 1 coming until the collision. The driver of Unit 1 claimed he had a solid green light and was proceeding straight through when Unit 2 pulled in front of him. Unit 1 swerved right in an attempt to avoid Unit 2 but both vehicles collided. The collision caused moderate disabling damage to the front of Unit 2 and moderate disabling damage to the front and left side of Unit 1. Airbags deployed in both Units and both drivers complained of minor chest pain from the airbags but denied medical attention. The driver of Unit 1 was issued Citation #550100049108 for Due Care.</t>
  </si>
  <si>
    <t>19-25998</t>
  </si>
  <si>
    <t>Driver of veh 1 stated he was traveling SB in the left lane to go straight on West Circle Dr. NW approaching Hgwy 14.  He stated as he was attempting to travel through the intersection as veh 2 which was also traveling SB on West Dr. in front of him attempted to stop and turn left in the left lane to go straight.  He stated he then collided with veh 2.
Driver of veh 2 stated he was traveling SB in the left turn lane to take a left turn to go EB on Hgwy 14.  He stated as he was in the lane and about to turn, he was hit by veh 1  which was traveling behind him.
No injuries/citation's due to conflicting stories.  
Veh 2 towed by Tri-State.</t>
  </si>
  <si>
    <t>Vehicle #1 was making a left turn from West Circle Drive NW to HWY 14 east.
Vehicle #2 was heading north on West Circle Drive NW.
Driver #1 stated he was making a left turn. He thought he had enough room to turn. He proceeded to turn and was struck by Vehicle #2.
Driver #2 stated he was heading north. He saw Vehicle #1 turning in front of him. He attempted to avoid vehicle #1 but could not. He then struck vehicle #1.
I smelled alcohol on Driver #1 breath and performed SFSTs. Driver #1 had a BAC 0.02.
I contacted Sorenson American Family insurance and was told they did not have the RO or Driver for vehicle #1 insured.  
State accident report filed with no injuries, 2 tows and Driver #1 cited for FTYRW left turn and no proof insurance.</t>
  </si>
  <si>
    <t>On Thursday, September 17, 2020 at approximately 1524 hours, I, Officer M. Venteicher #2452 was dispatched to a vehicle vs motorcycle collision with injuries at West Circle DR NW and HWY 14. Upon my arrival, I observed Vehicle 1 (V1) a Red Dodge Charger with MN license plate DDM698 facing westbound with front right side damage on West Circle DR NW. I observed vehicle 2 (V2) a White Yamaha YP400 motorcycle with MN license plate 71283ME on the ground with significant damage facing southbound on West Circle DR NW. 
The driver of V2 identified as Dereck Jason Momany (DOB 02/27/1972) was lying on the pavement bleeding heavily from the right upper thigh. A witness to the crash, Ken Moyer was applying pressure to the wound until RFD and MCAS arrived to provide medical attention. Once MCAS was on scene, Momany was transported to SMH in serious condition. 
I spoke with a witness identified as Paul Jacob Heimgartner (DOB 12/22/1973). Paul told me in summary the following information: 
Paul was traveling in the southbound lane of West Circle DR NW at HWY 14. Paul said he was in the right lane and V2 was in the left lane ahead of him a car length. V2 and the vehicle ahead of me were right next to each other going through the green light to continue southbound. All I saw was a red car (V1) come from the left and V2 try and stop to avoid the collision by slamming on the breaks. If I had to guess, V2 was traveling maybe 25 MPH, they were going pretty slow. 
I spoke with the driver of V1 who was identified as Tylor Andrew Donald Books (DOB 01/19/1999). Books declined medical attention when asked and told me in summary the following information: 
I was facing northbound on West Circle DR at HWY 14. I was in the left hand lane and I needed to make a U-Turn to head back south on West Circle DR NW. I had a green light and I was looking at the southbound traffic and saw a car coming in the distance and thought I could make the turn. I did not see V2 coming in the lane of traffic ahead of the vehicle I saw and turned out right in front of V2. I was maybe traveling 15 MPH at the time of the collision. 
I spoke with Ken Moyer (DOB 07/09/1958) who heard the collision but did not see it. Ken told me in summary the following information: 
I approached the scene from the south and saw a male (Momany) lying face down on the ground. I exited my vehicle and believe Momany was unconscious at the time. I observed lots of blood coming from underneath Momany. I knew I needed to see where the bleeding was coming from so I had another bystander assist me in carefully rolling Momany over on to his back. Once on his back, I observed a large laceration to Momanys upper right leg. I placed my hands in the wound and controlled the bleeding until MCAS took over.   
Based on the witness statement and Books statement, Books failed to yield right of way and was issued citation (550100041248) for FTYRW oncoming traffic. The citation was issued and explained to Books. 
I arrived at SMH and eventually spoke with Momanys wife Lori Lynn Momany. Lori was provided a business card with the IRC number. I did speak with Lori on the phone and she said her husband (V2) remembers a red car turning in front of him and him not being able to avoid the collision. 
32 digital photographs uploaded to the server. 
V1 was driven away from the scene by Books
V2 was towed from the scene by Pulver Towing. 
Business card with ICR number was provided to Books. 
Axon body worn camera footage uploaded to the server.</t>
  </si>
  <si>
    <t>U2 MN 500WNP driver G. Riggot was S/B on W Circle Dr NW at the intersection of HWY 14 E Off ramp.  U2 stated she beleived she was in the outside and had a green traffic light.  U2 did not see U1 until the collision happened when U1 pulled out into the S/B W. Circle traffic.  U2 believed she tried to swerve to avoid U1.
U2 driver had no apparent injury at the time and later advised she and passenger had minor injuries and were seen at a hospital.
U2 was completely blocking inside lane when I arrived and was towed by Pulvers.
U1 MN 284UXM driver Arnold was E/B on HWY 14 ramp behind another vehicle at a red light @ W Circle Dr NW.
U1 stated he took a drink of soda, put it down and saw the vehicle ahead of him proceed as the light turned green.  
U1 started to proceed and out of corner of his eye he saw U2.  U1 attempted to swerve right and brake to avoid collision but could not and collided with U2.
No independent witnesses at the scene or called in after the fact. State report no citations</t>
  </si>
  <si>
    <t>On 12/28/18 at 0703 hours Officers responded to the 1100 block of W Circle Dr NW located on the bridge over Hwy14 for a report of a Motor Vehicle Collision with injuries. Investigation revealed Unit 2 was stopped in the left turn lane of W Circle Dr NW at a red light facing South, preparing to turn East onto Hwy14. Unit 1 was behind Unit 2 slowing down for the light and Unit 3 was in the left lane of W Circle Dr NW travelling Southbound. As Unit 1 approached Unit 2 at approximately 10 mph the vehicle began to slide on the roadway due to slippery road conditions (ice,snow,wet). The driver of Unit 1 attempted to swerve in order to avoid a collision but Unit 1 continued to slide and collided with Unit 2. The driver of Unit 3 saw the collision and braked but continued sliding due to slippery road conditions and collided with Unit 1, which was protruding into Unit 3's lane of traffic. The driver of Unit 3 stated his ABS brakes were pumping but his vehicle would not stop. The collision caused moderate damage to Unit 1 (left side, rear), minor damage to Unit 2 (rear), and minor damage to Unit 3 (front). The driver of Unit 1 reported biting his tongue and complained of ringing in his ears from the airbag deployment but was not transported. There were no other reported injuries. Unit 1 was towed from the scene by Rochester Towing due to airbag deployment. All other vehicles were driven away on their own power.</t>
  </si>
  <si>
    <t>U1 was traveling south on W Circle Dr on the Hwy 14 overpass.  U2 was crossing W Circle Dr from the Hwy 14 exit ramp.  U1 and U2 collided.
D1 was taken by Gold Cross ambulance to SMH before I could obtain a statement on scene.
D2 said she had stopped at the traffic lights.  The lights were flashing red in all directions.  It was her turn and she began going through the intersection with the goal of going north on W Circle Dr to Costco.  U1 came through the intersection southbound without stopping and collided into her.
Witness Michael Ralston corroborated D2's statement.  Ralston further provided details that U1 had rolled through another traffic light a block away.  He said the vehicle had its hazard lights on like there was a problem.
At the hospital I spoke with D1.  She said she walked a couple blocks to her car (extremely cold temps) after leaving work and became quite ill once she began driving.  She was nauseous and lightheaded on her drive from Rochester to Dodge Center on Hwy 14.  She chose to get off Hwy 14 to go to a gas station to vomit and call for help.  She said she turned her hazards on because of her condition and admits she went through traffic lights for the sole purpose of getting to the gas station quickly.
No citations will be issued, Tows were required for both vehicles, D1 was evaluated at the hospital for head trauma and general illness, State Report completed for complaint of injury.</t>
  </si>
  <si>
    <t>Kish (103PDV) was s/b WCD on the inside lane and did not see the bike crossing the road until it was to late.  She had the green light to cross the intersection.  Koelpin (bike) was crossing the intersection against the Do not walk signal and was trying to get to the center median and did not see the car coming.  Witnesses were in the vehicle right behind Kish and agreed that they had the green light to cross the intersection.  State report, No citations, No tows.  Koelpin declined medical to MCAS.</t>
  </si>
  <si>
    <t>SB WEST CIRCLE DR NW @ EB HWY 14 RAMP</t>
  </si>
  <si>
    <t>Crash location: Southbound West Circle at intersection with EB USTH 14 exit ramp, in the City of Rochester and the County of Olmsted.
Unit #1 was EB on Highway #14 and took exit ramp to West Circle Drive. At top of ramp, unit #1 slid through red light out into the SB lanes.
Unit #2 was SB on West Circle Drive and attempting to avoid unit #1 by going around the rear of it. At the same time unit #1 attempted  to back-up to get out of intersection and backed into the unit 2.
D#1 stated he could not get stopped at the top of the ramp for red light and slid out into the middle of intersection. D#1 stated he was attempting to back up to get out of the intersection and collided with unit #2.
D#2 stated she came over crest of bridge and had green light. D#2 stated unit #1 had slid out into the intersection in front of her and she was attempting to avoid hitting unit #1 by going around the rear of it. D#2 stated she thinks she could have gotten around the back side of it if it would not have backed up.
Witness stated he was directly behind unit #2 and stated that the light was green for him and unit #2. Witness stated that unit #1 came up the ramp very fast and slid out into the intersection at the top of the ramp. Witness stated that unit #2 was backing up and hit unit #2.</t>
  </si>
  <si>
    <t>RAMP996</t>
  </si>
  <si>
    <t>Both Unit #1 and #2 were in the left turn lane of southbound West Circle Drive on overpass of Hwy 14. Unit#1 was following behind Unit #2.  Driver #2 stated he stopped for on coming traffic when attempting to make left turn on entrance ramp of eastbound Hwy 14.  Driver of Unit #1 stated he was distracted momentarily while attempting to adjust am/fm radio.  Driver #1 stated when he noticed unit #2 in front of him had stopped he was not able to stop in time and struck the rear of Unit #2. Passenger in Unit #1 stated the same as driver #1. 
State Report.
Parties reported No injuries. 
No Citations issued.</t>
  </si>
  <si>
    <t>Crash Location:  Southbound Co Rd 22 at USTH 14 EB on ramp
V2 was stopped at a red light on Co Rd 22 waiting to turn left onto EB USTH 14.  V1 was traveling too fast for the conditions attempting to stop behind V2, and slid into the back of V1 on the snowy/icy roadway.  
No injuries.  No Citations</t>
  </si>
  <si>
    <t>21-00026952</t>
  </si>
  <si>
    <t>Unit 1 was heading northbound on W Circle Drive at the intersection of West Circle Drive NW and US Highway 14. Unit 2 and Unit 3 were stopped at the traffic control signal on northbound W Circle Drive ahead of Unit 1. Unit 1 struck the rear of Unit 2. Unit 2 then struck the rear of Unit 3. No apparent injuries. Unit 1 and Unit 2 were towed from the scene. Unit 3 was driven away.</t>
  </si>
  <si>
    <t>Unit #1 was not on scene upon officer arrival. 
Unit #1 and Unit #2 were in the left-hand turn lane to drive east onto HWY 14 from W. Circle Dr. NW.
Unit #1 struck Unit #2 from behind and continued south on W. Circle Dr. NW.
Driver #1 was contacted by phone and stated he was in the turn lane to go east onto HWY 14 from W. Circle Dr. NW.  Unit #2 pulled ahead, stopped quickly, and he was unable to stop in time.  He stated that he hit the trailer hitch on unit #2, backed up, didn't observe any damage to Unit #2, and Unit #2 continued on so he decided to drive south on W. Circle Dr. NW.
Driver #2 stated he was next in line to turn east onto HWY 14 from W. Circle Dr. NW.  He pulled ahead a little bit and was struck from behind.  He was able to get the license plate of Unit #1 as it drove away.
No injuries, no tows.</t>
  </si>
  <si>
    <t>2200006595003996-I</t>
  </si>
  <si>
    <t>On 02/21/18, I responded to a non injury property damage collision on the off ramp from eastbound Highway 14 to West Circle Drive NW.  This collision occurred during daylight and weather was not a factor (Clear/Dry).  The intersection is controlled by a four way overhead stop lamp that was operational.
V1 was operated by D1 who was identified as Majdi Mahmoud.  He said he was approaching the intersection behind V2.  Mahmoud stated that he hit a patch of ice and slid into the rear of V2.  Mahmoud was not under the influence of any alcohol or drugs, but did appear to be confused and stated he was on his way to a doctor's appointment to get his medication rechecked. A health evaluation was requested due to his level of confusion and uncontrollable shaking during our contact.
V2 was operated by William Holtorf.  Holtorf stated that he was second in line at the intersection waiting at a red light.  He was completely stopped when he was struck by V1.
Both parties did not have any complaint of injury and both vehicles had very minor damage and were driven from the scene.  Mahmoud was mailed a citation for failure to drive with due care.</t>
  </si>
  <si>
    <t>On 3/12/17 at 2005 hours Officers were dispatched for a motor vehicle accident which had occurred around 1815 hours on 3/12/17 in the 1100 block of W Circle Dr NW Rochester MN 55901. Investigation revealed Unit 2 was stopped facing East on the exit ramp from Hwy 14 onto W Circle Drive NW as Unit 1 was slowing down behind Unit 2 preparing to stop. Due to snow and slippery road conditions Unit 1 slid and collided with Unit 2. The collision caused moderate damage to the left rear of Unit 2 and minor damage to the front right of Unit 1. 
The Driver of Unit 1 stated he tried to steer and avoid Unit 2 but was unable to maneuver due to the snow and collided with the other vehicle. Both driver's exchanged information on scene but a State Accident Report was later requested due to the driver of Unit 1, Ripke, not having insurance. There were no injuries and no tows. Both drivers were provided with the ICR number and told how to obtain a copy of the report.</t>
  </si>
  <si>
    <t>Drvr #1 S/B West Circle Drive, states green light turned yellow and honked at suv pulling out from ramp before unable to stop before impact.
Drvr #2 E/B Hwy 14 exiting to West Circle Drive, states green light and was going to turn right then stated was going to turn left and was struck.
Officer, Vehicles moved to secondary location after accident. Damages do not indicate and speed or excess speed. No injuries. No tows. No citation issued as to unknown traffic light condition.
State Property Damage Accident report filed.</t>
  </si>
  <si>
    <t>On Friday, May 21 2021 at approximately 1713 hours, I, Officer M. Venteicher #2452 was dispatched to a vehicle collision near 3600 HWY 14 NW Rochester, MN 55901. 
HANRAHAN, MEGHAN LYNN.DOB/19911118 (Progressive #936964359) was traveling southbound on WCD at the HWY 14 entrance ramp in a Silver Saturn L200 with MN plate 129WWH. Hanrahan said she had a green light and was traveling approximately 50 MPH when a car turned in front of her. Hanrahan slammed on her breaks to avoid the collision. Hanrahan went up and over the curb on the west side of WCD and struck an adopt a HWY sign, lost her front bumper and then drove through the ditch into the KT parking lot. Hanrahan panicked and drove home and did not wait on scene. Hanrahan did not see what type of vehicle pulled out in front of her.
No tow trucks needed. 
No medical attention needed. 
ICR provided to Hanrahan. 
County Hwy advised of damaged sign. 
Pictures uploaded to the server. 
Axon body worn camera footage uploaded to the server. 
Nothing further.</t>
  </si>
  <si>
    <t>Unit #1 was facing east attempting to turn from 8-1/2 St. NW to go north on W. Circle Dr. NW.
Unit #2 was attempting to drive west on 8-1/2 St. NW, crossing over W. Circle Dr. NW, and continuing onto 9th St. NW.
Unit #1 struck Unit #2.
Driver #1 stated she wasn't familiar with the streets and didn't know there was a street across from where she was pulling out; she didn't see Unit #2 trying to drive across W. Circle Dr. NW.
Driver #2 stated he was stopped at the stop sign facing west.  One vehicle had turned from 8-1/2 St. NW to go north on W. Circle Dr. NW.  It was his turn to proceed across W. Circle Dr. NW and continue west onto 8-1/2 St. NW.  When he attempted to drive forward, Unit #1 turned in front of him.
Driver #1 and passenger of Unit #1 Alice Fulton both advised of pain from the seatbelt but refused medical attention on scene.
No tows, no citations issued.</t>
  </si>
  <si>
    <t>17-042727</t>
  </si>
  <si>
    <t>9TH ST NW</t>
  </si>
  <si>
    <t>UNIT1 WAS SOUTHBOUND ON OLMSTED CO RD 22 (AKA: WEST CIRCLE DR NW).  UNIT2 WAS EASTBOUND 9TH ST NW, MAKING A LEFT TURN (NORTHBOUND) ONTO CO RD 22.  UNIT1 CRASHED INTO UNIT2.  
UNIT1 WAS SOUTHBOUND, TOWING AN ENCLOSED TRAILER BEARING MN LIC# 1396CTE, IN THE RIGHT LANE OF TRAVEL.  DRIVER OF UNIT1 STATED HE SAW UNIT2 APPROACH THE INTERSECTION.  DRIVER STATED HE SAW THE FEMALE DRIVER OF UNIT2 LOOK RIGHT AND THEN PULLED OUT IN FRONT OF HIS VEHICLE.  DRIVER STATED HE TRIED TO STOP AND SWERVE, BUT COULD NOT AVOID THE CRASH.
UNIT1 PASSENGER, TIMOTHY KESLER, STATED THEY WERE SOUTHBOUND ON WEST CIRCLE DR, RIGHT LANE.  PASSENGER STATED HE SAW UNIT2 APPROACH THE STOP SIGN, LOOK TO THE SOUTH, AND NEVER STOPPED AT THE STOP SIGN.  PASSENGER STATED UNIT2 PULLED IN FRONT OF THEIR VEHICLE AND CAUSED THE CRASH.
UNIT1 PASSENGER, BRIAN KESLER, STATED THEY WERE SOUTHBOUND ON WEST CIRCLE DR, RIGHT LANE.  PASSENGER STATED THE FEMALE DRIVER OF UNIT2 WAS NOT LOOKING AND ROLLED THE STOP SIGN.  PASSENGER STATED UNIT2 ENTERED THE INTERSECTION IN FRONT OF THEIR VEHICLE WHICH CAUSED THE CRASH.
DRIVER OF UNIT2 STATED SHE LOOKED BOTH WAYS BEFORE ENTERING THE INTERSECTION.  DRIVER STATED SHE WAS TURNING NORTH WHEN THERE WAS A BIG BASH.  DRIVER STATED SHE HAS A HISTORY OF EPILEPSY AND ASTHMA.  DRIVER STATED SHE DID NOT HAVE A SEIZURE AT THE TIME OF THE CRASH.  
DRIVER OF UNIT2 WAS TRANSPORTED TO SAINT MARYS HOSPITAL FOR POSSIBLE INJURIES.  GOLD CROSS REFUSED TO PROVIDE A RUN NUMBER FOR THIS INCIDENT.
UNIT1 AND UNIT2 WERE TOWED BY PULVERS TOWING.  UNIT1 WAS INSPECTED AT PULVERS TOWING BY MN STATE PATROL CMV INSPECTOR T. BLOMQUIST, BADGE# 1618.
DRIVER OF UNIT2 WAS MAILED A CITATION FOR FAILURE TO DRIVE WITH DUE CARE.
CRASH REPORT FILED ONLINE WITH DVS.</t>
  </si>
  <si>
    <t>On 12/12/19 at about 1747 hours there was a motor vehicle accident at the intersection of West Circle Dr. NW and 9th St.  Unit 1 pulled out and may have struck Unit 2.  
Driver of Unit 1 stated she was on 9th St. NW.  She pulled out into the intersection of West Circle Dr. and intended to turn north.  As she pulled out she Unit 2 came into the intersection and she may have struck it.  I did not see any obvious indications of a point of impact on Unit 1.
Driver of Unit 2 stated that she was traveling south on West Circle Dr. and as she came up to the intersection Unit 1 pulled out into the intersection.  She attempted to avoid Unit 1 but believes she was stuck by Unit 1.  Her vehicle came to a stop on the median.  There was damage to the right rear quarter panel and front bumper.
No injuries.
No vehicles towed.
No citations.</t>
  </si>
  <si>
    <t>2019-28606</t>
  </si>
  <si>
    <t>Thomas was at the intersection of 9th st and WCD waiting to turn left to go north on WCD. Matthew was headed Southbound in the left lane of WCD. Thomas stated he pulled out after a Rochester transit bus passed and he did not see Matthew behind the bus and they collided. Matthew believes the bus was in the right lane. no cites Matthews vehicle was towed by tristate and Thomas was able to drive his vehicle away.</t>
  </si>
  <si>
    <t>2018-17005</t>
  </si>
  <si>
    <t>V2 was Southbound on west circle drive.  V1 was facing east preparing to turn left (North) onto west circle drive from 9th St NW.  V1 had a stop sign.  DV1 said she did not see V2 and she began her turn.  The front of V1 struck the right front of V2.  No injuries.  No tows.  No cites.</t>
  </si>
  <si>
    <t>Vehicle #2 was south on West Circle Drive NW (35th Ave NW) approaching 9th Street NW.  Vehicle #1 was on 9th Street NW eastbound waiting at the stop sign to turn left onto WCD.  Driver of vehicle #1 stated there was a car in the right turn lane blocking her view of vehicle #2.  Driver of vehicle #1 looked both ways and thought she had a clear opening to enter the roadway.  Vehicle #1 entered the south lanes of WCD attempting to turn left.  Vehicle #2 was in the right through lane of travel when vehicle #1 entered the lane.  Vehicle #2 collided with the rear driver's side tire of vehicle #1.  Driver of vehicle #1 failed to yield the right of way to vehicle #2 causing the crash.  Citation issued to driver of vehicle #1 for FTYRW making a left turn.</t>
  </si>
  <si>
    <t>1000023963950838-I</t>
  </si>
  <si>
    <t>Unit 1 was turning left onto 9th St NW.
Unit 2 was stopped on 9th St NW turning left onto West Circle Dr NW.
Driver 1 stated he started to turn. He then slid into and hit unit 2.
Driver 2 stated she was waiting to turn. Saw unit 1 start turning and then slide into her.
Witness 1 was behind unit 2. He saw Unit 1 start to turn and slid into Unit 2. He was almost hit as well.
Road was ice and snow covered.
State accident report filed with 1 injury, 1 tow and no citations.</t>
  </si>
  <si>
    <t>On May 22nd 2017 at around 1527 hours, I, Officer R. Jacobson #2428 was dispatched to the area of 9th St. NW and West Circle Dr. NW in reference to a motor vehicle accident with injuries.
I arrived and made contact with the driver of unit 1.  She told me that she was on 9th St. NW stopped at the stop sign, and was looking to turn to travel northbound on West Circle Dr. NW.  There was a truck with a trailer that blocked her view, and she thought that it was safe to pull out into the intersection to negotiate her turn.  As she pulled into the intersection, she struck unit 2 which was traveling southbound on West Circle Dr. NW.  There was heavy front end damage on unit 1.  The front and side airbags both deployed.  The driver had minor injuries, was seen by Gold Cross paramedics, and refused further treatment.
I talked to the driver of unit 2.  She told me that she was traveling southbound on West Circle Dr. NW when unit 1 pulled out from 9th St. NW and struck her.  There was heavy front end damage concentrated on the front passenger side. She had minor injuries, and was transported to Saint Marys Hospital.  Her husband was in the front passenger seat, and also had minor injuries, and was also transported to Saint Marys Hospital.  
The witness stated that he was sitting at the stop sign behind unit 1 and saw her pull out into the intersection, and strike unit 2.  He said that there was a water truck that went by, but wasn't sure if it blocked the driver of unit 1's view or not.
CSC towing towed both vehicles from the scene.</t>
  </si>
  <si>
    <t>19-42726</t>
  </si>
  <si>
    <t>D2 Stated she was traveling SB on W Circle DR NW and as she approached the intersection of W Circle DR NW and 9 ST NW, U1 drover out in front of U2 coming from the stop sign on EB 9 ST NW onto W Circle DR. The front of U2 collided with the rear left side of U1 after U1 entered the intersection. U2 did not have time to avoid due to heavy traffic and U1 failing to yield the right of way right as U2 approached the intersection. 
D1 agreed with what D2 stated and added that there was a SB turning lane for vehicles coming off of SB W Circle DR NW and on 9 ST NW. This lane was full of vehicles and obstructing D1s view of the oncoming SB W Circle DR NW traffic. D1 stated she was traveling EB on 9 ST NW to attempt to cross SB W Circle DR NW traffic to go NB on W Circle DR. She stopped at the stop sign at the intersection and then tried to see past the turning lane traffic. She thought the RD way was clear so she enters the intersection as noticed U2 was approaching the intersection with the right of way. She was able to slightly turn U1 to avoid a T-Bone crash but was not able to avoid the collision completely. D1 admitted she felt at fault because U2 clearly had the right of way.
 U2 did not have a stop sign or traffic signal at the above intersection and had the right of way.
Once the vehicles collided it appears they spun in opposite directions and came together again at different points on the same vehicles but the exact directions and act in which the vehicles came together a second time could not be positively determined at the scene as the vehicles moved from the impact location prior to LE arrival. 
Passenger of U2 corroborated D2s statement. 
Damage to U2 and U1 Severe/disabled (multiple areas of damage on both vehicles) both towed by Virgils towing.
D2 complained of a head ache and potential neck pain but decline medical attention on scene.
P2 complained of a head ache and potential neck pain but decline medical attention on scene.
D1 complained of face pain and had a slight red mark on her face possibly from airbag, red mark on her neck possibly from seat belt and potential neck pain but declined medical attention on scene.
Stated report.</t>
  </si>
  <si>
    <t>20-28418</t>
  </si>
  <si>
    <t>Unit 1 was northbound on West Circle Drive, attempting to continue northbound through the intersection with 9th ST NW. There is no traffic control sign/signal for traffic on West Circle Drive at 9th ST NW. Unit 2 was eastbound on 9th ST NW attempting to turn northbound onto West Circle Drive. There is a stop sign for eastbound traffic on 9th ST NW at West Circle Drive NW. Unit 2 had stopped, but then attempted to enter the intersection, striking the rear left quarter panel of a trailer being towed by Unit 1. Driver of Unit 2, Shaw, stated that she was "pretty sure it was my fault." Shaw cited for FTYRW at a Through Highway.</t>
  </si>
  <si>
    <t>Unit 1 was westbound on 8H St NW at the intersection of West Circle Dr. Unit 1 was stopped at the posted stop sign awaiting to make a right hand turn onto W. Circle Dr. Unit 2 was behind Unit 1 and also waiting to make a turn onto W. Circle Dr. Unit 1 pulled out into the intersection too far and began to back up when oncoming traffic came to close. Unit 1 backed into Unit 2 causing minor damage to Unit 2. No injuries reported, Driver of Unit 1 was cited for DAR and Improper backing. Mn Crash report filed</t>
  </si>
  <si>
    <t>Unit#2 was stopped at red light on W Circle/7 ST NW in NB lane. Unit#1 driver stated the sun was in her eyes and she did not see Unit#2 stopped in front of her. She then collided with the rear side of Unit#2. Unit #1 driver had bloody lip and small laceration to on bridge of nose. MCAS checked driver of Unit#1 and cleared her. Unit#1 driver stated the sun was in her eyes and she did not see Unit#2 or the red light in front of her.</t>
  </si>
  <si>
    <t>Unit 2 was stopped at the traffic control signal waiting for the green light. Unit 1 struck unit 2 from front to rear due to being distracted by a bird flying across his windshield. No injuries. Unit 1 towed due to disabling damage.</t>
  </si>
  <si>
    <t>Vehicle 1; Driver 1- Stated he was driving southbound on W. Circle Dr.  He was making a left turn to go eastbound on 7 ST NW.  He had a green light.  He was following a vehicle making a left turn.  The vehicle in front of him made the left turn so he went to follow.  He didn't see vehicle 2 traveling northbound on W. Circle Dr.  He collided with vehicle 2 and everything happened so fast after that he isn't sure what happened.  
Vehicle 2; Driver 2- Stated he was traveling northbound on W. Circle Dr.  He was in the right hand lane and was about to cross the 7 ST NW intersection.  He was traveling at about 44 mph and had a green light to travel through the intersection.  He noticed vehicle 1 turn right in front of him so he quick steered to the right to avoid the collision.  He was unable to avoid the collision and was struck by vehicle 1.
Vehicle 3; Driver 3- Stated she was traveling westbound on 7 ST NW.  She was stopped at a red light.  She saw vehicle 1 and vehicle 2 crash in front of her.  Vehicle 1 spun around and struck the front of her vehicle and continued into the ditch.
** Witness **
Was traveling northbound on W. Circle Dr. right behind vehicle 2.  She could anticipate that vehicle 1 was going to turn in front of vehicle 2 so she slowed down and turned off to the side of the road.  She observed that the Northbound traffic had a green light.  Vehicle 1 turned in front of vehicle 2 causing both vehicles to spin out, vehicle 1 then continued and struck vehicle 3.  Vehicle 1 was only occupied by the driver.  
No reported injuries
Vehicles 1 and 2 were towed by Pulvers
Driver 1 issued citation 550118565433 for No MN DL and FTYRW (making left turn)
** State Report Filed **</t>
  </si>
  <si>
    <t>20-47393</t>
  </si>
  <si>
    <t>D2 stated he was traveling SB on West Circle DR NW approaching 7 ST NW with a full solid green light giving him the right of way through the intersection. He observed U1 was stopped in the in the left turn lane of West Circle DR NW facing NB waiting to turn left onto WB 7 ST NW. D2 stated he (D2) was in the left lane of West Circle DR NW and merged over into the right lane prior to making it to the intersection to continue straight through the intersection. As he got to the intersection U1 made the left turn in front of U2 causing the front/ front right of U2 to strike the rear right wheel/ quarter panel of U1. Moderate disabled damage to U1. Severe disabled damage to U2.
D1 stated he was in the turn lane and waiting to turn. He did not see U2 and as he was mostly through the intersection and his turn U2 came around a vehicle and hit him. He added he felt U2 may have been speeding.
When asked neither reported injuries on scene.
Multi airbags deployed on U2.
Both vehicles towed by Pulvers due to disabled.
Parties given repot # and how to get a copy of this</t>
  </si>
  <si>
    <t>Unit 1 was behind Unit 2 traveling SB on West Circle Drive approaching 7 ST NW.  Unit 2 signaled to move into right turn lane.  Unit 1 also moved into right turn lane to try and pass Unit 2.  Unit 2 moved into right turn lane and was sideswiped by Unit 1.  Unit 1 had damage to driver's side mirror, door, tire, and passenger side tire from hitting curb.  Unit 2 had damage to rear passenger side and rear passenger side tire.  Unit 2 passenger side airbag (side) went off during the collision.  Both vehicle's towed by Pulver's.  No injuries.</t>
  </si>
  <si>
    <t>2017-59877</t>
  </si>
  <si>
    <t>V2 was northbound on West Circle Dr.  DV2 said she had a yellow light and was proceeding thru the light.  DV1 was stopped in the southbound left turn lane onto eastbound 7th St NW.  DV1 was being operated as an Uber.  The passenger in the right rear of V1 said the light was yellow for V1 and DV1 began his left turn when the front of V2 hit the right side of V1.  V1 continued and the front of V1 struck a light pole on the southeast corner of West Circle and 7th St.  DV1 taken to ST. Mary's hospital by Gold Cross Ambulance.  V1 towed by Rochester Tow.  No cites.  Cause Fail to yield by DV1.</t>
  </si>
  <si>
    <t>20-39668</t>
  </si>
  <si>
    <t>D2 stated she was at the stop light at 7 ST NW heading EB to make a left turn on to NB West Circle DR NW. The light was green and the car in front of her started to go into that intersection. D2 began to also go behind that car. The car in front of her abruptly stopped so she had to stop quickly so she did not hit that car. She stopped and U1 which was behind her collided the front of U1 into the rear of U2 causing minor damage to U2 (rear bumper area). D2 stated the collision nearly caused her veh to hit the veh in front of her but those 2 vehs did not collide. D2 stated that she was shaken up on scene. D2 stated later felt pain in her neck so she went to the DR and found she had at least suspected whiplash from the accident. 
D1 corroborated what D2 stated and agreed that when U2 stopped he was not able to stop in time and claimed fault for striking U2 with U1. He added D2 appeared shaken up on scene but he was not aware if she was injured. D1 stated low impact and very light to no damage on his veh. Light damage to the rear bumper of U2. No reported injuries from D1.
D2 (whiplash like)neck pain.
Reported light damage to the rear bumper area of U2.
Light to no damager reported on U1.
State report filed.</t>
  </si>
  <si>
    <t>Vehicles #1 &amp; #2 were both south on West Circle Drive approaching 7th Street NW.  Vehicle #2 saw the light turn yellow and slowed for the light.  Vehicle #2 came to a complete stop at now a red light.  Vehicle #1 was distracted by a bag/purse that was sitting at her feet.  Once she noticed the vehicle in front of her slowing she was unable to react quick enough and collided with the rear end of vehicle #2.  Both vehicles sustained minor damages and the owners were able to driver the vehicles away from the scene.</t>
  </si>
  <si>
    <t>21-26935</t>
  </si>
  <si>
    <t>0500023963950174-I</t>
  </si>
  <si>
    <t>Unit 2 stated he was legally stopped at the intersection of 7 ST NW and West Circle DR NW facing EB in the turn lane to take a right SB onto West Circle DR NW waiting on a red light. When the light turned green Unit 2 had to wait for traffic in front of him and Unit 1 unidentified (white, late model Dodge Caliber, no state plate, some type of dealer advertisement (Tom Kadlec) plate. Driver -male beard wearing a hat and cut off white t-shirt approx. 6 160 lbs) took off quickly at the light running the front of Unit 1 into the back of Unit 2 causing Unit 2 to then jump forward and run into the back of Unit 3. Unit 1 then took off without attempting to stop or exchange information.
Unit 3 stated she was legally stopped at the intersection of 7 ST NW and West Circle DR NW facing EB in the turn lane to take a right SB onto West Circle DR NW waiting on a red light. When the light turned green Unit 2 ran into the back of her veh. When she made contact with Unit 2 she found out another unknown veh hit him causing the collision.
Neither Unit 2 or 3 showed any clear contributing factors in the collisions.
No reports of injuries.
No air bag deployment.
No tows.
Moderate damage to the front and rear of Unit 2.
Minor damage to the rear of Unit 3.
Unknown damage to Unit 1 other than possible front end damage.
Hit and Run by Unit 1.
Unit 1 not located at the time of this report.
End of report.</t>
  </si>
  <si>
    <t>Unit #2 was stopped at the red light at 7 St NW/West Circle Dr NW. Unit #1 was eastbound on 7 St NW approaching West Circle Dr NW. Unit #1 did not pay attention to the red light, and struck the rear of Unit #2 in the rear. No injuries/no vehicles towed. Unit #1 issued a citation for Due Care at the scene. State report. Report Filed. Case closed/arrest.</t>
  </si>
  <si>
    <t>Unit 1 was traveling northbound on West Circle Dr. NW, approaching the intersection with 7th St. NW.  Unit 2 was traveling southbound on West Circle Dr. NW, also approaching the 7th St. NW intersection.  Unit 1 was attempting to go westbound on 7th St. NW and in the left turn lane.  Unit 2 was continuing south on West Circle, in the far right lane.  Unit 1 pulled out in front of Unit 2, and collided with Unit 2.
Driver of Unit 1 mentioned that he recently had shingles, which may had affected his eyesight.  The headlights of other vehicles had bothered him tonight.  
Driver of Unit 2 said he had a solid green light going through the intersection but was unable to avoid the collision when Unit 1 pulled out in front of him.  
Both vehicles had solid green lights while going through intersection.  Unit 2 front right passenger had minor injuries and was seen by Gold Cross, and ultimately taken to St. Mary's Hospital by her mother.  No other injuries.
Photographs taken &amp; uploaded.  Driver of Unit 1 cited for Fail to Yield Right of Way.</t>
  </si>
  <si>
    <t>Unit 1 driven by Mark Stutzman was turning West onto 7th street North West from West Circle Drive North West when he stuck Unit 2 driven by Julius De General.  General was driving South bound on West Circle Drive.  Both parties stated they had a green light. Stutzman was cited for fail to yield and No proof.  No injuries were reported.</t>
  </si>
  <si>
    <t>Drvr #1, S/B West Circle Drive NW going through 7ST NW intersection on green light when struck on right side of bus.
Drvr #2, E/B 7ST NW and slowing for red traffic light at West Circle Drive NW. Slid-skidded on ice through red light and struck bus.
Officer, No injuries. No sign of excess speed. On scene I witnessed other drivers skidding on 7ST NW at WCD due to the downhill icy road conditions.
City street crews came through and sanded both streets while I was on scene due to road conditions in the city.
No citations issued, but Drvr #2 warned for Duty To Drive With Due Care.
State property damage accident report filed.</t>
  </si>
  <si>
    <t>V1 was SB on WCD approaching 7th St. NW behind V2.  V2 had to stop for traffic and V1 ran into the rear of V2.  Both Drivers stated there was heavy traffic and rain at the time of the crash.  No injuries, no cite, Pulver's towed.  State report filed online.</t>
  </si>
  <si>
    <t>R18104445</t>
  </si>
  <si>
    <t>USTH 14</t>
  </si>
  <si>
    <t>0200000000000014-I</t>
  </si>
  <si>
    <t>MNMHP2000</t>
  </si>
  <si>
    <t>V1 was WB 14 attempting to make a left hand turn onto 7th St.  D1 stated he was watching another vehicle that was going to turn right off of EB 14, and then proceeded.  V2 was EB 14, when V1 pulled out onto the roadway in front of her.  No apparent injuries.  Both vehicles were towed.</t>
  </si>
  <si>
    <t>V1D1 WAS TURNING TO GO WB ON USTH 14 FROM 7TH ST NW.  V2D2 WAS IN LEFT LANE GOING EB ON USTH 14.  D2 ADMITTED SHE WAS OVER THE POSTED SPEED LIMIT OF 65 MPH (70).  WITNESS 1 WAS DIRECTLY BEHIND V2 AND WITNESS ADMITTED SHE WAS SPEEDING AT 75 BUT WAS GAINING ON V2.  WITNESS 2 WAS IN THE RIGHT LANE OF EB USTH 14.  V1D1 PULLED OUT IN FRONT OF V2.  THEY COLLIDED AND BOTH WENT OFF THE ROAD INTO THE MEDIAN.</t>
  </si>
  <si>
    <t>Vehicle 1 was driving eastbound on Hwy 14 in the left lane.  Traffic rapidly slowed down ahead so Vehicle 1 slowed down.  Veh 2 was also driving east bound on Hwy 14 in the left lane behind Veh 1.  Veh 2 driver told me Veh 1 slowed rapidly ahead of him so he slowed down.  Driver of Veh 2 said he couldn't slow down in time so he steered to the left however, he still struck the rear of Veh 1.  Veh 2 came to rest in the median after he struck the left rear of Veh 1.  Veh 2 driver's right hand had an abrasion on it from the airbag.  No other injuries.</t>
  </si>
  <si>
    <t>0200000000000014-D</t>
  </si>
  <si>
    <t>This vehicle was driving east bound on Hwy 14.  The driver told me she slowed down and began to turn right onto 7th Street NW.  Veh 1 was driving too fast, slid off of the right side of Hwy 14 and lightly struck the end of a guardrail.  There was light damage to the front of the vehicle.</t>
  </si>
  <si>
    <t>Veh 1 was driving eastbound on Hwy 14 in the left lane approaching 7th Street NW.  Veh 2 was behind Veh 1.  Veh 3 was behind Veh 2. Veh 4 was behind Veh 3.  All four vehicles were driving eastbound Hwy 14 in the left lane.  According to Veh 1 and Veh 2 drivers, a blue Ford Focus was driving eastbound on Hwy 14 ahead of Veh 1 in the left lane.  They said the Ford Focus abruptly and rapidly slowed down without signaling and made a U-turn at the 7th Street intersection.  Veh 1 driver said she slowed down rapidly to avoid colliding with the Ford Focus.  Veh 2 driver said he stopped in time to avoid colliding with Veh 1.  Veh 3 struck the rear of Veh 2 pushing Veh 2 into the rear of Veh 1.  Veh 4 struck the rear of Veh 3.  According to Veh 2 driver, the Ford Focus drove westbound on Hwy 14 and did not stop.  The Ford Focus was the at-fault vehicle.</t>
  </si>
  <si>
    <t>This crash occurred on eastbound USTH 14 just east of the 7th St NW intersection. 
The driver of unit 1 was pulling a trailer northbound on 7th St NW and stopped for the stop sign at the intersection of USTH 14. The driver of unit 1 turned east onto eastbound USTH 14. The driver of unit 1 turned sharply and the tire of his trailer dipped of the shoulder into the gravel. This forced the martial in his trailer (tile and multiple 5 gallon pales of motor mix) to shift toward the back door of the trailer. When the material hit the trailer door, it broke the padlock off. The padlock was securing the the back door. The door of the trailer broke open and multiple 5 gallon pales of motor mix spilled over the right lane of eastbound USTH 14. The driver of unit 1 rerouted back to the area and began to pick up the debris. At this time, unit 2 and unit 3 were both eastbound in the right lane. The driver of unit 3 saw the debris and merged into the left lane. The driver of unit 2 saw the debris and merged into the left lane. While merging, unit 2 collided with the rear end of unit 3 in the left lane of eastbound USTH 14. 
The driver of unit 1 stated he turned onto eastbound USTH 14 and felt and heard his trailer hit a bump on the shoulder. He looked back and saw his equipment spill onto USTH 14. He said he spun around and began to clean up the debris. While he was cleaning the debris, he heard a loud bang, looked up and saw unit 2 and unit 3 after they collided. He estimated they were traveling approximately 30- 40 MPH. 
The driver of unit 2 said she saw unit 3 merge into the left lane and thats when she saw the debris. The driver of unit 2 stated she was in the right lane and later in the left lane. I asked her again and she said she was in the right lane before the crash.
The driver of unit 3 said she was in the right lane and saw the debris and merged into the left lane to avoid it. After she was in the right lane, she said her vehicle was struck by unit 2. The passenger of unit 3 sustained possible injuries and was transported to St. Mary's hospital via ground ambulance. 
Unit 2 has damage to the front driver's side head light and unit 3 has damage to the rear passenger's side.</t>
  </si>
  <si>
    <t>This crash occurred on USTH 14 EB at 7th St NW.  V1 (Saturn) was NB 7th St Nw, stopped at the stop sign.  V2 was EB USTH14 in the right lane around 40 mph with the hazard lights on.  D2 stated there felt like there was an engine problem so she was going to pull over to the shoulder.   V1 started to cross US14 in front of V2.  D1 stated she thought V2 was going to turn right onto SB 7th St NW.
The front of V1 struck the right front of V2.  V1 sustained moderate damage to the front and was later towed from the scene.  V2 sustained minor damage to the front and was able to drive from the scene.  No injuries reported.</t>
  </si>
  <si>
    <t>0800006595000226-I</t>
  </si>
  <si>
    <t>V1D1 AND V2D2 WERE BOTH WESTBOUND ON 7TH ST NW AT THE INTERSECTION WITH USTH 14 EASTBOUND LANES.  V2 WAS IN THE LEAD.  SHE STARTED TO MOVE AT THE STOP SIGN TO MAKE A RIGHT TURN ONTO HWY 14 BUT THEN STOPPED DUE TO EASTBOUND TRAFFIC.  D1 WAS LOOKING TO HIS LEFT AT EASTBOUND TRAFFIC AND HAD THOUGHT V2 HAD MOVED INTO THE LANES SO HE WENT FORWARD.  V1 REAR-ENDED V2.  VERY MINOR DAMAGE BUT PROBABLY OVER THE $1000 THRESHOLD FOR CRASH REPORT.</t>
  </si>
  <si>
    <t>Veh 1 was driving westbound on Hwy 14 in the left lane.  Veh 2 was driving westbound on Hwy 14 behind Veh 1.  There was a crash scene at the intersection of Hwy 14 and 60th Ave NW.  Veh 1 driver said she slowed down for the crash ahead.  Veh 2 did not slow down in time and rear ended Veh 1.</t>
  </si>
  <si>
    <t>V1 SB 60TH AVE ATTEMPTING TO CROSS HWY 14. V2 WB IN LEFT LANE OF HWY 14. V3 EB IN LEFT LANE OF HWY 14. V4 EB IN RIGHT LANE OF HWY 14.  V1 PULLED OUT IN FRONT OF V2 AND THEY COLLIDED IN THE WB LANES OF 14. V2 THEN PROCEEDED ACROSS INTO EB LANES AND WAS THEN STRUCK BY V3 AND V4.  D1 STATED HE WAS ATTEMPTING TO CROSS HWY 14 AND THOUGHT IT WAS CLEAR. HE HAD WAITED FOR A VEHICLE TO MAKE A RIGHT TURN AND THEN PROCEEDED ACROSS THE INTERSECTION AND WAS STRUCK BY V2.  D2 STATED SHE WAS WB ON 14 IN THE LEFT LANE. SHE SAID V1 PULLED OUT IN FRONT OF HER AND SHE SWERVED TO THE LEFT TO AVOID A COLLISION, BUT WAS UNABLE TO DO SO. SHE SAID THEY THEN CROSSED INTO THE EB LANES, BUT COULD NOT SEE ANYTHING AS ALL THE AIRBAGS HAD DEPLOYED.  D3 STATED SHE WAS EB ON HWY 14 IN THE LEFT LANE. SHE STATED THAT V1 AND V2 COLLIDED AND V2 CAME ACROSS INTO HER LANE AND SHE WAS UNABLE TO AVOID A COLLISION.  D4 STATED HE WAS EB ON HWY 14 IN THE RIGHT LANE WHEN V1 AND V2 COLLIDED CAUSING V2 TO COME ACROSS WHERE HE STRUCK IT AS WELL.  WITNESS STATED V1 PULLED OUT IN FRONT OF V2 CAUSING THE SUBSEQUENT CRASHES.</t>
  </si>
  <si>
    <t>Crash was westbound USTH 14 at Olmsted County Road 104
Vehicle #1 stated that she was westbound in the right hand lane, she observed a vehicle pulling out to go west onto USTH 14 from CR 104 in front of her. D#1 stated that in order to avoid a high speed crash with this vehicle that did not yield to her she looked quickly and made a lane change into the left lane. D#1 stated that she must not have seen vehicle #2 that was westbound in the left lane and made contact with the driver side of her vehicle with the passenger side of vehicle #2. V#1 then spun around, she thought 360 degrees and came to rest in the grass median just west of the intersection.
V#2 came to rest west of the intersection and stopped on the right hand shoulder of the road. D#2 stated that V#1 veered into her lane and struck her vehicle. D#2 did not notice the vehicle that was turning in front of V#1. 
No injuries, very minor damage to V#2, no visible damage to V#1. 
The vehicle that alleged to have caused this crash by turning in front of V#1 did not stop.</t>
  </si>
  <si>
    <t>V1 SB ON CR104 AND V2 WB ON HWY 14. V1 PULLED IN FRONT OF V2 AND WAS STRUCK ON DRIVERS SIDE DOOR. D1 STATED HE WAS SB ON CR104 AND ATTEMPTING TO GO E ON HWY 14. D1 SAID HE THOUGHT THE ROAD WAS CLEAR AND WAS THEN STRUCK BY V2.</t>
  </si>
  <si>
    <t>Unit 1 was a Chrysler mini-van MN license plate HA2701.  Unit 1 was driven by Eugene Paul Yenter (04/09/1935).  The passenger in Unit 1 was Lawrence Gene Yenter (01/28/1967).
Unit 2 was a Pontiac G6 MN license plate 723WGP.  Unit 2 was driven by Laurie Lynn Thompson (11/021988). 
After speaking with both YENTER and THOMPSON, both parties had the same recollection of events from this crash.  YENTER stated he was stopped at the stop sign from Southbound 60th avenue and wanting to cross the Westbound lanes of traffic from USTH 14, get to the median, and then go Eastbound on USTH 14.  YENTER stated that he was looking at traffic traveling Eastbound and saw he had an opening, but said when he checked traffic traveling Westbound, he did not see any so he attempted to get to the crossover, but that is when the collision with THOMPSON happened. 
THOMPSON had the same recollection.  THOMPSON stated that she was traveling Westbound on USTH 14 approaching 60th avenue in the right lane, going approximately 68 MPH.  THOMPSON stated that as she was approaching 60th avenue, a van pulled out in front of her and they collided.  
No injuries were reported in this crash.  CSC towing out of Rochester towed both vehicles.  All parties were wearing seat belts, and there was no airbag deployment in either vehicle.  Lawrence Yenter, the passenger in Unit 1, is handicapped and in a wheel chair, so R&amp;S came to the scene to transport him.  Olmsted County along assisted with traffic control.  YENTER was cited with MN Statute 169.20.3(A), Fail to yield at Entrance of through highway after having stopped.</t>
  </si>
  <si>
    <t>Vehicle 1 was driving westbound on Hwy 14 in the left lane.  Veh 2 was stopped at a stop sign on southbound County Road 104 at Hwy 14.  According to driver of Veh 1, Veh 2 drove southbound across the westbound lane in front of her.  Veh 1 driver she there was a vehicle in the right lane next to her when Veh 2 drove in front of her.  Veh 1 struck the rear of Veh 2.  Veh 1 came to rest on the right shoulder of Westbound Hwy 14.  Veh 2 stopped in the median crossover.  Veh 2 driver said she thought a plumbing van (not Veh 1) hit her then it left.  Veh 2 driver said she left as well and tried calling the plumbing company but didn't think to call Law Enforcement.  This came out a a hit and run since Veh 2 left.  I had to use the license plate, a witness called in (did not see crash but saw Veh 2 leaving right after) to track Veh 2 down.  Driver of Veh 2 admitted to driving southbound across the westbound lanes and didn't see Veh 1.</t>
  </si>
  <si>
    <t>Clear day, clear visibility, 41 degrees, no precipitation.  Vehicle 1 (F150) was southbound on 60th Ave NW attempting to cross over USTH 14 and continue south.  Vehicle 2 was westbound USTH 14.  Driver 1 said he thought he had a clearing and attempted to cross USTH 14.  He said he thought he was going to be in the middle turn lane when his airbags went off and he found himself spinning into the median.  
Driver 2 said he was westbound on USTH 14 when driver 1 pulled out in front of him.  He said he had traffic to his left and had now where to go to avoid the crash.
Vehicle 2 struck vehicle 1 in the driver's side front door/ A pillar area.  After impact both vehicles went into the median.  
Both driver's denied needing medical attention.
Driver 1 was cited for failing to yield right of way.
End of report
Trooper Josh Kuisle</t>
  </si>
  <si>
    <t>At approximately 15:20 hours on 10/29/2017, Unit 1 was southbound on 60th Ave NW approaching the intersection of Hwy 14. Unit 2 was traveling westbound Hwy 14 and approaching the intersection of 60th Ave. Unit 1 entered the intersection and failed to yield right-of-way to Unit 2. Unit 1 front-end collided into Unit 2 passenger side. Unit 1 spun around 180 degrees in the middle of the intersection. Unit 2 continued westbound into the median of Hwy 14 just west of the intersection. 
Unit 2 front airbags deployed. Both occupants in Unit 2 were wearing their seatbelt properly. Byron Fire had to use extrication tools to remove the passenger side door of Unit 2 to get the passenger out safely. Driver and passenger of Unit 2 were transport to St. Mary's Hospital for treatment of non-life threatening injuries by Gold Cross Ambulance. 
No airbags deployed in Unit 1. Both occupants in Unit 1 were wearing their seatbelt properly. Driver of Unit 1 was taken to St. Mary's Hospital for treatment of non-life threating injuries by Gold Cross Ambulance. Passenger of Unit 1 suffered no injuries during the collision. Driver of Unit 1 was cited fail to yield-right-of-way while entering roadway.  Driver of Unit 1 on scene and at the hospital stated that he doesn't remember how the crash occurred. Passenger of Unit 1 at the scene stated that she was looking at eastbound traffic so she didn't see the car coming from the west. 
Jeffery Vexich was traveling eastbound on Hwy 14 and stated that he saw the crash occur. Vexich is also the first person to report the crash to dispatch. Vexich stated that he saw Unit 1 failed to yield right-of-way to Unit 2 by entering the roadway.
Both vehicles were towed by CSC Towing out of Rochester. Olmsted County Sheriffs, Byron Fire, and Gold Cross Ambulance assisted on scene. 
Driver of Unit 2 was mailed crash info sheet and MN Crash Report form. Driver of Unit 2 was given crash info sheet, MN Crash Report form and citation at his residence.</t>
  </si>
  <si>
    <t>At approximately 16:45 hours on 06/22/2018 Unit 1 was westbound on Hwy 14 approaching the intersection of 60th Ave NW.
Unit 2 was southbound 60th Ave NW attempting to cross westbound Hwy 14 to get onto eastbound Hwy 14. There was a truck and trailer occupying the median of Hwy 14. Unit 2 was stopped behind the truck and trailer facing southbound blocking the left lane of westbound Hwy 14. Unit 2 failed to yield right-of-way to Unit 1. Unit 1 front-end collied into driver side of Unit 2.
All airbags deployed in Unit 1. Driver in Unit 1 was wearing her seatbelt properly. Unit 1 suffered severe disabling damage during the
collision. Pulvers towed the vehicle. Driver was transported to St. Mary's Hospital for treatment of non-life threatening injuries that were suffered during the collision. Driver of Unit 1 was given crash info sheet at St. Mary's Hospital. 
All airbags deployed in Unit 2. Driver of Unit 2 needed to be extricated by mechanical means by Rochester Fire Department. Driver in Unit 2 was wearing his seatbelt properly. Unit 2 was towed by Pulvers Towing due to severe disabling damage. Driver of Unit 2 was cited for blocking traffic. Driver was transported to St. Mary's Hospital for treatment of non-life threatening injuries that were suffered during the collision. Driver of Unit 1 was given crash info sheet and citation at St. Mary's Hospital. 
Multiple witnesses at the scene of the crash stated that they saw Unit 2 blocking the left lane of Hwy 14. Taped statements from the drivers were gathered at the hospital. Taped statements from both drivers are available upon request.</t>
  </si>
  <si>
    <t>At approximately 15:28 on 06/20/2019 Unit 1 was southbound 60th Ave at the intersection of Hwy 14. Unit 2 was westbound Hwy 14 approaching the intersection of 60th Ave. Unit 1 was attempting to cross the westbound lanes of Hwy 14. Unit 1 failed to yield right-of-way to Unit 2. Unit 2 collided into Unit 1. 
The driver of Unit 1 was not injured during the collision. The driver of Unit 2 suffered a minor injury to his hand. Both Drivers were wearing seatbelt properly. 
Driver of Unit 1 was emailed his crash info sheet and citation for Intersection Gridlock. Driver of Unit 1 was unable to clear the intersection before oncoming traffic collided into his vehicle. Unit 2 driver was given crash info sheet at the hospital.</t>
  </si>
  <si>
    <t>EB USTH 14, 400 FEET E OF CR 104</t>
  </si>
  <si>
    <t>Crash location: Eastbound USTH 14, approximately 400 feet east of CR 104 (60th Ave. NW), in County of Olmsted
Unit #2 had entered EB Highway 14 from SB CR 104. Unit #2 was in left lane and picking up speed.
Unit #1 was EB on Highway 14 in left lane. Unit #1 ran into the rear of Unit #2.
D#2 stated the following: 
Turned EB onto Highway 14 from SB CR 104 (60th Ave. NW)
Stopped in crossover and waited for traffic to pass, when entered highway saw 3 EB vehicles in right lane back by the curve but no vehicles in left lane
Was up to about 35 MPH when got hit from behind
D#1 stated the following:
Was in the left lane at 69-70 MPH (had been in left lane since Byron) (not sure if cruise set or not)
Had bowl of oatmeal in lap and spooning it into mouth without looking down 
Swerved to right when noticed truck directly in front but roadway slick and couldn't avoid
Just got back from Hawaii were belongings had been stolen while there
Worked 10 hour shift yesterday
Haven't gotten good rest due to aforementioned reasons and worn out
Roadway damp from other traffic tracking snow onto highway from CR 104 intersection.
Trailer License for Unit 2: (MN) 9087STP
SP 485 performed Post-Crash Inspection on Unit 2.</t>
  </si>
  <si>
    <t>Vehicle 1 was driving eastbound Hwy 14 in the right lane approaching 60th Ave NW.  Vehicle 2 was stopped at the stop sign on northbound 60th Ave at Hwy 14.  There was a pick-up truck driving eastbound on Hwy 14 in the right turn lane to turn south onto 60th Ave.  The driver of vehicle 1 told me he saw the truck in the right turn lane and he saw vehicle 2 behind it at the stop sign.  Vehicle 1 driver told me as a precaution, he moved to the left lane to avoid vehicle 2 in case it didn't see him and pull out into Hwy 14.  Vehicle 2 driver told me she didn't see vehicle 1 behind the pick-up in the turn lane so she drove northbound across Hwy 14.  As vehicle 1 drove into the intersection vehicle 2 struck the right rear of vehicle 1.  Vehicle 1 spun into the grassy median and stopped. Vehicle 1 driver told me he felt a little sore from the crash.  Vehicle 2 driver told me it was her fault since she didn't see vehicle 1.  Vehicle 2 driver was cited for failing to yield right of way.</t>
  </si>
  <si>
    <t>The Toyota SUV was westbound on US Highway 14 near the junction with 60th Avenue. The Ram pickup truck, which was pulling a trailer with Minnesota registration CTX9081, was southbound on 60th Avenue at the junction with US Highway 14. 
The Ram pickup truck pulled across the westbound lanes of US Highway 14 and stopped in the crossover to wait for an opening in eastbound traffic so that it could continue southbound on 60th Avenue. The trailer that the Ram was pulling was stopped partially blocking the left lane of westbound US Highway 14. The Toyota SUV applied brakes but was unable to avoid the collision.  The front of the Toyota struck the left rear of the trailer. There were no reported injuries.  
The driver of the Ram pickup truck was issued a citation for duty to drive with due care.</t>
  </si>
  <si>
    <t>Location: USTH 14/60th Avenue NW.
V1 stopped at stop sign at intersection of 60th Avenue NW and USTH 14, facing south. V2 westbound USTH 14 in left lane. V1 pulled out from stop sign in front of V2. V2 swerved left and the front, left of V1 struck the right side of V2.
D1 stated she was stopped at the stop sign, waiting to to turn left onto USTH 14. Said there was a semi making a right turn from USTH 14 westbound onto 60th Ave NW. Said she thought it was clear because she looked down to the third or fourth telephone pole along the side of the highway and it looked clear. Said she pulled out from the stop sign and V1 struck V2. Said she didn't see V2 coming westbound before she pulled out from the stop sign. Said no injuries and seatbelts worn.
D2 stated he was westbound on USTH 14 in the left lane, going 55-60 mph. Said V1 pulled out from the stop sign in front of him and he swerved left to try and avoid it. Said V1 struck the side of V2. Said he wasn't injured and was wearing his seatbelt.
V1 towed by CSC towing for moderate, disabling damages. V2 driven from scene.
D1 cited Failure to Yield at Ent. to Through Highway after having stopped (169.20.3(A)). Citation #881906180920.</t>
  </si>
  <si>
    <t>USTH 14 EB</t>
  </si>
  <si>
    <t>V1D1 WAS NB ON CR 104 (60TH AVE SW) TRYING TO CROSS THE EB LANES OF USTH 14 TO THE MEDIAN CROSSOVER TO GO WB ON USTH 14.  V2D2 WAS EB ON HWY 14 IN THE RIGHT LANE.  D2 SAW V1 START TO PULL OUT FROM THE STOP SIGN ONTO THE HIGHWAY AND BELIEVED V1 WAS TURNING EB.  HE MOVED TO THE LEFT LANE TO GO AROUND HER BUT SHE CONTINUED NORTH TOWARDS THE MEDIAN.  THEY COLLIDED IN THE LEFT LANE.  D1 SAID SHE DIDN'T SEE V2 WHEN SHE LEFT THE STOP SIGN.  D1 CITED FOR FAIL TO YIELD RIGHT OF WAY.</t>
  </si>
  <si>
    <t>V1 SB FROM 60TH AVE ATTEMPTING TO GO WEST ON 14. V2 WB ON 14 IN THE RIGHT LANE. V1 PULLED OUT IN FRONT OF V2 AND V2 WAS UNABLE TO SLOW IN TIME AND STRUCK V1. D1 STATED HE WAS IN THE MIDDLE ATTEMPTING TO GO WEST ON 14. D1 STATED HE DID NOT SEE V2 AND PROCEEDED TO GO WEST. STATED HE THEN SAW V2, BUT WAS UNABLE TO MOVE OR SPEED UP FAST ENOUGH TO AVOID A CRASH. D2 STATED SHE WAS WB IN THE RIGHT LANE WHEN V1 PULLED OUT IN FRONT OF HER. SHA STATED SHE WAS UNABLE TO SLOW IN TIME AND STRUCK V1. OLMSTED SGT WALLACE OBSERVED CRASH AND STOPPED TO ASSIST BEFORE MY ARRIVAL. WALLACE ADVISED HE SAW V1 PULL OUT IN FRONT OF V2 AND V2 WAS UNABLE TO SLOW IN TIME TO AVOID THE COLLISION. NO INJURIES. MINOR DAMAGE TO V2.</t>
  </si>
  <si>
    <t>60TH AVE NW (CR 104)</t>
  </si>
  <si>
    <t>V1D1 WAS SOUTHBOUND ON CR 104 PLANNING TO CROSS THE WB LANES OF USTH 14.  V2D2 WAS WB ON HWY 14 IN THE LEFT LANE AND V3D3 WAS ALSO WB ON HWY 14 BUT IN THE RIGHT LANE.  D1 STATED HE DID NOT SEE THE TWO WB VEHICLES AND BEGAN TO CROSS.  V1 COLLIDED WITH V2 AND THEN V1 RICOCHETED INTO V3.  V2 THEN SPUN OFF OF THE ROADWAY.  D1 CITED FOR FAIL TO YIELD RIGHT-OF-WAY.</t>
  </si>
  <si>
    <t>Vehicle was driving westbound on Hwy 14.  Based on the evidence I looks like the vehicle attempted to turn right (north) onto 60th Ave and ran off the right side of the roadway into a guardrail.  Vehicle drove through the guardrail and landed in the ditch.  The driver and a passenger left the scene.  I was not able to speak with the driver or passenger.</t>
  </si>
  <si>
    <t>V1 SB Olmsted CR 104 (60th Ave NW) stopped at US-14 stop sign.  V2 WB US-14, left lane, 65 mph, at CR 104.  V1 started to cross US-14.  D1 stated she did not see V2.  The front of V2 struck the left rear of V1.  Both vehicles came to rest in the median at the CR 104 and US-14 intersection.  D1 had right leg pain, checked and cleared by Gold Cross.  Both vehicles towed from the scene. D1 cited for Fail to Yield at Entrance of Through Highway after having Stopped.</t>
  </si>
  <si>
    <t>V1 NB CR104 at US Highway 14 stopped at the stop sign.  V2 EB US-14 at CR104.  V1 attempted to cross US-14 NB in front of V2.  The right front of V2 struck the left side of V1.  V1 was pushed into the EB ditch, spun, and rolled over.  D1 had to be extracted from the vehicle.  D1 sustained serious injuries and was transported to St. Mary's hospital by air.  V1 sustained total damage and was towed by Byron Auto.  V2 sustained moderate damage and was towed by Pulver's.
D1's injuries later resulted in a fatality.</t>
  </si>
  <si>
    <t>Vehicle 1 was driving eastbound on Hwy 14 in the left lane approaching 60th Ave.  Vehicle 2 turned from southbound 60th Ave to go eastbound on Hwy 14.  Vehicle 2 turned into the left lane in front of Vehicle 1.  There was another vehicle already in the right lane. Vehicle 1 driver and witness said vehicle 1 had nowhere to go.  Vehicle 1 driver swerved to avoid a collision with vehicle 2.  Vehicle 1 drove through the median, across the westbound lanes of Hwy 14 and came to rest in the north ditch of the westbound lanes of Hwy 14.  Vehicle 2 continued driving eastbound on Hwy 14.  The witness took a photo of Veh 2 and sent it to me.  The witness told me Vehicle 2 drove in front of Vehicle 1 leaving Vehicle 1 nowhere to go but in the ditch to avoid a collision.  When I spoke with Vehicle 2 driver he told me he drove onto eastbound Hwy 14 and his car had a mechanical problem and failed to accelerate properly.  Driver of Vehicle 1 was a cited for not having a driver's license.  Vehicle 2 driver was cited for failing to yield at a through highway since he had a stop sign.</t>
  </si>
  <si>
    <t>This crash occurred at US Highway 14 and 60th Ave SW.
V1 was SB 60th Ave SW, stopped at the stop sign.  V2 was WB US-14, LL, around 65 mph.
V1 attempted to cross US-14.  The LF of V1 struck the front of V2.  Both vehicles came to rest in the median.
No injuries reported.
D1 cited Fail to Yield Right of way.</t>
  </si>
  <si>
    <t>This crash occurred at the intersection of US-14 WB and 60th Ave NW.  V1 (red pickup) was SB 60th Ave, stopped at the stop sign.  V2 (white car) was WB US-14 around 65-70 mph.  US-14 traffic was heavy at the time of the crash.   V1 attempted to cross the WB lanes.  The front of V2 struck the left side of V1.  Both vehicles sustained severe damage and were towed from the scene.  No injuries reported at the scene.
D1 cited Fail to Yield at Ent. of Through Highway After Having Stopped.</t>
  </si>
  <si>
    <t>Veh 1 and veh 2 were both in cross over turn lane of HWY 14.  Veh 1 was waiting to turn east on HWY 14.  Veh 2 was waiting to go north on to 60th Ave.  Veh 1 driver said she saw an opening in traffic and attempted to turn on to HWY 14 but turned too tight and hit the back of veh 2 with the front left fender of her veh.</t>
  </si>
  <si>
    <t>V1 ATTEMPTING TO TRAVEL N ONTO CR 104 FROM 14 E. V2 WB ON 14. V1 AND V2 COLLIDED IN WB LANES. D1 STATED HE WAS ATTEMPTING TO GO N ON 104 AND MISJUDGED THE DISTANCE FROM HIM AND V2 AND STRUCK V2 IN THE DRIVERS SIDE. D2 STATED HE WAS WB ON 14 WHEN HE OBSERVED V1 ENTERING INTO THE WB LANES OF TRAFFIC. HE STATED HE TRIED TO AVOID A COLLISION, BUT WAS UNABLE TO DO SO. NO INJURIES. BOTH VEHICLES DRIVEABLE.</t>
  </si>
  <si>
    <t>V1 WB US14 at 60th Ave NW, slowing to make R turn to NB 60th Ave around 35 mph.   V1 lost control and spun-out.  V2 was behind V1.  The front of V2 struck the front of V1.
No injuries reported.</t>
  </si>
  <si>
    <t>WB USTH 14</t>
  </si>
  <si>
    <t>Crash location: Westbound USTH 14 @ intersection with 60th Ave NW (CR 104), in the County of Olmsted.
Unit #1 was southbound on 60th Ave. NW, attempting to cross the westbound lanes of Highway 14. Unit #2 was westbound on Highway 14 in the left lane. Unit #1 and Unit #2 collided in the intersection. 
The intersection is controlled with stop signs on 60th Ave.NW.
D#1 stated she stopped at the stop sign and didn't see unit #2 coming when she pulled out attempting to cross.
D#2 stated she just entered westbound Highway 14 from 7th Street NW and was in the left lane. D#2 stated she braked but could not avoid.</t>
  </si>
  <si>
    <t>CR 44</t>
  </si>
  <si>
    <t>V1 ATTEMPTING TO MAKE LEFT TURN FROM EB 14 TO GO NORTH ON CR 44 (60TH AVE NW). V2 WB ON HWY 14. V1 AND V2 COLLIDED IN WB LANES OF HWY 14.  D1 STATED HE WAS ATTEMPTING TO GO NORTH ON CR 44 (60TH AVE) FROM EB HWY 14. D1 SAID HE DID NOT SEE V2 AND PULLED OUT TO CROSS THE WB LANES AND WAS STRUCK IN THE PASSENGER SIDE BY V2. D2 STATED HE WAS WB ON HWY 14 WHEN V1 PULLED OUT IN FRONT OF HIM AND THEY COLLIDED IN THE WB LANES.</t>
  </si>
  <si>
    <t>Vehicle 1 was stopped at the stop sign at southbound 60th Ave at the intersection with Hwy 14.  Vehicle 2 was driving westbound on Hwy 14 in the right lane approaching 60th Ave.  Veh 1 driver told me she stopped at the stop sign and then proceeded forward to make a left turn onto Hwy 14.  Veh 1 then struck the right side of Veh 2.  Driver of Veh 2 said she was driving westbound on Hwy 14 in the right lane when she saw Veh 1 stopped at the stop sign then begin to drive onto Hwy 14 in front of her.  Driver of Veh 2 said she swerved towards the left lane to avoid Veh 1 but Veh 1 kept driving forward and drove into the right side of Veh 2.   Witness said Veh 1 had stopped at the stop sign, then drove forward from the stop sign into the right side of Veh 2.  Veh 2 was driving on a four lane Hwy  and did not have a stop sign.  Veh 1 failed to yield right of way to Veh 2.</t>
  </si>
  <si>
    <t>V1 EB IN R LANE OF HWY 14. UNKNOWN VEHICLE MOVED INTO R LANE CAUSING D1 TO SWERVE ONTO SHOULDER TO AVOID COLLISION. V1 STRUCK GUARDRAIL AND THEN VEERED ACROSS EB LANES OF TRAFFIC. V1 WAS THEN STRUCK BY V2 IN THE LEFT EB LANE OF TRAFFIC.  D1 STATE SHE WAS EB ON HWY 14 IN THE RIGHT LANE.  D1 SAID A TAN SUV MOVED FROM THE LEFT LANE INTO THE RIGHT LANE FORCING HER TO SWERVE ONTO THE SHOULDER TO AVOID A COLLISION.  D1 STATED THAT AS A RESULT SHE STRUCK THE END OF THE GUARDRAIL AND THEN THE VEHICLE VEERED ACROSS THE EB LANES WHERE SHE WAS STRUCK BY V2 AND ENDED UP IN THE MEDIAN.  D2 STATED HE WAS EB ON HWY 14 IN THE LEFT LANE WHEN HE OBSERVED AN SUV CUT OFF V1 CAUSING HER TO HIT THE BRAKES AND SWERVE TO THE RIGHT ULTIMATELY STRIKING THE END OF THE GUARDRAIL AND VEERING IN FRONT OF HIM.  D2 STATED HE COLLIDED WITH V1 IN THE LEFT LANE.</t>
  </si>
  <si>
    <t>V1 WAS NB ON CR 104 STOPPED AT THE STOP SIGN WITH US 14 WAITING TO MAKE A RIGHT TURN.  V2 WAS BEHIND V1.  DRIVER OF V2 THOUGH V1 MADE THE RIGHT TURN. V2 BEGAN TO ROLL AHEAD WHILE LOOKING LEFT AT TRAFFIC. V2 HIT V1.  THERE WERE NO INJURIES REPORTED.</t>
  </si>
  <si>
    <t>There was very little info gathered from this crash due to the drivers exchanging info at the scene and then leaving the scene because they thought they did enough. Neither party reported the crash at the scene. The driver of Unit 2 reported the crash later in the evening after talking to insurance company. Was unable to talk to driver of Unit 1. Unit 2 driver provided me with a photo of Unit 1 driver and Insurance info. Had to look up vehicle involved on the DVS website. 
At approximately 20:00 hours on 02/28/2020 Unit 1 was northbound 60th Ave at the intersection of Hwy 14. Unit 2 was eastbound Hwy 14 approaching the intersection of 60th Ave. Unit 1 failed to yield right-of-way to Unit 2. Unit 2 front-end collided into rear end of Unit 1. Unit 2 suffered moderate damage. Unknown what the extent of the damage was for Unit 1. Unit 1 was able to driver away from the crash scene. No one was injured during the collision. Driver of Unit 2 was given a crash info sheet and driver of Unit 1 was mailed a crash info sheet to her address on her driver license.</t>
  </si>
  <si>
    <t>Location : 60th Ave NW and Hwy 14
U2 was at the stop sign, waiting for traffic so he could make a left hand turn onto Hwy 14 EB. U2 started to move forward. U2 had to stop and wait for traffic. U1 started to move forward and kept watching traffic. U1 then rear ended U2. U1 and U2 both received minor damage. No injuries. No vehicle was towed. D1 was cited for Duty to Drive with Due care.
D1 stated : U2 started moving forward, so she started moving forward. She stated she kept watching traffic. She did not notice U2 stopped again to wait for cross traffic. D1 stated she was watching cross traffic and next things she knew she rear ended U2.
D2 stated : He started to move forward but had more cross traffic that he had to wait for before he could make his left hand turn. He said he stopped for cross traffic and next thing he felt was U1 rear end his truck.</t>
  </si>
  <si>
    <t>This crash occurred on US-14 at the intersection of 60th Ave NW in Olmsted County.  V1 SB 60th Ave NW, crossed the WB lanes of US-14 and stopped in the median cross section.  Another SB vehicle entered the cross section after V1 and proceeded EB ahead of V1. 
The bicycle crossed the EB lanes NB on 60th Ave NW after the other vehicle went EB on US-14.  V1 the started to turn EB when the front of V1 struck the back tire of the bicycle.  V1 was around 5 mph at time of impact.  The bicyclist was thrown from the bike and sustained minor scrapes and bruises.  
Both parties left the scene in V1 and drove to D1's work location.  Both parties denied medical attention.
D1 cited Fail to Yield (making left turn). V1 sustained no visible damage.  The bicycle sustained scratches and disabling damage to the front and handlebars.</t>
  </si>
  <si>
    <t>UNIT 1 WAS EB ON USTH 14 TURNING NORTH ONTO 60TH AVE. THE DRIVER OF UNIT 1 STATED THERE WAS A TRUCK PULLING LAWN MOWERS IN THE WESTBOUND TURN LANE TO SOUTH BOUND 60TH AVE. THE DRIVER OF UNIT 1 SAID THE TRUCK WAS BLOCKING HS VIEW. THE DRIVER THOUGHT THERE WAS NO ONCOMING TRAFFIC. THE DRIVER OF UNIT 1 STATED AFTER HE PULLED OUT HE SAW UNIT 2 COMING AND SAID THIS IS GONNA HURT. THE DRIVER OF UNIT 2 STATED SHE WAS WESTBOUND ON USTH 14 PASSING THROUGH THE 60TH AVE INTERSECTION AND SAW A WHITE WORK TRUCK PULL OUT AND IT HIT HER. THE DRVER OF UNIT 2 SAID SHE WAS GOING 65 MPH.</t>
  </si>
  <si>
    <t>On 11/19/2020 at approximately 17:00 Unit 1 was southbound 60th Ave stopped at the intersection of westbound Hwy 14 in Kalmar township. Unit 2 was westbound Hwy 14 in the right lane approaching the intersection of 60th Ave. Unit 3 was southbound in the median of westbound Hwy 14 and eastbound Hwy 14 waiting for traffic to clear. Unit 1 failed to yield right-of-way to Unit 2 as it enter the intersection to turn eastbound onto Hwy 14. Unit 2 collided into Unit 1. after colliding into Unit 1 Unit 2 collided into the rear end of Unit 3. Unit 1 and Unit 2 suffered disabling damage and required tows. Unit 3 suffered minor damage and did not require a tow. 
No one was injured during the collision. All occupants were wearing seatbelt properly during the collisions. Drivers of each unit wer given a crash info sheet at the crash scene.  Driver of Unit 1 was cited for fail to yield entering roadway.</t>
  </si>
  <si>
    <t>Crash occurred on Highway 14 and 60th Avenue NW.
V1 was southbound on 60th Ave NW.  Stopped at stop sign at highway 14.
V2 was westbound on Highway 14 in left lane.  V1 failed to yield to V2, and entered the crossover.
V2 struck V1 front to side.
All occupants wore seat belts, V1 side airbag deployment on driver side where he was struck, V2 had both front airbags deployed.  Suspected minor injuries on Driver of V1.  No other apparent injuries.   
Driver of V1 cited for 3rd Degree DWI.</t>
  </si>
  <si>
    <t>Unit 2 positioned southbound on 60th Avenue NW at the intersection of Highway 14. Unit 1 positioned directly behind Unit 2. Unit 2 waiting for traffic to clear to proceed through the intersection. Unit 1 vision was obstructed by the sunlight and believed Unit 2 was proceeding which caused Unit 1 to cause a rear-end collision with Unit 2. No damage to Unit 1. No tows needed. No injuries reported.</t>
  </si>
  <si>
    <t>17-928019</t>
  </si>
  <si>
    <t>Unit 2 was stopped at the stop sign at Cty RD 104 (60 AVE NW) when Unit 1 stopped behind it.  Unit 2 started to move forward attempting to turn westbound onto US Hwy 14.  As Unit 2 started to go a westbound vehicle merged into the lane Unit 2 was attempting to enter, therefore causing Unit 2 to stop.  Unit 1 began to move forward and did not observe Unit 2 had stopped, therefore causing Unit 1 to rear end Unit 2.  Neither vehicle was towed from the scene and no injuries.</t>
  </si>
  <si>
    <t>At approximately 17:25 hours on 12/19/2017 Unit 1 was westbound on HWY 14 in the left turn lane to turn southbound on to 60th Ave SW. Unit 2 was northbound 60th Ave approaching the median of Hwy 14 to cross westbound Hwy 14. Unit 2 failed to yield right-of-way to Unit 1. Unit 1 front-end collied into passenger side of Unit 2.
All airbags deployed in Unit 1. Driver in Unit 1 was wearing his seatbelt properly. Driver of Unit 1 suffered non-life threatening injuries
during the collision. Driver was transported by Gold Cross to St. Mary's. Driver of Unit 1 was given crash info sheet and crash report form at St. Mary's Hospital. Unit 1 was towed by Byron Auto Towing due to severe disabling damage.  
No airbags deployed in Unit 2. All occupants in Unit 2 were wearing their seatbelt properly. Driver of Unit 2 suffered no injuries during the collision. Driver of Unit 2 was given crash info sheet and crash report form at the seen of the crash. Unit 2 was towed by Byron Towing due to moderate disabling damage. Unit 2 was mailed a citation for fail to yield at entrance of through highway after having stopped. Unit 2 failed to yield right-of-way to Unit 1 when it crossed Hwy 14. Unit 1 was already in the in the left turn lane of Hwy 14 before Unit 2 began to cross Hwy 14.</t>
  </si>
  <si>
    <t>Unit 1 was stopped at stop sign, facing Southbound on 60th Ave NW at intersection with Hwy 14 attempting to turn Eastbound. Unit 2 was directly behind unit 1 on 60th Ave NW waiting to turn Westbound. Unit 1 slowly started to move forward towards the median area, then stopped due to oncoming traffic. Unit 2 moved forward with unit 1 and attempted to make a right turn (Westbound) behind unit 1. As unit 1 stopped, unit 2 front drivers side bumper collided with the rear passengers side bumper of unit 1. Collision was at low speed and neither party stated they had any injury. Unit 1 had damage to the rear bumper on the passengers' side (large dent, several small scratches). Unit 2 had damage to the drivers' side front bumper (small dent, several small scratches and crack in bumper plastic near fog lights). Both vehicles were able to be driven from scene.</t>
  </si>
  <si>
    <t>At approximately 17:15 on 10/24/2019 Unit 1 was southbound 60th Ave approaching the intersection of Hwy 14. Unit 2 was westbound Hwy 14 in the left lane approaching the intersection of 60th Ave. Unit 1 failed to stop at the intersection and wait for the intersection to be clear of traffic before proceeding into the intersection. Unit 1 failed to yield right-of-way to Unit 2. Unit 1 proceeded in the intersection and the front end collided into the passenger side of Unit 2. No one was injured during the collision.
Unit 1 suffered moderate damage and required a tow. Unit 1 was towed by Byron Auto. Unit 1 had front airbags deploy. Driver was wearing seatbelt properly. Driver of Unit 1 was driving with an instruction permit only. There was no passengers in the vehicle at the time of the crash. Driver was violating instruction permit. There was no insurance on Unit 1. Driver of Unit 1 was mailed a citation for No Insurance, Instruction Permit violation, and Driver Fails to Stop at Entrance of Through Hwy. Driver of Unit 1 was mailed a crash info sheet. 
Unit 2 suffered moderate damage but was still drivable. Unit 2 did not require at tow. No airbag deployment in Unit 2. Driver was wearing seatbelt properly. Driver was emailed crash info sheet.</t>
  </si>
  <si>
    <t>Network Summary</t>
  </si>
  <si>
    <t>Table 2 - Network VMT</t>
  </si>
  <si>
    <t>Benefit (2021 dollars)</t>
  </si>
  <si>
    <t>Total =</t>
  </si>
  <si>
    <t>Table 4- Projected Crashes for 2045 No Build</t>
  </si>
  <si>
    <t>Injury Total =</t>
  </si>
  <si>
    <t>Pedestrian/Bike Crashes on CSAH 44</t>
  </si>
  <si>
    <t>Thirty-Year (2025-2054) Intersection Crash Summary</t>
  </si>
  <si>
    <t>Add Multiuse Trail</t>
  </si>
  <si>
    <t>Yearly  Future No Build</t>
  </si>
  <si>
    <t>Yearly Base No Build</t>
  </si>
  <si>
    <t>Yearly Future - Build</t>
  </si>
  <si>
    <t>Future No Build</t>
  </si>
  <si>
    <t>Future Build</t>
  </si>
  <si>
    <t>Base No Build</t>
  </si>
  <si>
    <t>Base Build</t>
  </si>
  <si>
    <t>Base Build Diff</t>
  </si>
  <si>
    <t>ROW</t>
  </si>
  <si>
    <t>Design</t>
  </si>
  <si>
    <t>Truck percentage in the project area is estimated based on year 2022 AADT ATR data MnDOT ATR 212 and HCAADT counts performed by MnDOT (https://mndot.maps.arcgis.com/apps/webappviewer/index.html?id=7b3be07daed84e7fa170a91059ce63bb).</t>
  </si>
  <si>
    <t>Vehicle occupancy ratios were obtained from Benefit-Cost Analysis Guidance for Discretionary Grant Programs: January 2023: https://www.transportation.gov/sites/dot.gov/files/2023-01/Benefit%20Cost%20Analysis%20Guidance%202023%20Update.pdf</t>
  </si>
  <si>
    <t>User travel time benefits were valued in accordance with the Benefit-Cost Analysis Guidance for Discretionary Grant Programs - January 2023 (Revised). The recommended values for travel time were provided in year 2021 dollars.</t>
  </si>
  <si>
    <t>Vehicle operational costs  were valued in accordance with the Benefit-Cost Analysis Guidance for Discretionary Grant Programs -January 2023 (Revised). The recommended values for travel time were provided in year 2021 dollars.</t>
  </si>
  <si>
    <t xml:space="preserve"> BCA SUMMARY - US Highway (US) 14/County State Aid Highway (CSAH) 44 Interchange Project</t>
  </si>
  <si>
    <t>Rate</t>
  </si>
  <si>
    <t>Emission costs were obtained from Benefit-Cost Analysis Guidance for Discretionary Grant Programs - January 2023 (Revised).</t>
  </si>
  <si>
    <t>Additional Cost Data</t>
  </si>
  <si>
    <t>CR 44 Bridge</t>
  </si>
  <si>
    <t>CR 44 Expansion</t>
  </si>
  <si>
    <t>Additions</t>
  </si>
  <si>
    <t>7th St Bridge (sqf)</t>
  </si>
  <si>
    <t>Cost per sqf of Bridge Deck</t>
  </si>
  <si>
    <t>Cost per lane-mile</t>
  </si>
  <si>
    <t>7th St Connection (ln-miles)</t>
  </si>
  <si>
    <t>Ramps</t>
  </si>
  <si>
    <t>Construction months in each year based on schedule</t>
  </si>
  <si>
    <t xml:space="preserve">Delay and Level of Service </t>
  </si>
  <si>
    <t>2022 RIRO</t>
  </si>
  <si>
    <t>2045 RIRO Conditions</t>
  </si>
  <si>
    <t>2022 Interchange</t>
  </si>
  <si>
    <t>2045 Interchange</t>
  </si>
  <si>
    <t>AM</t>
  </si>
  <si>
    <t>PM</t>
  </si>
  <si>
    <t>Node #</t>
  </si>
  <si>
    <t>Overall Delay (sec/veh)</t>
  </si>
  <si>
    <t>LOS</t>
  </si>
  <si>
    <t>Sink Source (14th St)</t>
  </si>
  <si>
    <t>CSAH 44 &amp; TH 14 North Ramps</t>
  </si>
  <si>
    <t>CSAH 44 &amp; TH 14 South Ramps</t>
  </si>
  <si>
    <t>Sink Source (CSAH 44)</t>
  </si>
  <si>
    <t>Sink Source (Valleyhigh Rd)</t>
  </si>
  <si>
    <t>Sink Source (West Circle Dr @ 28th St)</t>
  </si>
  <si>
    <t>Sink Source (West Circle Dr @ 22nd St)</t>
  </si>
  <si>
    <t>US 44 Network Results</t>
  </si>
  <si>
    <t>Unit</t>
  </si>
  <si>
    <t>Average Delay</t>
  </si>
  <si>
    <t>sec/veh</t>
  </si>
  <si>
    <t>hrs</t>
  </si>
  <si>
    <t>Travel Distance</t>
  </si>
  <si>
    <t>mi</t>
  </si>
  <si>
    <t>Network Delay</t>
  </si>
  <si>
    <t>Latent Delay</t>
  </si>
  <si>
    <t>Total Delay</t>
  </si>
  <si>
    <t>Vehicles</t>
  </si>
  <si>
    <t>veh</t>
  </si>
  <si>
    <t>Eastbound US 14</t>
  </si>
  <si>
    <t>mins</t>
  </si>
  <si>
    <t>Average Speed</t>
  </si>
  <si>
    <t>mph</t>
  </si>
  <si>
    <t>Westbound US 14</t>
  </si>
  <si>
    <t>Benefits beyond forecast year 2045 were capped at year 2045 values</t>
  </si>
  <si>
    <t>Lane-miles or Sqf</t>
  </si>
  <si>
    <t>Cost</t>
  </si>
  <si>
    <t>Table 2 - Maintenance Components</t>
  </si>
  <si>
    <t xml:space="preserve">The analysis assumed that construction would begin in 2024 and take place over a three-year period. Therefore, year 2027 was assumed to be the first full year of benefits that will be accrued from the project. </t>
  </si>
  <si>
    <t>Travel time changes in the US 14 / CSAH 44 study area were captured using VISSIM microsimulation modeling. No Build and Build models were developed for morning and afternoon/evening peak hours, and analysis was performed for existing Year 2022 and forecast Year 2045. The modeling results for the morning and afternoon peak hours are summarized in the"VISSIM Results" tab in the BCA Workbook.</t>
  </si>
  <si>
    <t>To capture travel time estimates in hours outside the morning and afternoon peak hours, volume-to-travel time relationships were developed and applied in the BCA. StreetLight Data  for trips through the US 14/CSAH 44 intersection was used to identify hour-of-day, day-of-week, and month-of-year volume profiles over an annual period. Travel time-to-volume curves were developed based on study network entering volume and travel time output from each of the microsimulation modeling scenarios (existing year and forecast year, no build and build). These curves were used to predict travel time for the hours between the morning and afternoon/evening peak hours. Predicted operations for the No Build and Build Alternatives outside 6 am to 7 pm (where volumes were relatively low) were similar and thus, excluded in the analysis. Figure 1 illustrates network travel times for each scenario for modeled hours and the interpolated/extrapolated travel times for the remaining hours between 6 am and 7 pm. Once the daily travel time for each modeling scenario was established, day-of-the-week and month-of-the-year adjustment factors for study area traffic volumes were applied based on the annual volume profile obtained from StreetLight Data. The adjustment factors (see Table 1) reflect the number of vehicle trips through the study area relative to the analysis weekday and month of a Tuesday in February (i.e. the day and month the turn movement counts used in the microsimulation model were collected).</t>
  </si>
  <si>
    <t>Outcomes from the analysis estimate full-year travel time for the No Build and Build Alternatives in years 2022 and 2045. Benefits for years between existing year 2022 and forecast year 2045 were interpolated based on an annual growth rate. Modeling results beyond the forecast year were capped at year 2045 values, resulting in limited benefits beyond year 2045 for travel time, vehicle operating, safety, and air quality compared to what may occur in reality. Savings due to the reduction of travel time were calculated using costs per hour that account for vehicle occupancy and different vehicle types.</t>
  </si>
  <si>
    <t>Changes in VMT equivalents between the No Build and Build Alternatives were estimated based on the change in vehicle travel time. It was assumed that time vehicles spend idling or traveling at reduced speeds would produce wear and tear on the vehicle similar to time moving. The change in intersection delay between No Build and Build conditions was obtained from microsimulation modeling and converted to equivalents of vehicle-miles traveled (VMT) by applying fuel consumption for idling vehicles to average miles per gallon for passenger cars.</t>
  </si>
  <si>
    <t>The Build Alternative improves the US 14/CSAH 44 intersection by converting the existing at-grade intersection into a grade-separated interchange. Reconstruction to a grade-separated interchange is expected to generate safety benefits by reducing the number of crashes at the existing US 14/CSAH 44 intersection as well as the other effected intersections in the area. The analysis used five-year existing (2017-2021) crash data at the US 14/CSAH 44 intersection develop annual crashes by severity for the No Build Alternative.</t>
  </si>
  <si>
    <t xml:space="preserve">The crash modification factor from CMF Clearinghouse used in the BCA was obtained for the project improvement: convert an at-grade intersection into a grade-separated interchange.  To determine estimated reduction of existing intersection crashes, the CMF was applied to crashes tied to each intersection. Year 2045 crashes for the No Build Alternative were estimated based on growth in vehicle-miles traveled (VMT) from the VISSIM modeling. Similar assumptions used to estimate existing year Build Alternative crashes by severity were applied to produce year 2045 estimates. </t>
  </si>
  <si>
    <t xml:space="preserve">The safety benefit for reduction in intersection crashes was quantified for years 2022 and 2045 and interpolated based on the forecasted growth in intersection volume to determine total safety benefits for the period from year 2026 to 2055.  Crash cost assumptions are consistent with values and methodologies published in the Benefit-Cost Analysis Guidance for Discretionary Grant Programs, dated January 2023. </t>
  </si>
  <si>
    <t xml:space="preserve">Changes in emissions are expected to be impacted by the time vehicles spend idling and moving at reduced speeds. The change in VHT between No Build and Build conditions was obtained from the travel time analysis and converted to equivalents of vehicle-miles traveled (VMT) by applying fuel consumption for idling vehicles to average miles per gallon for passenger cars. The change in VMT equivalents was then applied to emission rates by vehicle type. Average emission rates per vehicle type were obtained from the Environmental Protection Agency’s Motor Vehicle Emission Simulator (MOVES) version 3. Emission rates per vehicle type are provided in the attached BCA Workbook. </t>
  </si>
  <si>
    <t xml:space="preserve">Routine annual roadway maintenance costs associated with maintaining the additional roadway infrastructure under the Build Alternative were considered in the BCA. An annual maintenance cost of $9,000 per lane mile, which was provided by MnDOT, was applied to the length of the new interchange and roadway network pavement. An annual cost of $0.35 per square foot of bridge deck, resulting in $55,211 annually, was assumed for bridge inspection and maintenance and also provided by MnDOT. </t>
  </si>
  <si>
    <t>This analysis assumed that construction would take place over a three-year period and be completed in 2026. Initial capital costs were discounted back to year 2020 dollars to determine present value.</t>
  </si>
  <si>
    <t>Because many components of the initial capital costs have service lives well beyond the 30-year analysis period, the remaining capital value was calculated for the Build Alternative. These values were expressed in terms of 2021 dollars and were added to other project benefits in accordance with USDOT guidance. 
Project components in each cost category were assumed a service life based on recommendations provided by MnDOT Office of Transportation System Management.</t>
  </si>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</sst>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0.00000"/>
    <numFmt numFmtId="168" formatCode="#,##0_);\(#,##0_)"/>
    <numFmt numFmtId="169" formatCode="_(* #,##0_);_(* \(#,##0\);_(* &quot;-&quot;??_);_(@_)"/>
    <numFmt numFmtId="170" formatCode="&quot;$&quot;#,##0.00"/>
    <numFmt numFmtId="171" formatCode="0.0000"/>
    <numFmt numFmtId="172" formatCode="0.0%"/>
    <numFmt numFmtId="173" formatCode="0.0"/>
    <numFmt numFmtId="174" formatCode="#,##0.000"/>
    <numFmt numFmtId="175" formatCode="&quot;$&quot;#,##0.0"/>
    <numFmt numFmtId="176" formatCode="m/dd/yyyy;@"/>
    <numFmt numFmtId="177" formatCode="\$0"/>
    <numFmt numFmtId="178" formatCode="\$#,##0"/>
    <numFmt numFmtId="179" formatCode="\$0.00"/>
    <numFmt numFmtId="180" formatCode="0.0000E+00"/>
  </numFmts>
  <fonts count="42"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Arial"/>
      <family val="2"/>
    </font>
    <font>
      <b/>
      <sz val="9"/>
      <name val="Calibri"/>
      <family val="2"/>
      <scheme val="minor"/>
    </font>
    <font>
      <b/>
      <sz val="9"/>
      <color indexed="16"/>
      <name val="Calibri"/>
      <family val="2"/>
      <scheme val="minor"/>
    </font>
    <font>
      <sz val="9"/>
      <name val="Calibri"/>
      <family val="2"/>
      <scheme val="minor"/>
    </font>
    <font>
      <b/>
      <i/>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i/>
      <sz val="9"/>
      <name val="Calibri"/>
      <family val="2"/>
      <scheme val="minor"/>
    </font>
    <font>
      <b/>
      <sz val="11"/>
      <color rgb="FFFF0000"/>
      <name val="Calibri"/>
      <family val="2"/>
      <scheme val="minor"/>
    </font>
    <font>
      <vertAlign val="superscript"/>
      <sz val="9"/>
      <name val="Calibri"/>
      <family val="2"/>
      <scheme val="minor"/>
    </font>
    <font>
      <b/>
      <u/>
      <sz val="11"/>
      <name val="Calibri"/>
      <family val="2"/>
      <scheme val="minor"/>
    </font>
    <font>
      <b/>
      <sz val="18"/>
      <color rgb="FFFF0000"/>
      <name val="Calibri"/>
      <family val="2"/>
      <scheme val="minor"/>
    </font>
    <font>
      <sz val="9"/>
      <color rgb="FFFF0000"/>
      <name val="Calibri"/>
      <family val="2"/>
      <scheme val="minor"/>
    </font>
    <font>
      <u/>
      <sz val="11"/>
      <color theme="10"/>
      <name val="Calibri"/>
      <family val="2"/>
      <scheme val="minor"/>
    </font>
    <font>
      <sz val="11"/>
      <color theme="0" tint="-0.499984740745262"/>
      <name val="Calibri"/>
      <family val="2"/>
      <scheme val="minor"/>
    </font>
    <font>
      <vertAlign val="subscript"/>
      <sz val="9"/>
      <color theme="1"/>
      <name val="Calibri"/>
      <family val="2"/>
      <scheme val="minor"/>
    </font>
    <font>
      <sz val="10"/>
      <name val="Arial"/>
      <family val="2"/>
    </font>
    <font>
      <sz val="12"/>
      <name val="Arial"/>
      <family val="2"/>
    </font>
    <font>
      <u/>
      <sz val="10"/>
      <color indexed="12"/>
      <name val="Arial"/>
      <family val="2"/>
    </font>
    <font>
      <u/>
      <sz val="12"/>
      <color indexed="12"/>
      <name val="Arial"/>
      <family val="2"/>
    </font>
    <font>
      <b/>
      <sz val="12"/>
      <name val="Arial"/>
      <family val="2"/>
    </font>
    <font>
      <sz val="7"/>
      <color rgb="FF000000"/>
      <name val="Calibri"/>
      <family val="2"/>
    </font>
    <font>
      <b/>
      <vertAlign val="subscript"/>
      <sz val="11"/>
      <color theme="1"/>
      <name val="Calibri"/>
      <family val="2"/>
      <scheme val="minor"/>
    </font>
    <font>
      <b/>
      <vertAlign val="superscript"/>
      <sz val="11"/>
      <color theme="1"/>
      <name val="Calibri"/>
      <family val="2"/>
      <scheme val="minor"/>
    </font>
    <font>
      <sz val="10"/>
      <color rgb="FF000000"/>
      <name val="Arial"/>
      <family val="2"/>
    </font>
    <font>
      <sz val="10"/>
      <color theme="1"/>
      <name val="Arial"/>
      <family val="2"/>
    </font>
    <font>
      <sz val="9"/>
      <name val="Times New Roman"/>
      <family val="1"/>
    </font>
    <font>
      <sz val="9"/>
      <color rgb="FF000000"/>
      <name val="Times New Roman"/>
      <family val="2"/>
    </font>
    <font>
      <sz val="10"/>
      <color rgb="FF000000"/>
      <name val="Calibri"/>
      <family val="2"/>
      <scheme val="minor"/>
    </font>
    <font>
      <sz val="11"/>
      <color theme="0" tint="-0.14999847407452621"/>
      <name val="Calibri"/>
      <family val="2"/>
      <scheme val="minor"/>
    </font>
    <font>
      <sz val="11"/>
      <color theme="0"/>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9" tint="0.79998168889431442"/>
        <bgColor indexed="64"/>
      </patternFill>
    </fill>
  </fills>
  <borders count="82">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thin">
        <color auto="1"/>
      </right>
      <top/>
      <bottom style="thin">
        <color auto="1"/>
      </bottom>
      <diagonal/>
    </border>
    <border>
      <left/>
      <right style="thin">
        <color auto="1"/>
      </right>
      <top style="thin">
        <color auto="1"/>
      </top>
      <bottom/>
      <diagonal/>
    </border>
    <border>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auto="1"/>
      </right>
      <top/>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bottom style="medium">
        <color indexed="64"/>
      </bottom>
      <diagonal/>
    </border>
  </borders>
  <cellStyleXfs count="142">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5" fillId="0" borderId="0"/>
    <xf numFmtId="9" fontId="1"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 fillId="0" borderId="0" applyFont="0" applyFill="0" applyBorder="0" applyAlignment="0" applyProtection="0"/>
    <xf numFmtId="9" fontId="1" fillId="0" borderId="0" applyFont="0" applyFill="0" applyBorder="0" applyAlignment="0" applyProtection="0"/>
    <xf numFmtId="0" fontId="24" fillId="0" borderId="0" applyNumberFormat="0" applyFill="0" applyBorder="0" applyAlignment="0" applyProtection="0"/>
    <xf numFmtId="0" fontId="27" fillId="0" borderId="0"/>
    <xf numFmtId="0" fontId="29" fillId="0" borderId="0" applyNumberFormat="0" applyFill="0" applyBorder="0" applyAlignment="0" applyProtection="0">
      <alignment vertical="top"/>
      <protection locked="0"/>
    </xf>
    <xf numFmtId="0" fontId="35" fillId="0" borderId="0"/>
  </cellStyleXfs>
  <cellXfs count="606">
    <xf numFmtId="0" fontId="0" fillId="0" borderId="0" xfId="0"/>
    <xf numFmtId="0" fontId="2" fillId="0" borderId="12"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0" xfId="0" applyFont="1"/>
    <xf numFmtId="0" fontId="3" fillId="0" borderId="0" xfId="0" applyFont="1"/>
    <xf numFmtId="164" fontId="2" fillId="0" borderId="0" xfId="0" applyNumberFormat="1" applyFont="1" applyAlignment="1">
      <alignment horizontal="center"/>
    </xf>
    <xf numFmtId="164" fontId="2" fillId="0" borderId="18" xfId="0" applyNumberFormat="1" applyFont="1" applyBorder="1" applyAlignment="1">
      <alignment horizontal="center"/>
    </xf>
    <xf numFmtId="164" fontId="2" fillId="0" borderId="19" xfId="0" applyNumberFormat="1" applyFont="1" applyBorder="1" applyAlignment="1">
      <alignment horizontal="center"/>
    </xf>
    <xf numFmtId="164" fontId="2" fillId="0" borderId="2" xfId="0" applyNumberFormat="1" applyFont="1" applyBorder="1" applyAlignment="1">
      <alignment horizontal="center"/>
    </xf>
    <xf numFmtId="0" fontId="5" fillId="0" borderId="0" xfId="0" applyFont="1"/>
    <xf numFmtId="0" fontId="0" fillId="0" borderId="0" xfId="0" applyAlignment="1">
      <alignment horizontal="right"/>
    </xf>
    <xf numFmtId="0" fontId="8" fillId="0" borderId="0" xfId="0" applyFont="1" applyAlignment="1">
      <alignment horizontal="left"/>
    </xf>
    <xf numFmtId="0" fontId="2" fillId="0" borderId="12" xfId="0" applyFont="1" applyBorder="1" applyAlignment="1">
      <alignment horizontal="center" vertical="center" wrapText="1"/>
    </xf>
    <xf numFmtId="164" fontId="2" fillId="0" borderId="17" xfId="0" applyNumberFormat="1" applyFont="1" applyBorder="1" applyAlignment="1">
      <alignment horizontal="center" vertical="center"/>
    </xf>
    <xf numFmtId="0" fontId="0" fillId="0" borderId="0" xfId="0" applyAlignment="1">
      <alignment horizontal="center"/>
    </xf>
    <xf numFmtId="10" fontId="0" fillId="0" borderId="0" xfId="0" applyNumberFormat="1"/>
    <xf numFmtId="165" fontId="2" fillId="0" borderId="0" xfId="0" applyNumberFormat="1" applyFont="1"/>
    <xf numFmtId="0" fontId="2" fillId="0" borderId="0" xfId="0" applyFont="1" applyAlignment="1">
      <alignment horizontal="center"/>
    </xf>
    <xf numFmtId="1" fontId="2" fillId="0" borderId="0" xfId="0" applyNumberFormat="1" applyFont="1" applyAlignment="1">
      <alignment horizontal="center"/>
    </xf>
    <xf numFmtId="0" fontId="12" fillId="0" borderId="0" xfId="0" applyFont="1" applyAlignment="1">
      <alignment horizontal="center"/>
    </xf>
    <xf numFmtId="0" fontId="13" fillId="0" borderId="0" xfId="0" applyFont="1"/>
    <xf numFmtId="164" fontId="14" fillId="0" borderId="0" xfId="0" applyNumberFormat="1" applyFont="1" applyAlignment="1">
      <alignment horizontal="center"/>
    </xf>
    <xf numFmtId="0" fontId="0" fillId="0" borderId="38" xfId="0" applyBorder="1"/>
    <xf numFmtId="0" fontId="5" fillId="2" borderId="41" xfId="0" applyFont="1" applyFill="1" applyBorder="1"/>
    <xf numFmtId="0" fontId="5" fillId="2" borderId="40" xfId="0" applyFont="1" applyFill="1" applyBorder="1"/>
    <xf numFmtId="9" fontId="5" fillId="2" borderId="36" xfId="0" applyNumberFormat="1" applyFont="1" applyFill="1" applyBorder="1" applyAlignment="1">
      <alignment horizontal="center"/>
    </xf>
    <xf numFmtId="0" fontId="5" fillId="0" borderId="25" xfId="0" applyFont="1" applyBorder="1"/>
    <xf numFmtId="0" fontId="0" fillId="0" borderId="0" xfId="0" applyAlignment="1">
      <alignment vertical="top" wrapText="1"/>
    </xf>
    <xf numFmtId="1" fontId="0" fillId="0" borderId="0" xfId="0" applyNumberFormat="1"/>
    <xf numFmtId="0" fontId="17" fillId="0" borderId="0" xfId="0" applyFont="1"/>
    <xf numFmtId="168" fontId="18" fillId="0" borderId="0" xfId="2" applyNumberFormat="1" applyFont="1" applyAlignment="1">
      <alignment horizontal="left" vertical="center"/>
    </xf>
    <xf numFmtId="0" fontId="10" fillId="0" borderId="0" xfId="2" applyFont="1" applyAlignment="1">
      <alignment horizontal="left"/>
    </xf>
    <xf numFmtId="0" fontId="10" fillId="0" borderId="0" xfId="2" applyFont="1" applyAlignment="1">
      <alignment horizontal="left" vertical="center"/>
    </xf>
    <xf numFmtId="167" fontId="10" fillId="0" borderId="0" xfId="2" applyNumberFormat="1" applyFont="1" applyAlignment="1">
      <alignment horizontal="left"/>
    </xf>
    <xf numFmtId="0" fontId="8" fillId="0" borderId="0" xfId="2" applyFont="1" applyAlignment="1">
      <alignment horizontal="left"/>
    </xf>
    <xf numFmtId="0" fontId="2" fillId="0" borderId="44" xfId="0" applyFont="1" applyBorder="1" applyAlignment="1">
      <alignment horizontal="center"/>
    </xf>
    <xf numFmtId="6" fontId="2" fillId="0" borderId="0" xfId="0" applyNumberFormat="1" applyFont="1" applyAlignment="1">
      <alignment horizontal="right" indent="1"/>
    </xf>
    <xf numFmtId="0" fontId="19" fillId="0" borderId="0" xfId="0" applyFont="1" applyAlignment="1">
      <alignment horizontal="center"/>
    </xf>
    <xf numFmtId="0" fontId="8" fillId="0" borderId="0" xfId="2" applyFont="1" applyAlignment="1">
      <alignment horizontal="left" vertical="center"/>
    </xf>
    <xf numFmtId="0" fontId="10" fillId="0" borderId="25" xfId="2" applyFont="1" applyBorder="1" applyAlignment="1">
      <alignment horizontal="left" vertical="center"/>
    </xf>
    <xf numFmtId="0" fontId="11" fillId="0" borderId="0" xfId="2" applyFont="1" applyAlignment="1">
      <alignment horizontal="left"/>
    </xf>
    <xf numFmtId="0" fontId="8" fillId="0" borderId="25" xfId="2" applyFont="1" applyBorder="1" applyAlignment="1">
      <alignment horizontal="center" vertical="center"/>
    </xf>
    <xf numFmtId="0" fontId="5" fillId="0" borderId="25" xfId="0" applyFont="1" applyBorder="1" applyAlignment="1">
      <alignment horizontal="center"/>
    </xf>
    <xf numFmtId="0" fontId="0" fillId="0" borderId="0" xfId="0" applyAlignment="1">
      <alignment vertical="top"/>
    </xf>
    <xf numFmtId="0" fontId="0" fillId="0" borderId="0" xfId="0" applyAlignment="1">
      <alignment horizontal="left" vertical="top"/>
    </xf>
    <xf numFmtId="0" fontId="5" fillId="0" borderId="0" xfId="0" applyFont="1" applyAlignment="1">
      <alignment horizontal="center"/>
    </xf>
    <xf numFmtId="0" fontId="4" fillId="0" borderId="0" xfId="0" applyFont="1"/>
    <xf numFmtId="0" fontId="10" fillId="0" borderId="0" xfId="2" applyFont="1" applyAlignment="1">
      <alignment horizontal="right"/>
    </xf>
    <xf numFmtId="0" fontId="6" fillId="0" borderId="0" xfId="2" applyFont="1" applyAlignment="1">
      <alignment vertical="top" wrapText="1"/>
    </xf>
    <xf numFmtId="0" fontId="23" fillId="0" borderId="0" xfId="2" applyFont="1" applyAlignment="1">
      <alignment horizontal="left"/>
    </xf>
    <xf numFmtId="0" fontId="10" fillId="0" borderId="0" xfId="2" applyFont="1" applyAlignment="1">
      <alignment horizontal="right" vertical="center"/>
    </xf>
    <xf numFmtId="0" fontId="0" fillId="0" borderId="25" xfId="0" applyBorder="1" applyAlignment="1">
      <alignment horizontal="left"/>
    </xf>
    <xf numFmtId="10" fontId="10" fillId="0" borderId="0" xfId="2" applyNumberFormat="1" applyFont="1" applyAlignment="1">
      <alignment horizontal="center" vertical="center"/>
    </xf>
    <xf numFmtId="164" fontId="0" fillId="0" borderId="0" xfId="0" applyNumberFormat="1" applyAlignment="1">
      <alignment horizontal="center"/>
    </xf>
    <xf numFmtId="0" fontId="5" fillId="0" borderId="0" xfId="0" applyFont="1" applyAlignment="1">
      <alignment horizontal="left"/>
    </xf>
    <xf numFmtId="39" fontId="0" fillId="0" borderId="0" xfId="0" applyNumberFormat="1"/>
    <xf numFmtId="0" fontId="0" fillId="0" borderId="0" xfId="0" applyAlignment="1">
      <alignment horizontal="left"/>
    </xf>
    <xf numFmtId="37" fontId="2" fillId="0" borderId="0" xfId="0" applyNumberFormat="1" applyFont="1"/>
    <xf numFmtId="0" fontId="0" fillId="0" borderId="0" xfId="0" applyAlignment="1">
      <alignment horizontal="center" vertical="top" wrapText="1"/>
    </xf>
    <xf numFmtId="169" fontId="0" fillId="0" borderId="0" xfId="0" applyNumberFormat="1" applyAlignment="1">
      <alignment horizontal="center" vertical="top" wrapText="1"/>
    </xf>
    <xf numFmtId="44" fontId="0" fillId="0" borderId="0" xfId="1" applyFont="1" applyFill="1" applyBorder="1"/>
    <xf numFmtId="43" fontId="0" fillId="0" borderId="0" xfId="0" applyNumberFormat="1" applyAlignment="1">
      <alignment horizontal="center"/>
    </xf>
    <xf numFmtId="169" fontId="0" fillId="0" borderId="0" xfId="0" applyNumberFormat="1" applyAlignment="1">
      <alignment horizontal="center"/>
    </xf>
    <xf numFmtId="0" fontId="0" fillId="0" borderId="25" xfId="0" applyBorder="1"/>
    <xf numFmtId="43" fontId="0" fillId="0" borderId="0" xfId="0" applyNumberFormat="1"/>
    <xf numFmtId="3" fontId="0" fillId="0" borderId="0" xfId="137" applyNumberFormat="1" applyFont="1" applyFill="1" applyBorder="1" applyAlignment="1">
      <alignment horizontal="center"/>
    </xf>
    <xf numFmtId="170" fontId="0" fillId="0" borderId="0" xfId="1" applyNumberFormat="1" applyFont="1" applyFill="1" applyBorder="1" applyAlignment="1">
      <alignment horizontal="center"/>
    </xf>
    <xf numFmtId="164" fontId="0" fillId="0" borderId="0" xfId="0" applyNumberFormat="1"/>
    <xf numFmtId="6" fontId="2" fillId="0" borderId="46" xfId="0" applyNumberFormat="1" applyFont="1" applyBorder="1" applyAlignment="1">
      <alignment horizontal="right" indent="1"/>
    </xf>
    <xf numFmtId="0" fontId="5" fillId="0" borderId="0" xfId="0" applyFont="1" applyAlignment="1">
      <alignment horizontal="right"/>
    </xf>
    <xf numFmtId="0" fontId="3" fillId="0" borderId="10" xfId="0" applyFont="1" applyBorder="1" applyAlignment="1">
      <alignment horizontal="center" wrapText="1"/>
    </xf>
    <xf numFmtId="0" fontId="0" fillId="0" borderId="0" xfId="0" applyAlignment="1">
      <alignment horizontal="left" vertical="top" wrapText="1"/>
    </xf>
    <xf numFmtId="6" fontId="3" fillId="0" borderId="0" xfId="0" applyNumberFormat="1" applyFont="1" applyAlignment="1">
      <alignment horizontal="right"/>
    </xf>
    <xf numFmtId="164" fontId="0" fillId="2" borderId="43" xfId="0" applyNumberFormat="1" applyFill="1" applyBorder="1" applyAlignment="1">
      <alignment horizontal="center"/>
    </xf>
    <xf numFmtId="164" fontId="0" fillId="2" borderId="39" xfId="0" applyNumberFormat="1" applyFill="1" applyBorder="1" applyAlignment="1">
      <alignment horizontal="center"/>
    </xf>
    <xf numFmtId="0" fontId="8" fillId="3" borderId="0" xfId="2" applyFont="1" applyFill="1" applyAlignment="1">
      <alignment horizontal="left" vertical="center"/>
    </xf>
    <xf numFmtId="0" fontId="2" fillId="0" borderId="4"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5" fillId="0" borderId="25" xfId="0" applyFont="1" applyBorder="1" applyAlignment="1">
      <alignment horizontal="center" vertical="center"/>
    </xf>
    <xf numFmtId="165" fontId="2" fillId="0" borderId="0" xfId="0" applyNumberFormat="1" applyFont="1" applyAlignment="1">
      <alignment horizontal="center"/>
    </xf>
    <xf numFmtId="0" fontId="0" fillId="0" borderId="0" xfId="0" applyAlignment="1">
      <alignment wrapText="1"/>
    </xf>
    <xf numFmtId="0" fontId="0" fillId="0" borderId="0" xfId="0" applyAlignment="1">
      <alignment horizontal="left" wrapText="1"/>
    </xf>
    <xf numFmtId="0" fontId="2" fillId="0" borderId="4" xfId="0" applyFont="1" applyBorder="1" applyAlignment="1">
      <alignment horizontal="center" vertical="center" wrapText="1"/>
    </xf>
    <xf numFmtId="170" fontId="10" fillId="0" borderId="0" xfId="2" applyNumberFormat="1" applyFont="1" applyAlignment="1">
      <alignment horizontal="left" vertical="center"/>
    </xf>
    <xf numFmtId="0" fontId="24" fillId="0" borderId="0" xfId="138" applyFill="1"/>
    <xf numFmtId="0" fontId="5" fillId="0" borderId="26" xfId="0" applyFont="1" applyBorder="1" applyAlignment="1">
      <alignment horizontal="left"/>
    </xf>
    <xf numFmtId="6" fontId="2" fillId="0" borderId="25" xfId="0" applyNumberFormat="1" applyFont="1" applyBorder="1" applyAlignment="1">
      <alignment horizontal="center"/>
    </xf>
    <xf numFmtId="6" fontId="2" fillId="0" borderId="18" xfId="0" applyNumberFormat="1" applyFont="1" applyBorder="1" applyAlignment="1">
      <alignment horizontal="center"/>
    </xf>
    <xf numFmtId="0" fontId="0" fillId="0" borderId="25" xfId="0" applyBorder="1" applyAlignment="1">
      <alignment horizontal="center" vertical="center"/>
    </xf>
    <xf numFmtId="0" fontId="23" fillId="0" borderId="0" xfId="0" applyFont="1"/>
    <xf numFmtId="6" fontId="3" fillId="0" borderId="0" xfId="0" applyNumberFormat="1" applyFont="1"/>
    <xf numFmtId="6" fontId="2" fillId="0" borderId="43" xfId="0" applyNumberFormat="1" applyFont="1" applyBorder="1" applyAlignment="1">
      <alignment horizontal="center"/>
    </xf>
    <xf numFmtId="6" fontId="2" fillId="0" borderId="13" xfId="0" applyNumberFormat="1" applyFont="1" applyBorder="1" applyAlignment="1">
      <alignment horizontal="center"/>
    </xf>
    <xf numFmtId="6" fontId="2" fillId="0" borderId="42" xfId="0" applyNumberFormat="1" applyFont="1" applyBorder="1" applyAlignment="1">
      <alignment horizontal="right" indent="1"/>
    </xf>
    <xf numFmtId="6" fontId="2" fillId="0" borderId="43" xfId="0" applyNumberFormat="1" applyFont="1" applyBorder="1" applyAlignment="1">
      <alignment horizontal="right" indent="1"/>
    </xf>
    <xf numFmtId="3" fontId="0" fillId="0" borderId="0" xfId="0" applyNumberFormat="1"/>
    <xf numFmtId="6" fontId="2" fillId="0" borderId="35" xfId="0" applyNumberFormat="1" applyFont="1" applyBorder="1" applyAlignment="1">
      <alignment horizontal="right" indent="1"/>
    </xf>
    <xf numFmtId="6" fontId="2" fillId="0" borderId="11" xfId="0" applyNumberFormat="1" applyFont="1" applyBorder="1" applyAlignment="1">
      <alignment horizontal="right" indent="1"/>
    </xf>
    <xf numFmtId="172" fontId="0" fillId="0" borderId="25" xfId="137" applyNumberFormat="1" applyFont="1" applyFill="1" applyBorder="1" applyAlignment="1">
      <alignment horizontal="center"/>
    </xf>
    <xf numFmtId="6" fontId="2" fillId="0" borderId="17" xfId="0" applyNumberFormat="1" applyFont="1" applyBorder="1" applyAlignment="1">
      <alignment horizontal="right"/>
    </xf>
    <xf numFmtId="6" fontId="2" fillId="0" borderId="18" xfId="0" applyNumberFormat="1" applyFont="1" applyBorder="1" applyAlignment="1">
      <alignment horizontal="right"/>
    </xf>
    <xf numFmtId="6" fontId="2" fillId="0" borderId="19" xfId="0" applyNumberFormat="1" applyFont="1" applyBorder="1" applyAlignment="1">
      <alignment horizontal="right"/>
    </xf>
    <xf numFmtId="0" fontId="22" fillId="0" borderId="0" xfId="2" applyFont="1"/>
    <xf numFmtId="6" fontId="2" fillId="0" borderId="12" xfId="0" applyNumberFormat="1" applyFont="1" applyBorder="1" applyAlignment="1">
      <alignment horizontal="right"/>
    </xf>
    <xf numFmtId="6" fontId="2" fillId="0" borderId="44" xfId="0" applyNumberFormat="1" applyFont="1" applyBorder="1" applyAlignment="1">
      <alignment horizontal="right"/>
    </xf>
    <xf numFmtId="6" fontId="0" fillId="0" borderId="0" xfId="0" applyNumberFormat="1"/>
    <xf numFmtId="164" fontId="2" fillId="0" borderId="12" xfId="0" applyNumberFormat="1" applyFont="1" applyBorder="1" applyAlignment="1">
      <alignment horizontal="center"/>
    </xf>
    <xf numFmtId="164" fontId="2" fillId="0" borderId="13" xfId="0" applyNumberFormat="1" applyFont="1" applyBorder="1" applyAlignment="1">
      <alignment horizontal="center"/>
    </xf>
    <xf numFmtId="164" fontId="2" fillId="0" borderId="14" xfId="0" applyNumberFormat="1" applyFont="1" applyBorder="1" applyAlignment="1">
      <alignment horizontal="center"/>
    </xf>
    <xf numFmtId="0" fontId="0" fillId="0" borderId="25" xfId="0" applyBorder="1" applyAlignment="1">
      <alignment horizontal="center"/>
    </xf>
    <xf numFmtId="6" fontId="2" fillId="0" borderId="33" xfId="0" applyNumberFormat="1" applyFont="1" applyBorder="1" applyAlignment="1">
      <alignment horizontal="right" indent="1"/>
    </xf>
    <xf numFmtId="164" fontId="2" fillId="0" borderId="44" xfId="0" applyNumberFormat="1" applyFont="1" applyBorder="1" applyAlignment="1">
      <alignment horizontal="center"/>
    </xf>
    <xf numFmtId="0" fontId="2" fillId="0" borderId="0" xfId="0" applyFont="1" applyAlignment="1">
      <alignment horizontal="center" vertical="center"/>
    </xf>
    <xf numFmtId="37" fontId="2" fillId="0" borderId="42" xfId="1" applyNumberFormat="1" applyFont="1" applyBorder="1" applyAlignment="1">
      <alignment horizontal="right" indent="1"/>
    </xf>
    <xf numFmtId="6" fontId="2" fillId="0" borderId="25" xfId="136" applyNumberFormat="1" applyFont="1" applyFill="1" applyBorder="1" applyAlignment="1">
      <alignment horizontal="right"/>
    </xf>
    <xf numFmtId="37" fontId="2" fillId="0" borderId="51" xfId="136" applyNumberFormat="1" applyFont="1" applyFill="1" applyBorder="1" applyAlignment="1">
      <alignment horizontal="center"/>
    </xf>
    <xf numFmtId="37" fontId="2" fillId="0" borderId="18" xfId="136" applyNumberFormat="1" applyFont="1" applyFill="1" applyBorder="1" applyAlignment="1">
      <alignment horizontal="center"/>
    </xf>
    <xf numFmtId="37" fontId="2" fillId="0" borderId="17" xfId="136" applyNumberFormat="1" applyFont="1" applyFill="1" applyBorder="1" applyAlignment="1">
      <alignment horizontal="center"/>
    </xf>
    <xf numFmtId="6" fontId="2" fillId="0" borderId="33" xfId="136" applyNumberFormat="1" applyFont="1" applyFill="1" applyBorder="1" applyAlignment="1">
      <alignment horizontal="right"/>
    </xf>
    <xf numFmtId="6" fontId="2" fillId="0" borderId="49" xfId="136" applyNumberFormat="1" applyFont="1" applyFill="1" applyBorder="1" applyAlignment="1">
      <alignment horizontal="right"/>
    </xf>
    <xf numFmtId="6" fontId="2" fillId="0" borderId="51" xfId="136" applyNumberFormat="1" applyFont="1" applyFill="1" applyBorder="1" applyAlignment="1">
      <alignment horizontal="right"/>
    </xf>
    <xf numFmtId="6" fontId="2" fillId="0" borderId="34" xfId="136" applyNumberFormat="1" applyFont="1" applyFill="1" applyBorder="1" applyAlignment="1">
      <alignment horizontal="right"/>
    </xf>
    <xf numFmtId="6" fontId="2" fillId="0" borderId="50" xfId="136" applyNumberFormat="1" applyFont="1" applyFill="1" applyBorder="1" applyAlignment="1">
      <alignment horizontal="right"/>
    </xf>
    <xf numFmtId="6" fontId="2" fillId="0" borderId="17" xfId="0" applyNumberFormat="1" applyFont="1" applyBorder="1" applyAlignment="1">
      <alignment horizontal="right" indent="1"/>
    </xf>
    <xf numFmtId="6" fontId="2" fillId="0" borderId="16" xfId="0" applyNumberFormat="1" applyFont="1" applyBorder="1" applyAlignment="1">
      <alignment horizontal="right" indent="1"/>
    </xf>
    <xf numFmtId="0" fontId="0" fillId="0" borderId="17" xfId="0" applyBorder="1"/>
    <xf numFmtId="0" fontId="0" fillId="0" borderId="51" xfId="0" applyBorder="1"/>
    <xf numFmtId="0" fontId="0" fillId="0" borderId="34" xfId="0" applyBorder="1"/>
    <xf numFmtId="169" fontId="0" fillId="0" borderId="0" xfId="136" applyNumberFormat="1" applyFont="1" applyFill="1" applyBorder="1"/>
    <xf numFmtId="172" fontId="0" fillId="0" borderId="0" xfId="137" applyNumberFormat="1" applyFont="1" applyFill="1" applyBorder="1"/>
    <xf numFmtId="2" fontId="0" fillId="0" borderId="25" xfId="137" applyNumberFormat="1" applyFont="1" applyFill="1" applyBorder="1" applyAlignment="1">
      <alignment horizontal="center"/>
    </xf>
    <xf numFmtId="170" fontId="0" fillId="0" borderId="25" xfId="1" applyNumberFormat="1" applyFont="1" applyFill="1" applyBorder="1" applyAlignment="1">
      <alignment horizontal="center"/>
    </xf>
    <xf numFmtId="6" fontId="2" fillId="0" borderId="50"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56" xfId="0" applyNumberFormat="1" applyFont="1" applyBorder="1" applyAlignment="1">
      <alignment horizontal="center"/>
    </xf>
    <xf numFmtId="6" fontId="2" fillId="0" borderId="57" xfId="0" applyNumberFormat="1" applyFont="1" applyBorder="1" applyAlignment="1">
      <alignment horizontal="center"/>
    </xf>
    <xf numFmtId="0" fontId="5" fillId="2" borderId="58" xfId="0" applyFont="1" applyFill="1" applyBorder="1"/>
    <xf numFmtId="0" fontId="5" fillId="2" borderId="34" xfId="0" applyFont="1" applyFill="1" applyBorder="1"/>
    <xf numFmtId="2" fontId="0" fillId="0" borderId="59" xfId="0" applyNumberFormat="1" applyBorder="1" applyAlignment="1">
      <alignment horizontal="center"/>
    </xf>
    <xf numFmtId="164" fontId="0" fillId="0" borderId="19" xfId="0" applyNumberFormat="1" applyBorder="1" applyAlignment="1">
      <alignment horizontal="center"/>
    </xf>
    <xf numFmtId="6" fontId="2" fillId="0" borderId="11" xfId="0" applyNumberFormat="1" applyFont="1" applyBorder="1" applyAlignment="1">
      <alignment horizontal="right"/>
    </xf>
    <xf numFmtId="173" fontId="2" fillId="0" borderId="41" xfId="0" applyNumberFormat="1" applyFont="1" applyBorder="1" applyAlignment="1">
      <alignment horizontal="center"/>
    </xf>
    <xf numFmtId="6" fontId="2" fillId="0" borderId="42" xfId="0" applyNumberFormat="1" applyFont="1" applyBorder="1" applyAlignment="1">
      <alignment horizontal="center"/>
    </xf>
    <xf numFmtId="173" fontId="2" fillId="0" borderId="8" xfId="0" applyNumberFormat="1" applyFont="1" applyBorder="1" applyAlignment="1">
      <alignment horizontal="center"/>
    </xf>
    <xf numFmtId="6" fontId="2" fillId="0" borderId="34" xfId="0" applyNumberFormat="1" applyFont="1" applyBorder="1" applyAlignment="1">
      <alignment horizontal="center"/>
    </xf>
    <xf numFmtId="6" fontId="2" fillId="0" borderId="0" xfId="0" applyNumberFormat="1" applyFont="1" applyAlignment="1">
      <alignment horizontal="center"/>
    </xf>
    <xf numFmtId="0" fontId="0" fillId="0" borderId="47" xfId="0" applyBorder="1"/>
    <xf numFmtId="0" fontId="5" fillId="0" borderId="0" xfId="0" applyFont="1" applyAlignment="1">
      <alignment horizontal="center" vertical="center" textRotation="90" wrapText="1"/>
    </xf>
    <xf numFmtId="3" fontId="2" fillId="0" borderId="12" xfId="0" applyNumberFormat="1" applyFont="1" applyBorder="1" applyAlignment="1">
      <alignment horizontal="center"/>
    </xf>
    <xf numFmtId="3" fontId="2" fillId="0" borderId="13" xfId="0" applyNumberFormat="1" applyFont="1" applyBorder="1" applyAlignment="1">
      <alignment horizontal="center"/>
    </xf>
    <xf numFmtId="174" fontId="2" fillId="0" borderId="51" xfId="0" applyNumberFormat="1" applyFont="1" applyBorder="1" applyAlignment="1">
      <alignment horizontal="center"/>
    </xf>
    <xf numFmtId="174" fontId="2" fillId="0" borderId="25" xfId="0" applyNumberFormat="1" applyFont="1" applyBorder="1" applyAlignment="1">
      <alignment horizontal="center"/>
    </xf>
    <xf numFmtId="174" fontId="2" fillId="0" borderId="18" xfId="0" applyNumberFormat="1" applyFont="1" applyBorder="1" applyAlignment="1">
      <alignment horizontal="center"/>
    </xf>
    <xf numFmtId="174" fontId="2" fillId="0" borderId="34" xfId="0" applyNumberFormat="1" applyFont="1" applyBorder="1" applyAlignment="1">
      <alignment horizontal="center"/>
    </xf>
    <xf numFmtId="174" fontId="2" fillId="0" borderId="50" xfId="0" applyNumberFormat="1" applyFont="1" applyBorder="1" applyAlignment="1">
      <alignment horizontal="center"/>
    </xf>
    <xf numFmtId="174" fontId="2" fillId="0" borderId="19" xfId="0" applyNumberFormat="1" applyFont="1" applyBorder="1" applyAlignment="1">
      <alignment horizontal="center"/>
    </xf>
    <xf numFmtId="173" fontId="2" fillId="0" borderId="4" xfId="0" applyNumberFormat="1" applyFont="1" applyBorder="1" applyAlignment="1">
      <alignment horizontal="center"/>
    </xf>
    <xf numFmtId="6" fontId="2" fillId="0" borderId="33" xfId="0" applyNumberFormat="1" applyFont="1" applyBorder="1" applyAlignment="1">
      <alignment horizontal="center"/>
    </xf>
    <xf numFmtId="6" fontId="2" fillId="0" borderId="17" xfId="0" applyNumberFormat="1" applyFont="1" applyBorder="1" applyAlignment="1">
      <alignment horizontal="center"/>
    </xf>
    <xf numFmtId="174" fontId="2" fillId="0" borderId="33" xfId="0" applyNumberFormat="1" applyFont="1" applyBorder="1" applyAlignment="1">
      <alignment horizontal="center"/>
    </xf>
    <xf numFmtId="174" fontId="2" fillId="0" borderId="49" xfId="0" applyNumberFormat="1" applyFont="1" applyBorder="1" applyAlignment="1">
      <alignment horizontal="center"/>
    </xf>
    <xf numFmtId="174" fontId="2" fillId="0" borderId="17" xfId="0" applyNumberFormat="1" applyFont="1" applyBorder="1" applyAlignment="1">
      <alignment horizontal="center"/>
    </xf>
    <xf numFmtId="6" fontId="2" fillId="0" borderId="54" xfId="0" applyNumberFormat="1" applyFont="1" applyBorder="1" applyAlignment="1">
      <alignment horizontal="center"/>
    </xf>
    <xf numFmtId="6" fontId="2" fillId="0" borderId="49" xfId="0" applyNumberFormat="1" applyFont="1" applyBorder="1" applyAlignment="1">
      <alignment horizontal="center"/>
    </xf>
    <xf numFmtId="6" fontId="2" fillId="0" borderId="12" xfId="0" applyNumberFormat="1" applyFont="1" applyBorder="1" applyAlignment="1">
      <alignment horizontal="center"/>
    </xf>
    <xf numFmtId="6" fontId="2" fillId="0" borderId="5" xfId="0" applyNumberFormat="1" applyFont="1" applyBorder="1" applyAlignment="1">
      <alignment horizontal="center"/>
    </xf>
    <xf numFmtId="6" fontId="2" fillId="0" borderId="7" xfId="0" applyNumberFormat="1" applyFont="1" applyBorder="1" applyAlignment="1">
      <alignment horizontal="center"/>
    </xf>
    <xf numFmtId="6" fontId="2" fillId="0" borderId="9" xfId="0" applyNumberFormat="1" applyFont="1" applyBorder="1" applyAlignment="1">
      <alignment horizontal="center"/>
    </xf>
    <xf numFmtId="6" fontId="2" fillId="0" borderId="51" xfId="0" applyNumberFormat="1" applyFont="1" applyBorder="1" applyAlignment="1">
      <alignment horizontal="center"/>
    </xf>
    <xf numFmtId="3" fontId="0" fillId="0" borderId="25" xfId="0" applyNumberFormat="1" applyBorder="1" applyAlignment="1">
      <alignment horizontal="center"/>
    </xf>
    <xf numFmtId="37" fontId="2" fillId="0" borderId="33" xfId="136" applyNumberFormat="1" applyFont="1" applyFill="1" applyBorder="1" applyAlignment="1">
      <alignment horizontal="center"/>
    </xf>
    <xf numFmtId="0" fontId="3" fillId="0" borderId="0" xfId="0" applyFont="1" applyAlignment="1">
      <alignment horizontal="center" wrapText="1"/>
    </xf>
    <xf numFmtId="0" fontId="0" fillId="0" borderId="63" xfId="0" applyBorder="1"/>
    <xf numFmtId="6" fontId="25" fillId="0" borderId="0" xfId="0" applyNumberFormat="1" applyFont="1"/>
    <xf numFmtId="164" fontId="2" fillId="0" borderId="43" xfId="0" applyNumberFormat="1" applyFont="1" applyBorder="1" applyAlignment="1">
      <alignment horizontal="center"/>
    </xf>
    <xf numFmtId="0" fontId="2" fillId="0" borderId="13" xfId="0" applyFont="1" applyBorder="1" applyAlignment="1">
      <alignment horizontal="center" vertical="center" wrapText="1"/>
    </xf>
    <xf numFmtId="6" fontId="2" fillId="0" borderId="13" xfId="0" applyNumberFormat="1" applyFont="1" applyBorder="1" applyAlignment="1">
      <alignment horizontal="right"/>
    </xf>
    <xf numFmtId="175" fontId="0" fillId="2" borderId="43" xfId="0" applyNumberFormat="1" applyFill="1" applyBorder="1" applyAlignment="1">
      <alignment horizontal="center"/>
    </xf>
    <xf numFmtId="175" fontId="0" fillId="0" borderId="19" xfId="0" applyNumberFormat="1" applyBorder="1" applyAlignment="1">
      <alignment horizontal="center"/>
    </xf>
    <xf numFmtId="175" fontId="0" fillId="2" borderId="39" xfId="0" applyNumberFormat="1" applyFill="1" applyBorder="1" applyAlignment="1">
      <alignment horizont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applyAlignment="1">
      <alignment horizontal="center"/>
    </xf>
    <xf numFmtId="171" fontId="0" fillId="0" borderId="25" xfId="0" applyNumberFormat="1" applyBorder="1" applyAlignment="1">
      <alignment horizontal="center" vertical="center"/>
    </xf>
    <xf numFmtId="6" fontId="0" fillId="0" borderId="25" xfId="0" applyNumberFormat="1" applyBorder="1"/>
    <xf numFmtId="0" fontId="5" fillId="0" borderId="25" xfId="0" applyFont="1" applyBorder="1" applyAlignment="1">
      <alignment vertical="center"/>
    </xf>
    <xf numFmtId="0" fontId="8" fillId="0" borderId="0" xfId="2" applyFont="1" applyAlignment="1">
      <alignment horizontal="center" vertical="center"/>
    </xf>
    <xf numFmtId="171" fontId="0" fillId="0" borderId="25" xfId="0" applyNumberFormat="1" applyBorder="1"/>
    <xf numFmtId="0" fontId="0" fillId="4" borderId="25" xfId="0" applyFill="1" applyBorder="1" applyAlignment="1">
      <alignment horizontal="center" vertical="center"/>
    </xf>
    <xf numFmtId="6" fontId="0" fillId="4" borderId="25" xfId="0" applyNumberFormat="1" applyFill="1" applyBorder="1"/>
    <xf numFmtId="6" fontId="5" fillId="0" borderId="0" xfId="0" applyNumberFormat="1" applyFont="1"/>
    <xf numFmtId="0" fontId="0" fillId="0" borderId="22" xfId="0" applyBorder="1" applyAlignment="1">
      <alignment horizontal="left" vertical="top" wrapText="1"/>
    </xf>
    <xf numFmtId="164" fontId="0" fillId="0" borderId="25" xfId="0" applyNumberFormat="1" applyBorder="1"/>
    <xf numFmtId="2" fontId="0" fillId="0" borderId="25" xfId="0" applyNumberFormat="1" applyBorder="1" applyAlignment="1">
      <alignment horizontal="center"/>
    </xf>
    <xf numFmtId="0" fontId="5" fillId="0" borderId="20" xfId="0" applyFont="1" applyBorder="1" applyAlignment="1">
      <alignment horizontal="center"/>
    </xf>
    <xf numFmtId="0" fontId="0" fillId="0" borderId="20" xfId="0" applyBorder="1" applyAlignment="1">
      <alignment horizontal="center"/>
    </xf>
    <xf numFmtId="0" fontId="0" fillId="0" borderId="22" xfId="0" applyBorder="1" applyAlignment="1">
      <alignment horizontal="left" vertical="top"/>
    </xf>
    <xf numFmtId="0" fontId="28" fillId="0" borderId="0" xfId="6" applyFont="1"/>
    <xf numFmtId="0" fontId="7" fillId="0" borderId="0" xfId="6"/>
    <xf numFmtId="0" fontId="30" fillId="0" borderId="0" xfId="140" applyFont="1" applyAlignment="1" applyProtection="1"/>
    <xf numFmtId="0" fontId="31" fillId="0" borderId="0" xfId="6" applyFont="1"/>
    <xf numFmtId="0" fontId="28" fillId="0" borderId="0" xfId="6" applyFont="1" applyAlignment="1">
      <alignment horizontal="center"/>
    </xf>
    <xf numFmtId="3" fontId="28" fillId="0" borderId="0" xfId="6" applyNumberFormat="1" applyFont="1" applyAlignment="1">
      <alignment horizontal="center"/>
    </xf>
    <xf numFmtId="2" fontId="28" fillId="0" borderId="0" xfId="6" applyNumberFormat="1" applyFont="1" applyAlignment="1">
      <alignment horizontal="center"/>
    </xf>
    <xf numFmtId="16" fontId="28" fillId="0" borderId="0" xfId="6" quotePrefix="1" applyNumberFormat="1" applyFont="1" applyAlignment="1">
      <alignment horizontal="center"/>
    </xf>
    <xf numFmtId="0" fontId="28" fillId="0" borderId="0" xfId="6" applyFont="1" applyAlignment="1">
      <alignment vertical="center"/>
    </xf>
    <xf numFmtId="0" fontId="24" fillId="0" borderId="0" xfId="138" applyAlignment="1" applyProtection="1"/>
    <xf numFmtId="0" fontId="0" fillId="0" borderId="64" xfId="0" applyBorder="1" applyAlignment="1">
      <alignment horizontal="center"/>
    </xf>
    <xf numFmtId="37" fontId="0" fillId="0" borderId="64" xfId="0" applyNumberFormat="1" applyBorder="1" applyAlignment="1">
      <alignment horizontal="center"/>
    </xf>
    <xf numFmtId="176" fontId="32" fillId="0" borderId="0" xfId="0" applyNumberFormat="1" applyFont="1" applyAlignment="1">
      <alignment horizontal="left" vertical="top" shrinkToFit="1"/>
    </xf>
    <xf numFmtId="0" fontId="6" fillId="0" borderId="0" xfId="0" applyFont="1" applyAlignment="1">
      <alignment horizontal="right"/>
    </xf>
    <xf numFmtId="0" fontId="16" fillId="0" borderId="0" xfId="0" applyFont="1" applyAlignment="1">
      <alignment horizontal="right"/>
    </xf>
    <xf numFmtId="0" fontId="6" fillId="0" borderId="0" xfId="0" applyFont="1" applyAlignment="1">
      <alignment horizontal="left" vertical="center" wrapText="1"/>
    </xf>
    <xf numFmtId="0" fontId="6" fillId="0" borderId="0" xfId="0" applyFont="1" applyAlignment="1">
      <alignment vertical="top" wrapText="1"/>
    </xf>
    <xf numFmtId="0" fontId="6" fillId="0" borderId="0" xfId="2" applyFont="1" applyAlignment="1">
      <alignment horizontal="right"/>
    </xf>
    <xf numFmtId="0" fontId="6" fillId="0" borderId="0" xfId="2" applyFont="1" applyAlignment="1">
      <alignment horizontal="left" vertical="top"/>
    </xf>
    <xf numFmtId="167" fontId="21" fillId="0" borderId="0" xfId="2" applyNumberFormat="1" applyFont="1" applyAlignment="1">
      <alignment horizontal="left" vertical="top"/>
    </xf>
    <xf numFmtId="164" fontId="0" fillId="0" borderId="25" xfId="0" applyNumberFormat="1" applyBorder="1" applyAlignment="1">
      <alignment horizontal="center"/>
    </xf>
    <xf numFmtId="170" fontId="0" fillId="0" borderId="25" xfId="0" applyNumberFormat="1" applyBorder="1" applyAlignment="1">
      <alignment horizontal="center"/>
    </xf>
    <xf numFmtId="0" fontId="2" fillId="0" borderId="4" xfId="0" applyFont="1" applyBorder="1" applyAlignment="1">
      <alignment horizontal="center" vertical="center"/>
    </xf>
    <xf numFmtId="6" fontId="2" fillId="0" borderId="17" xfId="1" applyNumberFormat="1" applyFont="1" applyFill="1" applyBorder="1" applyAlignment="1">
      <alignment horizontal="right"/>
    </xf>
    <xf numFmtId="9" fontId="0" fillId="0" borderId="0" xfId="137" applyFont="1"/>
    <xf numFmtId="0" fontId="5" fillId="0" borderId="25" xfId="0" applyFont="1" applyBorder="1" applyAlignment="1">
      <alignment horizontal="left"/>
    </xf>
    <xf numFmtId="164" fontId="5" fillId="0" borderId="25" xfId="0" applyNumberFormat="1" applyFont="1" applyBorder="1" applyAlignment="1">
      <alignment horizontal="center"/>
    </xf>
    <xf numFmtId="0" fontId="2" fillId="0" borderId="6" xfId="0" applyFont="1" applyBorder="1" applyAlignment="1">
      <alignment horizontal="center" vertical="center"/>
    </xf>
    <xf numFmtId="6" fontId="2" fillId="0" borderId="18" xfId="1" applyNumberFormat="1" applyFont="1" applyFill="1" applyBorder="1" applyAlignment="1">
      <alignment horizontal="right"/>
    </xf>
    <xf numFmtId="9" fontId="0" fillId="0" borderId="0" xfId="137" applyFont="1" applyBorder="1" applyAlignment="1">
      <alignment horizontal="center"/>
    </xf>
    <xf numFmtId="169" fontId="0" fillId="0" borderId="0" xfId="136" applyNumberFormat="1" applyFont="1"/>
    <xf numFmtId="10" fontId="0" fillId="0" borderId="0" xfId="137" applyNumberFormat="1" applyFont="1" applyBorder="1" applyAlignment="1">
      <alignment horizontal="center"/>
    </xf>
    <xf numFmtId="44" fontId="0" fillId="0" borderId="0" xfId="0" applyNumberFormat="1"/>
    <xf numFmtId="0" fontId="13" fillId="0" borderId="0" xfId="0" applyFont="1" applyAlignment="1">
      <alignment horizontal="center"/>
    </xf>
    <xf numFmtId="0" fontId="0" fillId="0" borderId="25" xfId="0" applyBorder="1" applyAlignment="1">
      <alignment horizontal="right"/>
    </xf>
    <xf numFmtId="0" fontId="2" fillId="0" borderId="8" xfId="0" applyFont="1" applyBorder="1" applyAlignment="1">
      <alignment horizontal="center" vertical="center"/>
    </xf>
    <xf numFmtId="6" fontId="2" fillId="0" borderId="19" xfId="1" applyNumberFormat="1" applyFont="1" applyFill="1" applyBorder="1" applyAlignment="1">
      <alignment horizontal="right"/>
    </xf>
    <xf numFmtId="0" fontId="0" fillId="0" borderId="25" xfId="0" applyBorder="1" applyAlignment="1">
      <alignment horizontal="left" vertical="center"/>
    </xf>
    <xf numFmtId="164" fontId="0" fillId="0" borderId="25" xfId="0" applyNumberFormat="1" applyBorder="1" applyAlignment="1">
      <alignment horizontal="right"/>
    </xf>
    <xf numFmtId="0" fontId="2" fillId="0" borderId="70" xfId="0" applyFont="1" applyBorder="1" applyAlignment="1">
      <alignment horizontal="center" vertical="center"/>
    </xf>
    <xf numFmtId="6" fontId="2" fillId="0" borderId="61" xfId="1" applyNumberFormat="1" applyFont="1" applyFill="1" applyBorder="1" applyAlignment="1">
      <alignment horizontal="right"/>
    </xf>
    <xf numFmtId="0" fontId="10" fillId="0" borderId="25" xfId="2" applyFont="1" applyBorder="1" applyAlignment="1">
      <alignment horizontal="center" vertical="center"/>
    </xf>
    <xf numFmtId="172" fontId="10" fillId="0" borderId="25" xfId="2" applyNumberFormat="1" applyFont="1" applyBorder="1" applyAlignment="1">
      <alignment horizontal="center" vertical="center"/>
    </xf>
    <xf numFmtId="2" fontId="10" fillId="0" borderId="25" xfId="2" applyNumberFormat="1" applyFont="1" applyBorder="1" applyAlignment="1">
      <alignment horizontal="center" vertical="center"/>
    </xf>
    <xf numFmtId="170" fontId="10" fillId="0" borderId="25" xfId="2" applyNumberFormat="1" applyFont="1" applyBorder="1" applyAlignment="1">
      <alignment horizontal="left" vertical="center"/>
    </xf>
    <xf numFmtId="0" fontId="24" fillId="0" borderId="56" xfId="138" applyFill="1" applyBorder="1"/>
    <xf numFmtId="0" fontId="0" fillId="0" borderId="37" xfId="0" applyBorder="1"/>
    <xf numFmtId="0" fontId="0" fillId="0" borderId="15" xfId="0" applyBorder="1" applyAlignment="1">
      <alignment horizontal="center"/>
    </xf>
    <xf numFmtId="1" fontId="0" fillId="0" borderId="18" xfId="0" applyNumberFormat="1" applyBorder="1" applyAlignment="1">
      <alignment horizontal="center"/>
    </xf>
    <xf numFmtId="1" fontId="0" fillId="0" borderId="19" xfId="0" applyNumberFormat="1" applyBorder="1" applyAlignment="1">
      <alignment horizontal="center"/>
    </xf>
    <xf numFmtId="165" fontId="10" fillId="0" borderId="25" xfId="1" applyNumberFormat="1" applyFont="1" applyFill="1" applyBorder="1" applyAlignment="1">
      <alignment horizontal="center"/>
    </xf>
    <xf numFmtId="0" fontId="8" fillId="0" borderId="34" xfId="0" applyFont="1" applyBorder="1" applyAlignment="1">
      <alignment horizontal="left"/>
    </xf>
    <xf numFmtId="0" fontId="10" fillId="0" borderId="51" xfId="0" applyFont="1" applyBorder="1" applyAlignment="1">
      <alignment vertical="center"/>
    </xf>
    <xf numFmtId="6" fontId="0" fillId="0" borderId="0" xfId="0" applyNumberFormat="1" applyAlignment="1">
      <alignment vertical="top" wrapText="1"/>
    </xf>
    <xf numFmtId="0" fontId="5" fillId="0" borderId="62" xfId="0" applyFont="1" applyBorder="1"/>
    <xf numFmtId="0" fontId="5" fillId="0" borderId="27" xfId="0" applyFont="1" applyBorder="1"/>
    <xf numFmtId="0" fontId="0" fillId="0" borderId="56" xfId="0" applyBorder="1"/>
    <xf numFmtId="6" fontId="0" fillId="0" borderId="20" xfId="0" applyNumberFormat="1" applyBorder="1"/>
    <xf numFmtId="6" fontId="0" fillId="0" borderId="45" xfId="0" applyNumberFormat="1" applyBorder="1"/>
    <xf numFmtId="0" fontId="5" fillId="0" borderId="63" xfId="0" applyFont="1" applyBorder="1"/>
    <xf numFmtId="0" fontId="0" fillId="0" borderId="62" xfId="0" applyBorder="1" applyAlignment="1">
      <alignment vertical="top"/>
    </xf>
    <xf numFmtId="0" fontId="0" fillId="0" borderId="27" xfId="0" applyBorder="1" applyAlignment="1">
      <alignment horizontal="center" vertical="top"/>
    </xf>
    <xf numFmtId="0" fontId="0" fillId="0" borderId="56" xfId="0" applyBorder="1" applyAlignment="1">
      <alignment vertical="top"/>
    </xf>
    <xf numFmtId="3" fontId="0" fillId="0" borderId="20" xfId="0" applyNumberFormat="1" applyBorder="1" applyAlignment="1">
      <alignment horizontal="center" vertical="top"/>
    </xf>
    <xf numFmtId="0" fontId="0" fillId="0" borderId="63" xfId="0" applyBorder="1" applyAlignment="1">
      <alignment vertical="top"/>
    </xf>
    <xf numFmtId="3" fontId="0" fillId="0" borderId="45" xfId="0" applyNumberFormat="1" applyBorder="1" applyAlignment="1">
      <alignment horizontal="center" vertical="top"/>
    </xf>
    <xf numFmtId="3" fontId="2" fillId="0" borderId="0" xfId="0" applyNumberFormat="1" applyFont="1"/>
    <xf numFmtId="174" fontId="2" fillId="0" borderId="0" xfId="0" applyNumberFormat="1" applyFont="1"/>
    <xf numFmtId="2" fontId="0" fillId="0" borderId="0" xfId="0" applyNumberFormat="1"/>
    <xf numFmtId="1" fontId="0" fillId="0" borderId="25" xfId="0" applyNumberFormat="1" applyBorder="1"/>
    <xf numFmtId="37" fontId="2" fillId="0" borderId="5" xfId="136" applyNumberFormat="1" applyFont="1" applyFill="1" applyBorder="1" applyAlignment="1">
      <alignment horizontal="center"/>
    </xf>
    <xf numFmtId="37" fontId="2" fillId="0" borderId="7" xfId="136" applyNumberFormat="1" applyFont="1" applyFill="1" applyBorder="1" applyAlignment="1">
      <alignment horizontal="center"/>
    </xf>
    <xf numFmtId="37" fontId="2" fillId="0" borderId="9" xfId="136" applyNumberFormat="1" applyFont="1" applyFill="1" applyBorder="1" applyAlignment="1">
      <alignment horizontal="center"/>
    </xf>
    <xf numFmtId="37" fontId="0" fillId="0" borderId="25" xfId="136" applyNumberFormat="1" applyFont="1" applyFill="1" applyBorder="1" applyAlignment="1">
      <alignment horizontal="center"/>
    </xf>
    <xf numFmtId="6" fontId="2" fillId="0" borderId="72" xfId="0" applyNumberFormat="1" applyFont="1" applyBorder="1" applyAlignment="1">
      <alignment horizontal="right"/>
    </xf>
    <xf numFmtId="6" fontId="2" fillId="0" borderId="73" xfId="0" applyNumberFormat="1" applyFont="1" applyBorder="1" applyAlignment="1">
      <alignment horizontal="right"/>
    </xf>
    <xf numFmtId="6" fontId="2" fillId="0" borderId="74" xfId="0" applyNumberFormat="1" applyFont="1" applyBorder="1" applyAlignment="1">
      <alignment horizontal="right"/>
    </xf>
    <xf numFmtId="6" fontId="2" fillId="0" borderId="75" xfId="0" applyNumberFormat="1" applyFont="1" applyBorder="1" applyAlignment="1">
      <alignment horizontal="right"/>
    </xf>
    <xf numFmtId="0" fontId="6" fillId="0" borderId="56" xfId="138" applyFont="1" applyFill="1" applyBorder="1"/>
    <xf numFmtId="1" fontId="0" fillId="5" borderId="0" xfId="0" applyNumberFormat="1" applyFill="1"/>
    <xf numFmtId="0" fontId="6" fillId="0" borderId="0" xfId="2" applyFont="1" applyAlignment="1">
      <alignment vertical="top"/>
    </xf>
    <xf numFmtId="0" fontId="6" fillId="0" borderId="0" xfId="2" applyFont="1" applyAlignment="1">
      <alignment horizontal="center" vertical="top"/>
    </xf>
    <xf numFmtId="9" fontId="0" fillId="0" borderId="22" xfId="137" applyFont="1" applyFill="1" applyBorder="1" applyAlignment="1">
      <alignment horizontal="center" vertical="center"/>
    </xf>
    <xf numFmtId="0" fontId="36" fillId="0" borderId="25" xfId="0" applyFont="1" applyBorder="1"/>
    <xf numFmtId="0" fontId="0" fillId="0" borderId="69" xfId="0" applyBorder="1"/>
    <xf numFmtId="0" fontId="6" fillId="0" borderId="25" xfId="0" applyFont="1" applyBorder="1" applyAlignment="1">
      <alignment horizontal="right"/>
    </xf>
    <xf numFmtId="0" fontId="6" fillId="0" borderId="0" xfId="0" applyFont="1"/>
    <xf numFmtId="173" fontId="0" fillId="0" borderId="25" xfId="0" applyNumberFormat="1" applyBorder="1"/>
    <xf numFmtId="0" fontId="6" fillId="0" borderId="25" xfId="138" applyNumberFormat="1" applyFont="1" applyFill="1" applyBorder="1"/>
    <xf numFmtId="1" fontId="0" fillId="0" borderId="25" xfId="0" applyNumberFormat="1" applyBorder="1" applyAlignment="1">
      <alignment horizontal="center"/>
    </xf>
    <xf numFmtId="0" fontId="5" fillId="0" borderId="56" xfId="0" applyFont="1" applyBorder="1" applyAlignment="1">
      <alignment horizontal="center" vertical="center"/>
    </xf>
    <xf numFmtId="0" fontId="36" fillId="0" borderId="33" xfId="0" applyFont="1" applyBorder="1" applyAlignment="1">
      <alignment horizontal="center"/>
    </xf>
    <xf numFmtId="0" fontId="36" fillId="0" borderId="49" xfId="0" applyFont="1" applyBorder="1" applyAlignment="1">
      <alignment horizontal="center"/>
    </xf>
    <xf numFmtId="0" fontId="36" fillId="0" borderId="17" xfId="0" applyFont="1" applyBorder="1" applyAlignment="1">
      <alignment horizontal="center"/>
    </xf>
    <xf numFmtId="0" fontId="36" fillId="0" borderId="71" xfId="0" applyFont="1" applyBorder="1" applyAlignment="1">
      <alignment horizontal="center"/>
    </xf>
    <xf numFmtId="0" fontId="36" fillId="0" borderId="76" xfId="0" applyFont="1" applyBorder="1" applyAlignment="1">
      <alignment horizontal="center"/>
    </xf>
    <xf numFmtId="0" fontId="36" fillId="0" borderId="36" xfId="0" applyFont="1" applyBorder="1" applyAlignment="1">
      <alignment horizontal="center"/>
    </xf>
    <xf numFmtId="0" fontId="36" fillId="0" borderId="54" xfId="0" applyFont="1" applyBorder="1" applyAlignment="1">
      <alignment horizontal="center"/>
    </xf>
    <xf numFmtId="10" fontId="0" fillId="0" borderId="25" xfId="0" applyNumberFormat="1" applyBorder="1"/>
    <xf numFmtId="3" fontId="0" fillId="0" borderId="25" xfId="0" applyNumberFormat="1" applyBorder="1"/>
    <xf numFmtId="3" fontId="36" fillId="0" borderId="25" xfId="0" applyNumberFormat="1" applyFont="1" applyBorder="1"/>
    <xf numFmtId="3" fontId="0" fillId="0" borderId="25" xfId="0" applyNumberFormat="1" applyBorder="1" applyAlignment="1">
      <alignment horizontal="center" vertical="center"/>
    </xf>
    <xf numFmtId="0" fontId="0" fillId="0" borderId="0" xfId="0" applyAlignment="1">
      <alignment horizontal="center" vertical="center"/>
    </xf>
    <xf numFmtId="0" fontId="36" fillId="0" borderId="56" xfId="0" applyFont="1" applyBorder="1"/>
    <xf numFmtId="0" fontId="36" fillId="0" borderId="7" xfId="0" applyFont="1" applyBorder="1"/>
    <xf numFmtId="165" fontId="10" fillId="0" borderId="19" xfId="1" applyNumberFormat="1" applyFont="1" applyFill="1" applyBorder="1" applyAlignment="1">
      <alignment horizontal="center"/>
    </xf>
    <xf numFmtId="0" fontId="10" fillId="0" borderId="25" xfId="1" applyNumberFormat="1" applyFont="1" applyFill="1" applyBorder="1" applyAlignment="1">
      <alignment horizontal="center"/>
    </xf>
    <xf numFmtId="6" fontId="2" fillId="0" borderId="33" xfId="0" applyNumberFormat="1" applyFont="1" applyBorder="1" applyAlignment="1">
      <alignment horizontal="center" vertical="center" wrapText="1"/>
    </xf>
    <xf numFmtId="6" fontId="2" fillId="0" borderId="34" xfId="0" applyNumberFormat="1" applyFont="1" applyBorder="1" applyAlignment="1">
      <alignment horizontal="center" vertical="center" wrapText="1"/>
    </xf>
    <xf numFmtId="165" fontId="9" fillId="0" borderId="50" xfId="1" applyNumberFormat="1" applyFont="1" applyFill="1" applyBorder="1" applyAlignment="1" applyProtection="1">
      <alignment vertical="center"/>
    </xf>
    <xf numFmtId="0" fontId="5" fillId="0" borderId="33" xfId="0" applyFont="1" applyBorder="1"/>
    <xf numFmtId="0" fontId="0" fillId="0" borderId="49" xfId="0" applyBorder="1"/>
    <xf numFmtId="165" fontId="10" fillId="0" borderId="18" xfId="1" applyNumberFormat="1" applyFont="1" applyFill="1" applyBorder="1" applyAlignment="1">
      <alignment horizontal="center"/>
    </xf>
    <xf numFmtId="165" fontId="10" fillId="0" borderId="50" xfId="1" applyNumberFormat="1" applyFont="1" applyFill="1" applyBorder="1" applyAlignment="1">
      <alignment horizontal="center"/>
    </xf>
    <xf numFmtId="0" fontId="0" fillId="0" borderId="0" xfId="0" applyAlignment="1">
      <alignment vertical="center"/>
    </xf>
    <xf numFmtId="3" fontId="0" fillId="0" borderId="0" xfId="0" applyNumberFormat="1" applyAlignment="1">
      <alignment horizontal="center" vertical="center"/>
    </xf>
    <xf numFmtId="0" fontId="0" fillId="0" borderId="0" xfId="0" applyAlignment="1">
      <alignment horizontal="left" vertical="center" indent="1"/>
    </xf>
    <xf numFmtId="0" fontId="0" fillId="0" borderId="56" xfId="0" applyBorder="1" applyAlignment="1">
      <alignment vertical="center"/>
    </xf>
    <xf numFmtId="0" fontId="0" fillId="0" borderId="25" xfId="0" applyBorder="1" applyAlignment="1">
      <alignment vertical="center"/>
    </xf>
    <xf numFmtId="22" fontId="0" fillId="0" borderId="0" xfId="0" applyNumberFormat="1"/>
    <xf numFmtId="0" fontId="0" fillId="0" borderId="25" xfId="0" applyBorder="1" applyAlignment="1">
      <alignment vertical="center" textRotation="90"/>
    </xf>
    <xf numFmtId="164" fontId="0" fillId="6" borderId="25" xfId="0" applyNumberFormat="1" applyFill="1" applyBorder="1"/>
    <xf numFmtId="6" fontId="2" fillId="0" borderId="51" xfId="0" applyNumberFormat="1" applyFont="1" applyBorder="1" applyAlignment="1">
      <alignment horizontal="center" vertical="center" wrapText="1"/>
    </xf>
    <xf numFmtId="164" fontId="2" fillId="0" borderId="18" xfId="0" applyNumberFormat="1" applyFont="1" applyBorder="1" applyAlignment="1">
      <alignment horizontal="center" vertical="center"/>
    </xf>
    <xf numFmtId="10" fontId="0" fillId="0" borderId="25" xfId="136" applyNumberFormat="1" applyFont="1" applyFill="1" applyBorder="1" applyAlignment="1">
      <alignment horizontal="center"/>
    </xf>
    <xf numFmtId="0" fontId="6" fillId="0" borderId="25" xfId="0" applyFont="1" applyBorder="1" applyAlignment="1">
      <alignment horizontal="center"/>
    </xf>
    <xf numFmtId="0" fontId="5" fillId="0" borderId="21" xfId="0" applyFont="1" applyBorder="1" applyAlignment="1">
      <alignment horizontal="center"/>
    </xf>
    <xf numFmtId="0" fontId="5" fillId="0" borderId="21" xfId="0" applyFont="1" applyBorder="1" applyAlignment="1">
      <alignment horizontal="center" vertical="center"/>
    </xf>
    <xf numFmtId="0" fontId="16" fillId="0" borderId="21" xfId="0" applyFont="1" applyBorder="1" applyAlignment="1">
      <alignment horizontal="center"/>
    </xf>
    <xf numFmtId="173" fontId="6" fillId="0" borderId="25" xfId="0" applyNumberFormat="1" applyFont="1" applyBorder="1" applyAlignment="1">
      <alignment horizontal="center"/>
    </xf>
    <xf numFmtId="1" fontId="6" fillId="0" borderId="25" xfId="0" applyNumberFormat="1" applyFont="1" applyBorder="1" applyAlignment="1">
      <alignment horizontal="center"/>
    </xf>
    <xf numFmtId="180" fontId="0" fillId="0" borderId="25" xfId="0" applyNumberFormat="1" applyBorder="1"/>
    <xf numFmtId="2" fontId="0" fillId="0" borderId="25" xfId="0" applyNumberFormat="1" applyBorder="1"/>
    <xf numFmtId="44" fontId="0" fillId="0" borderId="25" xfId="1" applyFont="1" applyBorder="1"/>
    <xf numFmtId="44" fontId="0" fillId="0" borderId="25" xfId="0" applyNumberFormat="1" applyBorder="1"/>
    <xf numFmtId="0" fontId="0" fillId="0" borderId="25" xfId="0" applyBorder="1" applyAlignment="1">
      <alignment wrapText="1"/>
    </xf>
    <xf numFmtId="0" fontId="0" fillId="0" borderId="25" xfId="0" applyBorder="1" applyAlignment="1">
      <alignment horizontal="center" wrapText="1"/>
    </xf>
    <xf numFmtId="175" fontId="0" fillId="0" borderId="25" xfId="0" applyNumberFormat="1" applyBorder="1"/>
    <xf numFmtId="9" fontId="0" fillId="0" borderId="25" xfId="137" applyFont="1" applyFill="1" applyBorder="1" applyAlignment="1">
      <alignment horizontal="center" vertical="center"/>
    </xf>
    <xf numFmtId="0" fontId="0" fillId="0" borderId="25" xfId="0" applyBorder="1" applyAlignment="1">
      <alignment horizontal="right" wrapText="1"/>
    </xf>
    <xf numFmtId="164" fontId="2" fillId="0" borderId="0" xfId="0" applyNumberFormat="1" applyFont="1"/>
    <xf numFmtId="165" fontId="0" fillId="0" borderId="25" xfId="0" applyNumberFormat="1" applyBorder="1"/>
    <xf numFmtId="165" fontId="0" fillId="0" borderId="20" xfId="0" applyNumberFormat="1" applyBorder="1"/>
    <xf numFmtId="0" fontId="0" fillId="0" borderId="20" xfId="0" applyBorder="1"/>
    <xf numFmtId="0" fontId="0" fillId="0" borderId="7" xfId="0" applyBorder="1"/>
    <xf numFmtId="6" fontId="2" fillId="0" borderId="62" xfId="0" applyNumberFormat="1" applyFont="1" applyBorder="1" applyAlignment="1">
      <alignment horizontal="center" vertical="center" wrapText="1"/>
    </xf>
    <xf numFmtId="6" fontId="2" fillId="0" borderId="56" xfId="0" applyNumberFormat="1" applyFont="1" applyBorder="1" applyAlignment="1">
      <alignment horizontal="center" vertical="center" wrapText="1"/>
    </xf>
    <xf numFmtId="0" fontId="2" fillId="0" borderId="60" xfId="0" applyFont="1" applyBorder="1" applyAlignment="1">
      <alignment horizontal="center"/>
    </xf>
    <xf numFmtId="164" fontId="2" fillId="0" borderId="61" xfId="0" applyNumberFormat="1" applyFont="1" applyBorder="1" applyAlignment="1">
      <alignment horizontal="center"/>
    </xf>
    <xf numFmtId="164" fontId="2" fillId="0" borderId="17" xfId="0" applyNumberFormat="1" applyFont="1" applyBorder="1" applyAlignment="1">
      <alignment horizontal="center"/>
    </xf>
    <xf numFmtId="6" fontId="2" fillId="0" borderId="54" xfId="0" applyNumberFormat="1" applyFont="1" applyBorder="1" applyAlignment="1">
      <alignment horizontal="center" vertical="center" wrapText="1"/>
    </xf>
    <xf numFmtId="6" fontId="2" fillId="0" borderId="63" xfId="0" applyNumberFormat="1" applyFont="1" applyBorder="1" applyAlignment="1">
      <alignment horizontal="center" vertical="center" wrapText="1"/>
    </xf>
    <xf numFmtId="0" fontId="2" fillId="0" borderId="46" xfId="0" applyFont="1" applyBorder="1" applyAlignment="1">
      <alignment horizontal="center"/>
    </xf>
    <xf numFmtId="6" fontId="2" fillId="0" borderId="77" xfId="0" applyNumberFormat="1" applyFont="1" applyBorder="1" applyAlignment="1">
      <alignment horizontal="center" vertical="center" wrapText="1"/>
    </xf>
    <xf numFmtId="164" fontId="2" fillId="0" borderId="36" xfId="0" applyNumberFormat="1" applyFont="1" applyBorder="1" applyAlignment="1">
      <alignment horizontal="center"/>
    </xf>
    <xf numFmtId="164" fontId="2" fillId="0" borderId="48" xfId="0" applyNumberFormat="1" applyFont="1" applyBorder="1" applyAlignment="1">
      <alignment horizontal="center"/>
    </xf>
    <xf numFmtId="0" fontId="40" fillId="0" borderId="0" xfId="0" applyFont="1"/>
    <xf numFmtId="0" fontId="40" fillId="0" borderId="0" xfId="0" applyFont="1" applyAlignment="1">
      <alignment horizontal="center"/>
    </xf>
    <xf numFmtId="0" fontId="2" fillId="0" borderId="65" xfId="0" applyFont="1" applyBorder="1" applyAlignment="1">
      <alignment vertical="center" wrapText="1"/>
    </xf>
    <xf numFmtId="0" fontId="2" fillId="0" borderId="66" xfId="0" applyFont="1" applyBorder="1" applyAlignment="1">
      <alignment vertical="center" wrapText="1"/>
    </xf>
    <xf numFmtId="0" fontId="2" fillId="0" borderId="67" xfId="0" applyFont="1" applyBorder="1" applyAlignment="1">
      <alignment vertical="center" wrapText="1"/>
    </xf>
    <xf numFmtId="0" fontId="37" fillId="0" borderId="65" xfId="0" applyFont="1" applyBorder="1" applyAlignment="1">
      <alignment vertical="top" wrapText="1"/>
    </xf>
    <xf numFmtId="0" fontId="37" fillId="0" borderId="67" xfId="0" applyFont="1" applyBorder="1" applyAlignment="1">
      <alignment vertical="top" wrapText="1"/>
    </xf>
    <xf numFmtId="0" fontId="37" fillId="0" borderId="0" xfId="0" applyFont="1" applyAlignment="1">
      <alignment vertical="top" wrapText="1"/>
    </xf>
    <xf numFmtId="0" fontId="37" fillId="0" borderId="65" xfId="0" applyFont="1" applyBorder="1" applyAlignment="1">
      <alignment vertical="center" wrapText="1"/>
    </xf>
    <xf numFmtId="0" fontId="37" fillId="0" borderId="67" xfId="0" applyFont="1" applyBorder="1" applyAlignment="1">
      <alignment vertical="center" wrapText="1"/>
    </xf>
    <xf numFmtId="0" fontId="37" fillId="0" borderId="68" xfId="0" applyFont="1" applyBorder="1" applyAlignment="1">
      <alignment horizontal="center" vertical="center" wrapText="1"/>
    </xf>
    <xf numFmtId="0" fontId="2" fillId="0" borderId="68" xfId="0" applyFont="1" applyBorder="1" applyAlignment="1">
      <alignment horizontal="left" vertical="top" wrapText="1" indent="1"/>
    </xf>
    <xf numFmtId="0" fontId="2" fillId="0" borderId="68" xfId="0" applyFont="1" applyBorder="1" applyAlignment="1">
      <alignment horizontal="center" vertical="top" wrapText="1"/>
    </xf>
    <xf numFmtId="0" fontId="2" fillId="0" borderId="0" xfId="0" applyFont="1" applyAlignment="1">
      <alignment horizontal="center" vertical="top" wrapText="1"/>
    </xf>
    <xf numFmtId="0" fontId="37" fillId="0" borderId="66" xfId="0" applyFont="1" applyBorder="1" applyAlignment="1">
      <alignment vertical="top" wrapText="1"/>
    </xf>
    <xf numFmtId="0" fontId="37" fillId="0" borderId="68" xfId="0" applyFont="1" applyBorder="1" applyAlignment="1">
      <alignment horizontal="center" vertical="top" wrapText="1"/>
    </xf>
    <xf numFmtId="0" fontId="37" fillId="0" borderId="68" xfId="0" applyFont="1" applyBorder="1" applyAlignment="1">
      <alignment horizontal="left" vertical="top" wrapText="1"/>
    </xf>
    <xf numFmtId="177" fontId="38" fillId="0" borderId="68" xfId="0" applyNumberFormat="1" applyFont="1" applyBorder="1" applyAlignment="1">
      <alignment horizontal="right" vertical="top" shrinkToFit="1"/>
    </xf>
    <xf numFmtId="3" fontId="38" fillId="0" borderId="68" xfId="0" applyNumberFormat="1" applyFont="1" applyBorder="1" applyAlignment="1">
      <alignment horizontal="right" vertical="top" shrinkToFit="1"/>
    </xf>
    <xf numFmtId="178" fontId="38" fillId="0" borderId="68" xfId="0" applyNumberFormat="1" applyFont="1" applyBorder="1" applyAlignment="1">
      <alignment horizontal="right" vertical="top" shrinkToFit="1"/>
    </xf>
    <xf numFmtId="178" fontId="38" fillId="0" borderId="0" xfId="0" applyNumberFormat="1" applyFont="1" applyAlignment="1">
      <alignment horizontal="right" vertical="top" shrinkToFit="1"/>
    </xf>
    <xf numFmtId="0" fontId="2" fillId="0" borderId="68" xfId="0" applyFont="1" applyBorder="1" applyAlignment="1">
      <alignment horizontal="left" wrapText="1"/>
    </xf>
    <xf numFmtId="0" fontId="37" fillId="0" borderId="68" xfId="0" applyFont="1" applyBorder="1" applyAlignment="1">
      <alignment vertical="top" wrapText="1"/>
    </xf>
    <xf numFmtId="1" fontId="38" fillId="0" borderId="68" xfId="0" applyNumberFormat="1" applyFont="1" applyBorder="1" applyAlignment="1">
      <alignment horizontal="right" vertical="top" shrinkToFit="1"/>
    </xf>
    <xf numFmtId="9" fontId="38" fillId="0" borderId="68" xfId="0" applyNumberFormat="1" applyFont="1" applyBorder="1" applyAlignment="1">
      <alignment horizontal="right" vertical="top" shrinkToFit="1"/>
    </xf>
    <xf numFmtId="2" fontId="38" fillId="0" borderId="68" xfId="0" applyNumberFormat="1" applyFont="1" applyBorder="1" applyAlignment="1">
      <alignment horizontal="right" vertical="top" shrinkToFit="1"/>
    </xf>
    <xf numFmtId="9" fontId="38" fillId="0" borderId="68" xfId="0" applyNumberFormat="1" applyFont="1" applyBorder="1" applyAlignment="1">
      <alignment horizontal="center" vertical="top" shrinkToFit="1"/>
    </xf>
    <xf numFmtId="178" fontId="38" fillId="0" borderId="68" xfId="0" applyNumberFormat="1" applyFont="1" applyBorder="1" applyAlignment="1">
      <alignment vertical="top" shrinkToFit="1"/>
    </xf>
    <xf numFmtId="173" fontId="38" fillId="0" borderId="68" xfId="0" applyNumberFormat="1" applyFont="1" applyBorder="1" applyAlignment="1">
      <alignment vertical="top" shrinkToFit="1"/>
    </xf>
    <xf numFmtId="173" fontId="38" fillId="0" borderId="68" xfId="0" applyNumberFormat="1" applyFont="1" applyBorder="1" applyAlignment="1">
      <alignment horizontal="right" vertical="top" shrinkToFit="1"/>
    </xf>
    <xf numFmtId="0" fontId="2" fillId="0" borderId="65" xfId="0" applyFont="1" applyBorder="1" applyAlignment="1">
      <alignment wrapText="1"/>
    </xf>
    <xf numFmtId="0" fontId="2" fillId="0" borderId="66" xfId="0" applyFont="1" applyBorder="1" applyAlignment="1">
      <alignment wrapText="1"/>
    </xf>
    <xf numFmtId="0" fontId="2" fillId="0" borderId="0" xfId="0" applyFont="1" applyAlignment="1">
      <alignment wrapText="1"/>
    </xf>
    <xf numFmtId="10" fontId="38" fillId="0" borderId="68" xfId="0" applyNumberFormat="1" applyFont="1" applyBorder="1" applyAlignment="1">
      <alignment horizontal="left" vertical="top" indent="1" shrinkToFit="1"/>
    </xf>
    <xf numFmtId="0" fontId="2" fillId="0" borderId="0" xfId="0" applyFont="1" applyAlignment="1">
      <alignment horizontal="left" wrapText="1"/>
    </xf>
    <xf numFmtId="178" fontId="38" fillId="0" borderId="65" xfId="0" applyNumberFormat="1" applyFont="1" applyBorder="1" applyAlignment="1">
      <alignment vertical="top" shrinkToFit="1"/>
    </xf>
    <xf numFmtId="178" fontId="38" fillId="0" borderId="67" xfId="0" applyNumberFormat="1" applyFont="1" applyBorder="1" applyAlignment="1">
      <alignment vertical="top" shrinkToFit="1"/>
    </xf>
    <xf numFmtId="178" fontId="38" fillId="0" borderId="0" xfId="0" applyNumberFormat="1" applyFont="1" applyAlignment="1">
      <alignment vertical="top" shrinkToFit="1"/>
    </xf>
    <xf numFmtId="0" fontId="2" fillId="0" borderId="68" xfId="0" applyFont="1" applyBorder="1" applyAlignment="1">
      <alignment horizontal="left" vertical="center" wrapText="1"/>
    </xf>
    <xf numFmtId="2" fontId="38" fillId="0" borderId="68" xfId="0" applyNumberFormat="1" applyFont="1" applyBorder="1" applyAlignment="1">
      <alignment horizontal="left" vertical="top" indent="1" shrinkToFit="1"/>
    </xf>
    <xf numFmtId="179" fontId="38" fillId="0" borderId="68" xfId="0" applyNumberFormat="1" applyFont="1" applyBorder="1" applyAlignment="1">
      <alignment horizontal="left" vertical="top" indent="2" shrinkToFit="1"/>
    </xf>
    <xf numFmtId="164" fontId="39" fillId="0" borderId="0" xfId="0" applyNumberFormat="1" applyFont="1" applyAlignment="1">
      <alignment horizontal="left" vertical="top" indent="2" shrinkToFit="1"/>
    </xf>
    <xf numFmtId="164" fontId="5" fillId="0" borderId="25" xfId="1" applyNumberFormat="1" applyFont="1" applyFill="1" applyBorder="1"/>
    <xf numFmtId="0" fontId="5" fillId="0" borderId="26" xfId="0" applyFont="1" applyBorder="1" applyAlignment="1">
      <alignment horizontal="center"/>
    </xf>
    <xf numFmtId="0" fontId="5" fillId="0" borderId="20" xfId="0" applyFont="1" applyBorder="1"/>
    <xf numFmtId="10" fontId="0" fillId="0" borderId="20" xfId="0" applyNumberFormat="1" applyBorder="1"/>
    <xf numFmtId="0" fontId="0" fillId="0" borderId="22" xfId="0" applyBorder="1"/>
    <xf numFmtId="37" fontId="2" fillId="7" borderId="51" xfId="136" applyNumberFormat="1" applyFont="1" applyFill="1" applyBorder="1" applyAlignment="1">
      <alignment horizontal="center"/>
    </xf>
    <xf numFmtId="37" fontId="2" fillId="7" borderId="18" xfId="136" applyNumberFormat="1" applyFont="1" applyFill="1" applyBorder="1" applyAlignment="1">
      <alignment horizontal="center"/>
    </xf>
    <xf numFmtId="37" fontId="2" fillId="7" borderId="34" xfId="136" applyNumberFormat="1" applyFont="1" applyFill="1" applyBorder="1" applyAlignment="1">
      <alignment horizontal="center"/>
    </xf>
    <xf numFmtId="37" fontId="2" fillId="7" borderId="19" xfId="136" applyNumberFormat="1" applyFont="1" applyFill="1" applyBorder="1" applyAlignment="1">
      <alignment horizontal="center"/>
    </xf>
    <xf numFmtId="37" fontId="2" fillId="7" borderId="42" xfId="1" applyNumberFormat="1" applyFont="1" applyFill="1" applyBorder="1" applyAlignment="1">
      <alignment horizontal="right" indent="1"/>
    </xf>
    <xf numFmtId="37" fontId="2" fillId="7" borderId="14" xfId="1" applyNumberFormat="1" applyFont="1" applyFill="1" applyBorder="1" applyAlignment="1">
      <alignment horizontal="right" indent="1"/>
    </xf>
    <xf numFmtId="6" fontId="2" fillId="7" borderId="13" xfId="0" applyNumberFormat="1" applyFont="1" applyFill="1" applyBorder="1" applyAlignment="1">
      <alignment horizontal="right"/>
    </xf>
    <xf numFmtId="6" fontId="2" fillId="7" borderId="14" xfId="0" applyNumberFormat="1" applyFont="1" applyFill="1" applyBorder="1" applyAlignment="1">
      <alignment horizontal="right"/>
    </xf>
    <xf numFmtId="3" fontId="2" fillId="7" borderId="13" xfId="0" applyNumberFormat="1" applyFont="1" applyFill="1" applyBorder="1" applyAlignment="1">
      <alignment horizontal="center"/>
    </xf>
    <xf numFmtId="3" fontId="2" fillId="7" borderId="14" xfId="0" applyNumberFormat="1" applyFont="1" applyFill="1" applyBorder="1" applyAlignment="1">
      <alignment horizontal="center"/>
    </xf>
    <xf numFmtId="0" fontId="5" fillId="0" borderId="1"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2" xfId="0" applyBorder="1" applyAlignment="1">
      <alignment horizontal="center" vertical="center" wrapText="1"/>
    </xf>
    <xf numFmtId="0" fontId="6" fillId="8" borderId="4" xfId="0" applyFont="1" applyFill="1" applyBorder="1" applyAlignment="1">
      <alignment horizontal="center" vertical="center"/>
    </xf>
    <xf numFmtId="0" fontId="6" fillId="8" borderId="12" xfId="0" applyFont="1" applyFill="1" applyBorder="1" applyAlignment="1">
      <alignment horizontal="center" vertical="center"/>
    </xf>
    <xf numFmtId="173" fontId="0" fillId="9" borderId="33" xfId="0" applyNumberFormat="1" applyFill="1" applyBorder="1" applyAlignment="1">
      <alignment horizontal="center" vertical="center"/>
    </xf>
    <xf numFmtId="173" fontId="0" fillId="9" borderId="17" xfId="0" applyNumberFormat="1" applyFill="1" applyBorder="1" applyAlignment="1">
      <alignment horizontal="center" vertical="center"/>
    </xf>
    <xf numFmtId="173" fontId="0" fillId="9" borderId="54" xfId="0" applyNumberFormat="1" applyFill="1" applyBorder="1" applyAlignment="1">
      <alignment horizontal="center" vertical="center"/>
    </xf>
    <xf numFmtId="173" fontId="0" fillId="10" borderId="33" xfId="0" applyNumberFormat="1" applyFill="1" applyBorder="1" applyAlignment="1">
      <alignment horizontal="center" vertical="center"/>
    </xf>
    <xf numFmtId="173" fontId="41" fillId="11" borderId="17" xfId="0" applyNumberFormat="1" applyFont="1" applyFill="1" applyBorder="1" applyAlignment="1">
      <alignment horizontal="center" vertical="center"/>
    </xf>
    <xf numFmtId="173" fontId="0" fillId="10" borderId="54" xfId="0" applyNumberFormat="1" applyFill="1" applyBorder="1" applyAlignment="1">
      <alignment horizontal="center" vertical="center"/>
    </xf>
    <xf numFmtId="173" fontId="0" fillId="12" borderId="33" xfId="0" applyNumberFormat="1" applyFill="1" applyBorder="1" applyAlignment="1">
      <alignment horizontal="center" vertical="center"/>
    </xf>
    <xf numFmtId="173" fontId="0" fillId="12" borderId="78" xfId="0" applyNumberFormat="1" applyFill="1" applyBorder="1" applyAlignment="1">
      <alignment horizontal="center" vertical="center"/>
    </xf>
    <xf numFmtId="173" fontId="0" fillId="12" borderId="17" xfId="0" applyNumberFormat="1" applyFill="1" applyBorder="1" applyAlignment="1">
      <alignment horizontal="center" vertical="center"/>
    </xf>
    <xf numFmtId="173" fontId="0" fillId="13" borderId="33" xfId="0" applyNumberFormat="1" applyFill="1" applyBorder="1" applyAlignment="1">
      <alignment horizontal="center" vertical="center"/>
    </xf>
    <xf numFmtId="173" fontId="0" fillId="13" borderId="78" xfId="0" applyNumberFormat="1" applyFill="1" applyBorder="1" applyAlignment="1">
      <alignment horizontal="center" vertical="center"/>
    </xf>
    <xf numFmtId="173" fontId="0" fillId="13" borderId="17" xfId="0" applyNumberFormat="1" applyFill="1" applyBorder="1" applyAlignment="1">
      <alignment horizontal="center" vertical="center"/>
    </xf>
    <xf numFmtId="0" fontId="6" fillId="8" borderId="6" xfId="0" applyFont="1" applyFill="1" applyBorder="1" applyAlignment="1">
      <alignment horizontal="center" vertical="center"/>
    </xf>
    <xf numFmtId="0" fontId="6" fillId="8" borderId="13" xfId="0" applyFont="1" applyFill="1" applyBorder="1" applyAlignment="1">
      <alignment horizontal="center" vertical="center"/>
    </xf>
    <xf numFmtId="173" fontId="0" fillId="9" borderId="51" xfId="0" applyNumberFormat="1" applyFill="1" applyBorder="1" applyAlignment="1">
      <alignment horizontal="center" vertical="center"/>
    </xf>
    <xf numFmtId="173" fontId="0" fillId="9" borderId="18" xfId="0" applyNumberFormat="1" applyFill="1" applyBorder="1" applyAlignment="1">
      <alignment horizontal="center" vertical="center"/>
    </xf>
    <xf numFmtId="173" fontId="0" fillId="9" borderId="56" xfId="0" applyNumberFormat="1" applyFill="1" applyBorder="1" applyAlignment="1">
      <alignment horizontal="center" vertical="center"/>
    </xf>
    <xf numFmtId="173" fontId="0" fillId="10" borderId="51" xfId="0" applyNumberFormat="1" applyFill="1" applyBorder="1" applyAlignment="1">
      <alignment horizontal="center" vertical="center"/>
    </xf>
    <xf numFmtId="173" fontId="41" fillId="11" borderId="18" xfId="0" applyNumberFormat="1" applyFont="1" applyFill="1" applyBorder="1" applyAlignment="1">
      <alignment horizontal="center" vertical="center"/>
    </xf>
    <xf numFmtId="173" fontId="0" fillId="10" borderId="56" xfId="0" applyNumberFormat="1" applyFill="1" applyBorder="1" applyAlignment="1">
      <alignment horizontal="center" vertical="center"/>
    </xf>
    <xf numFmtId="173" fontId="0" fillId="12" borderId="51" xfId="0" applyNumberFormat="1" applyFill="1" applyBorder="1" applyAlignment="1">
      <alignment horizontal="center" vertical="center"/>
    </xf>
    <xf numFmtId="173" fontId="0" fillId="12" borderId="20" xfId="0" applyNumberFormat="1" applyFill="1" applyBorder="1" applyAlignment="1">
      <alignment horizontal="center" vertical="center"/>
    </xf>
    <xf numFmtId="173" fontId="0" fillId="12" borderId="18" xfId="0" applyNumberFormat="1" applyFill="1" applyBorder="1" applyAlignment="1">
      <alignment horizontal="center" vertical="center"/>
    </xf>
    <xf numFmtId="173" fontId="0" fillId="13" borderId="51" xfId="0" applyNumberFormat="1" applyFill="1" applyBorder="1" applyAlignment="1">
      <alignment horizontal="center" vertical="center"/>
    </xf>
    <xf numFmtId="173" fontId="0" fillId="13" borderId="20" xfId="0" applyNumberFormat="1" applyFill="1" applyBorder="1" applyAlignment="1">
      <alignment horizontal="center" vertical="center"/>
    </xf>
    <xf numFmtId="173" fontId="0" fillId="13" borderId="18" xfId="0" applyNumberFormat="1" applyFill="1" applyBorder="1" applyAlignment="1">
      <alignment horizontal="center" vertical="center"/>
    </xf>
    <xf numFmtId="173" fontId="0" fillId="10" borderId="18" xfId="0" applyNumberFormat="1" applyFill="1" applyBorder="1" applyAlignment="1">
      <alignment horizontal="center" vertical="center"/>
    </xf>
    <xf numFmtId="173" fontId="0" fillId="0" borderId="0" xfId="0" applyNumberFormat="1" applyAlignment="1">
      <alignment horizontal="center" vertical="center"/>
    </xf>
    <xf numFmtId="173" fontId="0" fillId="11" borderId="18" xfId="0" applyNumberFormat="1" applyFill="1" applyBorder="1" applyAlignment="1">
      <alignment horizontal="center" vertical="center"/>
    </xf>
    <xf numFmtId="0" fontId="6" fillId="8" borderId="8" xfId="0" applyFont="1" applyFill="1" applyBorder="1" applyAlignment="1">
      <alignment horizontal="center" vertical="center"/>
    </xf>
    <xf numFmtId="0" fontId="6" fillId="8" borderId="14" xfId="0" applyFont="1" applyFill="1" applyBorder="1" applyAlignment="1">
      <alignment horizontal="center" vertical="center"/>
    </xf>
    <xf numFmtId="173" fontId="0" fillId="9" borderId="34" xfId="0" applyNumberFormat="1" applyFill="1" applyBorder="1" applyAlignment="1">
      <alignment horizontal="center" vertical="center"/>
    </xf>
    <xf numFmtId="173" fontId="0" fillId="9" borderId="19" xfId="0" applyNumberFormat="1" applyFill="1" applyBorder="1" applyAlignment="1">
      <alignment horizontal="center" vertical="center"/>
    </xf>
    <xf numFmtId="173" fontId="0" fillId="9" borderId="57" xfId="0" applyNumberFormat="1" applyFill="1" applyBorder="1" applyAlignment="1">
      <alignment horizontal="center" vertical="center"/>
    </xf>
    <xf numFmtId="173" fontId="0" fillId="10" borderId="34" xfId="0" applyNumberFormat="1" applyFill="1" applyBorder="1" applyAlignment="1">
      <alignment horizontal="center" vertical="center"/>
    </xf>
    <xf numFmtId="173" fontId="0" fillId="11" borderId="19" xfId="0" applyNumberFormat="1" applyFill="1" applyBorder="1" applyAlignment="1">
      <alignment horizontal="center" vertical="center"/>
    </xf>
    <xf numFmtId="173" fontId="0" fillId="10" borderId="57" xfId="0" applyNumberFormat="1" applyFill="1" applyBorder="1" applyAlignment="1">
      <alignment horizontal="center" vertical="center"/>
    </xf>
    <xf numFmtId="173" fontId="0" fillId="10" borderId="19" xfId="0" applyNumberFormat="1" applyFill="1" applyBorder="1" applyAlignment="1">
      <alignment horizontal="center" vertical="center"/>
    </xf>
    <xf numFmtId="173" fontId="0" fillId="12" borderId="34" xfId="0" applyNumberFormat="1" applyFill="1" applyBorder="1" applyAlignment="1">
      <alignment horizontal="center" vertical="center"/>
    </xf>
    <xf numFmtId="173" fontId="0" fillId="12" borderId="80" xfId="0" applyNumberFormat="1" applyFill="1" applyBorder="1" applyAlignment="1">
      <alignment horizontal="center" vertical="center"/>
    </xf>
    <xf numFmtId="173" fontId="0" fillId="12" borderId="19" xfId="0" applyNumberFormat="1" applyFill="1" applyBorder="1" applyAlignment="1">
      <alignment horizontal="center" vertical="center"/>
    </xf>
    <xf numFmtId="173" fontId="0" fillId="13" borderId="34" xfId="0" applyNumberFormat="1" applyFill="1" applyBorder="1" applyAlignment="1">
      <alignment horizontal="center" vertical="center"/>
    </xf>
    <xf numFmtId="173" fontId="0" fillId="13" borderId="80" xfId="0" applyNumberFormat="1" applyFill="1" applyBorder="1" applyAlignment="1">
      <alignment horizontal="center" vertical="center"/>
    </xf>
    <xf numFmtId="173" fontId="0" fillId="13" borderId="19" xfId="0" applyNumberFormat="1" applyFill="1" applyBorder="1" applyAlignment="1">
      <alignment horizontal="center" vertical="center"/>
    </xf>
    <xf numFmtId="173" fontId="0" fillId="0" borderId="0" xfId="0" applyNumberFormat="1"/>
    <xf numFmtId="0" fontId="6" fillId="8" borderId="70" xfId="0" applyFont="1" applyFill="1" applyBorder="1" applyAlignment="1">
      <alignment horizontal="center" vertical="center"/>
    </xf>
    <xf numFmtId="0" fontId="6" fillId="8" borderId="41" xfId="0" applyFont="1" applyFill="1" applyBorder="1" applyAlignment="1">
      <alignment horizontal="center" vertical="center"/>
    </xf>
    <xf numFmtId="170" fontId="0" fillId="0" borderId="25" xfId="0" applyNumberFormat="1" applyBorder="1"/>
    <xf numFmtId="0" fontId="6" fillId="0" borderId="0" xfId="0" applyFont="1" applyAlignment="1">
      <alignment horizontal="left" vertical="top" wrapText="1"/>
    </xf>
    <xf numFmtId="0" fontId="6" fillId="0" borderId="0" xfId="2" applyFont="1" applyAlignment="1">
      <alignment horizontal="left" vertical="top" wrapText="1"/>
    </xf>
    <xf numFmtId="0" fontId="2" fillId="2" borderId="32"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0" fillId="2" borderId="10" xfId="0" applyFill="1" applyBorder="1" applyAlignment="1">
      <alignment horizontal="center" vertical="center" wrapText="1"/>
    </xf>
    <xf numFmtId="0" fontId="0" fillId="2" borderId="30" xfId="0"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3" fillId="0" borderId="38" xfId="0" applyFont="1" applyBorder="1" applyAlignment="1">
      <alignment horizontal="center" wrapText="1"/>
    </xf>
    <xf numFmtId="0" fontId="3" fillId="0" borderId="28" xfId="0" applyFont="1" applyBorder="1" applyAlignment="1">
      <alignment horizontal="center" wrapText="1"/>
    </xf>
    <xf numFmtId="0" fontId="3" fillId="0" borderId="48" xfId="0" applyFont="1" applyBorder="1" applyAlignment="1">
      <alignment horizontal="center" wrapText="1"/>
    </xf>
    <xf numFmtId="0" fontId="5" fillId="0" borderId="20" xfId="0" applyFont="1" applyBorder="1" applyAlignment="1">
      <alignment horizontal="center" vertical="top" wrapText="1"/>
    </xf>
    <xf numFmtId="0" fontId="5" fillId="0" borderId="56" xfId="0" applyFont="1" applyBorder="1" applyAlignment="1">
      <alignment horizontal="center" vertical="top" wrapText="1"/>
    </xf>
    <xf numFmtId="0" fontId="0" fillId="0" borderId="0" xfId="0" applyAlignment="1">
      <alignment horizontal="left" vertical="top" wrapText="1"/>
    </xf>
    <xf numFmtId="0" fontId="5" fillId="0" borderId="0" xfId="0" applyFont="1" applyAlignment="1">
      <alignment horizontal="left"/>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7" xfId="0" applyFont="1" applyBorder="1" applyAlignment="1">
      <alignment horizontal="center" vertical="center"/>
    </xf>
    <xf numFmtId="0" fontId="2" fillId="0" borderId="35" xfId="0" applyFont="1" applyBorder="1" applyAlignment="1">
      <alignment horizontal="center" vertical="center"/>
    </xf>
    <xf numFmtId="0" fontId="5" fillId="0" borderId="25" xfId="0" applyFont="1" applyBorder="1" applyAlignment="1">
      <alignment horizontal="center" vertical="center"/>
    </xf>
    <xf numFmtId="0" fontId="0" fillId="0" borderId="25" xfId="0" applyBorder="1" applyAlignment="1">
      <alignment horizontal="center" vertical="center" textRotation="90"/>
    </xf>
    <xf numFmtId="0" fontId="0" fillId="0" borderId="20" xfId="0" applyBorder="1" applyAlignment="1">
      <alignment horizontal="center"/>
    </xf>
    <xf numFmtId="0" fontId="0" fillId="0" borderId="56" xfId="0" applyBorder="1" applyAlignment="1">
      <alignment horizontal="center"/>
    </xf>
    <xf numFmtId="164" fontId="0" fillId="0" borderId="25" xfId="0" applyNumberFormat="1" applyBorder="1" applyAlignment="1">
      <alignment horizont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0" fillId="0" borderId="26" xfId="0" applyBorder="1" applyAlignment="1">
      <alignment horizontal="center"/>
    </xf>
    <xf numFmtId="0" fontId="5" fillId="0" borderId="25" xfId="0" applyFont="1" applyBorder="1" applyAlignment="1">
      <alignment horizontal="center"/>
    </xf>
    <xf numFmtId="0" fontId="0" fillId="0" borderId="21" xfId="0" applyBorder="1" applyAlignment="1">
      <alignment horizontal="center" textRotation="90"/>
    </xf>
    <xf numFmtId="0" fontId="0" fillId="0" borderId="23" xfId="0" applyBorder="1" applyAlignment="1">
      <alignment horizontal="center" textRotation="90"/>
    </xf>
    <xf numFmtId="0" fontId="0" fillId="0" borderId="24" xfId="0" applyBorder="1" applyAlignment="1">
      <alignment horizontal="center" textRotation="90"/>
    </xf>
    <xf numFmtId="0" fontId="0" fillId="0" borderId="21" xfId="0" applyBorder="1" applyAlignment="1">
      <alignment horizontal="center" vertical="center" textRotation="90"/>
    </xf>
    <xf numFmtId="0" fontId="0" fillId="0" borderId="23" xfId="0" applyBorder="1" applyAlignment="1">
      <alignment horizontal="center" vertical="center" textRotation="90"/>
    </xf>
    <xf numFmtId="0" fontId="0" fillId="0" borderId="24" xfId="0" applyBorder="1" applyAlignment="1">
      <alignment horizontal="center" vertical="center" textRotation="90"/>
    </xf>
    <xf numFmtId="0" fontId="0" fillId="0" borderId="0" xfId="0" applyAlignment="1">
      <alignment horizontal="center"/>
    </xf>
    <xf numFmtId="0" fontId="5" fillId="0" borderId="56" xfId="0" applyFont="1" applyBorder="1" applyAlignment="1">
      <alignment horizontal="center" vertical="center"/>
    </xf>
    <xf numFmtId="0" fontId="5" fillId="0" borderId="20" xfId="0" applyFont="1" applyBorder="1" applyAlignment="1">
      <alignment horizontal="center"/>
    </xf>
    <xf numFmtId="0" fontId="5" fillId="0" borderId="26" xfId="0" applyFont="1" applyBorder="1" applyAlignment="1">
      <alignment horizontal="center"/>
    </xf>
    <xf numFmtId="0" fontId="5" fillId="0" borderId="38" xfId="0" applyFont="1" applyBorder="1" applyAlignment="1">
      <alignment horizontal="center" vertical="center"/>
    </xf>
    <xf numFmtId="0" fontId="5" fillId="0" borderId="48" xfId="0" applyFont="1" applyBorder="1" applyAlignment="1">
      <alignment horizontal="center" vertical="center"/>
    </xf>
    <xf numFmtId="0" fontId="5" fillId="0" borderId="28" xfId="0" applyFont="1" applyBorder="1" applyAlignment="1">
      <alignment horizontal="center" vertical="center"/>
    </xf>
    <xf numFmtId="0" fontId="2" fillId="0" borderId="3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7" xfId="0" applyFont="1" applyBorder="1" applyAlignment="1">
      <alignment horizontal="center" vertical="center"/>
    </xf>
    <xf numFmtId="0" fontId="2" fillId="0" borderId="61" xfId="0" applyFont="1" applyBorder="1" applyAlignment="1">
      <alignment horizontal="center" vertical="center"/>
    </xf>
    <xf numFmtId="0" fontId="5" fillId="0" borderId="1" xfId="0" applyFont="1" applyBorder="1" applyAlignment="1">
      <alignment horizontal="center"/>
    </xf>
    <xf numFmtId="0" fontId="5" fillId="0" borderId="32" xfId="0" applyFont="1" applyBorder="1" applyAlignment="1">
      <alignment horizontal="center"/>
    </xf>
    <xf numFmtId="0" fontId="5" fillId="0" borderId="38" xfId="0" applyFont="1" applyBorder="1" applyAlignment="1">
      <alignment horizontal="center"/>
    </xf>
    <xf numFmtId="0" fontId="5" fillId="0" borderId="48" xfId="0" applyFont="1" applyBorder="1" applyAlignment="1">
      <alignment horizont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49" fontId="2" fillId="0" borderId="15"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5" fillId="0" borderId="56" xfId="0" applyFont="1" applyBorder="1" applyAlignment="1">
      <alignment horizont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0" fillId="0" borderId="0" xfId="0" applyAlignment="1">
      <alignment horizontal="left"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0" borderId="31" xfId="0" applyFont="1" applyBorder="1" applyAlignment="1">
      <alignment horizontal="center" vertical="center"/>
    </xf>
    <xf numFmtId="0" fontId="8" fillId="0" borderId="51" xfId="0" applyFont="1" applyBorder="1" applyAlignment="1">
      <alignment horizontal="center" vertical="center"/>
    </xf>
    <xf numFmtId="0" fontId="8" fillId="0" borderId="25" xfId="2" applyFont="1" applyBorder="1" applyAlignment="1">
      <alignment horizontal="center" vertical="center"/>
    </xf>
    <xf numFmtId="0" fontId="8" fillId="0" borderId="25" xfId="0" applyFont="1" applyBorder="1" applyAlignment="1">
      <alignment horizontal="center" vertical="center" wrapText="1"/>
    </xf>
    <xf numFmtId="0" fontId="8" fillId="0" borderId="18" xfId="0" applyFont="1" applyBorder="1" applyAlignment="1">
      <alignment horizontal="center" vertical="center" wrapText="1"/>
    </xf>
    <xf numFmtId="173" fontId="0" fillId="12" borderId="8" xfId="0" applyNumberFormat="1" applyFill="1" applyBorder="1" applyAlignment="1">
      <alignment horizontal="center" vertical="center"/>
    </xf>
    <xf numFmtId="173" fontId="0" fillId="12" borderId="75" xfId="0" applyNumberFormat="1" applyFill="1" applyBorder="1" applyAlignment="1">
      <alignment horizontal="center" vertical="center"/>
    </xf>
    <xf numFmtId="173" fontId="0" fillId="13" borderId="8" xfId="0" applyNumberFormat="1" applyFill="1" applyBorder="1" applyAlignment="1">
      <alignment horizontal="center" vertical="center"/>
    </xf>
    <xf numFmtId="173" fontId="0" fillId="13" borderId="75" xfId="0" applyNumberFormat="1" applyFill="1" applyBorder="1" applyAlignment="1">
      <alignment horizontal="center" vertical="center"/>
    </xf>
    <xf numFmtId="173" fontId="0" fillId="13" borderId="6" xfId="0" applyNumberFormat="1" applyFill="1" applyBorder="1" applyAlignment="1">
      <alignment horizontal="center" vertical="center"/>
    </xf>
    <xf numFmtId="173" fontId="0" fillId="13" borderId="73" xfId="0" applyNumberFormat="1" applyFill="1" applyBorder="1" applyAlignment="1">
      <alignment horizontal="center" vertical="center"/>
    </xf>
    <xf numFmtId="173" fontId="0" fillId="9" borderId="6" xfId="0" applyNumberFormat="1" applyFill="1" applyBorder="1" applyAlignment="1">
      <alignment horizontal="center" vertical="center"/>
    </xf>
    <xf numFmtId="173" fontId="0" fillId="9" borderId="73" xfId="0" applyNumberFormat="1" applyFill="1" applyBorder="1" applyAlignment="1">
      <alignment horizontal="center" vertical="center"/>
    </xf>
    <xf numFmtId="173" fontId="0" fillId="10" borderId="6" xfId="0" applyNumberFormat="1" applyFill="1" applyBorder="1" applyAlignment="1">
      <alignment horizontal="center" vertical="center"/>
    </xf>
    <xf numFmtId="173" fontId="0" fillId="10" borderId="73" xfId="0" applyNumberFormat="1" applyFill="1" applyBorder="1" applyAlignment="1">
      <alignment horizontal="center" vertical="center"/>
    </xf>
    <xf numFmtId="173" fontId="0" fillId="12" borderId="6" xfId="0" applyNumberFormat="1" applyFill="1" applyBorder="1" applyAlignment="1">
      <alignment horizontal="center" vertical="center"/>
    </xf>
    <xf numFmtId="173" fontId="0" fillId="12" borderId="73" xfId="0" applyNumberFormat="1" applyFill="1" applyBorder="1" applyAlignment="1">
      <alignment horizontal="center" vertical="center"/>
    </xf>
    <xf numFmtId="173" fontId="0" fillId="12" borderId="4" xfId="0" applyNumberFormat="1" applyFill="1" applyBorder="1" applyAlignment="1">
      <alignment horizontal="center" vertical="center"/>
    </xf>
    <xf numFmtId="173" fontId="0" fillId="12" borderId="72" xfId="0" applyNumberFormat="1" applyFill="1" applyBorder="1" applyAlignment="1">
      <alignment horizontal="center" vertical="center"/>
    </xf>
    <xf numFmtId="173" fontId="0" fillId="13" borderId="4" xfId="0" applyNumberFormat="1" applyFill="1" applyBorder="1" applyAlignment="1">
      <alignment horizontal="center" vertical="center"/>
    </xf>
    <xf numFmtId="173" fontId="0" fillId="13" borderId="72" xfId="0" applyNumberFormat="1" applyFill="1" applyBorder="1" applyAlignment="1">
      <alignment horizontal="center" vertical="center"/>
    </xf>
    <xf numFmtId="0" fontId="5" fillId="0" borderId="30" xfId="0" applyFont="1" applyBorder="1" applyAlignment="1">
      <alignment horizontal="center" vertical="center" textRotation="90" wrapText="1"/>
    </xf>
    <xf numFmtId="0" fontId="5" fillId="0" borderId="11" xfId="0" applyFont="1" applyBorder="1" applyAlignment="1">
      <alignment horizontal="center" vertical="center" textRotation="90" wrapText="1"/>
    </xf>
    <xf numFmtId="173" fontId="0" fillId="9" borderId="4" xfId="0" applyNumberFormat="1" applyFill="1" applyBorder="1" applyAlignment="1">
      <alignment horizontal="center" vertical="center"/>
    </xf>
    <xf numFmtId="173" fontId="0" fillId="9" borderId="72" xfId="0" applyNumberFormat="1" applyFill="1" applyBorder="1" applyAlignment="1">
      <alignment horizontal="center" vertical="center"/>
    </xf>
    <xf numFmtId="173" fontId="0" fillId="10" borderId="42" xfId="0" applyNumberFormat="1" applyFill="1" applyBorder="1" applyAlignment="1">
      <alignment horizontal="center" vertical="center"/>
    </xf>
    <xf numFmtId="173" fontId="0" fillId="10" borderId="43" xfId="0" applyNumberFormat="1" applyFill="1" applyBorder="1" applyAlignment="1">
      <alignment horizontal="center" vertical="center"/>
    </xf>
    <xf numFmtId="173" fontId="0" fillId="9" borderId="8" xfId="0" applyNumberFormat="1" applyFill="1" applyBorder="1" applyAlignment="1">
      <alignment horizontal="center" vertical="center"/>
    </xf>
    <xf numFmtId="173" fontId="0" fillId="9" borderId="75" xfId="0" applyNumberFormat="1" applyFill="1" applyBorder="1" applyAlignment="1">
      <alignment horizontal="center" vertical="center"/>
    </xf>
    <xf numFmtId="173" fontId="0" fillId="10" borderId="8" xfId="0" applyNumberFormat="1" applyFill="1" applyBorder="1" applyAlignment="1">
      <alignment horizontal="center" vertical="center"/>
    </xf>
    <xf numFmtId="173" fontId="0" fillId="10" borderId="75" xfId="0" applyNumberFormat="1" applyFill="1" applyBorder="1" applyAlignment="1">
      <alignment horizontal="center" vertical="center"/>
    </xf>
    <xf numFmtId="0" fontId="5" fillId="0" borderId="10" xfId="0" applyFont="1" applyBorder="1" applyAlignment="1">
      <alignment horizontal="center" vertical="center" textRotation="90" wrapText="1"/>
    </xf>
    <xf numFmtId="173" fontId="0" fillId="10" borderId="33" xfId="0" applyNumberFormat="1" applyFill="1" applyBorder="1" applyAlignment="1">
      <alignment horizontal="center" vertical="center"/>
    </xf>
    <xf numFmtId="173" fontId="0" fillId="10" borderId="17" xfId="0" applyNumberFormat="1" applyFill="1" applyBorder="1" applyAlignment="1">
      <alignment horizontal="center" vertical="center"/>
    </xf>
    <xf numFmtId="0" fontId="0" fillId="0" borderId="38" xfId="0" applyBorder="1" applyAlignment="1">
      <alignment horizontal="center" vertical="center"/>
    </xf>
    <xf numFmtId="0" fontId="0" fillId="0" borderId="48" xfId="0" applyBorder="1" applyAlignment="1">
      <alignment horizontal="center" vertical="center"/>
    </xf>
    <xf numFmtId="0" fontId="0" fillId="0" borderId="28" xfId="0" applyBorder="1" applyAlignment="1">
      <alignment horizontal="center" vertical="center"/>
    </xf>
    <xf numFmtId="173" fontId="0" fillId="10" borderId="61" xfId="0" applyNumberFormat="1" applyFill="1" applyBorder="1" applyAlignment="1">
      <alignment horizontal="center" vertical="center"/>
    </xf>
    <xf numFmtId="0" fontId="0" fillId="0" borderId="47" xfId="0" applyBorder="1" applyAlignment="1">
      <alignment horizontal="center" vertical="center"/>
    </xf>
    <xf numFmtId="0" fontId="0" fillId="0" borderId="0" xfId="0"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0" fillId="0" borderId="3" xfId="0" applyBorder="1" applyAlignment="1">
      <alignment horizontal="center" vertical="center"/>
    </xf>
    <xf numFmtId="0" fontId="0" fillId="0" borderId="81" xfId="0" applyBorder="1" applyAlignment="1">
      <alignment horizontal="center" vertical="center"/>
    </xf>
    <xf numFmtId="0" fontId="0" fillId="0" borderId="29" xfId="0" applyBorder="1" applyAlignment="1">
      <alignment horizontal="center" vertical="center"/>
    </xf>
    <xf numFmtId="0" fontId="0" fillId="0" borderId="1" xfId="0" applyBorder="1" applyAlignment="1">
      <alignment horizontal="center" vertical="center"/>
    </xf>
    <xf numFmtId="0" fontId="0" fillId="0" borderId="32" xfId="0" applyBorder="1" applyAlignment="1">
      <alignment horizontal="center" vertical="center"/>
    </xf>
    <xf numFmtId="0" fontId="0" fillId="0" borderId="38" xfId="0" applyBorder="1" applyAlignment="1">
      <alignment horizontal="center"/>
    </xf>
    <xf numFmtId="0" fontId="0" fillId="0" borderId="28" xfId="0" applyBorder="1" applyAlignment="1">
      <alignment horizontal="center"/>
    </xf>
    <xf numFmtId="0" fontId="0" fillId="0" borderId="48" xfId="0" applyBorder="1" applyAlignment="1">
      <alignment horizontal="center"/>
    </xf>
    <xf numFmtId="173" fontId="0" fillId="9" borderId="79" xfId="0" applyNumberFormat="1" applyFill="1" applyBorder="1" applyAlignment="1">
      <alignment horizontal="center" vertical="center"/>
    </xf>
    <xf numFmtId="173" fontId="0" fillId="9" borderId="42" xfId="0" applyNumberFormat="1" applyFill="1" applyBorder="1" applyAlignment="1">
      <alignment horizontal="center" vertical="center"/>
    </xf>
    <xf numFmtId="173" fontId="0" fillId="9" borderId="61" xfId="0" applyNumberFormat="1" applyFill="1" applyBorder="1" applyAlignment="1">
      <alignment horizontal="center" vertical="center"/>
    </xf>
    <xf numFmtId="173" fontId="0" fillId="9" borderId="43" xfId="0" applyNumberFormat="1" applyFill="1" applyBorder="1" applyAlignment="1">
      <alignment horizontal="center" vertical="center"/>
    </xf>
    <xf numFmtId="173" fontId="0" fillId="10" borderId="79" xfId="0" applyNumberFormat="1" applyFill="1" applyBorder="1" applyAlignment="1">
      <alignment horizontal="center" vertical="center"/>
    </xf>
    <xf numFmtId="0" fontId="5" fillId="0" borderId="1" xfId="0" applyFont="1" applyBorder="1" applyAlignment="1">
      <alignment horizontal="center" vertical="center" wrapText="1"/>
    </xf>
    <xf numFmtId="0" fontId="5" fillId="0" borderId="47" xfId="0" applyFont="1" applyBorder="1" applyAlignment="1">
      <alignment horizontal="center" vertical="center" wrapText="1"/>
    </xf>
  </cellXfs>
  <cellStyles count="142">
    <cellStyle name="Comma" xfId="136" builtinId="3"/>
    <cellStyle name="Comma 2" xfId="7" xr:uid="{00000000-0005-0000-0000-000001000000}"/>
    <cellStyle name="Comma 47 2" xfId="17" xr:uid="{00000000-0005-0000-0000-000002000000}"/>
    <cellStyle name="Comma 47 3" xfId="18" xr:uid="{00000000-0005-0000-0000-000003000000}"/>
    <cellStyle name="Comma 47 4" xfId="19" xr:uid="{00000000-0005-0000-0000-000004000000}"/>
    <cellStyle name="Comma0" xfId="8" xr:uid="{00000000-0005-0000-0000-000005000000}"/>
    <cellStyle name="Currency" xfId="1" builtinId="4"/>
    <cellStyle name="Currency 2" xfId="16" xr:uid="{00000000-0005-0000-0000-000007000000}"/>
    <cellStyle name="Currency0" xfId="9" xr:uid="{00000000-0005-0000-0000-000008000000}"/>
    <cellStyle name="Date" xfId="10" xr:uid="{00000000-0005-0000-0000-000009000000}"/>
    <cellStyle name="Fixed" xfId="11" xr:uid="{00000000-0005-0000-0000-00000A000000}"/>
    <cellStyle name="Hyperlink" xfId="138" builtinId="8"/>
    <cellStyle name="Hyperlink 2" xfId="140" xr:uid="{827561D3-238C-480C-8B92-C974DC89A392}"/>
    <cellStyle name="Normal" xfId="0" builtinId="0"/>
    <cellStyle name="Normal 11" xfId="20" xr:uid="{00000000-0005-0000-0000-00000D000000}"/>
    <cellStyle name="Normal 11 2" xfId="21" xr:uid="{00000000-0005-0000-0000-00000E000000}"/>
    <cellStyle name="Normal 11 3" xfId="22" xr:uid="{00000000-0005-0000-0000-00000F000000}"/>
    <cellStyle name="Normal 11 4" xfId="23" xr:uid="{00000000-0005-0000-0000-000010000000}"/>
    <cellStyle name="Normal 11 5" xfId="24" xr:uid="{00000000-0005-0000-0000-000011000000}"/>
    <cellStyle name="Normal 12" xfId="25" xr:uid="{00000000-0005-0000-0000-000012000000}"/>
    <cellStyle name="Normal 12 2" xfId="26" xr:uid="{00000000-0005-0000-0000-000013000000}"/>
    <cellStyle name="Normal 12 3" xfId="27" xr:uid="{00000000-0005-0000-0000-000014000000}"/>
    <cellStyle name="Normal 12 4" xfId="28" xr:uid="{00000000-0005-0000-0000-000015000000}"/>
    <cellStyle name="Normal 12 5" xfId="29" xr:uid="{00000000-0005-0000-0000-000016000000}"/>
    <cellStyle name="Normal 13" xfId="30" xr:uid="{00000000-0005-0000-0000-000017000000}"/>
    <cellStyle name="Normal 13 2" xfId="31" xr:uid="{00000000-0005-0000-0000-000018000000}"/>
    <cellStyle name="Normal 13 3" xfId="32" xr:uid="{00000000-0005-0000-0000-000019000000}"/>
    <cellStyle name="Normal 13 4" xfId="33" xr:uid="{00000000-0005-0000-0000-00001A000000}"/>
    <cellStyle name="Normal 13 5" xfId="34" xr:uid="{00000000-0005-0000-0000-00001B000000}"/>
    <cellStyle name="Normal 14" xfId="35" xr:uid="{00000000-0005-0000-0000-00001C000000}"/>
    <cellStyle name="Normal 14 2" xfId="36" xr:uid="{00000000-0005-0000-0000-00001D000000}"/>
    <cellStyle name="Normal 14 3" xfId="37" xr:uid="{00000000-0005-0000-0000-00001E000000}"/>
    <cellStyle name="Normal 14 4" xfId="38" xr:uid="{00000000-0005-0000-0000-00001F000000}"/>
    <cellStyle name="Normal 14 5" xfId="39" xr:uid="{00000000-0005-0000-0000-000020000000}"/>
    <cellStyle name="Normal 15" xfId="40" xr:uid="{00000000-0005-0000-0000-000021000000}"/>
    <cellStyle name="Normal 15 2" xfId="41" xr:uid="{00000000-0005-0000-0000-000022000000}"/>
    <cellStyle name="Normal 15 3" xfId="42" xr:uid="{00000000-0005-0000-0000-000023000000}"/>
    <cellStyle name="Normal 15 4" xfId="43" xr:uid="{00000000-0005-0000-0000-000024000000}"/>
    <cellStyle name="Normal 15 5" xfId="44" xr:uid="{00000000-0005-0000-0000-000025000000}"/>
    <cellStyle name="Normal 16" xfId="2" xr:uid="{00000000-0005-0000-0000-000026000000}"/>
    <cellStyle name="Normal 16 2" xfId="45" xr:uid="{00000000-0005-0000-0000-000027000000}"/>
    <cellStyle name="Normal 16 3" xfId="46" xr:uid="{00000000-0005-0000-0000-000028000000}"/>
    <cellStyle name="Normal 16 4" xfId="47" xr:uid="{00000000-0005-0000-0000-000029000000}"/>
    <cellStyle name="Normal 16 5" xfId="48" xr:uid="{00000000-0005-0000-0000-00002A000000}"/>
    <cellStyle name="Normal 17" xfId="4" xr:uid="{00000000-0005-0000-0000-00002B000000}"/>
    <cellStyle name="Normal 17 2" xfId="49" xr:uid="{00000000-0005-0000-0000-00002C000000}"/>
    <cellStyle name="Normal 17 3" xfId="50" xr:uid="{00000000-0005-0000-0000-00002D000000}"/>
    <cellStyle name="Normal 17 4" xfId="51" xr:uid="{00000000-0005-0000-0000-00002E000000}"/>
    <cellStyle name="Normal 17 5" xfId="52" xr:uid="{00000000-0005-0000-0000-00002F000000}"/>
    <cellStyle name="Normal 18" xfId="3" xr:uid="{00000000-0005-0000-0000-000030000000}"/>
    <cellStyle name="Normal 18 2" xfId="53" xr:uid="{00000000-0005-0000-0000-000031000000}"/>
    <cellStyle name="Normal 18 3" xfId="54" xr:uid="{00000000-0005-0000-0000-000032000000}"/>
    <cellStyle name="Normal 18 4" xfId="55" xr:uid="{00000000-0005-0000-0000-000033000000}"/>
    <cellStyle name="Normal 18 5" xfId="56" xr:uid="{00000000-0005-0000-0000-000034000000}"/>
    <cellStyle name="Normal 19" xfId="5" xr:uid="{00000000-0005-0000-0000-000035000000}"/>
    <cellStyle name="Normal 19 2" xfId="57" xr:uid="{00000000-0005-0000-0000-000036000000}"/>
    <cellStyle name="Normal 19 3" xfId="58" xr:uid="{00000000-0005-0000-0000-000037000000}"/>
    <cellStyle name="Normal 19 4" xfId="59" xr:uid="{00000000-0005-0000-0000-000038000000}"/>
    <cellStyle name="Normal 19 5" xfId="60" xr:uid="{00000000-0005-0000-0000-000039000000}"/>
    <cellStyle name="Normal 2" xfId="6" xr:uid="{00000000-0005-0000-0000-00003A000000}"/>
    <cellStyle name="Normal 2 2" xfId="61" xr:uid="{00000000-0005-0000-0000-00003B000000}"/>
    <cellStyle name="Normal 2 3" xfId="62" xr:uid="{00000000-0005-0000-0000-00003C000000}"/>
    <cellStyle name="Normal 2 4" xfId="63" xr:uid="{00000000-0005-0000-0000-00003D000000}"/>
    <cellStyle name="Normal 2 5" xfId="64" xr:uid="{00000000-0005-0000-0000-00003E000000}"/>
    <cellStyle name="Normal 20" xfId="65" xr:uid="{00000000-0005-0000-0000-00003F000000}"/>
    <cellStyle name="Normal 20 2" xfId="66" xr:uid="{00000000-0005-0000-0000-000040000000}"/>
    <cellStyle name="Normal 20 3" xfId="67" xr:uid="{00000000-0005-0000-0000-000041000000}"/>
    <cellStyle name="Normal 20 4" xfId="68" xr:uid="{00000000-0005-0000-0000-000042000000}"/>
    <cellStyle name="Normal 20 5" xfId="69" xr:uid="{00000000-0005-0000-0000-000043000000}"/>
    <cellStyle name="Normal 21" xfId="70" xr:uid="{00000000-0005-0000-0000-000044000000}"/>
    <cellStyle name="Normal 21 2" xfId="71" xr:uid="{00000000-0005-0000-0000-000045000000}"/>
    <cellStyle name="Normal 21 3" xfId="72" xr:uid="{00000000-0005-0000-0000-000046000000}"/>
    <cellStyle name="Normal 21 4" xfId="73" xr:uid="{00000000-0005-0000-0000-000047000000}"/>
    <cellStyle name="Normal 21 5" xfId="74" xr:uid="{00000000-0005-0000-0000-000048000000}"/>
    <cellStyle name="Normal 23" xfId="75" xr:uid="{00000000-0005-0000-0000-000049000000}"/>
    <cellStyle name="Normal 23 2" xfId="76" xr:uid="{00000000-0005-0000-0000-00004A000000}"/>
    <cellStyle name="Normal 23 3" xfId="77" xr:uid="{00000000-0005-0000-0000-00004B000000}"/>
    <cellStyle name="Normal 23 4" xfId="78" xr:uid="{00000000-0005-0000-0000-00004C000000}"/>
    <cellStyle name="Normal 23 5" xfId="79" xr:uid="{00000000-0005-0000-0000-00004D000000}"/>
    <cellStyle name="Normal 24" xfId="80" xr:uid="{00000000-0005-0000-0000-00004E000000}"/>
    <cellStyle name="Normal 24 2" xfId="81" xr:uid="{00000000-0005-0000-0000-00004F000000}"/>
    <cellStyle name="Normal 24 3" xfId="82" xr:uid="{00000000-0005-0000-0000-000050000000}"/>
    <cellStyle name="Normal 24 4" xfId="83" xr:uid="{00000000-0005-0000-0000-000051000000}"/>
    <cellStyle name="Normal 24 5" xfId="84" xr:uid="{00000000-0005-0000-0000-000052000000}"/>
    <cellStyle name="Normal 25" xfId="85" xr:uid="{00000000-0005-0000-0000-000053000000}"/>
    <cellStyle name="Normal 25 2" xfId="86" xr:uid="{00000000-0005-0000-0000-000054000000}"/>
    <cellStyle name="Normal 25 3" xfId="87" xr:uid="{00000000-0005-0000-0000-000055000000}"/>
    <cellStyle name="Normal 25 4" xfId="88" xr:uid="{00000000-0005-0000-0000-000056000000}"/>
    <cellStyle name="Normal 25 5" xfId="89" xr:uid="{00000000-0005-0000-0000-000057000000}"/>
    <cellStyle name="Normal 26" xfId="90" xr:uid="{00000000-0005-0000-0000-000058000000}"/>
    <cellStyle name="Normal 26 2" xfId="91" xr:uid="{00000000-0005-0000-0000-000059000000}"/>
    <cellStyle name="Normal 26 3" xfId="92" xr:uid="{00000000-0005-0000-0000-00005A000000}"/>
    <cellStyle name="Normal 26 4" xfId="93" xr:uid="{00000000-0005-0000-0000-00005B000000}"/>
    <cellStyle name="Normal 26 5" xfId="94" xr:uid="{00000000-0005-0000-0000-00005C000000}"/>
    <cellStyle name="Normal 27" xfId="95" xr:uid="{00000000-0005-0000-0000-00005D000000}"/>
    <cellStyle name="Normal 27 2" xfId="96" xr:uid="{00000000-0005-0000-0000-00005E000000}"/>
    <cellStyle name="Normal 27 3" xfId="97" xr:uid="{00000000-0005-0000-0000-00005F000000}"/>
    <cellStyle name="Normal 27 4" xfId="98" xr:uid="{00000000-0005-0000-0000-000060000000}"/>
    <cellStyle name="Normal 27 5" xfId="99" xr:uid="{00000000-0005-0000-0000-000061000000}"/>
    <cellStyle name="Normal 28 2" xfId="100" xr:uid="{00000000-0005-0000-0000-000062000000}"/>
    <cellStyle name="Normal 28 3" xfId="101" xr:uid="{00000000-0005-0000-0000-000063000000}"/>
    <cellStyle name="Normal 28 4" xfId="102" xr:uid="{00000000-0005-0000-0000-000064000000}"/>
    <cellStyle name="Normal 29" xfId="103" xr:uid="{00000000-0005-0000-0000-000065000000}"/>
    <cellStyle name="Normal 3" xfId="12" xr:uid="{00000000-0005-0000-0000-000066000000}"/>
    <cellStyle name="Normal 3 2" xfId="104" xr:uid="{00000000-0005-0000-0000-000067000000}"/>
    <cellStyle name="Normal 3 3" xfId="105" xr:uid="{00000000-0005-0000-0000-000068000000}"/>
    <cellStyle name="Normal 3 4" xfId="106" xr:uid="{00000000-0005-0000-0000-000069000000}"/>
    <cellStyle name="Normal 3 5" xfId="107" xr:uid="{00000000-0005-0000-0000-00006A000000}"/>
    <cellStyle name="Normal 30" xfId="108" xr:uid="{00000000-0005-0000-0000-00006B000000}"/>
    <cellStyle name="Normal 32" xfId="109" xr:uid="{00000000-0005-0000-0000-00006C000000}"/>
    <cellStyle name="Normal 4" xfId="13" xr:uid="{00000000-0005-0000-0000-00006D000000}"/>
    <cellStyle name="Normal 4 2" xfId="110" xr:uid="{00000000-0005-0000-0000-00006E000000}"/>
    <cellStyle name="Normal 4 3" xfId="111" xr:uid="{00000000-0005-0000-0000-00006F000000}"/>
    <cellStyle name="Normal 4 4" xfId="112" xr:uid="{00000000-0005-0000-0000-000070000000}"/>
    <cellStyle name="Normal 4 5" xfId="113" xr:uid="{00000000-0005-0000-0000-000071000000}"/>
    <cellStyle name="Normal 5" xfId="139" xr:uid="{800F61AB-3829-4A8A-A3A9-0D3639B5EA4F}"/>
    <cellStyle name="Normal 5 2" xfId="114" xr:uid="{00000000-0005-0000-0000-000072000000}"/>
    <cellStyle name="Normal 5 3" xfId="115" xr:uid="{00000000-0005-0000-0000-000073000000}"/>
    <cellStyle name="Normal 5 4" xfId="116" xr:uid="{00000000-0005-0000-0000-000074000000}"/>
    <cellStyle name="Normal 5 5" xfId="117" xr:uid="{00000000-0005-0000-0000-000075000000}"/>
    <cellStyle name="Normal 6" xfId="118" xr:uid="{00000000-0005-0000-0000-000076000000}"/>
    <cellStyle name="Normal 6 2" xfId="119" xr:uid="{00000000-0005-0000-0000-000077000000}"/>
    <cellStyle name="Normal 6 3" xfId="120" xr:uid="{00000000-0005-0000-0000-000078000000}"/>
    <cellStyle name="Normal 6 4" xfId="121" xr:uid="{00000000-0005-0000-0000-000079000000}"/>
    <cellStyle name="Normal 6 5" xfId="122" xr:uid="{00000000-0005-0000-0000-00007A000000}"/>
    <cellStyle name="Normal 7" xfId="141" xr:uid="{42823735-C801-42E6-A427-047718344E12}"/>
    <cellStyle name="Normal 7 2" xfId="123" xr:uid="{00000000-0005-0000-0000-00007B000000}"/>
    <cellStyle name="Normal 7 3" xfId="124" xr:uid="{00000000-0005-0000-0000-00007C000000}"/>
    <cellStyle name="Normal 7 4" xfId="125" xr:uid="{00000000-0005-0000-0000-00007D000000}"/>
    <cellStyle name="Normal 7 5" xfId="126" xr:uid="{00000000-0005-0000-0000-00007E000000}"/>
    <cellStyle name="Normal 8 2" xfId="127" xr:uid="{00000000-0005-0000-0000-00007F000000}"/>
    <cellStyle name="Normal 8 3" xfId="128" xr:uid="{00000000-0005-0000-0000-000080000000}"/>
    <cellStyle name="Normal 8 4" xfId="129" xr:uid="{00000000-0005-0000-0000-000081000000}"/>
    <cellStyle name="Normal 8 5" xfId="130" xr:uid="{00000000-0005-0000-0000-000082000000}"/>
    <cellStyle name="Normal 9" xfId="131" xr:uid="{00000000-0005-0000-0000-000083000000}"/>
    <cellStyle name="Normal 9 2" xfId="132" xr:uid="{00000000-0005-0000-0000-000084000000}"/>
    <cellStyle name="Normal 9 3" xfId="133" xr:uid="{00000000-0005-0000-0000-000085000000}"/>
    <cellStyle name="Normal 9 4" xfId="134" xr:uid="{00000000-0005-0000-0000-000086000000}"/>
    <cellStyle name="Normal 9 5" xfId="135" xr:uid="{00000000-0005-0000-0000-000087000000}"/>
    <cellStyle name="Percent" xfId="137" builtinId="5"/>
    <cellStyle name="Percent 2" xfId="14" xr:uid="{00000000-0005-0000-0000-000089000000}"/>
    <cellStyle name="Percent 3" xfId="15" xr:uid="{00000000-0005-0000-0000-00008A000000}"/>
  </cellStyles>
  <dxfs count="2">
    <dxf>
      <font>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1195329</xdr:colOff>
      <xdr:row>0</xdr:row>
      <xdr:rowOff>179294</xdr:rowOff>
    </xdr:from>
    <xdr:to>
      <xdr:col>14</xdr:col>
      <xdr:colOff>529940</xdr:colOff>
      <xdr:row>26</xdr:row>
      <xdr:rowOff>100852</xdr:rowOff>
    </xdr:to>
    <xdr:pic>
      <xdr:nvPicPr>
        <xdr:cNvPr id="2" name="Picture 1">
          <a:extLst>
            <a:ext uri="{FF2B5EF4-FFF2-40B4-BE49-F238E27FC236}">
              <a16:creationId xmlns:a16="http://schemas.microsoft.com/office/drawing/2014/main" id="{59EFEC54-FF3C-5EA3-CDA2-F90F0A087650}"/>
            </a:ext>
          </a:extLst>
        </xdr:cNvPr>
        <xdr:cNvPicPr>
          <a:picLocks noChangeAspect="1"/>
        </xdr:cNvPicPr>
      </xdr:nvPicPr>
      <xdr:blipFill>
        <a:blip xmlns:r="http://schemas.openxmlformats.org/officeDocument/2006/relationships" r:embed="rId1"/>
        <a:stretch>
          <a:fillRect/>
        </a:stretch>
      </xdr:blipFill>
      <xdr:spPr>
        <a:xfrm>
          <a:off x="7728358" y="179294"/>
          <a:ext cx="6035729" cy="4874558"/>
        </a:xfrm>
        <a:prstGeom prst="rect">
          <a:avLst/>
        </a:prstGeom>
      </xdr:spPr>
    </xdr:pic>
    <xdr:clientData/>
  </xdr:twoCellAnchor>
  <xdr:twoCellAnchor>
    <xdr:from>
      <xdr:col>9</xdr:col>
      <xdr:colOff>459442</xdr:colOff>
      <xdr:row>18</xdr:row>
      <xdr:rowOff>112058</xdr:rowOff>
    </xdr:from>
    <xdr:to>
      <xdr:col>10</xdr:col>
      <xdr:colOff>179295</xdr:colOff>
      <xdr:row>20</xdr:row>
      <xdr:rowOff>145676</xdr:rowOff>
    </xdr:to>
    <xdr:sp macro="" textlink="">
      <xdr:nvSpPr>
        <xdr:cNvPr id="3" name="Oval 2">
          <a:extLst>
            <a:ext uri="{FF2B5EF4-FFF2-40B4-BE49-F238E27FC236}">
              <a16:creationId xmlns:a16="http://schemas.microsoft.com/office/drawing/2014/main" id="{730A85EA-AEFF-4FD6-3788-3615E84014A1}"/>
            </a:ext>
          </a:extLst>
        </xdr:cNvPr>
        <xdr:cNvSpPr/>
      </xdr:nvSpPr>
      <xdr:spPr>
        <a:xfrm>
          <a:off x="9805148" y="3541058"/>
          <a:ext cx="437029" cy="414618"/>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358589</xdr:colOff>
      <xdr:row>1</xdr:row>
      <xdr:rowOff>0</xdr:rowOff>
    </xdr:from>
    <xdr:to>
      <xdr:col>27</xdr:col>
      <xdr:colOff>1763728</xdr:colOff>
      <xdr:row>21</xdr:row>
      <xdr:rowOff>180558</xdr:rowOff>
    </xdr:to>
    <xdr:pic>
      <xdr:nvPicPr>
        <xdr:cNvPr id="2" name="Picture 1">
          <a:extLst>
            <a:ext uri="{FF2B5EF4-FFF2-40B4-BE49-F238E27FC236}">
              <a16:creationId xmlns:a16="http://schemas.microsoft.com/office/drawing/2014/main" id="{00AC7C7C-F160-43B3-968C-A9973B54B0EC}"/>
            </a:ext>
          </a:extLst>
        </xdr:cNvPr>
        <xdr:cNvPicPr>
          <a:picLocks noChangeAspect="1"/>
        </xdr:cNvPicPr>
      </xdr:nvPicPr>
      <xdr:blipFill>
        <a:blip xmlns:r="http://schemas.openxmlformats.org/officeDocument/2006/relationships" r:embed="rId1"/>
        <a:stretch>
          <a:fillRect/>
        </a:stretch>
      </xdr:blipFill>
      <xdr:spPr>
        <a:xfrm>
          <a:off x="18478501" y="190500"/>
          <a:ext cx="7748688" cy="42370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cmfclearinghouse.org/detail.cfm?facid=459"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ransportation.anl.gov/pdfs/idling_worksheet.pdf" TargetMode="External"/><Relationship Id="rId1" Type="http://schemas.openxmlformats.org/officeDocument/2006/relationships/hyperlink" Target="http://energy.gov/eere/vehicles/fact-861-february-23-2015-idle-fuel-consumption-selected-gasoline-and-diesel-vehicle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59999389629810485"/>
    <pageSetUpPr fitToPage="1"/>
  </sheetPr>
  <dimension ref="B2:S342"/>
  <sheetViews>
    <sheetView tabSelected="1" view="pageBreakPreview" zoomScale="85" zoomScaleNormal="85" zoomScaleSheetLayoutView="85" workbookViewId="0">
      <selection activeCell="F11" sqref="F11"/>
    </sheetView>
  </sheetViews>
  <sheetFormatPr defaultColWidth="10.7109375" defaultRowHeight="15" customHeight="1" x14ac:dyDescent="0.2"/>
  <cols>
    <col min="1" max="1" width="10.7109375" style="32"/>
    <col min="2" max="2" width="5.7109375" style="32" customWidth="1"/>
    <col min="3" max="3" width="39.140625" style="32" bestFit="1" customWidth="1"/>
    <col min="4" max="5" width="15.7109375" style="32" customWidth="1"/>
    <col min="6" max="6" width="10.7109375" style="32"/>
    <col min="7" max="7" width="20.7109375" style="32" bestFit="1" customWidth="1"/>
    <col min="8" max="10" width="10.7109375" style="32"/>
    <col min="11" max="11" width="14.28515625" style="32" customWidth="1"/>
    <col min="12" max="12" width="11.7109375" style="34" bestFit="1" customWidth="1"/>
    <col min="13" max="18" width="10.7109375" style="34"/>
    <col min="19" max="16384" width="10.7109375" style="32"/>
  </cols>
  <sheetData>
    <row r="2" spans="2:19" ht="15" customHeight="1" x14ac:dyDescent="0.2">
      <c r="B2" s="39"/>
      <c r="L2" s="32"/>
      <c r="M2" s="32"/>
      <c r="N2" s="32"/>
      <c r="O2" s="32"/>
      <c r="P2" s="32"/>
      <c r="Q2" s="32"/>
      <c r="R2" s="32"/>
    </row>
    <row r="3" spans="2:19" ht="15" customHeight="1" x14ac:dyDescent="0.35">
      <c r="C3" s="5" t="s">
        <v>23</v>
      </c>
      <c r="F3" s="104"/>
      <c r="L3" s="32"/>
      <c r="M3" s="32"/>
      <c r="N3" s="32"/>
      <c r="O3" s="32"/>
      <c r="P3" s="32"/>
      <c r="Q3" s="32"/>
      <c r="R3" s="32"/>
    </row>
    <row r="4" spans="2:19" ht="15" customHeight="1" x14ac:dyDescent="0.35">
      <c r="C4" s="40" t="s">
        <v>73</v>
      </c>
      <c r="D4" s="241">
        <v>2021</v>
      </c>
      <c r="F4" s="104"/>
      <c r="I4" s="35"/>
      <c r="L4" s="32"/>
      <c r="M4" s="32"/>
      <c r="N4" s="32"/>
      <c r="O4" s="32"/>
      <c r="P4" s="32"/>
      <c r="Q4" s="32"/>
      <c r="R4" s="32"/>
    </row>
    <row r="5" spans="2:19" ht="15" customHeight="1" x14ac:dyDescent="0.2">
      <c r="B5" s="33"/>
      <c r="C5" s="40" t="s">
        <v>24</v>
      </c>
      <c r="D5" s="241">
        <v>2024</v>
      </c>
      <c r="E5" s="33"/>
      <c r="G5" s="39"/>
      <c r="H5" s="33"/>
      <c r="I5" s="33"/>
      <c r="J5" s="33"/>
      <c r="K5" s="33"/>
      <c r="L5" s="33"/>
      <c r="M5" s="33"/>
      <c r="N5" s="33"/>
      <c r="P5" s="33"/>
    </row>
    <row r="6" spans="2:19" ht="15" customHeight="1" x14ac:dyDescent="0.2">
      <c r="B6" s="33"/>
      <c r="C6" s="40" t="s">
        <v>25</v>
      </c>
      <c r="D6" s="241">
        <v>3</v>
      </c>
      <c r="E6" s="33"/>
      <c r="G6" s="39"/>
      <c r="H6" s="39"/>
      <c r="I6" s="39"/>
      <c r="J6" s="39"/>
      <c r="K6" s="39"/>
      <c r="L6" s="76"/>
      <c r="M6" s="39"/>
      <c r="N6" s="33"/>
      <c r="P6" s="33"/>
    </row>
    <row r="7" spans="2:19" ht="15" customHeight="1" x14ac:dyDescent="0.2">
      <c r="B7" s="33"/>
      <c r="C7" s="40" t="s">
        <v>48</v>
      </c>
      <c r="D7" s="241">
        <v>30</v>
      </c>
      <c r="E7" s="33"/>
      <c r="G7" s="39"/>
      <c r="H7" s="33"/>
      <c r="I7" s="33"/>
      <c r="J7" s="33"/>
      <c r="K7" s="39"/>
      <c r="L7" s="33"/>
      <c r="M7" s="33"/>
      <c r="N7" s="33"/>
      <c r="O7" s="33"/>
      <c r="P7" s="33"/>
      <c r="Q7" s="33"/>
    </row>
    <row r="8" spans="2:19" ht="15" customHeight="1" x14ac:dyDescent="0.2">
      <c r="B8" s="33"/>
      <c r="C8" s="40" t="s">
        <v>26</v>
      </c>
      <c r="D8" s="241">
        <f>D5+D6</f>
        <v>2027</v>
      </c>
      <c r="E8" s="33"/>
      <c r="G8" s="35"/>
      <c r="H8" s="33"/>
      <c r="L8" s="32"/>
      <c r="M8" s="33"/>
      <c r="N8" s="33"/>
      <c r="O8" s="33"/>
      <c r="P8" s="33"/>
      <c r="Q8" s="33"/>
      <c r="R8" s="32"/>
    </row>
    <row r="9" spans="2:19" ht="15" customHeight="1" x14ac:dyDescent="0.2">
      <c r="C9" s="40" t="s">
        <v>27</v>
      </c>
      <c r="D9" s="241">
        <f>D8+D7-1</f>
        <v>2056</v>
      </c>
      <c r="E9" s="33"/>
      <c r="G9" s="39"/>
      <c r="L9" s="32"/>
      <c r="M9" s="32"/>
      <c r="N9" s="32"/>
      <c r="O9" s="32"/>
      <c r="P9" s="32"/>
      <c r="Q9" s="32"/>
      <c r="R9" s="32"/>
    </row>
    <row r="10" spans="2:19" ht="15" customHeight="1" x14ac:dyDescent="0.2">
      <c r="C10" s="40" t="s">
        <v>63</v>
      </c>
      <c r="D10" s="241">
        <v>2045</v>
      </c>
      <c r="E10" s="33"/>
      <c r="G10" s="35"/>
      <c r="L10" s="32"/>
      <c r="M10" s="32"/>
      <c r="N10" s="32"/>
      <c r="O10" s="32"/>
      <c r="P10" s="32"/>
      <c r="Q10" s="32"/>
      <c r="R10" s="32"/>
    </row>
    <row r="11" spans="2:19" ht="15" customHeight="1" x14ac:dyDescent="0.2">
      <c r="D11" s="41"/>
      <c r="F11" s="33"/>
      <c r="L11" s="32"/>
      <c r="M11" s="32"/>
      <c r="N11" s="32"/>
      <c r="O11" s="32"/>
      <c r="P11" s="32"/>
      <c r="Q11" s="32"/>
      <c r="R11" s="32"/>
    </row>
    <row r="12" spans="2:19" ht="15" customHeight="1" x14ac:dyDescent="0.2">
      <c r="C12" s="5" t="s">
        <v>28</v>
      </c>
      <c r="E12" s="33"/>
      <c r="F12" s="33"/>
      <c r="L12" s="32"/>
      <c r="M12" s="32"/>
      <c r="N12" s="32"/>
      <c r="O12" s="32"/>
      <c r="P12" s="32"/>
      <c r="Q12" s="32"/>
      <c r="R12" s="32"/>
    </row>
    <row r="13" spans="2:19" ht="15" customHeight="1" x14ac:dyDescent="0.2">
      <c r="C13" s="40"/>
      <c r="D13" s="42" t="s">
        <v>20</v>
      </c>
      <c r="E13" s="42" t="s">
        <v>21</v>
      </c>
      <c r="F13" s="33"/>
      <c r="L13" s="32"/>
      <c r="M13" s="32"/>
      <c r="N13" s="32"/>
      <c r="O13" s="32"/>
      <c r="P13" s="32"/>
      <c r="Q13" s="32"/>
      <c r="R13" s="32"/>
    </row>
    <row r="14" spans="2:19" ht="15" customHeight="1" x14ac:dyDescent="0.2">
      <c r="C14" s="40" t="s">
        <v>64</v>
      </c>
      <c r="D14" s="242">
        <v>0.91700000000000004</v>
      </c>
      <c r="E14" s="242">
        <v>0.91700000000000004</v>
      </c>
      <c r="F14" s="33"/>
      <c r="J14" s="53"/>
      <c r="K14" s="53"/>
      <c r="L14" s="32"/>
      <c r="M14" s="32"/>
      <c r="N14" s="32"/>
      <c r="O14" s="32"/>
      <c r="P14" s="32"/>
      <c r="Q14" s="32"/>
      <c r="R14" s="32"/>
    </row>
    <row r="15" spans="2:19" ht="15" customHeight="1" x14ac:dyDescent="0.2">
      <c r="C15" s="40" t="s">
        <v>65</v>
      </c>
      <c r="D15" s="242">
        <f>1-D14</f>
        <v>8.2999999999999963E-2</v>
      </c>
      <c r="E15" s="242">
        <f>1-E14</f>
        <v>8.2999999999999963E-2</v>
      </c>
      <c r="L15" s="32"/>
      <c r="M15" s="32"/>
      <c r="N15" s="32"/>
      <c r="O15" s="32"/>
      <c r="P15" s="32"/>
      <c r="Q15" s="32"/>
      <c r="R15" s="32"/>
    </row>
    <row r="16" spans="2:19" ht="15" customHeight="1" x14ac:dyDescent="0.2">
      <c r="C16" s="40" t="s">
        <v>66</v>
      </c>
      <c r="D16" s="241">
        <v>1.67</v>
      </c>
      <c r="E16" s="241">
        <v>1.67</v>
      </c>
      <c r="L16" s="32"/>
      <c r="M16" s="32"/>
      <c r="N16" s="32"/>
      <c r="O16" s="32"/>
      <c r="P16" s="32"/>
      <c r="Q16" s="32"/>
      <c r="R16" s="32"/>
      <c r="S16" s="33"/>
    </row>
    <row r="17" spans="2:18" ht="15" customHeight="1" x14ac:dyDescent="0.2">
      <c r="C17" s="40" t="s">
        <v>67</v>
      </c>
      <c r="D17" s="243">
        <v>1</v>
      </c>
      <c r="E17" s="243">
        <v>1</v>
      </c>
      <c r="L17" s="32"/>
      <c r="M17" s="32"/>
      <c r="N17" s="32"/>
      <c r="O17" s="32"/>
      <c r="P17" s="32"/>
      <c r="Q17" s="32"/>
      <c r="R17" s="32"/>
    </row>
    <row r="18" spans="2:18" ht="15" customHeight="1" x14ac:dyDescent="0.2">
      <c r="C18" s="33"/>
      <c r="D18" s="33"/>
      <c r="E18" s="33"/>
      <c r="L18" s="32"/>
      <c r="M18" s="32"/>
      <c r="N18" s="32"/>
      <c r="O18" s="32"/>
      <c r="P18" s="32"/>
      <c r="Q18" s="32"/>
      <c r="R18" s="32"/>
    </row>
    <row r="19" spans="2:18" ht="15" customHeight="1" x14ac:dyDescent="0.2">
      <c r="C19" s="5" t="s">
        <v>29</v>
      </c>
      <c r="D19" s="41"/>
      <c r="F19" s="33"/>
      <c r="G19" s="40"/>
      <c r="L19" s="32"/>
      <c r="M19" s="32"/>
      <c r="N19" s="32"/>
      <c r="O19" s="32"/>
      <c r="P19" s="32"/>
      <c r="Q19" s="32"/>
      <c r="R19" s="32"/>
    </row>
    <row r="20" spans="2:18" ht="15" customHeight="1" x14ac:dyDescent="0.2">
      <c r="C20" s="40" t="s">
        <v>68</v>
      </c>
      <c r="D20" s="40">
        <v>365</v>
      </c>
      <c r="L20" s="32"/>
      <c r="M20" s="32"/>
      <c r="N20" s="32"/>
      <c r="O20" s="32"/>
      <c r="P20" s="32"/>
      <c r="Q20" s="32"/>
      <c r="R20" s="32"/>
    </row>
    <row r="21" spans="2:18" ht="15" customHeight="1" x14ac:dyDescent="0.2">
      <c r="C21" s="40" t="s">
        <v>71</v>
      </c>
      <c r="D21" s="244">
        <v>18.8</v>
      </c>
      <c r="L21" s="32"/>
      <c r="M21" s="32"/>
      <c r="N21" s="32"/>
      <c r="O21" s="32"/>
      <c r="P21" s="32"/>
      <c r="Q21" s="32"/>
      <c r="R21" s="32"/>
    </row>
    <row r="22" spans="2:18" ht="15" customHeight="1" x14ac:dyDescent="0.2">
      <c r="C22" s="40" t="s">
        <v>72</v>
      </c>
      <c r="D22" s="244">
        <v>32.4</v>
      </c>
      <c r="L22" s="32"/>
      <c r="M22" s="32"/>
      <c r="N22" s="32"/>
      <c r="O22" s="32"/>
      <c r="P22" s="32"/>
      <c r="Q22" s="32"/>
      <c r="R22" s="32"/>
    </row>
    <row r="23" spans="2:18" ht="15" customHeight="1" x14ac:dyDescent="0.2">
      <c r="C23" s="40" t="s">
        <v>47</v>
      </c>
      <c r="D23" s="244">
        <f>(D21*D14*D16+D22*D15*D17)</f>
        <v>31.479332000000003</v>
      </c>
      <c r="F23" s="33"/>
      <c r="L23" s="32"/>
      <c r="M23" s="32"/>
      <c r="N23" s="32"/>
      <c r="O23" s="32"/>
      <c r="P23" s="32"/>
      <c r="Q23" s="32"/>
      <c r="R23" s="32"/>
    </row>
    <row r="24" spans="2:18" ht="15" customHeight="1" x14ac:dyDescent="0.2">
      <c r="C24" s="40" t="s">
        <v>83</v>
      </c>
      <c r="D24" s="244">
        <v>0.46</v>
      </c>
      <c r="L24" s="32"/>
      <c r="M24" s="32"/>
      <c r="N24" s="32"/>
      <c r="O24" s="32"/>
      <c r="P24" s="32"/>
      <c r="Q24" s="32"/>
      <c r="R24" s="32"/>
    </row>
    <row r="25" spans="2:18" ht="15" customHeight="1" x14ac:dyDescent="0.2">
      <c r="C25" s="40" t="s">
        <v>84</v>
      </c>
      <c r="D25" s="244">
        <v>1.01</v>
      </c>
      <c r="L25" s="32"/>
      <c r="M25" s="32"/>
      <c r="N25" s="32"/>
      <c r="O25" s="32"/>
      <c r="P25" s="32"/>
      <c r="Q25" s="32"/>
      <c r="R25" s="32"/>
    </row>
    <row r="26" spans="2:18" ht="15" customHeight="1" x14ac:dyDescent="0.2">
      <c r="C26" s="33"/>
      <c r="D26" s="85"/>
      <c r="F26" s="33"/>
      <c r="L26" s="32"/>
      <c r="M26" s="32"/>
      <c r="N26" s="32"/>
      <c r="O26" s="32"/>
      <c r="P26" s="32"/>
      <c r="Q26" s="32"/>
      <c r="R26" s="32"/>
    </row>
    <row r="27" spans="2:18" ht="15" customHeight="1" x14ac:dyDescent="0.2">
      <c r="L27" s="32"/>
      <c r="M27" s="32"/>
      <c r="N27" s="32"/>
      <c r="O27" s="32"/>
      <c r="P27" s="32"/>
      <c r="Q27" s="32"/>
      <c r="R27" s="32"/>
    </row>
    <row r="28" spans="2:18" ht="15" customHeight="1" x14ac:dyDescent="0.2">
      <c r="B28" s="12" t="s">
        <v>3</v>
      </c>
      <c r="C28" s="12"/>
      <c r="D28" s="12"/>
      <c r="L28" s="32"/>
      <c r="M28" s="32"/>
      <c r="N28" s="32"/>
      <c r="O28" s="32"/>
      <c r="P28" s="32"/>
      <c r="Q28" s="32"/>
      <c r="R28" s="32"/>
    </row>
    <row r="29" spans="2:18" ht="15" customHeight="1" x14ac:dyDescent="0.25">
      <c r="B29" s="213" t="s">
        <v>30</v>
      </c>
      <c r="C29" s="468" t="s">
        <v>1125</v>
      </c>
      <c r="D29" s="468"/>
      <c r="E29" s="468"/>
      <c r="F29" s="468"/>
      <c r="G29" s="468"/>
      <c r="L29" s="32"/>
      <c r="M29" s="32"/>
      <c r="N29" s="32"/>
      <c r="O29" s="32"/>
      <c r="P29" s="32"/>
      <c r="Q29" s="32"/>
      <c r="R29" s="32"/>
    </row>
    <row r="30" spans="2:18" ht="15" customHeight="1" x14ac:dyDescent="0.25">
      <c r="B30" s="214"/>
      <c r="C30" s="468"/>
      <c r="D30" s="468"/>
      <c r="E30" s="468"/>
      <c r="F30" s="468"/>
      <c r="G30" s="468"/>
      <c r="L30" s="32"/>
      <c r="M30" s="32"/>
      <c r="N30" s="32"/>
      <c r="O30" s="32"/>
      <c r="P30" s="32"/>
      <c r="Q30" s="32"/>
      <c r="R30" s="32"/>
    </row>
    <row r="31" spans="2:18" ht="15" customHeight="1" x14ac:dyDescent="0.25">
      <c r="B31" s="214"/>
      <c r="C31" s="468"/>
      <c r="D31" s="468"/>
      <c r="E31" s="468"/>
      <c r="F31" s="468"/>
      <c r="G31" s="468"/>
      <c r="L31" s="32"/>
      <c r="M31" s="32"/>
      <c r="N31" s="32"/>
      <c r="O31" s="32"/>
      <c r="P31" s="32"/>
      <c r="Q31" s="32"/>
      <c r="R31" s="32"/>
    </row>
    <row r="32" spans="2:18" ht="15" customHeight="1" x14ac:dyDescent="0.25">
      <c r="B32" s="214"/>
      <c r="C32" s="215"/>
      <c r="D32" s="215"/>
      <c r="E32" s="215"/>
      <c r="F32" s="215"/>
      <c r="G32" s="215"/>
      <c r="L32" s="32"/>
      <c r="M32" s="32"/>
      <c r="N32" s="32"/>
      <c r="O32" s="32"/>
      <c r="P32" s="32"/>
      <c r="Q32" s="32"/>
      <c r="R32" s="32"/>
    </row>
    <row r="33" spans="2:18" ht="15" customHeight="1" x14ac:dyDescent="0.25">
      <c r="B33" s="213" t="s">
        <v>43</v>
      </c>
      <c r="C33" s="468" t="s">
        <v>1070</v>
      </c>
      <c r="D33" s="468"/>
      <c r="E33" s="468"/>
      <c r="F33" s="468"/>
      <c r="G33" s="468"/>
      <c r="L33" s="32"/>
      <c r="M33" s="32"/>
      <c r="N33" s="32"/>
      <c r="O33" s="32"/>
      <c r="P33" s="32"/>
      <c r="Q33" s="32"/>
      <c r="R33" s="32"/>
    </row>
    <row r="34" spans="2:18" ht="15" customHeight="1" x14ac:dyDescent="0.25">
      <c r="B34" s="213"/>
      <c r="C34" s="468"/>
      <c r="D34" s="468"/>
      <c r="E34" s="468"/>
      <c r="F34" s="468"/>
      <c r="G34" s="468"/>
      <c r="L34" s="32"/>
      <c r="M34" s="32"/>
      <c r="N34" s="32"/>
      <c r="O34" s="32"/>
      <c r="P34" s="32"/>
      <c r="Q34" s="32"/>
      <c r="R34" s="32"/>
    </row>
    <row r="35" spans="2:18" ht="15" customHeight="1" x14ac:dyDescent="0.25">
      <c r="B35" s="213"/>
      <c r="C35" s="468"/>
      <c r="D35" s="468"/>
      <c r="E35" s="468"/>
      <c r="F35" s="468"/>
      <c r="G35" s="468"/>
      <c r="L35" s="32"/>
      <c r="M35" s="32"/>
      <c r="N35" s="32"/>
      <c r="O35" s="32"/>
      <c r="P35" s="32"/>
      <c r="Q35" s="32"/>
      <c r="R35" s="32"/>
    </row>
    <row r="36" spans="2:18" ht="15" customHeight="1" x14ac:dyDescent="0.25">
      <c r="B36" s="213"/>
      <c r="C36" s="216"/>
      <c r="D36" s="216"/>
      <c r="E36" s="216"/>
      <c r="F36" s="216"/>
      <c r="G36" s="216"/>
      <c r="L36" s="32"/>
      <c r="M36" s="32"/>
      <c r="N36" s="32"/>
      <c r="O36" s="32"/>
      <c r="P36" s="32"/>
      <c r="Q36" s="32"/>
      <c r="R36" s="32"/>
    </row>
    <row r="37" spans="2:18" ht="15" customHeight="1" x14ac:dyDescent="0.25">
      <c r="B37" s="213" t="s">
        <v>44</v>
      </c>
      <c r="C37" s="468" t="s">
        <v>1071</v>
      </c>
      <c r="D37" s="468"/>
      <c r="E37" s="468"/>
      <c r="F37" s="468"/>
      <c r="G37" s="468"/>
      <c r="L37" s="32"/>
      <c r="M37" s="32"/>
      <c r="N37" s="32"/>
      <c r="O37" s="32"/>
      <c r="P37" s="32"/>
      <c r="Q37" s="32"/>
      <c r="R37" s="32"/>
    </row>
    <row r="38" spans="2:18" ht="15" customHeight="1" x14ac:dyDescent="0.2">
      <c r="C38" s="468"/>
      <c r="D38" s="468"/>
      <c r="E38" s="468"/>
      <c r="F38" s="468"/>
      <c r="G38" s="468"/>
      <c r="L38" s="32"/>
      <c r="M38" s="32"/>
      <c r="N38" s="32"/>
      <c r="O38" s="32"/>
      <c r="P38" s="32"/>
      <c r="Q38" s="32"/>
      <c r="R38" s="32"/>
    </row>
    <row r="39" spans="2:18" ht="15" customHeight="1" x14ac:dyDescent="0.2">
      <c r="C39" s="468"/>
      <c r="D39" s="468"/>
      <c r="E39" s="468"/>
      <c r="F39" s="468"/>
      <c r="G39" s="468"/>
      <c r="L39" s="32"/>
      <c r="M39" s="32"/>
      <c r="N39" s="32"/>
      <c r="O39" s="32"/>
      <c r="P39" s="32"/>
      <c r="Q39" s="32"/>
      <c r="R39" s="32"/>
    </row>
    <row r="40" spans="2:18" x14ac:dyDescent="0.25">
      <c r="B40" s="217"/>
      <c r="C40" s="218"/>
      <c r="D40" s="219"/>
      <c r="E40" s="218"/>
      <c r="F40" s="218"/>
      <c r="G40" s="218"/>
      <c r="L40" s="32"/>
      <c r="M40" s="32"/>
      <c r="N40" s="32"/>
      <c r="O40" s="32"/>
      <c r="P40" s="32"/>
      <c r="Q40" s="32"/>
      <c r="R40" s="32"/>
    </row>
    <row r="41" spans="2:18" ht="15" customHeight="1" x14ac:dyDescent="0.25">
      <c r="B41" s="217" t="s">
        <v>45</v>
      </c>
      <c r="C41" s="469" t="s">
        <v>1072</v>
      </c>
      <c r="D41" s="469"/>
      <c r="E41" s="469"/>
      <c r="F41" s="469"/>
      <c r="G41" s="469"/>
    </row>
    <row r="42" spans="2:18" ht="15" customHeight="1" x14ac:dyDescent="0.25">
      <c r="B42" s="217"/>
      <c r="C42" s="469"/>
      <c r="D42" s="469"/>
      <c r="E42" s="469"/>
      <c r="F42" s="469"/>
      <c r="G42" s="469"/>
    </row>
    <row r="43" spans="2:18" ht="15" customHeight="1" x14ac:dyDescent="0.25">
      <c r="B43" s="217"/>
      <c r="C43" s="469"/>
      <c r="D43" s="469"/>
      <c r="E43" s="469"/>
      <c r="F43" s="469"/>
      <c r="G43" s="469"/>
      <c r="L43" s="32"/>
      <c r="M43" s="32"/>
      <c r="N43" s="32"/>
      <c r="O43" s="32"/>
      <c r="P43" s="32"/>
      <c r="Q43" s="32"/>
      <c r="R43" s="32"/>
    </row>
    <row r="44" spans="2:18" ht="15" customHeight="1" x14ac:dyDescent="0.2">
      <c r="B44" s="48"/>
      <c r="C44" s="49"/>
      <c r="D44" s="49"/>
      <c r="E44" s="49"/>
      <c r="F44" s="49"/>
      <c r="G44" s="49"/>
      <c r="L44" s="32"/>
      <c r="M44" s="32"/>
      <c r="N44" s="32"/>
      <c r="O44" s="32"/>
      <c r="P44" s="32"/>
      <c r="Q44" s="32"/>
      <c r="R44" s="32"/>
    </row>
    <row r="45" spans="2:18" ht="15" customHeight="1" x14ac:dyDescent="0.25">
      <c r="B45" s="217" t="s">
        <v>46</v>
      </c>
      <c r="C45" s="469" t="s">
        <v>1073</v>
      </c>
      <c r="D45" s="469"/>
      <c r="E45" s="469"/>
      <c r="F45" s="469"/>
      <c r="G45" s="469"/>
      <c r="L45" s="32"/>
      <c r="M45" s="32"/>
      <c r="N45" s="32"/>
      <c r="O45" s="32"/>
      <c r="P45" s="32"/>
      <c r="Q45" s="32"/>
      <c r="R45" s="32"/>
    </row>
    <row r="46" spans="2:18" ht="15" customHeight="1" x14ac:dyDescent="0.25">
      <c r="B46" s="217"/>
      <c r="C46" s="469"/>
      <c r="D46" s="469"/>
      <c r="E46" s="469"/>
      <c r="F46" s="469"/>
      <c r="G46" s="469"/>
      <c r="L46" s="32"/>
      <c r="M46" s="32"/>
      <c r="N46" s="32"/>
      <c r="O46" s="32"/>
      <c r="P46" s="32"/>
      <c r="Q46" s="32"/>
      <c r="R46" s="32"/>
    </row>
    <row r="47" spans="2:18" ht="15" customHeight="1" x14ac:dyDescent="0.25">
      <c r="B47" s="217"/>
      <c r="C47" s="469"/>
      <c r="D47" s="469"/>
      <c r="E47" s="469"/>
      <c r="F47" s="469"/>
      <c r="G47" s="469"/>
      <c r="L47" s="32"/>
      <c r="M47" s="32"/>
      <c r="N47" s="32"/>
      <c r="O47" s="32"/>
      <c r="P47" s="32"/>
      <c r="Q47" s="32"/>
      <c r="R47" s="32"/>
    </row>
    <row r="48" spans="2:18" ht="15" customHeight="1" x14ac:dyDescent="0.2">
      <c r="B48" s="48"/>
      <c r="C48" s="49"/>
      <c r="D48" s="49"/>
      <c r="E48" s="49"/>
      <c r="F48" s="49"/>
      <c r="G48" s="49"/>
      <c r="H48" s="50"/>
      <c r="I48" s="31"/>
      <c r="J48" s="31"/>
      <c r="L48" s="32"/>
      <c r="M48" s="32"/>
      <c r="N48" s="32"/>
      <c r="O48" s="32"/>
      <c r="P48" s="32"/>
      <c r="Q48" s="32"/>
      <c r="R48" s="32"/>
    </row>
    <row r="49" spans="2:19" ht="15" customHeight="1" x14ac:dyDescent="0.2">
      <c r="C49" s="280"/>
      <c r="D49" s="280"/>
      <c r="E49" s="280"/>
      <c r="F49" s="280"/>
      <c r="G49" s="280"/>
      <c r="H49" s="50"/>
      <c r="I49" s="31"/>
      <c r="J49" s="31"/>
      <c r="L49" s="32"/>
      <c r="M49" s="32"/>
      <c r="N49" s="32"/>
      <c r="O49" s="32"/>
      <c r="P49" s="32"/>
      <c r="Q49" s="32"/>
      <c r="R49" s="32"/>
    </row>
    <row r="50" spans="2:19" ht="15" customHeight="1" x14ac:dyDescent="0.2">
      <c r="B50" s="48"/>
      <c r="H50" s="31"/>
      <c r="L50" s="32"/>
      <c r="M50" s="32"/>
      <c r="N50" s="32"/>
      <c r="O50" s="32"/>
      <c r="P50" s="32"/>
      <c r="Q50" s="32"/>
      <c r="R50" s="32"/>
    </row>
    <row r="51" spans="2:19" ht="15" customHeight="1" x14ac:dyDescent="0.2">
      <c r="B51" s="48"/>
      <c r="H51" s="31"/>
      <c r="L51" s="32"/>
      <c r="M51" s="32"/>
      <c r="N51" s="32"/>
      <c r="O51" s="32"/>
      <c r="P51" s="32"/>
      <c r="Q51" s="32"/>
      <c r="R51" s="32"/>
    </row>
    <row r="52" spans="2:19" ht="15" customHeight="1" x14ac:dyDescent="0.2">
      <c r="B52" s="48"/>
      <c r="H52" s="31"/>
      <c r="L52" s="32"/>
      <c r="M52" s="32"/>
      <c r="N52" s="32"/>
      <c r="O52" s="32"/>
      <c r="P52" s="32"/>
      <c r="Q52" s="32"/>
      <c r="R52" s="32"/>
    </row>
    <row r="53" spans="2:19" ht="15" customHeight="1" x14ac:dyDescent="0.2">
      <c r="B53" s="48"/>
      <c r="C53" s="281"/>
      <c r="D53" s="281"/>
      <c r="E53" s="281"/>
      <c r="F53" s="281"/>
      <c r="G53" s="281"/>
      <c r="H53" s="31"/>
      <c r="L53" s="32"/>
      <c r="M53" s="32"/>
      <c r="N53" s="32"/>
      <c r="O53" s="32"/>
      <c r="P53" s="32"/>
      <c r="Q53" s="32"/>
      <c r="R53" s="32"/>
    </row>
    <row r="54" spans="2:19" ht="15" customHeight="1" x14ac:dyDescent="0.2">
      <c r="B54" s="48"/>
      <c r="C54" s="280"/>
      <c r="D54" s="280"/>
      <c r="E54" s="280"/>
      <c r="F54" s="280"/>
      <c r="G54" s="280"/>
      <c r="L54" s="32"/>
      <c r="M54" s="32"/>
      <c r="N54" s="32"/>
      <c r="O54" s="32"/>
      <c r="P54" s="31"/>
      <c r="Q54" s="31"/>
      <c r="R54" s="31"/>
      <c r="S54" s="31"/>
    </row>
    <row r="55" spans="2:19" ht="15" customHeight="1" x14ac:dyDescent="0.2">
      <c r="B55" s="48"/>
      <c r="C55" s="280"/>
      <c r="D55" s="280"/>
      <c r="E55" s="280"/>
      <c r="F55" s="280"/>
      <c r="G55" s="280"/>
      <c r="K55" s="31"/>
      <c r="L55" s="31"/>
      <c r="M55" s="31"/>
      <c r="N55" s="31"/>
      <c r="O55" s="31"/>
      <c r="P55" s="32"/>
      <c r="Q55" s="32"/>
      <c r="R55" s="32"/>
    </row>
    <row r="56" spans="2:19" ht="15" customHeight="1" x14ac:dyDescent="0.2">
      <c r="B56" s="48"/>
      <c r="C56" s="281"/>
      <c r="D56" s="281"/>
      <c r="E56" s="281"/>
      <c r="F56" s="281"/>
      <c r="G56" s="281"/>
      <c r="L56" s="32"/>
      <c r="M56" s="32"/>
      <c r="N56" s="32"/>
      <c r="O56" s="32"/>
      <c r="P56" s="32"/>
      <c r="Q56" s="32"/>
      <c r="R56" s="32"/>
    </row>
    <row r="57" spans="2:19" ht="15" customHeight="1" x14ac:dyDescent="0.2">
      <c r="B57" s="48"/>
      <c r="C57" s="280"/>
      <c r="D57" s="280"/>
      <c r="E57" s="280"/>
      <c r="F57" s="280"/>
      <c r="G57" s="280"/>
      <c r="H57" s="31"/>
      <c r="L57" s="31"/>
      <c r="O57" s="32"/>
      <c r="P57" s="32"/>
      <c r="Q57" s="32"/>
      <c r="R57" s="32"/>
    </row>
    <row r="58" spans="2:19" ht="15" customHeight="1" x14ac:dyDescent="0.2">
      <c r="B58" s="31"/>
      <c r="C58" s="280"/>
      <c r="D58" s="280"/>
      <c r="E58" s="280"/>
      <c r="F58" s="280"/>
      <c r="G58" s="280"/>
      <c r="L58" s="31"/>
      <c r="M58" s="32"/>
      <c r="N58" s="32"/>
      <c r="O58" s="32"/>
      <c r="P58" s="31"/>
      <c r="Q58" s="31"/>
      <c r="R58" s="31"/>
    </row>
    <row r="59" spans="2:19" ht="15" customHeight="1" x14ac:dyDescent="0.2">
      <c r="B59" s="31"/>
      <c r="C59" s="280"/>
      <c r="D59" s="280"/>
      <c r="E59" s="280"/>
      <c r="F59" s="280"/>
      <c r="G59" s="280"/>
      <c r="K59" s="31"/>
      <c r="L59" s="31"/>
      <c r="M59" s="31"/>
      <c r="N59" s="31"/>
      <c r="O59" s="31"/>
      <c r="P59" s="32"/>
      <c r="Q59" s="32"/>
      <c r="R59" s="32"/>
    </row>
    <row r="60" spans="2:19" ht="15" customHeight="1" x14ac:dyDescent="0.2">
      <c r="B60" s="31"/>
      <c r="C60" s="280"/>
      <c r="D60" s="280"/>
      <c r="E60" s="280"/>
      <c r="F60" s="280"/>
      <c r="G60" s="280"/>
      <c r="L60" s="31"/>
      <c r="M60" s="32"/>
      <c r="N60" s="32"/>
      <c r="O60" s="32"/>
      <c r="P60" s="32"/>
      <c r="Q60" s="32"/>
      <c r="R60" s="32"/>
    </row>
    <row r="61" spans="2:19" ht="15" customHeight="1" x14ac:dyDescent="0.2">
      <c r="B61" s="51"/>
      <c r="C61" s="280"/>
      <c r="D61" s="280"/>
      <c r="E61" s="280"/>
      <c r="F61" s="280"/>
      <c r="G61" s="280"/>
      <c r="L61" s="32"/>
      <c r="M61" s="32"/>
      <c r="N61" s="32"/>
      <c r="O61" s="32"/>
      <c r="P61" s="32"/>
      <c r="Q61" s="32"/>
      <c r="R61" s="32"/>
    </row>
    <row r="62" spans="2:19" ht="15" customHeight="1" x14ac:dyDescent="0.2">
      <c r="B62" s="31"/>
      <c r="L62" s="32"/>
      <c r="M62" s="32"/>
      <c r="N62" s="32"/>
      <c r="O62" s="32"/>
      <c r="P62" s="32"/>
      <c r="Q62" s="32"/>
      <c r="R62" s="32"/>
    </row>
    <row r="63" spans="2:19" ht="15" customHeight="1" x14ac:dyDescent="0.2">
      <c r="B63" s="31"/>
      <c r="E63" s="34"/>
      <c r="F63" s="34"/>
      <c r="G63" s="34"/>
      <c r="L63" s="32"/>
      <c r="M63" s="32"/>
      <c r="N63" s="32"/>
      <c r="O63" s="32"/>
      <c r="P63" s="32"/>
      <c r="Q63" s="32"/>
      <c r="R63" s="32"/>
    </row>
    <row r="64" spans="2:19" ht="15" customHeight="1" x14ac:dyDescent="0.2">
      <c r="B64" s="31"/>
      <c r="E64" s="34"/>
      <c r="F64" s="34"/>
      <c r="G64" s="34"/>
      <c r="L64" s="32"/>
      <c r="M64" s="32"/>
      <c r="N64" s="32"/>
      <c r="O64" s="32"/>
      <c r="P64" s="32"/>
      <c r="Q64" s="32"/>
      <c r="R64" s="32"/>
    </row>
    <row r="65" spans="2:18" ht="15" customHeight="1" x14ac:dyDescent="0.2">
      <c r="B65" s="31"/>
      <c r="L65" s="32"/>
      <c r="M65" s="32"/>
      <c r="N65" s="32"/>
      <c r="O65" s="32"/>
      <c r="P65" s="32"/>
      <c r="Q65" s="32"/>
      <c r="R65" s="32"/>
    </row>
    <row r="66" spans="2:18" ht="15" customHeight="1" x14ac:dyDescent="0.2">
      <c r="L66" s="32"/>
      <c r="M66" s="32"/>
      <c r="N66" s="32"/>
      <c r="O66" s="32"/>
      <c r="P66" s="32"/>
      <c r="Q66" s="32"/>
      <c r="R66" s="32"/>
    </row>
    <row r="67" spans="2:18" ht="15" customHeight="1" x14ac:dyDescent="0.2">
      <c r="L67" s="32"/>
      <c r="M67" s="32"/>
      <c r="N67" s="32"/>
      <c r="O67" s="32"/>
      <c r="P67" s="32"/>
      <c r="Q67" s="32"/>
      <c r="R67" s="32"/>
    </row>
    <row r="68" spans="2:18" ht="15" customHeight="1" x14ac:dyDescent="0.2">
      <c r="L68" s="32"/>
      <c r="M68" s="32"/>
      <c r="N68" s="32"/>
      <c r="O68" s="32"/>
      <c r="P68" s="32"/>
      <c r="Q68" s="32"/>
      <c r="R68" s="32"/>
    </row>
    <row r="69" spans="2:18" ht="15" customHeight="1" x14ac:dyDescent="0.2">
      <c r="L69" s="32"/>
      <c r="M69" s="32"/>
      <c r="N69" s="32"/>
      <c r="O69" s="32"/>
      <c r="P69" s="32"/>
      <c r="Q69" s="32"/>
      <c r="R69" s="32"/>
    </row>
    <row r="70" spans="2:18" ht="15" customHeight="1" x14ac:dyDescent="0.2">
      <c r="L70" s="32"/>
      <c r="M70" s="32"/>
      <c r="N70" s="32"/>
      <c r="O70" s="32"/>
      <c r="P70" s="32"/>
      <c r="Q70" s="32"/>
      <c r="R70" s="32"/>
    </row>
    <row r="71" spans="2:18" ht="15" customHeight="1" x14ac:dyDescent="0.2">
      <c r="L71" s="32"/>
      <c r="M71" s="32"/>
      <c r="N71" s="32"/>
      <c r="O71" s="32"/>
      <c r="P71" s="32"/>
      <c r="Q71" s="32"/>
      <c r="R71" s="32"/>
    </row>
    <row r="72" spans="2:18" ht="15" customHeight="1" x14ac:dyDescent="0.2">
      <c r="I72" s="35"/>
      <c r="L72" s="32"/>
      <c r="M72" s="32"/>
      <c r="N72" s="32"/>
      <c r="O72" s="32"/>
      <c r="P72" s="32"/>
      <c r="Q72" s="32"/>
      <c r="R72" s="32"/>
    </row>
    <row r="73" spans="2:18" ht="15" customHeight="1" x14ac:dyDescent="0.2">
      <c r="L73" s="32"/>
      <c r="M73" s="32"/>
      <c r="N73" s="32"/>
      <c r="O73" s="32"/>
      <c r="P73" s="32"/>
      <c r="Q73" s="32"/>
      <c r="R73" s="32"/>
    </row>
    <row r="74" spans="2:18" ht="15" customHeight="1" x14ac:dyDescent="0.2">
      <c r="I74" s="35"/>
      <c r="L74" s="32"/>
      <c r="M74" s="32"/>
      <c r="N74" s="32"/>
      <c r="O74" s="32"/>
      <c r="P74" s="32"/>
      <c r="Q74" s="32"/>
      <c r="R74" s="32"/>
    </row>
    <row r="75" spans="2:18" ht="15" customHeight="1" x14ac:dyDescent="0.2">
      <c r="I75" s="35"/>
      <c r="L75" s="32"/>
      <c r="M75" s="32"/>
      <c r="N75" s="32"/>
      <c r="O75" s="32"/>
      <c r="P75" s="32"/>
      <c r="Q75" s="32"/>
      <c r="R75" s="32"/>
    </row>
    <row r="76" spans="2:18" ht="15" customHeight="1" x14ac:dyDescent="0.2">
      <c r="H76" s="34"/>
      <c r="L76" s="32"/>
      <c r="M76" s="32"/>
      <c r="N76" s="32"/>
      <c r="O76" s="32"/>
      <c r="P76" s="32"/>
      <c r="Q76" s="32"/>
      <c r="R76" s="32"/>
    </row>
    <row r="77" spans="2:18" ht="15" customHeight="1" x14ac:dyDescent="0.2">
      <c r="H77" s="34"/>
      <c r="L77" s="32"/>
      <c r="M77" s="32"/>
      <c r="N77" s="32"/>
      <c r="O77" s="32"/>
      <c r="P77" s="32"/>
      <c r="Q77" s="32"/>
      <c r="R77" s="32"/>
    </row>
    <row r="78" spans="2:18" ht="15" customHeight="1" x14ac:dyDescent="0.2">
      <c r="L78" s="32"/>
      <c r="M78" s="32"/>
      <c r="N78" s="32"/>
      <c r="O78" s="32"/>
      <c r="P78" s="32"/>
      <c r="Q78" s="32"/>
      <c r="R78" s="32"/>
    </row>
    <row r="79" spans="2:18" ht="15" customHeight="1" x14ac:dyDescent="0.2">
      <c r="L79" s="32"/>
      <c r="M79" s="32"/>
      <c r="N79" s="32"/>
      <c r="O79" s="32"/>
      <c r="P79" s="32"/>
      <c r="Q79" s="32"/>
      <c r="R79" s="32"/>
    </row>
    <row r="80" spans="2:18" ht="15" customHeight="1" x14ac:dyDescent="0.2">
      <c r="L80" s="32"/>
      <c r="M80" s="32"/>
      <c r="N80" s="32"/>
      <c r="O80" s="32"/>
      <c r="P80" s="32"/>
      <c r="Q80" s="32"/>
      <c r="R80" s="32"/>
    </row>
    <row r="81" spans="12:18" ht="15" customHeight="1" x14ac:dyDescent="0.2">
      <c r="L81" s="32"/>
      <c r="M81" s="32"/>
      <c r="N81" s="32"/>
      <c r="O81" s="32"/>
      <c r="P81" s="32"/>
      <c r="Q81" s="32"/>
      <c r="R81" s="32"/>
    </row>
    <row r="82" spans="12:18" ht="15" customHeight="1" x14ac:dyDescent="0.2">
      <c r="L82" s="32"/>
      <c r="M82" s="32"/>
      <c r="N82" s="32"/>
      <c r="O82" s="32"/>
      <c r="P82" s="32"/>
      <c r="Q82" s="32"/>
      <c r="R82" s="32"/>
    </row>
    <row r="83" spans="12:18" ht="15" customHeight="1" x14ac:dyDescent="0.2">
      <c r="L83" s="32"/>
      <c r="M83" s="32"/>
      <c r="N83" s="32"/>
      <c r="O83" s="32"/>
      <c r="P83" s="32"/>
      <c r="Q83" s="32"/>
      <c r="R83" s="32"/>
    </row>
    <row r="84" spans="12:18" ht="15" customHeight="1" x14ac:dyDescent="0.2">
      <c r="L84" s="32"/>
      <c r="M84" s="31"/>
      <c r="N84" s="32"/>
      <c r="O84" s="32"/>
      <c r="R84" s="32"/>
    </row>
    <row r="85" spans="12:18" ht="15" customHeight="1" x14ac:dyDescent="0.2">
      <c r="L85" s="32"/>
      <c r="M85" s="32"/>
      <c r="N85" s="32"/>
      <c r="P85" s="32"/>
      <c r="Q85" s="32"/>
      <c r="R85" s="32"/>
    </row>
    <row r="86" spans="12:18" ht="15" customHeight="1" x14ac:dyDescent="0.2">
      <c r="L86" s="31"/>
      <c r="M86" s="32"/>
      <c r="N86" s="31"/>
      <c r="O86" s="32"/>
      <c r="P86" s="32"/>
      <c r="Q86" s="32"/>
      <c r="R86" s="35"/>
    </row>
    <row r="87" spans="12:18" ht="15" customHeight="1" x14ac:dyDescent="0.2">
      <c r="L87" s="31"/>
      <c r="M87" s="31"/>
      <c r="N87" s="32"/>
      <c r="O87" s="32"/>
      <c r="R87" s="35"/>
    </row>
    <row r="88" spans="12:18" ht="15" customHeight="1" x14ac:dyDescent="0.2">
      <c r="N88" s="32"/>
      <c r="P88" s="32"/>
      <c r="Q88" s="32"/>
    </row>
    <row r="89" spans="12:18" ht="15" customHeight="1" x14ac:dyDescent="0.2">
      <c r="N89" s="31"/>
      <c r="O89" s="32"/>
    </row>
    <row r="93" spans="12:18" ht="15" customHeight="1" x14ac:dyDescent="0.2">
      <c r="L93" s="32"/>
      <c r="M93" s="32"/>
      <c r="R93" s="32"/>
    </row>
    <row r="94" spans="12:18" ht="15" customHeight="1" x14ac:dyDescent="0.2">
      <c r="L94" s="31"/>
      <c r="M94" s="32"/>
      <c r="P94" s="32"/>
      <c r="Q94" s="32"/>
      <c r="R94" s="32"/>
    </row>
    <row r="95" spans="12:18" ht="15" customHeight="1" x14ac:dyDescent="0.2">
      <c r="L95" s="31"/>
      <c r="M95" s="31"/>
      <c r="N95" s="32"/>
      <c r="O95" s="32"/>
      <c r="P95" s="32"/>
      <c r="Q95" s="32"/>
      <c r="R95" s="32"/>
    </row>
    <row r="96" spans="12:18" ht="15" customHeight="1" x14ac:dyDescent="0.2">
      <c r="L96" s="31"/>
      <c r="M96" s="31"/>
      <c r="N96" s="32"/>
      <c r="O96" s="32"/>
      <c r="P96" s="32"/>
      <c r="Q96" s="32"/>
      <c r="R96" s="32"/>
    </row>
    <row r="97" spans="12:18" ht="15" customHeight="1" x14ac:dyDescent="0.2">
      <c r="L97" s="31"/>
      <c r="M97" s="32"/>
      <c r="N97" s="31"/>
      <c r="O97" s="32"/>
      <c r="P97" s="32"/>
      <c r="Q97" s="32"/>
      <c r="R97" s="32"/>
    </row>
    <row r="98" spans="12:18" ht="15" customHeight="1" x14ac:dyDescent="0.2">
      <c r="L98" s="31"/>
      <c r="M98" s="32"/>
      <c r="N98" s="31"/>
      <c r="O98" s="32"/>
      <c r="P98" s="32"/>
      <c r="Q98" s="32"/>
      <c r="R98" s="32"/>
    </row>
    <row r="99" spans="12:18" ht="15" customHeight="1" x14ac:dyDescent="0.2">
      <c r="N99" s="32"/>
      <c r="O99" s="32"/>
      <c r="P99" s="32"/>
      <c r="Q99" s="32"/>
      <c r="R99" s="32"/>
    </row>
    <row r="100" spans="12:18" ht="15" customHeight="1" x14ac:dyDescent="0.2">
      <c r="N100" s="32"/>
      <c r="O100" s="32"/>
      <c r="R100" s="32"/>
    </row>
    <row r="101" spans="12:18" ht="15" customHeight="1" x14ac:dyDescent="0.2">
      <c r="P101" s="32"/>
      <c r="Q101" s="32"/>
      <c r="R101" s="32"/>
    </row>
    <row r="102" spans="12:18" ht="15" customHeight="1" x14ac:dyDescent="0.2">
      <c r="L102" s="32"/>
      <c r="M102" s="32"/>
      <c r="O102" s="32"/>
      <c r="P102" s="32"/>
      <c r="Q102" s="32"/>
      <c r="R102" s="32"/>
    </row>
    <row r="103" spans="12:18" ht="15" customHeight="1" x14ac:dyDescent="0.2">
      <c r="L103" s="32"/>
      <c r="M103" s="32"/>
      <c r="O103" s="32"/>
      <c r="P103" s="32"/>
      <c r="Q103" s="32"/>
      <c r="R103" s="32"/>
    </row>
    <row r="104" spans="12:18" ht="15" customHeight="1" x14ac:dyDescent="0.2">
      <c r="L104" s="32"/>
      <c r="M104" s="32"/>
      <c r="N104" s="32"/>
      <c r="O104" s="32"/>
      <c r="P104" s="32"/>
      <c r="Q104" s="32"/>
      <c r="R104" s="32"/>
    </row>
    <row r="105" spans="12:18" ht="15" customHeight="1" x14ac:dyDescent="0.2">
      <c r="L105" s="31"/>
      <c r="N105" s="32"/>
      <c r="O105" s="32"/>
      <c r="P105" s="32"/>
      <c r="Q105" s="32"/>
      <c r="R105" s="32"/>
    </row>
    <row r="106" spans="12:18" ht="15" customHeight="1" x14ac:dyDescent="0.2">
      <c r="L106" s="31"/>
      <c r="N106" s="32"/>
      <c r="O106" s="32"/>
      <c r="R106" s="32"/>
    </row>
    <row r="107" spans="12:18" ht="15" customHeight="1" x14ac:dyDescent="0.2">
      <c r="R107" s="32"/>
    </row>
    <row r="108" spans="12:18" ht="15" customHeight="1" x14ac:dyDescent="0.2">
      <c r="L108" s="32"/>
      <c r="M108" s="32"/>
      <c r="R108" s="32"/>
    </row>
    <row r="109" spans="12:18" ht="15" customHeight="1" x14ac:dyDescent="0.2">
      <c r="L109" s="32"/>
      <c r="M109" s="32"/>
      <c r="P109" s="32"/>
      <c r="Q109" s="32"/>
      <c r="R109" s="32"/>
    </row>
    <row r="110" spans="12:18" ht="15" customHeight="1" x14ac:dyDescent="0.2">
      <c r="L110" s="32"/>
      <c r="M110" s="32"/>
      <c r="N110" s="32"/>
      <c r="O110" s="32"/>
      <c r="P110" s="32"/>
      <c r="Q110" s="32"/>
      <c r="R110" s="32"/>
    </row>
    <row r="111" spans="12:18" ht="15" customHeight="1" x14ac:dyDescent="0.2">
      <c r="L111" s="32"/>
      <c r="M111" s="32"/>
      <c r="N111" s="32"/>
      <c r="O111" s="32"/>
      <c r="P111" s="32"/>
      <c r="Q111" s="32"/>
      <c r="R111" s="32"/>
    </row>
    <row r="112" spans="12:18" ht="15" customHeight="1" x14ac:dyDescent="0.2">
      <c r="L112" s="32"/>
      <c r="M112" s="32"/>
      <c r="N112" s="32"/>
      <c r="O112" s="32"/>
      <c r="P112" s="32"/>
      <c r="Q112" s="32"/>
      <c r="R112" s="32"/>
    </row>
    <row r="113" s="32" customFormat="1" ht="15" customHeight="1" x14ac:dyDescent="0.2"/>
    <row r="114" s="32" customFormat="1" ht="15" customHeight="1" x14ac:dyDescent="0.2"/>
    <row r="115" s="32" customFormat="1" ht="15" customHeight="1" x14ac:dyDescent="0.2"/>
    <row r="116" s="32" customFormat="1" ht="15" customHeight="1" x14ac:dyDescent="0.2"/>
    <row r="117" s="32" customFormat="1" ht="15" customHeight="1" x14ac:dyDescent="0.2"/>
    <row r="118" s="32" customFormat="1" ht="15" customHeight="1" x14ac:dyDescent="0.2"/>
    <row r="119" s="32" customFormat="1" ht="15" customHeight="1" x14ac:dyDescent="0.2"/>
    <row r="120" s="32" customFormat="1" ht="15" customHeight="1" x14ac:dyDescent="0.2"/>
    <row r="121" s="32" customFormat="1" ht="15" customHeight="1" x14ac:dyDescent="0.2"/>
    <row r="122" s="32" customFormat="1" ht="15" customHeight="1" x14ac:dyDescent="0.2"/>
    <row r="123" s="32" customFormat="1" ht="15" customHeight="1" x14ac:dyDescent="0.2"/>
    <row r="124" s="32" customFormat="1" ht="15" customHeight="1" x14ac:dyDescent="0.2"/>
    <row r="125" s="32" customFormat="1" ht="15" customHeight="1" x14ac:dyDescent="0.2"/>
    <row r="126" s="32" customFormat="1" ht="15" customHeight="1" x14ac:dyDescent="0.2"/>
    <row r="127" s="32" customFormat="1" ht="15" customHeight="1" x14ac:dyDescent="0.2"/>
    <row r="128" s="32" customFormat="1" ht="15" customHeight="1" x14ac:dyDescent="0.2"/>
    <row r="129" s="32" customFormat="1" ht="15" customHeight="1" x14ac:dyDescent="0.2"/>
    <row r="130" s="32" customFormat="1" ht="15" customHeight="1" x14ac:dyDescent="0.2"/>
    <row r="131" s="32" customFormat="1" ht="15" customHeight="1" x14ac:dyDescent="0.2"/>
    <row r="132" s="32" customFormat="1" ht="15" customHeight="1" x14ac:dyDescent="0.2"/>
    <row r="133" s="32" customFormat="1" ht="15" customHeight="1" x14ac:dyDescent="0.2"/>
    <row r="134" s="32" customFormat="1" ht="15" customHeight="1" x14ac:dyDescent="0.2"/>
    <row r="135" s="32" customFormat="1" ht="15" customHeight="1" x14ac:dyDescent="0.2"/>
    <row r="136" s="32" customFormat="1" ht="15" customHeight="1" x14ac:dyDescent="0.2"/>
    <row r="137" s="32" customFormat="1" ht="15" customHeight="1" x14ac:dyDescent="0.2"/>
    <row r="138" s="32" customFormat="1" ht="15" customHeight="1" x14ac:dyDescent="0.2"/>
    <row r="139" s="32" customFormat="1" ht="15" customHeight="1" x14ac:dyDescent="0.2"/>
    <row r="140" s="32" customFormat="1" ht="15" customHeight="1" x14ac:dyDescent="0.2"/>
    <row r="141" s="32" customFormat="1" ht="15" customHeight="1" x14ac:dyDescent="0.2"/>
    <row r="142" s="32" customFormat="1" ht="15" customHeight="1" x14ac:dyDescent="0.2"/>
    <row r="143" s="32" customFormat="1" ht="15" customHeight="1" x14ac:dyDescent="0.2"/>
    <row r="144" s="32" customFormat="1" ht="15" customHeight="1" x14ac:dyDescent="0.2"/>
    <row r="145" s="32" customFormat="1" ht="15" customHeight="1" x14ac:dyDescent="0.2"/>
    <row r="146" s="32" customFormat="1" ht="15" customHeight="1" x14ac:dyDescent="0.2"/>
    <row r="147" s="32" customFormat="1" ht="15" customHeight="1" x14ac:dyDescent="0.2"/>
    <row r="148" s="32" customFormat="1" ht="15" customHeight="1" x14ac:dyDescent="0.2"/>
    <row r="149" s="32" customFormat="1" ht="15" customHeight="1" x14ac:dyDescent="0.2"/>
    <row r="150" s="32" customFormat="1" ht="15" customHeight="1" x14ac:dyDescent="0.2"/>
    <row r="151" s="32" customFormat="1" ht="15" customHeight="1" x14ac:dyDescent="0.2"/>
    <row r="152" s="32" customFormat="1" ht="15" customHeight="1" x14ac:dyDescent="0.2"/>
    <row r="153" s="32" customFormat="1" ht="15" customHeight="1" x14ac:dyDescent="0.2"/>
    <row r="154" s="32" customFormat="1" ht="15" customHeight="1" x14ac:dyDescent="0.2"/>
    <row r="155" s="32" customFormat="1" ht="15" customHeight="1" x14ac:dyDescent="0.2"/>
    <row r="156" s="32" customFormat="1" ht="15" customHeight="1" x14ac:dyDescent="0.2"/>
    <row r="157" s="32" customFormat="1" ht="15" customHeight="1" x14ac:dyDescent="0.2"/>
    <row r="158" s="32" customFormat="1" ht="15" customHeight="1" x14ac:dyDescent="0.2"/>
    <row r="159" s="32" customFormat="1" ht="15" customHeight="1" x14ac:dyDescent="0.2"/>
    <row r="160" s="32" customFormat="1" ht="15" customHeight="1" x14ac:dyDescent="0.2"/>
    <row r="161" s="32" customFormat="1" ht="15" customHeight="1" x14ac:dyDescent="0.2"/>
    <row r="162" s="32" customFormat="1" ht="15" customHeight="1" x14ac:dyDescent="0.2"/>
    <row r="163" s="32" customFormat="1" ht="15" customHeight="1" x14ac:dyDescent="0.2"/>
    <row r="164" s="32" customFormat="1" ht="15" customHeight="1" x14ac:dyDescent="0.2"/>
    <row r="165" s="32" customFormat="1" ht="15" customHeight="1" x14ac:dyDescent="0.2"/>
    <row r="166" s="32" customFormat="1" ht="15" customHeight="1" x14ac:dyDescent="0.2"/>
    <row r="167" s="32" customFormat="1" ht="15" customHeight="1" x14ac:dyDescent="0.2"/>
    <row r="168" s="32" customFormat="1" ht="15" customHeight="1" x14ac:dyDescent="0.2"/>
    <row r="169" s="32" customFormat="1" ht="15" customHeight="1" x14ac:dyDescent="0.2"/>
    <row r="170" s="32" customFormat="1" ht="15" customHeight="1" x14ac:dyDescent="0.2"/>
    <row r="171" s="32" customFormat="1" ht="15" customHeight="1" x14ac:dyDescent="0.2"/>
    <row r="172" s="32" customFormat="1" ht="15" customHeight="1" x14ac:dyDescent="0.2"/>
    <row r="173" s="32" customFormat="1" ht="15" customHeight="1" x14ac:dyDescent="0.2"/>
    <row r="174" s="32" customFormat="1" ht="15" customHeight="1" x14ac:dyDescent="0.2"/>
    <row r="175" s="32" customFormat="1" ht="15" customHeight="1" x14ac:dyDescent="0.2"/>
    <row r="176" s="32" customFormat="1" ht="15" customHeight="1" x14ac:dyDescent="0.2"/>
    <row r="177" s="32" customFormat="1" ht="15" customHeight="1" x14ac:dyDescent="0.2"/>
    <row r="178" s="32" customFormat="1" ht="15" customHeight="1" x14ac:dyDescent="0.2"/>
    <row r="179" s="32" customFormat="1" ht="15" customHeight="1" x14ac:dyDescent="0.2"/>
    <row r="180" s="32" customFormat="1" ht="15" customHeight="1" x14ac:dyDescent="0.2"/>
    <row r="181" s="32" customFormat="1" ht="15" customHeight="1" x14ac:dyDescent="0.2"/>
    <row r="182" s="32" customFormat="1" ht="15" customHeight="1" x14ac:dyDescent="0.2"/>
    <row r="183" s="32" customFormat="1" ht="15" customHeight="1" x14ac:dyDescent="0.2"/>
    <row r="184" s="32" customFormat="1" ht="15" customHeight="1" x14ac:dyDescent="0.2"/>
    <row r="185" s="32" customFormat="1" ht="15" customHeight="1" x14ac:dyDescent="0.2"/>
    <row r="186" s="32" customFormat="1" ht="15" customHeight="1" x14ac:dyDescent="0.2"/>
    <row r="187" s="32" customFormat="1" ht="15" customHeight="1" x14ac:dyDescent="0.2"/>
    <row r="188" s="32" customFormat="1" ht="15" customHeight="1" x14ac:dyDescent="0.2"/>
    <row r="189" s="32" customFormat="1" ht="15" customHeight="1" x14ac:dyDescent="0.2"/>
    <row r="190" s="32" customFormat="1" ht="15" customHeight="1" x14ac:dyDescent="0.2"/>
    <row r="191" s="32" customFormat="1" ht="15" customHeight="1" x14ac:dyDescent="0.2"/>
    <row r="192" s="32" customFormat="1" ht="15" customHeight="1" x14ac:dyDescent="0.2"/>
    <row r="193" s="32" customFormat="1" ht="15" customHeight="1" x14ac:dyDescent="0.2"/>
    <row r="194" s="32" customFormat="1" ht="15" customHeight="1" x14ac:dyDescent="0.2"/>
    <row r="195" s="32" customFormat="1" ht="15" customHeight="1" x14ac:dyDescent="0.2"/>
    <row r="196" s="32" customFormat="1" ht="15" customHeight="1" x14ac:dyDescent="0.2"/>
    <row r="197" s="32" customFormat="1" ht="15" customHeight="1" x14ac:dyDescent="0.2"/>
    <row r="198" s="32" customFormat="1" ht="15" customHeight="1" x14ac:dyDescent="0.2"/>
    <row r="199" s="32" customFormat="1" ht="15" customHeight="1" x14ac:dyDescent="0.2"/>
    <row r="200" s="32" customFormat="1" ht="15" customHeight="1" x14ac:dyDescent="0.2"/>
    <row r="201" s="32" customFormat="1" ht="15" customHeight="1" x14ac:dyDescent="0.2"/>
    <row r="202" s="32" customFormat="1" ht="15" customHeight="1" x14ac:dyDescent="0.2"/>
    <row r="203" s="32" customFormat="1" ht="15" customHeight="1" x14ac:dyDescent="0.2"/>
    <row r="204" s="32" customFormat="1" ht="15" customHeight="1" x14ac:dyDescent="0.2"/>
    <row r="205" s="32" customFormat="1" ht="15" customHeight="1" x14ac:dyDescent="0.2"/>
    <row r="206" s="32" customFormat="1" ht="15" customHeight="1" x14ac:dyDescent="0.2"/>
    <row r="207" s="32" customFormat="1" ht="15" customHeight="1" x14ac:dyDescent="0.2"/>
    <row r="208" s="32" customFormat="1" ht="15" customHeight="1" x14ac:dyDescent="0.2"/>
    <row r="209" s="32" customFormat="1" ht="15" customHeight="1" x14ac:dyDescent="0.2"/>
    <row r="210" s="32" customFormat="1" ht="15" customHeight="1" x14ac:dyDescent="0.2"/>
    <row r="211" s="32" customFormat="1" ht="15" customHeight="1" x14ac:dyDescent="0.2"/>
    <row r="212" s="32" customFormat="1" ht="15" customHeight="1" x14ac:dyDescent="0.2"/>
    <row r="213" s="32" customFormat="1" ht="15" customHeight="1" x14ac:dyDescent="0.2"/>
    <row r="214" s="32" customFormat="1" ht="15" customHeight="1" x14ac:dyDescent="0.2"/>
    <row r="215" s="32" customFormat="1" ht="15" customHeight="1" x14ac:dyDescent="0.2"/>
    <row r="216" s="32" customFormat="1" ht="15" customHeight="1" x14ac:dyDescent="0.2"/>
    <row r="217" s="32" customFormat="1" ht="15" customHeight="1" x14ac:dyDescent="0.2"/>
    <row r="218" s="32" customFormat="1" ht="15" customHeight="1" x14ac:dyDescent="0.2"/>
    <row r="219" s="32" customFormat="1" ht="15" customHeight="1" x14ac:dyDescent="0.2"/>
    <row r="220" s="32" customFormat="1" ht="15" customHeight="1" x14ac:dyDescent="0.2"/>
    <row r="221" s="32" customFormat="1" ht="15" customHeight="1" x14ac:dyDescent="0.2"/>
    <row r="222" s="32" customFormat="1" ht="15" customHeight="1" x14ac:dyDescent="0.2"/>
    <row r="223" s="32" customFormat="1" ht="15" customHeight="1" x14ac:dyDescent="0.2"/>
    <row r="224" s="32" customFormat="1" ht="15" customHeight="1" x14ac:dyDescent="0.2"/>
    <row r="225" s="32" customFormat="1" ht="15" customHeight="1" x14ac:dyDescent="0.2"/>
    <row r="226" s="32" customFormat="1" ht="15" customHeight="1" x14ac:dyDescent="0.2"/>
    <row r="227" s="32" customFormat="1" ht="15" customHeight="1" x14ac:dyDescent="0.2"/>
    <row r="228" s="32" customFormat="1" ht="15" customHeight="1" x14ac:dyDescent="0.2"/>
    <row r="229" s="32" customFormat="1" ht="15" customHeight="1" x14ac:dyDescent="0.2"/>
    <row r="230" s="32" customFormat="1" ht="15" customHeight="1" x14ac:dyDescent="0.2"/>
    <row r="231" s="32" customFormat="1" ht="15" customHeight="1" x14ac:dyDescent="0.2"/>
    <row r="232" s="32" customFormat="1" ht="15" customHeight="1" x14ac:dyDescent="0.2"/>
    <row r="233" s="32" customFormat="1" ht="15" customHeight="1" x14ac:dyDescent="0.2"/>
    <row r="234" s="32" customFormat="1" ht="15" customHeight="1" x14ac:dyDescent="0.2"/>
    <row r="235" s="32" customFormat="1" ht="15" customHeight="1" x14ac:dyDescent="0.2"/>
    <row r="236" s="32" customFormat="1" ht="15" customHeight="1" x14ac:dyDescent="0.2"/>
    <row r="237" s="32" customFormat="1" ht="15" customHeight="1" x14ac:dyDescent="0.2"/>
    <row r="238" s="32" customFormat="1" ht="15" customHeight="1" x14ac:dyDescent="0.2"/>
    <row r="239" s="32" customFormat="1" ht="15" customHeight="1" x14ac:dyDescent="0.2"/>
    <row r="240" s="32" customFormat="1" ht="15" customHeight="1" x14ac:dyDescent="0.2"/>
    <row r="241" s="32" customFormat="1" ht="15" customHeight="1" x14ac:dyDescent="0.2"/>
    <row r="242" s="32" customFormat="1" ht="15" customHeight="1" x14ac:dyDescent="0.2"/>
    <row r="243" s="32" customFormat="1" ht="15" customHeight="1" x14ac:dyDescent="0.2"/>
    <row r="244" s="32" customFormat="1" ht="15" customHeight="1" x14ac:dyDescent="0.2"/>
    <row r="245" s="32" customFormat="1" ht="15" customHeight="1" x14ac:dyDescent="0.2"/>
    <row r="246" s="32" customFormat="1" ht="15" customHeight="1" x14ac:dyDescent="0.2"/>
    <row r="247" s="32" customFormat="1" ht="15" customHeight="1" x14ac:dyDescent="0.2"/>
    <row r="248" s="32" customFormat="1" ht="15" customHeight="1" x14ac:dyDescent="0.2"/>
    <row r="249" s="32" customFormat="1" ht="15" customHeight="1" x14ac:dyDescent="0.2"/>
    <row r="250" s="32" customFormat="1" ht="15" customHeight="1" x14ac:dyDescent="0.2"/>
    <row r="251" s="32" customFormat="1" ht="15" customHeight="1" x14ac:dyDescent="0.2"/>
    <row r="252" s="32" customFormat="1" ht="15" customHeight="1" x14ac:dyDescent="0.2"/>
    <row r="253" s="32" customFormat="1" ht="15" customHeight="1" x14ac:dyDescent="0.2"/>
    <row r="254" s="32" customFormat="1" ht="15" customHeight="1" x14ac:dyDescent="0.2"/>
    <row r="255" s="32" customFormat="1" ht="15" customHeight="1" x14ac:dyDescent="0.2"/>
    <row r="256" s="32" customFormat="1" ht="15" customHeight="1" x14ac:dyDescent="0.2"/>
    <row r="257" s="32" customFormat="1" ht="15" customHeight="1" x14ac:dyDescent="0.2"/>
    <row r="258" s="32" customFormat="1" ht="15" customHeight="1" x14ac:dyDescent="0.2"/>
    <row r="259" s="32" customFormat="1" ht="15" customHeight="1" x14ac:dyDescent="0.2"/>
    <row r="260" s="32" customFormat="1" ht="15" customHeight="1" x14ac:dyDescent="0.2"/>
    <row r="261" s="32" customFormat="1" ht="15" customHeight="1" x14ac:dyDescent="0.2"/>
    <row r="262" s="32" customFormat="1" ht="15" customHeight="1" x14ac:dyDescent="0.2"/>
    <row r="263" s="32" customFormat="1" ht="15" customHeight="1" x14ac:dyDescent="0.2"/>
    <row r="264" s="32" customFormat="1" ht="15" customHeight="1" x14ac:dyDescent="0.2"/>
    <row r="265" s="32" customFormat="1" ht="15" customHeight="1" x14ac:dyDescent="0.2"/>
    <row r="266" s="32" customFormat="1" ht="15" customHeight="1" x14ac:dyDescent="0.2"/>
    <row r="267" s="32" customFormat="1" ht="15" customHeight="1" x14ac:dyDescent="0.2"/>
    <row r="268" s="32" customFormat="1" ht="15" customHeight="1" x14ac:dyDescent="0.2"/>
    <row r="269" s="32" customFormat="1" ht="15" customHeight="1" x14ac:dyDescent="0.2"/>
    <row r="270" s="32" customFormat="1" ht="15" customHeight="1" x14ac:dyDescent="0.2"/>
    <row r="271" s="32" customFormat="1" ht="15" customHeight="1" x14ac:dyDescent="0.2"/>
    <row r="272" s="32" customFormat="1" ht="15" customHeight="1" x14ac:dyDescent="0.2"/>
    <row r="273" s="32" customFormat="1" ht="15" customHeight="1" x14ac:dyDescent="0.2"/>
    <row r="274" s="32" customFormat="1" ht="15" customHeight="1" x14ac:dyDescent="0.2"/>
    <row r="275" s="32" customFormat="1" ht="15" customHeight="1" x14ac:dyDescent="0.2"/>
    <row r="276" s="32" customFormat="1" ht="15" customHeight="1" x14ac:dyDescent="0.2"/>
    <row r="277" s="32" customFormat="1" ht="15" customHeight="1" x14ac:dyDescent="0.2"/>
    <row r="278" s="32" customFormat="1" ht="15" customHeight="1" x14ac:dyDescent="0.2"/>
    <row r="279" s="32" customFormat="1" ht="15" customHeight="1" x14ac:dyDescent="0.2"/>
    <row r="280" s="32" customFormat="1" ht="15" customHeight="1" x14ac:dyDescent="0.2"/>
    <row r="281" s="32" customFormat="1" ht="15" customHeight="1" x14ac:dyDescent="0.2"/>
    <row r="282" s="32" customFormat="1" ht="15" customHeight="1" x14ac:dyDescent="0.2"/>
    <row r="283" s="32" customFormat="1" ht="15" customHeight="1" x14ac:dyDescent="0.2"/>
    <row r="284" s="32" customFormat="1" ht="15" customHeight="1" x14ac:dyDescent="0.2"/>
    <row r="285" s="32" customFormat="1" ht="15" customHeight="1" x14ac:dyDescent="0.2"/>
    <row r="286" s="32" customFormat="1" ht="15" customHeight="1" x14ac:dyDescent="0.2"/>
    <row r="287" s="32" customFormat="1" ht="15" customHeight="1" x14ac:dyDescent="0.2"/>
    <row r="288" s="32" customFormat="1" ht="15" customHeight="1" x14ac:dyDescent="0.2"/>
    <row r="289" s="32" customFormat="1" ht="15" customHeight="1" x14ac:dyDescent="0.2"/>
    <row r="290" s="32" customFormat="1" ht="15" customHeight="1" x14ac:dyDescent="0.2"/>
    <row r="291" s="32" customFormat="1" ht="15" customHeight="1" x14ac:dyDescent="0.2"/>
    <row r="292" s="32" customFormat="1" ht="15" customHeight="1" x14ac:dyDescent="0.2"/>
    <row r="293" s="32" customFormat="1" ht="15" customHeight="1" x14ac:dyDescent="0.2"/>
    <row r="294" s="32" customFormat="1" ht="15" customHeight="1" x14ac:dyDescent="0.2"/>
    <row r="295" s="32" customFormat="1" ht="15" customHeight="1" x14ac:dyDescent="0.2"/>
    <row r="296" s="32" customFormat="1" ht="15" customHeight="1" x14ac:dyDescent="0.2"/>
    <row r="297" s="32" customFormat="1" ht="15" customHeight="1" x14ac:dyDescent="0.2"/>
    <row r="298" s="32" customFormat="1" ht="15" customHeight="1" x14ac:dyDescent="0.2"/>
    <row r="299" s="32" customFormat="1" ht="15" customHeight="1" x14ac:dyDescent="0.2"/>
    <row r="300" s="32" customFormat="1" ht="15" customHeight="1" x14ac:dyDescent="0.2"/>
    <row r="301" s="32" customFormat="1" ht="15" customHeight="1" x14ac:dyDescent="0.2"/>
    <row r="302" s="32" customFormat="1" ht="15" customHeight="1" x14ac:dyDescent="0.2"/>
    <row r="303" s="32" customFormat="1" ht="15" customHeight="1" x14ac:dyDescent="0.2"/>
    <row r="304" s="32" customFormat="1" ht="15" customHeight="1" x14ac:dyDescent="0.2"/>
    <row r="305" s="32" customFormat="1" ht="15" customHeight="1" x14ac:dyDescent="0.2"/>
    <row r="306" s="32" customFormat="1" ht="15" customHeight="1" x14ac:dyDescent="0.2"/>
    <row r="307" s="32" customFormat="1" ht="15" customHeight="1" x14ac:dyDescent="0.2"/>
    <row r="308" s="32" customFormat="1" ht="15" customHeight="1" x14ac:dyDescent="0.2"/>
    <row r="309" s="32" customFormat="1" ht="15" customHeight="1" x14ac:dyDescent="0.2"/>
    <row r="310" s="32" customFormat="1" ht="15" customHeight="1" x14ac:dyDescent="0.2"/>
    <row r="311" s="32" customFormat="1" ht="15" customHeight="1" x14ac:dyDescent="0.2"/>
    <row r="312" s="32" customFormat="1" ht="15" customHeight="1" x14ac:dyDescent="0.2"/>
    <row r="313" s="32" customFormat="1" ht="15" customHeight="1" x14ac:dyDescent="0.2"/>
    <row r="314" s="32" customFormat="1" ht="15" customHeight="1" x14ac:dyDescent="0.2"/>
    <row r="315" s="32" customFormat="1" ht="15" customHeight="1" x14ac:dyDescent="0.2"/>
    <row r="316" s="32" customFormat="1" ht="15" customHeight="1" x14ac:dyDescent="0.2"/>
    <row r="317" s="32" customFormat="1" ht="15" customHeight="1" x14ac:dyDescent="0.2"/>
    <row r="318" s="32" customFormat="1" ht="15" customHeight="1" x14ac:dyDescent="0.2"/>
    <row r="319" s="32" customFormat="1" ht="15" customHeight="1" x14ac:dyDescent="0.2"/>
    <row r="320" s="32" customFormat="1" ht="15" customHeight="1" x14ac:dyDescent="0.2"/>
    <row r="321" spans="12:18" ht="15" customHeight="1" x14ac:dyDescent="0.2">
      <c r="L321" s="32"/>
      <c r="M321" s="32"/>
      <c r="N321" s="32"/>
      <c r="O321" s="32"/>
      <c r="P321" s="32"/>
      <c r="Q321" s="32"/>
      <c r="R321" s="32"/>
    </row>
    <row r="322" spans="12:18" ht="15" customHeight="1" x14ac:dyDescent="0.2">
      <c r="L322" s="32"/>
      <c r="M322" s="32"/>
      <c r="N322" s="32"/>
      <c r="O322" s="32"/>
      <c r="P322" s="32"/>
      <c r="Q322" s="32"/>
      <c r="R322" s="32"/>
    </row>
    <row r="323" spans="12:18" ht="15" customHeight="1" x14ac:dyDescent="0.2">
      <c r="L323" s="32"/>
      <c r="M323" s="32"/>
      <c r="N323" s="32"/>
      <c r="O323" s="32"/>
      <c r="P323" s="32"/>
      <c r="Q323" s="32"/>
      <c r="R323" s="32"/>
    </row>
    <row r="324" spans="12:18" ht="15" customHeight="1" x14ac:dyDescent="0.2">
      <c r="L324" s="32"/>
      <c r="M324" s="32"/>
      <c r="N324" s="32"/>
      <c r="O324" s="32"/>
      <c r="P324" s="32"/>
      <c r="Q324" s="32"/>
      <c r="R324" s="32"/>
    </row>
    <row r="325" spans="12:18" ht="15" customHeight="1" x14ac:dyDescent="0.2">
      <c r="L325" s="32"/>
      <c r="M325" s="32"/>
      <c r="N325" s="32"/>
      <c r="O325" s="32"/>
      <c r="P325" s="32"/>
      <c r="Q325" s="32"/>
      <c r="R325" s="32"/>
    </row>
    <row r="326" spans="12:18" ht="15" customHeight="1" x14ac:dyDescent="0.2">
      <c r="L326" s="32"/>
      <c r="M326" s="32"/>
      <c r="N326" s="32"/>
      <c r="O326" s="32"/>
      <c r="P326" s="32"/>
      <c r="Q326" s="32"/>
      <c r="R326" s="32"/>
    </row>
    <row r="327" spans="12:18" ht="15" customHeight="1" x14ac:dyDescent="0.2">
      <c r="L327" s="32"/>
      <c r="M327" s="32"/>
      <c r="N327" s="32"/>
      <c r="O327" s="32"/>
      <c r="P327" s="32"/>
      <c r="Q327" s="32"/>
      <c r="R327" s="32"/>
    </row>
    <row r="328" spans="12:18" ht="15" customHeight="1" x14ac:dyDescent="0.2">
      <c r="L328" s="32"/>
      <c r="M328" s="32"/>
      <c r="N328" s="32"/>
      <c r="O328" s="32"/>
      <c r="P328" s="32"/>
      <c r="Q328" s="32"/>
      <c r="R328" s="32"/>
    </row>
    <row r="329" spans="12:18" ht="15" customHeight="1" x14ac:dyDescent="0.2">
      <c r="L329" s="32"/>
      <c r="M329" s="32"/>
      <c r="N329" s="32"/>
      <c r="O329" s="32"/>
      <c r="P329" s="32"/>
      <c r="Q329" s="32"/>
      <c r="R329" s="32"/>
    </row>
    <row r="330" spans="12:18" ht="15" customHeight="1" x14ac:dyDescent="0.2">
      <c r="L330" s="32"/>
      <c r="M330" s="32"/>
      <c r="N330" s="32"/>
      <c r="O330" s="32"/>
      <c r="P330" s="32"/>
      <c r="Q330" s="32"/>
      <c r="R330" s="32"/>
    </row>
    <row r="331" spans="12:18" ht="15" customHeight="1" x14ac:dyDescent="0.2">
      <c r="L331" s="32"/>
      <c r="M331" s="32"/>
      <c r="N331" s="32"/>
      <c r="O331" s="32"/>
      <c r="P331" s="32"/>
      <c r="Q331" s="32"/>
      <c r="R331" s="32"/>
    </row>
    <row r="332" spans="12:18" ht="15" customHeight="1" x14ac:dyDescent="0.2">
      <c r="L332" s="32"/>
      <c r="M332" s="32"/>
      <c r="N332" s="32"/>
      <c r="O332" s="32"/>
      <c r="P332" s="32"/>
      <c r="Q332" s="32"/>
      <c r="R332" s="32"/>
    </row>
    <row r="333" spans="12:18" ht="15" customHeight="1" x14ac:dyDescent="0.2">
      <c r="L333" s="32"/>
      <c r="M333" s="32"/>
      <c r="N333" s="32"/>
      <c r="O333" s="32"/>
      <c r="P333" s="32"/>
      <c r="Q333" s="32"/>
      <c r="R333" s="32"/>
    </row>
    <row r="334" spans="12:18" ht="15" customHeight="1" x14ac:dyDescent="0.2">
      <c r="L334" s="32"/>
      <c r="M334" s="32"/>
      <c r="N334" s="32"/>
      <c r="O334" s="32"/>
      <c r="P334" s="32"/>
      <c r="Q334" s="32"/>
      <c r="R334" s="32"/>
    </row>
    <row r="335" spans="12:18" ht="15" customHeight="1" x14ac:dyDescent="0.2">
      <c r="N335" s="32"/>
      <c r="O335" s="32"/>
      <c r="P335" s="32"/>
      <c r="Q335" s="32"/>
      <c r="R335" s="32"/>
    </row>
    <row r="336" spans="12:18" ht="15" customHeight="1" x14ac:dyDescent="0.2">
      <c r="N336" s="32"/>
      <c r="O336" s="32"/>
    </row>
    <row r="339" spans="12:18" ht="15" customHeight="1" x14ac:dyDescent="0.2">
      <c r="L339" s="32"/>
      <c r="M339" s="32"/>
    </row>
    <row r="340" spans="12:18" ht="15" customHeight="1" x14ac:dyDescent="0.2">
      <c r="L340" s="32"/>
      <c r="M340" s="32"/>
      <c r="P340" s="32"/>
      <c r="Q340" s="32"/>
      <c r="R340" s="32"/>
    </row>
    <row r="341" spans="12:18" ht="15" customHeight="1" x14ac:dyDescent="0.2">
      <c r="N341" s="32"/>
      <c r="O341" s="32"/>
      <c r="P341" s="32"/>
      <c r="Q341" s="32"/>
      <c r="R341" s="32"/>
    </row>
    <row r="342" spans="12:18" ht="15" customHeight="1" x14ac:dyDescent="0.2">
      <c r="N342" s="32"/>
      <c r="O342" s="32"/>
    </row>
  </sheetData>
  <mergeCells count="5">
    <mergeCell ref="C29:G31"/>
    <mergeCell ref="C37:G39"/>
    <mergeCell ref="C45:G47"/>
    <mergeCell ref="C33:G35"/>
    <mergeCell ref="C41:G43"/>
  </mergeCells>
  <printOptions horizontalCentered="1"/>
  <pageMargins left="0.25" right="0.25" top="0.75" bottom="0.75" header="0.3" footer="0.3"/>
  <pageSetup paperSize="3" scale="6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FC859-8F78-4821-83A2-D1160DF26188}">
  <sheetPr>
    <tabColor theme="0" tint="-0.249977111117893"/>
  </sheetPr>
  <dimension ref="A1:DD282"/>
  <sheetViews>
    <sheetView topLeftCell="C1" zoomScale="85" zoomScaleNormal="85" workbookViewId="0">
      <selection activeCell="V292" sqref="V292"/>
    </sheetView>
  </sheetViews>
  <sheetFormatPr defaultRowHeight="15" x14ac:dyDescent="0.25"/>
  <sheetData>
    <row r="1" spans="1:108" ht="16.5" customHeight="1" x14ac:dyDescent="0.25">
      <c r="B1" t="s">
        <v>501</v>
      </c>
      <c r="C1" t="s">
        <v>502</v>
      </c>
      <c r="D1" t="s">
        <v>503</v>
      </c>
      <c r="E1" t="s">
        <v>504</v>
      </c>
      <c r="F1" t="s">
        <v>505</v>
      </c>
      <c r="G1" t="s">
        <v>506</v>
      </c>
      <c r="H1" t="s">
        <v>507</v>
      </c>
      <c r="I1" t="s">
        <v>508</v>
      </c>
      <c r="J1" t="s">
        <v>509</v>
      </c>
      <c r="K1" t="s">
        <v>510</v>
      </c>
      <c r="L1" t="s">
        <v>511</v>
      </c>
      <c r="M1" t="s">
        <v>512</v>
      </c>
      <c r="N1" t="s">
        <v>513</v>
      </c>
      <c r="O1" t="s">
        <v>514</v>
      </c>
      <c r="P1" t="s">
        <v>515</v>
      </c>
      <c r="Q1" t="s">
        <v>516</v>
      </c>
      <c r="R1" t="s">
        <v>517</v>
      </c>
      <c r="S1" t="s">
        <v>518</v>
      </c>
      <c r="T1" t="s">
        <v>519</v>
      </c>
      <c r="U1" t="s">
        <v>520</v>
      </c>
      <c r="V1" t="s">
        <v>521</v>
      </c>
      <c r="W1" t="s">
        <v>522</v>
      </c>
      <c r="X1" t="s">
        <v>523</v>
      </c>
      <c r="Y1" t="s">
        <v>524</v>
      </c>
      <c r="Z1" t="s">
        <v>525</v>
      </c>
      <c r="AA1" t="s">
        <v>526</v>
      </c>
      <c r="AB1" t="s">
        <v>527</v>
      </c>
      <c r="AC1" t="s">
        <v>528</v>
      </c>
      <c r="AD1" t="s">
        <v>529</v>
      </c>
      <c r="AE1" t="s">
        <v>530</v>
      </c>
      <c r="AF1" t="s">
        <v>531</v>
      </c>
      <c r="AG1" t="s">
        <v>532</v>
      </c>
      <c r="AH1" t="s">
        <v>533</v>
      </c>
      <c r="AI1" t="s">
        <v>534</v>
      </c>
      <c r="AJ1" t="s">
        <v>535</v>
      </c>
      <c r="AK1" t="s">
        <v>536</v>
      </c>
      <c r="AL1" t="s">
        <v>537</v>
      </c>
      <c r="AM1" t="s">
        <v>538</v>
      </c>
      <c r="AN1" t="s">
        <v>539</v>
      </c>
      <c r="AO1" t="s">
        <v>540</v>
      </c>
      <c r="AP1" t="s">
        <v>541</v>
      </c>
      <c r="AQ1" t="s">
        <v>542</v>
      </c>
      <c r="AR1" t="s">
        <v>543</v>
      </c>
      <c r="AS1" t="s">
        <v>544</v>
      </c>
      <c r="AT1" t="s">
        <v>545</v>
      </c>
      <c r="AU1" t="s">
        <v>546</v>
      </c>
      <c r="AV1" t="s">
        <v>547</v>
      </c>
      <c r="AW1" t="s">
        <v>548</v>
      </c>
      <c r="AX1" t="s">
        <v>549</v>
      </c>
      <c r="AY1" t="s">
        <v>550</v>
      </c>
      <c r="AZ1" t="s">
        <v>551</v>
      </c>
      <c r="BA1" t="s">
        <v>552</v>
      </c>
      <c r="BB1" t="s">
        <v>553</v>
      </c>
      <c r="BC1" t="s">
        <v>554</v>
      </c>
      <c r="BD1" t="s">
        <v>555</v>
      </c>
      <c r="BE1" t="s">
        <v>556</v>
      </c>
      <c r="BF1" t="s">
        <v>557</v>
      </c>
      <c r="BG1" t="s">
        <v>558</v>
      </c>
      <c r="BH1" t="s">
        <v>559</v>
      </c>
      <c r="BI1" t="s">
        <v>560</v>
      </c>
      <c r="BJ1" t="s">
        <v>561</v>
      </c>
      <c r="BK1" t="s">
        <v>562</v>
      </c>
      <c r="BL1" t="s">
        <v>563</v>
      </c>
      <c r="BM1" t="s">
        <v>564</v>
      </c>
      <c r="BN1" t="s">
        <v>565</v>
      </c>
      <c r="BO1" t="s">
        <v>566</v>
      </c>
      <c r="BP1" t="s">
        <v>567</v>
      </c>
      <c r="BQ1" t="s">
        <v>568</v>
      </c>
      <c r="BR1" t="s">
        <v>569</v>
      </c>
      <c r="BS1" t="s">
        <v>570</v>
      </c>
      <c r="BT1" t="s">
        <v>571</v>
      </c>
      <c r="BU1" t="s">
        <v>572</v>
      </c>
      <c r="BV1" t="s">
        <v>573</v>
      </c>
      <c r="BW1" t="s">
        <v>574</v>
      </c>
      <c r="BX1" t="s">
        <v>575</v>
      </c>
      <c r="BY1" t="s">
        <v>576</v>
      </c>
      <c r="BZ1" t="s">
        <v>577</v>
      </c>
      <c r="CA1" t="s">
        <v>578</v>
      </c>
      <c r="CB1" t="s">
        <v>579</v>
      </c>
      <c r="CC1" t="s">
        <v>580</v>
      </c>
      <c r="CD1" t="s">
        <v>581</v>
      </c>
      <c r="CE1" t="s">
        <v>582</v>
      </c>
      <c r="CF1" t="s">
        <v>583</v>
      </c>
      <c r="CG1" t="s">
        <v>584</v>
      </c>
      <c r="CH1" t="s">
        <v>585</v>
      </c>
      <c r="CI1" t="s">
        <v>586</v>
      </c>
      <c r="CJ1" t="s">
        <v>587</v>
      </c>
      <c r="CK1" t="s">
        <v>588</v>
      </c>
      <c r="CL1" t="s">
        <v>589</v>
      </c>
      <c r="CM1" t="s">
        <v>590</v>
      </c>
      <c r="CN1" t="s">
        <v>591</v>
      </c>
      <c r="CO1" t="s">
        <v>592</v>
      </c>
      <c r="CP1" t="s">
        <v>593</v>
      </c>
      <c r="CQ1" t="s">
        <v>594</v>
      </c>
      <c r="CR1" t="s">
        <v>595</v>
      </c>
      <c r="CS1" t="s">
        <v>596</v>
      </c>
      <c r="CT1" t="s">
        <v>597</v>
      </c>
      <c r="CU1" t="s">
        <v>598</v>
      </c>
      <c r="CV1" t="s">
        <v>599</v>
      </c>
      <c r="CW1" t="s">
        <v>600</v>
      </c>
      <c r="CX1" t="s">
        <v>601</v>
      </c>
      <c r="CY1" t="s">
        <v>602</v>
      </c>
      <c r="CZ1" t="s">
        <v>603</v>
      </c>
      <c r="DA1" t="s">
        <v>604</v>
      </c>
      <c r="DB1" t="s">
        <v>605</v>
      </c>
      <c r="DC1" t="s">
        <v>606</v>
      </c>
      <c r="DD1" t="s">
        <v>607</v>
      </c>
    </row>
    <row r="2" spans="1:108" ht="16.5" customHeight="1" x14ac:dyDescent="0.25">
      <c r="A2">
        <v>10</v>
      </c>
      <c r="B2">
        <v>662894</v>
      </c>
      <c r="C2">
        <v>4</v>
      </c>
      <c r="D2">
        <v>44</v>
      </c>
      <c r="E2">
        <v>3.7629999999999999</v>
      </c>
      <c r="F2">
        <v>55</v>
      </c>
      <c r="H2" t="s">
        <v>608</v>
      </c>
      <c r="I2">
        <v>6</v>
      </c>
      <c r="J2">
        <v>21</v>
      </c>
      <c r="L2" t="s">
        <v>609</v>
      </c>
      <c r="M2">
        <v>183300014</v>
      </c>
      <c r="N2">
        <v>11</v>
      </c>
      <c r="O2">
        <v>26</v>
      </c>
      <c r="P2">
        <v>2018</v>
      </c>
      <c r="Q2" t="s">
        <v>610</v>
      </c>
      <c r="R2">
        <v>8</v>
      </c>
      <c r="S2" t="s">
        <v>611</v>
      </c>
      <c r="T2">
        <v>5</v>
      </c>
      <c r="U2">
        <v>0</v>
      </c>
      <c r="V2">
        <v>2</v>
      </c>
      <c r="W2">
        <v>10</v>
      </c>
      <c r="X2">
        <v>10</v>
      </c>
      <c r="Y2">
        <v>3</v>
      </c>
      <c r="Z2">
        <v>1</v>
      </c>
      <c r="AA2">
        <v>2</v>
      </c>
      <c r="AB2">
        <v>4</v>
      </c>
      <c r="AC2">
        <v>1</v>
      </c>
      <c r="AD2">
        <v>98</v>
      </c>
      <c r="AE2" t="s">
        <v>612</v>
      </c>
      <c r="AG2" t="s">
        <v>613</v>
      </c>
      <c r="AH2">
        <v>5</v>
      </c>
      <c r="AI2">
        <v>2</v>
      </c>
      <c r="AJ2">
        <v>3</v>
      </c>
      <c r="AK2">
        <v>1</v>
      </c>
      <c r="AL2">
        <v>21</v>
      </c>
      <c r="AM2">
        <v>40</v>
      </c>
      <c r="AN2" t="s">
        <v>614</v>
      </c>
      <c r="AO2">
        <v>5</v>
      </c>
      <c r="AP2">
        <v>1</v>
      </c>
      <c r="AT2">
        <v>12</v>
      </c>
      <c r="AU2">
        <v>9</v>
      </c>
      <c r="AV2">
        <v>55</v>
      </c>
      <c r="AW2">
        <v>11</v>
      </c>
      <c r="AX2">
        <v>21</v>
      </c>
      <c r="AY2">
        <v>2</v>
      </c>
      <c r="AZ2">
        <v>2</v>
      </c>
      <c r="BA2">
        <v>1</v>
      </c>
      <c r="BB2">
        <v>24</v>
      </c>
      <c r="BC2">
        <v>27</v>
      </c>
      <c r="BD2" t="s">
        <v>614</v>
      </c>
      <c r="BE2">
        <v>5</v>
      </c>
      <c r="BF2">
        <v>1</v>
      </c>
      <c r="BJ2">
        <v>12</v>
      </c>
      <c r="BK2">
        <v>9</v>
      </c>
      <c r="BL2">
        <v>55</v>
      </c>
      <c r="BM2">
        <v>11</v>
      </c>
      <c r="BN2">
        <v>21</v>
      </c>
      <c r="CU2">
        <v>535382.01009999996</v>
      </c>
      <c r="CV2">
        <v>4876778.2072999999</v>
      </c>
      <c r="CW2">
        <v>44.04331972</v>
      </c>
      <c r="CX2">
        <v>-92.558371519999994</v>
      </c>
      <c r="CY2" s="319">
        <v>43430.336805555555</v>
      </c>
      <c r="CZ2" t="s">
        <v>615</v>
      </c>
      <c r="DB2" t="s">
        <v>616</v>
      </c>
      <c r="DC2" t="s">
        <v>617</v>
      </c>
      <c r="DD2" t="s">
        <v>618</v>
      </c>
    </row>
    <row r="3" spans="1:108" ht="16.5" customHeight="1" x14ac:dyDescent="0.25">
      <c r="A3">
        <v>10</v>
      </c>
      <c r="B3">
        <v>513839</v>
      </c>
      <c r="C3">
        <v>4</v>
      </c>
      <c r="D3">
        <v>44</v>
      </c>
      <c r="E3">
        <v>3.7629999999999999</v>
      </c>
      <c r="F3">
        <v>55</v>
      </c>
      <c r="H3" t="s">
        <v>608</v>
      </c>
      <c r="I3">
        <v>6</v>
      </c>
      <c r="J3">
        <v>21</v>
      </c>
      <c r="L3">
        <v>17927752</v>
      </c>
      <c r="M3">
        <v>173060168</v>
      </c>
      <c r="N3">
        <v>11</v>
      </c>
      <c r="O3">
        <v>2</v>
      </c>
      <c r="P3">
        <v>2017</v>
      </c>
      <c r="Q3" t="s">
        <v>619</v>
      </c>
      <c r="R3">
        <v>17</v>
      </c>
      <c r="S3">
        <v>98</v>
      </c>
      <c r="T3">
        <v>3</v>
      </c>
      <c r="U3">
        <v>0</v>
      </c>
      <c r="V3">
        <v>2</v>
      </c>
      <c r="W3">
        <v>5</v>
      </c>
      <c r="X3">
        <v>10</v>
      </c>
      <c r="Y3">
        <v>3</v>
      </c>
      <c r="Z3">
        <v>1</v>
      </c>
      <c r="AA3">
        <v>1</v>
      </c>
      <c r="AC3">
        <v>1</v>
      </c>
      <c r="AD3">
        <v>98</v>
      </c>
      <c r="AE3" t="s">
        <v>612</v>
      </c>
      <c r="AG3" t="s">
        <v>613</v>
      </c>
      <c r="AH3">
        <v>10</v>
      </c>
      <c r="AI3">
        <v>2</v>
      </c>
      <c r="AJ3">
        <v>2</v>
      </c>
      <c r="AK3">
        <v>4</v>
      </c>
      <c r="AL3">
        <v>24</v>
      </c>
      <c r="AM3">
        <v>28</v>
      </c>
      <c r="AN3" t="s">
        <v>620</v>
      </c>
      <c r="AO3">
        <v>5</v>
      </c>
      <c r="AP3">
        <v>2</v>
      </c>
      <c r="AT3">
        <v>12</v>
      </c>
      <c r="AU3">
        <v>23</v>
      </c>
      <c r="AV3">
        <v>55</v>
      </c>
      <c r="AW3">
        <v>11</v>
      </c>
      <c r="AX3">
        <v>21</v>
      </c>
      <c r="AY3">
        <v>2</v>
      </c>
      <c r="AZ3">
        <v>49</v>
      </c>
      <c r="BA3">
        <v>1</v>
      </c>
      <c r="BB3">
        <v>21</v>
      </c>
      <c r="BC3">
        <v>26</v>
      </c>
      <c r="BD3" t="s">
        <v>614</v>
      </c>
      <c r="BE3">
        <v>5</v>
      </c>
      <c r="BF3">
        <v>1</v>
      </c>
      <c r="BJ3">
        <v>12</v>
      </c>
      <c r="BK3">
        <v>9</v>
      </c>
      <c r="BL3">
        <v>55</v>
      </c>
      <c r="BM3">
        <v>11</v>
      </c>
      <c r="BN3">
        <v>21</v>
      </c>
      <c r="CU3">
        <v>535382.00040000002</v>
      </c>
      <c r="CV3">
        <v>4876779.0465000002</v>
      </c>
      <c r="CW3">
        <v>44.04332728</v>
      </c>
      <c r="CX3">
        <v>-92.558371589999993</v>
      </c>
      <c r="CY3" s="319">
        <v>43041.738888888889</v>
      </c>
      <c r="CZ3" t="s">
        <v>615</v>
      </c>
      <c r="DB3" t="s">
        <v>616</v>
      </c>
      <c r="DC3" t="s">
        <v>617</v>
      </c>
      <c r="DD3" t="s">
        <v>621</v>
      </c>
    </row>
    <row r="4" spans="1:108" ht="16.5" customHeight="1" x14ac:dyDescent="0.25">
      <c r="A4">
        <v>10</v>
      </c>
      <c r="B4">
        <v>801064</v>
      </c>
      <c r="C4">
        <v>4</v>
      </c>
      <c r="D4">
        <v>44</v>
      </c>
      <c r="E4">
        <v>3.7909999999999999</v>
      </c>
      <c r="F4">
        <v>55</v>
      </c>
      <c r="H4" t="s">
        <v>608</v>
      </c>
      <c r="I4">
        <v>6</v>
      </c>
      <c r="J4">
        <v>21</v>
      </c>
      <c r="L4">
        <v>20905623</v>
      </c>
      <c r="M4">
        <v>200580046</v>
      </c>
      <c r="N4">
        <v>2</v>
      </c>
      <c r="O4">
        <v>27</v>
      </c>
      <c r="P4">
        <v>2020</v>
      </c>
      <c r="Q4" t="s">
        <v>619</v>
      </c>
      <c r="R4">
        <v>9</v>
      </c>
      <c r="T4">
        <v>5</v>
      </c>
      <c r="U4">
        <v>0</v>
      </c>
      <c r="V4">
        <v>2</v>
      </c>
      <c r="W4">
        <v>12</v>
      </c>
      <c r="X4">
        <v>10</v>
      </c>
      <c r="Y4">
        <v>3</v>
      </c>
      <c r="Z4">
        <v>1</v>
      </c>
      <c r="AA4">
        <v>1</v>
      </c>
      <c r="AC4">
        <v>1</v>
      </c>
      <c r="AD4">
        <v>98</v>
      </c>
      <c r="AE4" t="s">
        <v>612</v>
      </c>
      <c r="AG4" t="s">
        <v>613</v>
      </c>
      <c r="AH4">
        <v>7</v>
      </c>
      <c r="AI4">
        <v>2</v>
      </c>
      <c r="AJ4">
        <v>4</v>
      </c>
      <c r="AK4">
        <v>2</v>
      </c>
      <c r="AL4">
        <v>21</v>
      </c>
      <c r="AM4">
        <v>18</v>
      </c>
      <c r="AN4" t="s">
        <v>614</v>
      </c>
      <c r="AO4">
        <v>5</v>
      </c>
      <c r="AP4">
        <v>90</v>
      </c>
      <c r="AT4">
        <v>12</v>
      </c>
      <c r="AU4">
        <v>9</v>
      </c>
      <c r="AV4">
        <v>55</v>
      </c>
      <c r="AW4">
        <v>11</v>
      </c>
      <c r="AX4">
        <v>24</v>
      </c>
      <c r="AY4">
        <v>2</v>
      </c>
      <c r="AZ4">
        <v>4</v>
      </c>
      <c r="BA4">
        <v>2</v>
      </c>
      <c r="BB4">
        <v>24</v>
      </c>
      <c r="BC4">
        <v>63</v>
      </c>
      <c r="BD4" t="s">
        <v>620</v>
      </c>
      <c r="BE4">
        <v>5</v>
      </c>
      <c r="BF4">
        <v>1</v>
      </c>
      <c r="BJ4">
        <v>12</v>
      </c>
      <c r="BK4">
        <v>9</v>
      </c>
      <c r="BL4">
        <v>55</v>
      </c>
      <c r="BM4">
        <v>11</v>
      </c>
      <c r="BN4">
        <v>24</v>
      </c>
      <c r="CU4">
        <v>535381.65240000002</v>
      </c>
      <c r="CV4">
        <v>4876823.3998999996</v>
      </c>
      <c r="CW4">
        <v>44.04372661</v>
      </c>
      <c r="CX4">
        <v>-92.558372969999994</v>
      </c>
      <c r="CY4" s="319">
        <v>43888.402777777781</v>
      </c>
      <c r="CZ4" t="s">
        <v>615</v>
      </c>
      <c r="DB4" t="s">
        <v>616</v>
      </c>
      <c r="DC4" t="s">
        <v>617</v>
      </c>
      <c r="DD4" t="s">
        <v>622</v>
      </c>
    </row>
    <row r="5" spans="1:108" ht="16.5" customHeight="1" x14ac:dyDescent="0.25">
      <c r="A5">
        <v>10</v>
      </c>
      <c r="B5">
        <v>457575</v>
      </c>
      <c r="C5">
        <v>8</v>
      </c>
      <c r="D5">
        <v>245</v>
      </c>
      <c r="E5">
        <v>3.0000000000000001E-3</v>
      </c>
      <c r="F5">
        <v>55</v>
      </c>
      <c r="H5" t="s">
        <v>623</v>
      </c>
      <c r="I5">
        <v>6</v>
      </c>
      <c r="J5">
        <v>21</v>
      </c>
      <c r="L5" t="s">
        <v>624</v>
      </c>
      <c r="M5">
        <v>171570117</v>
      </c>
      <c r="N5">
        <v>6</v>
      </c>
      <c r="O5">
        <v>6</v>
      </c>
      <c r="P5">
        <v>2017</v>
      </c>
      <c r="Q5" t="s">
        <v>625</v>
      </c>
      <c r="R5">
        <v>14</v>
      </c>
      <c r="T5">
        <v>5</v>
      </c>
      <c r="U5">
        <v>0</v>
      </c>
      <c r="V5">
        <v>2</v>
      </c>
      <c r="W5">
        <v>5</v>
      </c>
      <c r="X5">
        <v>10</v>
      </c>
      <c r="Y5">
        <v>3</v>
      </c>
      <c r="Z5">
        <v>1</v>
      </c>
      <c r="AA5">
        <v>1</v>
      </c>
      <c r="AC5">
        <v>1</v>
      </c>
      <c r="AD5">
        <v>98</v>
      </c>
      <c r="AE5" t="s">
        <v>626</v>
      </c>
      <c r="AG5" t="s">
        <v>627</v>
      </c>
      <c r="AH5">
        <v>10</v>
      </c>
      <c r="AI5">
        <v>2</v>
      </c>
      <c r="AJ5">
        <v>4</v>
      </c>
      <c r="AK5">
        <v>4</v>
      </c>
      <c r="AL5">
        <v>23</v>
      </c>
      <c r="AM5">
        <v>59</v>
      </c>
      <c r="AN5" t="s">
        <v>620</v>
      </c>
      <c r="AO5">
        <v>5</v>
      </c>
      <c r="AP5">
        <v>1</v>
      </c>
      <c r="AT5">
        <v>12</v>
      </c>
      <c r="AU5">
        <v>23</v>
      </c>
      <c r="AV5">
        <v>55</v>
      </c>
      <c r="AW5">
        <v>11</v>
      </c>
      <c r="AX5">
        <v>21</v>
      </c>
      <c r="AY5">
        <v>2</v>
      </c>
      <c r="AZ5">
        <v>4</v>
      </c>
      <c r="BA5">
        <v>1</v>
      </c>
      <c r="BB5">
        <v>29</v>
      </c>
      <c r="BC5">
        <v>25</v>
      </c>
      <c r="BD5" t="s">
        <v>614</v>
      </c>
      <c r="BE5">
        <v>5</v>
      </c>
      <c r="BF5">
        <v>1</v>
      </c>
      <c r="BJ5">
        <v>12</v>
      </c>
      <c r="BK5">
        <v>9</v>
      </c>
      <c r="BL5">
        <v>55</v>
      </c>
      <c r="BM5">
        <v>11</v>
      </c>
      <c r="BN5">
        <v>21</v>
      </c>
      <c r="CU5">
        <v>535386.17989999999</v>
      </c>
      <c r="CV5">
        <v>4876778.7007999998</v>
      </c>
      <c r="CW5">
        <v>44.043323960000002</v>
      </c>
      <c r="CX5">
        <v>-92.558319440000005</v>
      </c>
      <c r="CY5" s="319">
        <v>42892.607638888891</v>
      </c>
      <c r="CZ5" t="s">
        <v>615</v>
      </c>
      <c r="DB5" t="s">
        <v>616</v>
      </c>
      <c r="DC5" t="s">
        <v>617</v>
      </c>
      <c r="DD5" t="s">
        <v>628</v>
      </c>
    </row>
    <row r="6" spans="1:108" ht="16.5" customHeight="1" x14ac:dyDescent="0.25">
      <c r="A6">
        <v>20</v>
      </c>
      <c r="B6">
        <v>935272</v>
      </c>
      <c r="C6">
        <v>4</v>
      </c>
      <c r="D6">
        <v>44</v>
      </c>
      <c r="E6">
        <v>3.2429999999999999</v>
      </c>
      <c r="F6">
        <v>55</v>
      </c>
      <c r="H6" t="s">
        <v>623</v>
      </c>
      <c r="I6">
        <v>6</v>
      </c>
      <c r="J6">
        <v>21</v>
      </c>
      <c r="L6">
        <v>21920716</v>
      </c>
      <c r="M6">
        <v>212310104</v>
      </c>
      <c r="N6">
        <v>8</v>
      </c>
      <c r="O6">
        <v>19</v>
      </c>
      <c r="P6">
        <v>2021</v>
      </c>
      <c r="Q6" t="s">
        <v>619</v>
      </c>
      <c r="R6">
        <v>17</v>
      </c>
      <c r="T6">
        <v>3</v>
      </c>
      <c r="U6">
        <v>0</v>
      </c>
      <c r="V6">
        <v>2</v>
      </c>
      <c r="W6">
        <v>12</v>
      </c>
      <c r="X6">
        <v>10</v>
      </c>
      <c r="Y6">
        <v>4</v>
      </c>
      <c r="Z6">
        <v>1</v>
      </c>
      <c r="AA6">
        <v>1</v>
      </c>
      <c r="AC6">
        <v>1</v>
      </c>
      <c r="AD6">
        <v>98</v>
      </c>
      <c r="AE6" t="s">
        <v>612</v>
      </c>
      <c r="AF6" t="s">
        <v>629</v>
      </c>
      <c r="AG6" t="s">
        <v>613</v>
      </c>
      <c r="AH6">
        <v>7</v>
      </c>
      <c r="AI6">
        <v>2</v>
      </c>
      <c r="AJ6">
        <v>3</v>
      </c>
      <c r="AK6">
        <v>1</v>
      </c>
      <c r="AL6">
        <v>21</v>
      </c>
      <c r="AM6">
        <v>49</v>
      </c>
      <c r="AN6" t="s">
        <v>614</v>
      </c>
      <c r="AO6">
        <v>5</v>
      </c>
      <c r="AP6">
        <v>70</v>
      </c>
      <c r="AT6">
        <v>12</v>
      </c>
      <c r="AU6">
        <v>9</v>
      </c>
      <c r="AV6">
        <v>55</v>
      </c>
      <c r="AW6">
        <v>11</v>
      </c>
      <c r="AX6">
        <v>21</v>
      </c>
      <c r="AY6">
        <v>2</v>
      </c>
      <c r="AZ6">
        <v>4</v>
      </c>
      <c r="BA6">
        <v>1</v>
      </c>
      <c r="BB6">
        <v>24</v>
      </c>
      <c r="BC6">
        <v>65</v>
      </c>
      <c r="BD6" t="s">
        <v>620</v>
      </c>
      <c r="BE6">
        <v>5</v>
      </c>
      <c r="BF6">
        <v>1</v>
      </c>
      <c r="BJ6">
        <v>12</v>
      </c>
      <c r="BK6">
        <v>9</v>
      </c>
      <c r="BL6">
        <v>55</v>
      </c>
      <c r="BM6">
        <v>11</v>
      </c>
      <c r="BN6">
        <v>21</v>
      </c>
      <c r="CU6">
        <v>535392.58869999996</v>
      </c>
      <c r="CV6">
        <v>4875942.1370999999</v>
      </c>
      <c r="CW6">
        <v>44.035791920000001</v>
      </c>
      <c r="CX6">
        <v>-92.558295409999999</v>
      </c>
      <c r="CY6" s="319">
        <v>44427.71875</v>
      </c>
      <c r="CZ6" t="s">
        <v>615</v>
      </c>
      <c r="DB6" t="s">
        <v>616</v>
      </c>
      <c r="DC6" t="s">
        <v>617</v>
      </c>
      <c r="DD6" t="s">
        <v>630</v>
      </c>
    </row>
    <row r="7" spans="1:108" ht="16.5" customHeight="1" x14ac:dyDescent="0.25">
      <c r="A7">
        <v>20</v>
      </c>
      <c r="B7">
        <v>909567</v>
      </c>
      <c r="C7">
        <v>8</v>
      </c>
      <c r="D7">
        <v>227</v>
      </c>
      <c r="E7">
        <v>2.4860000000000002</v>
      </c>
      <c r="F7">
        <v>55</v>
      </c>
      <c r="H7" t="s">
        <v>608</v>
      </c>
      <c r="I7">
        <v>6</v>
      </c>
      <c r="J7">
        <v>21</v>
      </c>
      <c r="L7" t="s">
        <v>631</v>
      </c>
      <c r="M7">
        <v>211540030</v>
      </c>
      <c r="N7">
        <v>6</v>
      </c>
      <c r="O7">
        <v>3</v>
      </c>
      <c r="P7">
        <v>2021</v>
      </c>
      <c r="Q7" t="s">
        <v>619</v>
      </c>
      <c r="R7">
        <v>11</v>
      </c>
      <c r="T7">
        <v>3</v>
      </c>
      <c r="U7">
        <v>0</v>
      </c>
      <c r="V7">
        <v>2</v>
      </c>
      <c r="W7">
        <v>11</v>
      </c>
      <c r="X7">
        <v>10</v>
      </c>
      <c r="Y7">
        <v>4</v>
      </c>
      <c r="Z7">
        <v>1</v>
      </c>
      <c r="AA7">
        <v>1</v>
      </c>
      <c r="AC7">
        <v>1</v>
      </c>
      <c r="AD7">
        <v>98</v>
      </c>
      <c r="AE7" t="s">
        <v>629</v>
      </c>
      <c r="AG7" t="s">
        <v>632</v>
      </c>
      <c r="AH7">
        <v>6</v>
      </c>
      <c r="AI7">
        <v>2</v>
      </c>
      <c r="AJ7">
        <v>2</v>
      </c>
      <c r="AK7">
        <v>1</v>
      </c>
      <c r="AL7">
        <v>34</v>
      </c>
      <c r="AM7">
        <v>25</v>
      </c>
      <c r="AN7" t="s">
        <v>620</v>
      </c>
      <c r="AO7">
        <v>5</v>
      </c>
      <c r="AP7">
        <v>2</v>
      </c>
      <c r="AT7">
        <v>12</v>
      </c>
      <c r="AU7">
        <v>9</v>
      </c>
      <c r="AV7">
        <v>55</v>
      </c>
      <c r="AW7">
        <v>11</v>
      </c>
      <c r="AX7">
        <v>21</v>
      </c>
      <c r="AY7">
        <v>2</v>
      </c>
      <c r="AZ7">
        <v>2</v>
      </c>
      <c r="BA7">
        <v>2</v>
      </c>
      <c r="BB7">
        <v>21</v>
      </c>
      <c r="BC7">
        <v>18</v>
      </c>
      <c r="BD7" t="s">
        <v>620</v>
      </c>
      <c r="BE7">
        <v>5</v>
      </c>
      <c r="BF7">
        <v>1</v>
      </c>
      <c r="BJ7">
        <v>12</v>
      </c>
      <c r="BK7">
        <v>9</v>
      </c>
      <c r="BL7">
        <v>55</v>
      </c>
      <c r="BM7">
        <v>11</v>
      </c>
      <c r="BN7">
        <v>21</v>
      </c>
      <c r="CU7">
        <v>535384.85809999995</v>
      </c>
      <c r="CV7">
        <v>4875974.0054000001</v>
      </c>
      <c r="CW7">
        <v>44.036079209999997</v>
      </c>
      <c r="CX7">
        <v>-92.558389759999997</v>
      </c>
      <c r="CY7" s="319">
        <v>44350.479166666664</v>
      </c>
      <c r="CZ7" t="s">
        <v>615</v>
      </c>
      <c r="DB7" t="s">
        <v>616</v>
      </c>
      <c r="DC7" t="s">
        <v>617</v>
      </c>
      <c r="DD7" t="s">
        <v>633</v>
      </c>
    </row>
    <row r="8" spans="1:108" ht="16.5" customHeight="1" x14ac:dyDescent="0.25">
      <c r="A8">
        <v>20</v>
      </c>
      <c r="B8">
        <v>889344</v>
      </c>
      <c r="C8">
        <v>8</v>
      </c>
      <c r="D8">
        <v>227</v>
      </c>
      <c r="E8">
        <v>2.4889999999999999</v>
      </c>
      <c r="F8">
        <v>55</v>
      </c>
      <c r="H8" t="s">
        <v>623</v>
      </c>
      <c r="I8">
        <v>6</v>
      </c>
      <c r="J8">
        <v>21</v>
      </c>
      <c r="L8" t="s">
        <v>634</v>
      </c>
      <c r="M8">
        <v>210400218</v>
      </c>
      <c r="N8">
        <v>2</v>
      </c>
      <c r="O8">
        <v>9</v>
      </c>
      <c r="P8">
        <v>2021</v>
      </c>
      <c r="Q8" t="s">
        <v>625</v>
      </c>
      <c r="R8">
        <v>17</v>
      </c>
      <c r="S8" t="s">
        <v>611</v>
      </c>
      <c r="T8">
        <v>3</v>
      </c>
      <c r="U8">
        <v>0</v>
      </c>
      <c r="V8">
        <v>2</v>
      </c>
      <c r="W8">
        <v>12</v>
      </c>
      <c r="X8">
        <v>10</v>
      </c>
      <c r="Y8">
        <v>4</v>
      </c>
      <c r="Z8">
        <v>4</v>
      </c>
      <c r="AA8">
        <v>1</v>
      </c>
      <c r="AC8">
        <v>1</v>
      </c>
      <c r="AD8">
        <v>98</v>
      </c>
      <c r="AE8" t="s">
        <v>629</v>
      </c>
      <c r="AG8" t="s">
        <v>632</v>
      </c>
      <c r="AH8">
        <v>7</v>
      </c>
      <c r="AI8">
        <v>2</v>
      </c>
      <c r="AJ8">
        <v>2</v>
      </c>
      <c r="AK8">
        <v>1</v>
      </c>
      <c r="AL8">
        <v>21</v>
      </c>
      <c r="AM8">
        <v>17</v>
      </c>
      <c r="AN8" t="s">
        <v>620</v>
      </c>
      <c r="AO8">
        <v>5</v>
      </c>
      <c r="AP8">
        <v>4</v>
      </c>
      <c r="AQ8">
        <v>90</v>
      </c>
      <c r="AT8">
        <v>12</v>
      </c>
      <c r="AU8">
        <v>9</v>
      </c>
      <c r="AV8">
        <v>55</v>
      </c>
      <c r="AW8">
        <v>11</v>
      </c>
      <c r="AX8">
        <v>21</v>
      </c>
      <c r="AY8">
        <v>2</v>
      </c>
      <c r="AZ8">
        <v>2</v>
      </c>
      <c r="BA8">
        <v>1</v>
      </c>
      <c r="BB8">
        <v>21</v>
      </c>
      <c r="BC8">
        <v>22</v>
      </c>
      <c r="BD8" t="s">
        <v>620</v>
      </c>
      <c r="BE8">
        <v>5</v>
      </c>
      <c r="BF8">
        <v>1</v>
      </c>
      <c r="BJ8">
        <v>12</v>
      </c>
      <c r="BK8">
        <v>9</v>
      </c>
      <c r="BL8">
        <v>55</v>
      </c>
      <c r="BM8">
        <v>11</v>
      </c>
      <c r="BN8">
        <v>21</v>
      </c>
      <c r="CU8">
        <v>535389.45900000003</v>
      </c>
      <c r="CV8">
        <v>4875973.9884000001</v>
      </c>
      <c r="CW8">
        <v>44.036078830000001</v>
      </c>
      <c r="CX8">
        <v>-92.558332340000007</v>
      </c>
      <c r="CY8" s="319">
        <v>44236.725694444445</v>
      </c>
      <c r="CZ8" t="s">
        <v>615</v>
      </c>
      <c r="DB8" t="s">
        <v>616</v>
      </c>
      <c r="DC8" t="s">
        <v>617</v>
      </c>
      <c r="DD8" t="s">
        <v>635</v>
      </c>
    </row>
    <row r="9" spans="1:108" ht="16.5" customHeight="1" x14ac:dyDescent="0.25">
      <c r="A9">
        <v>40</v>
      </c>
      <c r="B9">
        <v>809631</v>
      </c>
      <c r="C9">
        <v>4</v>
      </c>
      <c r="D9">
        <v>34</v>
      </c>
      <c r="E9">
        <v>3.7879999999999998</v>
      </c>
      <c r="F9">
        <v>55</v>
      </c>
      <c r="H9" t="s">
        <v>636</v>
      </c>
      <c r="I9">
        <v>6</v>
      </c>
      <c r="J9">
        <v>21</v>
      </c>
      <c r="L9" t="s">
        <v>637</v>
      </c>
      <c r="M9">
        <v>201290100</v>
      </c>
      <c r="N9">
        <v>5</v>
      </c>
      <c r="O9">
        <v>8</v>
      </c>
      <c r="P9">
        <v>2020</v>
      </c>
      <c r="Q9" t="s">
        <v>638</v>
      </c>
      <c r="R9">
        <v>12</v>
      </c>
      <c r="S9" t="s">
        <v>639</v>
      </c>
      <c r="T9">
        <v>5</v>
      </c>
      <c r="U9">
        <v>0</v>
      </c>
      <c r="V9">
        <v>2</v>
      </c>
      <c r="W9">
        <v>5</v>
      </c>
      <c r="X9">
        <v>10</v>
      </c>
      <c r="Y9">
        <v>3</v>
      </c>
      <c r="Z9">
        <v>1</v>
      </c>
      <c r="AA9">
        <v>1</v>
      </c>
      <c r="AC9">
        <v>1</v>
      </c>
      <c r="AD9">
        <v>98</v>
      </c>
      <c r="AE9" t="s">
        <v>640</v>
      </c>
      <c r="AG9" t="s">
        <v>641</v>
      </c>
      <c r="AH9">
        <v>10</v>
      </c>
      <c r="AI9">
        <v>2</v>
      </c>
      <c r="AJ9">
        <v>2</v>
      </c>
      <c r="AK9">
        <v>1</v>
      </c>
      <c r="AL9">
        <v>21</v>
      </c>
      <c r="AM9">
        <v>21</v>
      </c>
      <c r="AN9" t="s">
        <v>620</v>
      </c>
      <c r="AO9">
        <v>5</v>
      </c>
      <c r="AP9">
        <v>2</v>
      </c>
      <c r="AT9">
        <v>12</v>
      </c>
      <c r="AU9">
        <v>23</v>
      </c>
      <c r="AV9">
        <v>55</v>
      </c>
      <c r="AW9">
        <v>11</v>
      </c>
      <c r="AX9">
        <v>21</v>
      </c>
      <c r="AY9">
        <v>2</v>
      </c>
      <c r="AZ9">
        <v>4</v>
      </c>
      <c r="BA9">
        <v>4</v>
      </c>
      <c r="BB9">
        <v>21</v>
      </c>
      <c r="BC9">
        <v>48</v>
      </c>
      <c r="BD9" t="s">
        <v>620</v>
      </c>
      <c r="BE9">
        <v>5</v>
      </c>
      <c r="BF9">
        <v>1</v>
      </c>
      <c r="BJ9">
        <v>12</v>
      </c>
      <c r="BK9">
        <v>9</v>
      </c>
      <c r="BL9">
        <v>55</v>
      </c>
      <c r="BM9">
        <v>11</v>
      </c>
      <c r="BN9">
        <v>21</v>
      </c>
      <c r="CU9">
        <v>535378.75699999998</v>
      </c>
      <c r="CV9">
        <v>4874369.5990000004</v>
      </c>
      <c r="CW9">
        <v>44.021634710000001</v>
      </c>
      <c r="CX9">
        <v>-92.558573120000005</v>
      </c>
      <c r="CY9" s="319">
        <v>43959.5</v>
      </c>
      <c r="CZ9" t="s">
        <v>615</v>
      </c>
      <c r="DB9" t="s">
        <v>616</v>
      </c>
      <c r="DC9" t="s">
        <v>617</v>
      </c>
      <c r="DD9" t="s">
        <v>642</v>
      </c>
    </row>
    <row r="10" spans="1:108" ht="16.5" customHeight="1" x14ac:dyDescent="0.25">
      <c r="A10">
        <v>40</v>
      </c>
      <c r="B10">
        <v>821050</v>
      </c>
      <c r="C10">
        <v>4</v>
      </c>
      <c r="D10">
        <v>34</v>
      </c>
      <c r="E10">
        <v>3.806</v>
      </c>
      <c r="F10">
        <v>55</v>
      </c>
      <c r="H10" t="s">
        <v>643</v>
      </c>
      <c r="I10">
        <v>6</v>
      </c>
      <c r="J10">
        <v>21</v>
      </c>
      <c r="L10" t="s">
        <v>644</v>
      </c>
      <c r="M10">
        <v>202040056</v>
      </c>
      <c r="N10">
        <v>7</v>
      </c>
      <c r="O10">
        <v>22</v>
      </c>
      <c r="P10">
        <v>2020</v>
      </c>
      <c r="Q10" t="s">
        <v>645</v>
      </c>
      <c r="R10">
        <v>13</v>
      </c>
      <c r="S10" t="s">
        <v>646</v>
      </c>
      <c r="T10">
        <v>4</v>
      </c>
      <c r="U10">
        <v>0</v>
      </c>
      <c r="V10">
        <v>2</v>
      </c>
      <c r="W10">
        <v>5</v>
      </c>
      <c r="X10">
        <v>10</v>
      </c>
      <c r="Y10">
        <v>3</v>
      </c>
      <c r="Z10">
        <v>1</v>
      </c>
      <c r="AA10">
        <v>1</v>
      </c>
      <c r="AC10">
        <v>1</v>
      </c>
      <c r="AD10">
        <v>98</v>
      </c>
      <c r="AE10" t="s">
        <v>647</v>
      </c>
      <c r="AF10" t="s">
        <v>612</v>
      </c>
      <c r="AG10" t="s">
        <v>641</v>
      </c>
      <c r="AH10">
        <v>10</v>
      </c>
      <c r="AI10">
        <v>2</v>
      </c>
      <c r="AJ10">
        <v>4</v>
      </c>
      <c r="AK10">
        <v>3</v>
      </c>
      <c r="AL10">
        <v>21</v>
      </c>
      <c r="AM10">
        <v>22</v>
      </c>
      <c r="AN10" t="s">
        <v>620</v>
      </c>
      <c r="AO10">
        <v>5</v>
      </c>
      <c r="AP10">
        <v>1</v>
      </c>
      <c r="AT10">
        <v>12</v>
      </c>
      <c r="AU10">
        <v>9</v>
      </c>
      <c r="AV10">
        <v>55</v>
      </c>
      <c r="AW10">
        <v>11</v>
      </c>
      <c r="AX10">
        <v>21</v>
      </c>
      <c r="AY10">
        <v>1</v>
      </c>
      <c r="AZ10">
        <v>3</v>
      </c>
      <c r="BA10">
        <v>2</v>
      </c>
      <c r="BJ10">
        <v>12</v>
      </c>
      <c r="BK10">
        <v>23</v>
      </c>
      <c r="BL10">
        <v>55</v>
      </c>
      <c r="BM10">
        <v>11</v>
      </c>
      <c r="BN10">
        <v>24</v>
      </c>
      <c r="CU10">
        <v>535408.76890000002</v>
      </c>
      <c r="CV10">
        <v>4874369.6879000003</v>
      </c>
      <c r="CW10">
        <v>44.021634069999998</v>
      </c>
      <c r="CX10">
        <v>-92.558198649999994</v>
      </c>
      <c r="CY10" s="319">
        <v>44034.556944444441</v>
      </c>
      <c r="CZ10" t="s">
        <v>615</v>
      </c>
      <c r="DB10" t="s">
        <v>616</v>
      </c>
      <c r="DC10" t="s">
        <v>617</v>
      </c>
      <c r="DD10" t="s">
        <v>648</v>
      </c>
    </row>
    <row r="11" spans="1:108" ht="16.5" customHeight="1" x14ac:dyDescent="0.25">
      <c r="A11">
        <v>40</v>
      </c>
      <c r="B11">
        <v>681877</v>
      </c>
      <c r="C11">
        <v>4</v>
      </c>
      <c r="D11">
        <v>34</v>
      </c>
      <c r="E11">
        <v>3.8079999999999998</v>
      </c>
      <c r="F11">
        <v>55</v>
      </c>
      <c r="H11" t="s">
        <v>643</v>
      </c>
      <c r="I11">
        <v>6</v>
      </c>
      <c r="J11">
        <v>21</v>
      </c>
      <c r="L11" t="s">
        <v>649</v>
      </c>
      <c r="M11">
        <v>190320046</v>
      </c>
      <c r="N11">
        <v>2</v>
      </c>
      <c r="O11">
        <v>1</v>
      </c>
      <c r="P11">
        <v>2019</v>
      </c>
      <c r="Q11" t="s">
        <v>638</v>
      </c>
      <c r="R11">
        <v>8</v>
      </c>
      <c r="T11">
        <v>5</v>
      </c>
      <c r="U11">
        <v>0</v>
      </c>
      <c r="V11">
        <v>1</v>
      </c>
      <c r="X11">
        <v>32</v>
      </c>
      <c r="Y11">
        <v>3</v>
      </c>
      <c r="Z11">
        <v>1</v>
      </c>
      <c r="AA11">
        <v>2</v>
      </c>
      <c r="AC11">
        <v>5</v>
      </c>
      <c r="AD11">
        <v>98</v>
      </c>
      <c r="AE11" t="s">
        <v>647</v>
      </c>
      <c r="AG11" t="s">
        <v>641</v>
      </c>
      <c r="AH11">
        <v>3</v>
      </c>
      <c r="AI11">
        <v>2</v>
      </c>
      <c r="AJ11">
        <v>2</v>
      </c>
      <c r="AK11">
        <v>1</v>
      </c>
      <c r="AL11">
        <v>21</v>
      </c>
      <c r="AM11">
        <v>39</v>
      </c>
      <c r="AN11" t="s">
        <v>614</v>
      </c>
      <c r="AO11">
        <v>5</v>
      </c>
      <c r="AP11">
        <v>1</v>
      </c>
      <c r="AT11">
        <v>12</v>
      </c>
      <c r="AU11">
        <v>23</v>
      </c>
      <c r="AV11">
        <v>55</v>
      </c>
      <c r="AW11">
        <v>11</v>
      </c>
      <c r="AX11">
        <v>21</v>
      </c>
      <c r="CU11">
        <v>535412.01930000004</v>
      </c>
      <c r="CV11">
        <v>4874369.76</v>
      </c>
      <c r="CW11">
        <v>44.021634560000003</v>
      </c>
      <c r="CX11">
        <v>-92.558158090000006</v>
      </c>
      <c r="CY11" s="319">
        <v>43497.354166666664</v>
      </c>
      <c r="CZ11" t="s">
        <v>615</v>
      </c>
      <c r="DB11" t="s">
        <v>616</v>
      </c>
      <c r="DC11" t="s">
        <v>617</v>
      </c>
      <c r="DD11" t="s">
        <v>650</v>
      </c>
    </row>
    <row r="12" spans="1:108" ht="16.5" customHeight="1" x14ac:dyDescent="0.25">
      <c r="A12">
        <v>40</v>
      </c>
      <c r="B12">
        <v>497075</v>
      </c>
      <c r="C12">
        <v>4</v>
      </c>
      <c r="D12">
        <v>34</v>
      </c>
      <c r="E12">
        <v>3.8119999999999998</v>
      </c>
      <c r="F12">
        <v>55</v>
      </c>
      <c r="H12" t="s">
        <v>643</v>
      </c>
      <c r="I12">
        <v>6</v>
      </c>
      <c r="J12">
        <v>21</v>
      </c>
      <c r="L12" t="s">
        <v>651</v>
      </c>
      <c r="M12">
        <v>172390064</v>
      </c>
      <c r="N12">
        <v>8</v>
      </c>
      <c r="O12">
        <v>27</v>
      </c>
      <c r="P12">
        <v>2017</v>
      </c>
      <c r="Q12" t="s">
        <v>652</v>
      </c>
      <c r="R12">
        <v>14</v>
      </c>
      <c r="T12">
        <v>5</v>
      </c>
      <c r="U12">
        <v>0</v>
      </c>
      <c r="V12">
        <v>2</v>
      </c>
      <c r="W12">
        <v>12</v>
      </c>
      <c r="X12">
        <v>10</v>
      </c>
      <c r="Y12">
        <v>3</v>
      </c>
      <c r="Z12">
        <v>1</v>
      </c>
      <c r="AA12">
        <v>1</v>
      </c>
      <c r="AC12">
        <v>1</v>
      </c>
      <c r="AD12">
        <v>98</v>
      </c>
      <c r="AE12" t="s">
        <v>647</v>
      </c>
      <c r="AF12" t="s">
        <v>612</v>
      </c>
      <c r="AG12" t="s">
        <v>641</v>
      </c>
      <c r="AH12">
        <v>7</v>
      </c>
      <c r="AI12">
        <v>2</v>
      </c>
      <c r="AJ12">
        <v>2</v>
      </c>
      <c r="AK12">
        <v>4</v>
      </c>
      <c r="AL12">
        <v>23</v>
      </c>
      <c r="AM12">
        <v>37</v>
      </c>
      <c r="AN12" t="s">
        <v>614</v>
      </c>
      <c r="AO12">
        <v>5</v>
      </c>
      <c r="AP12">
        <v>99</v>
      </c>
      <c r="AT12">
        <v>12</v>
      </c>
      <c r="AU12">
        <v>9</v>
      </c>
      <c r="AV12">
        <v>55</v>
      </c>
      <c r="AW12">
        <v>11</v>
      </c>
      <c r="AX12">
        <v>21</v>
      </c>
      <c r="AY12">
        <v>2</v>
      </c>
      <c r="AZ12">
        <v>2</v>
      </c>
      <c r="BA12">
        <v>4</v>
      </c>
      <c r="BB12">
        <v>21</v>
      </c>
      <c r="BC12">
        <v>35</v>
      </c>
      <c r="BD12" t="s">
        <v>620</v>
      </c>
      <c r="BE12">
        <v>5</v>
      </c>
      <c r="BF12">
        <v>99</v>
      </c>
      <c r="BJ12">
        <v>12</v>
      </c>
      <c r="BK12">
        <v>9</v>
      </c>
      <c r="BL12">
        <v>55</v>
      </c>
      <c r="BM12">
        <v>11</v>
      </c>
      <c r="BN12">
        <v>21</v>
      </c>
      <c r="CU12">
        <v>535418.12029999995</v>
      </c>
      <c r="CV12">
        <v>4874369.8953</v>
      </c>
      <c r="CW12">
        <v>44.02163548</v>
      </c>
      <c r="CX12">
        <v>-92.558081959999996</v>
      </c>
      <c r="CY12" s="319">
        <v>42974.618055555555</v>
      </c>
      <c r="CZ12" t="s">
        <v>615</v>
      </c>
      <c r="DB12" t="s">
        <v>616</v>
      </c>
      <c r="DC12" t="s">
        <v>617</v>
      </c>
      <c r="DD12" t="s">
        <v>653</v>
      </c>
    </row>
    <row r="13" spans="1:108" ht="16.5" customHeight="1" x14ac:dyDescent="0.25">
      <c r="A13">
        <v>40</v>
      </c>
      <c r="B13">
        <v>773465</v>
      </c>
      <c r="C13">
        <v>4</v>
      </c>
      <c r="D13">
        <v>44</v>
      </c>
      <c r="E13">
        <v>2.2599999999999998</v>
      </c>
      <c r="F13">
        <v>55</v>
      </c>
      <c r="H13" t="s">
        <v>636</v>
      </c>
      <c r="I13">
        <v>6</v>
      </c>
      <c r="J13">
        <v>21</v>
      </c>
      <c r="L13" t="s">
        <v>654</v>
      </c>
      <c r="M13">
        <v>193550076</v>
      </c>
      <c r="N13">
        <v>12</v>
      </c>
      <c r="O13">
        <v>21</v>
      </c>
      <c r="P13">
        <v>2019</v>
      </c>
      <c r="Q13" t="s">
        <v>655</v>
      </c>
      <c r="R13">
        <v>14</v>
      </c>
      <c r="S13" t="s">
        <v>611</v>
      </c>
      <c r="T13">
        <v>2</v>
      </c>
      <c r="U13">
        <v>0</v>
      </c>
      <c r="V13">
        <v>3</v>
      </c>
      <c r="W13">
        <v>5</v>
      </c>
      <c r="X13">
        <v>10</v>
      </c>
      <c r="Y13">
        <v>3</v>
      </c>
      <c r="Z13">
        <v>1</v>
      </c>
      <c r="AA13">
        <v>1</v>
      </c>
      <c r="AC13">
        <v>1</v>
      </c>
      <c r="AD13">
        <v>98</v>
      </c>
      <c r="AE13" t="s">
        <v>656</v>
      </c>
      <c r="AG13" t="s">
        <v>613</v>
      </c>
      <c r="AH13">
        <v>10</v>
      </c>
      <c r="AI13">
        <v>2</v>
      </c>
      <c r="AJ13">
        <v>3</v>
      </c>
      <c r="AK13">
        <v>1</v>
      </c>
      <c r="AL13">
        <v>21</v>
      </c>
      <c r="AM13">
        <v>20</v>
      </c>
      <c r="AN13" t="s">
        <v>614</v>
      </c>
      <c r="AO13">
        <v>5</v>
      </c>
      <c r="AP13">
        <v>70</v>
      </c>
      <c r="AQ13">
        <v>64</v>
      </c>
      <c r="AT13">
        <v>12</v>
      </c>
      <c r="AU13">
        <v>23</v>
      </c>
      <c r="AV13">
        <v>55</v>
      </c>
      <c r="AW13">
        <v>11</v>
      </c>
      <c r="AX13">
        <v>21</v>
      </c>
      <c r="AY13">
        <v>2</v>
      </c>
      <c r="AZ13">
        <v>4</v>
      </c>
      <c r="BA13">
        <v>4</v>
      </c>
      <c r="BB13">
        <v>21</v>
      </c>
      <c r="BC13">
        <v>49</v>
      </c>
      <c r="BD13" t="s">
        <v>614</v>
      </c>
      <c r="BE13">
        <v>5</v>
      </c>
      <c r="BF13">
        <v>1</v>
      </c>
      <c r="BJ13">
        <v>12</v>
      </c>
      <c r="BK13">
        <v>9</v>
      </c>
      <c r="BL13">
        <v>55</v>
      </c>
      <c r="BM13">
        <v>11</v>
      </c>
      <c r="BN13">
        <v>21</v>
      </c>
      <c r="BO13">
        <v>2</v>
      </c>
      <c r="BP13">
        <v>3</v>
      </c>
      <c r="BQ13">
        <v>2</v>
      </c>
      <c r="BR13">
        <v>34</v>
      </c>
      <c r="BS13">
        <v>67</v>
      </c>
      <c r="BT13" t="s">
        <v>614</v>
      </c>
      <c r="BU13">
        <v>5</v>
      </c>
      <c r="BV13">
        <v>1</v>
      </c>
      <c r="BZ13">
        <v>12</v>
      </c>
      <c r="CA13">
        <v>23</v>
      </c>
      <c r="CB13">
        <v>55</v>
      </c>
      <c r="CC13">
        <v>11</v>
      </c>
      <c r="CD13">
        <v>21</v>
      </c>
      <c r="CU13">
        <v>535404.8737</v>
      </c>
      <c r="CV13">
        <v>4874359.9434000002</v>
      </c>
      <c r="CW13">
        <v>44.021546520000001</v>
      </c>
      <c r="CX13">
        <v>-92.558247910000006</v>
      </c>
      <c r="CY13" s="319">
        <v>43820.59375</v>
      </c>
      <c r="CZ13" t="s">
        <v>615</v>
      </c>
      <c r="DB13" t="s">
        <v>616</v>
      </c>
      <c r="DC13" t="s">
        <v>617</v>
      </c>
      <c r="DD13" t="s">
        <v>657</v>
      </c>
    </row>
    <row r="14" spans="1:108" ht="16.5" customHeight="1" x14ac:dyDescent="0.25">
      <c r="A14">
        <v>40</v>
      </c>
      <c r="B14">
        <v>913699</v>
      </c>
      <c r="C14">
        <v>4</v>
      </c>
      <c r="D14">
        <v>44</v>
      </c>
      <c r="E14">
        <v>2.2650000000000001</v>
      </c>
      <c r="F14">
        <v>55</v>
      </c>
      <c r="H14" t="s">
        <v>636</v>
      </c>
      <c r="I14">
        <v>6</v>
      </c>
      <c r="J14">
        <v>21</v>
      </c>
      <c r="L14" t="s">
        <v>658</v>
      </c>
      <c r="M14">
        <v>211730046</v>
      </c>
      <c r="N14">
        <v>6</v>
      </c>
      <c r="O14">
        <v>22</v>
      </c>
      <c r="P14">
        <v>2021</v>
      </c>
      <c r="Q14" t="s">
        <v>625</v>
      </c>
      <c r="R14">
        <v>10</v>
      </c>
      <c r="S14">
        <v>98</v>
      </c>
      <c r="T14">
        <v>1</v>
      </c>
      <c r="U14">
        <v>1</v>
      </c>
      <c r="V14">
        <v>1</v>
      </c>
      <c r="X14">
        <v>9</v>
      </c>
      <c r="Y14">
        <v>10</v>
      </c>
      <c r="Z14">
        <v>1</v>
      </c>
      <c r="AA14">
        <v>1</v>
      </c>
      <c r="AC14">
        <v>1</v>
      </c>
      <c r="AD14">
        <v>98</v>
      </c>
      <c r="AE14" t="s">
        <v>656</v>
      </c>
      <c r="AG14" t="s">
        <v>613</v>
      </c>
      <c r="AH14">
        <v>2</v>
      </c>
      <c r="AI14">
        <v>2</v>
      </c>
      <c r="AJ14">
        <v>48</v>
      </c>
      <c r="AK14">
        <v>1</v>
      </c>
      <c r="AL14">
        <v>21</v>
      </c>
      <c r="AM14">
        <v>61</v>
      </c>
      <c r="AN14" t="s">
        <v>614</v>
      </c>
      <c r="AO14">
        <v>5</v>
      </c>
      <c r="AP14">
        <v>90</v>
      </c>
      <c r="AT14">
        <v>12</v>
      </c>
      <c r="AU14">
        <v>23</v>
      </c>
      <c r="AV14">
        <v>55</v>
      </c>
      <c r="AW14">
        <v>11</v>
      </c>
      <c r="AX14">
        <v>21</v>
      </c>
      <c r="AY14">
        <v>6</v>
      </c>
      <c r="BC14">
        <v>48</v>
      </c>
      <c r="BD14" t="s">
        <v>614</v>
      </c>
      <c r="BE14">
        <v>5</v>
      </c>
      <c r="BF14">
        <v>99</v>
      </c>
      <c r="BH14">
        <v>35</v>
      </c>
      <c r="BI14">
        <v>3</v>
      </c>
      <c r="CU14">
        <v>535404.78079999995</v>
      </c>
      <c r="CV14">
        <v>4874368.1163999997</v>
      </c>
      <c r="CW14">
        <v>44.021620110000001</v>
      </c>
      <c r="CX14">
        <v>-92.558248520000006</v>
      </c>
      <c r="CY14" s="319">
        <v>44369.453472222223</v>
      </c>
      <c r="CZ14" t="s">
        <v>615</v>
      </c>
      <c r="DB14" t="s">
        <v>616</v>
      </c>
      <c r="DC14" t="s">
        <v>617</v>
      </c>
      <c r="DD14" t="s">
        <v>659</v>
      </c>
    </row>
    <row r="15" spans="1:108" ht="16.5" customHeight="1" x14ac:dyDescent="0.25">
      <c r="A15">
        <v>40</v>
      </c>
      <c r="B15">
        <v>769914</v>
      </c>
      <c r="C15">
        <v>4</v>
      </c>
      <c r="D15">
        <v>44</v>
      </c>
      <c r="E15">
        <v>2.2770000000000001</v>
      </c>
      <c r="F15">
        <v>55</v>
      </c>
      <c r="H15" t="s">
        <v>608</v>
      </c>
      <c r="I15">
        <v>6</v>
      </c>
      <c r="J15">
        <v>21</v>
      </c>
      <c r="L15">
        <v>19937560</v>
      </c>
      <c r="M15">
        <v>193440250</v>
      </c>
      <c r="N15">
        <v>12</v>
      </c>
      <c r="O15">
        <v>10</v>
      </c>
      <c r="P15">
        <v>2019</v>
      </c>
      <c r="Q15" t="s">
        <v>625</v>
      </c>
      <c r="R15">
        <v>18</v>
      </c>
      <c r="T15">
        <v>4</v>
      </c>
      <c r="U15">
        <v>0</v>
      </c>
      <c r="V15">
        <v>2</v>
      </c>
      <c r="W15">
        <v>12</v>
      </c>
      <c r="X15">
        <v>10</v>
      </c>
      <c r="Y15">
        <v>3</v>
      </c>
      <c r="Z15">
        <v>4</v>
      </c>
      <c r="AA15">
        <v>1</v>
      </c>
      <c r="AC15">
        <v>5</v>
      </c>
      <c r="AD15">
        <v>98</v>
      </c>
      <c r="AE15" t="s">
        <v>612</v>
      </c>
      <c r="AG15" t="s">
        <v>613</v>
      </c>
      <c r="AH15">
        <v>7</v>
      </c>
      <c r="AI15">
        <v>2</v>
      </c>
      <c r="AJ15">
        <v>4</v>
      </c>
      <c r="AK15">
        <v>2</v>
      </c>
      <c r="AL15">
        <v>21</v>
      </c>
      <c r="AM15">
        <v>44</v>
      </c>
      <c r="AN15" t="s">
        <v>614</v>
      </c>
      <c r="AO15">
        <v>5</v>
      </c>
      <c r="AP15">
        <v>71</v>
      </c>
      <c r="AT15">
        <v>12</v>
      </c>
      <c r="AU15">
        <v>23</v>
      </c>
      <c r="AV15">
        <v>55</v>
      </c>
      <c r="AW15">
        <v>11</v>
      </c>
      <c r="AX15">
        <v>24</v>
      </c>
      <c r="AY15">
        <v>2</v>
      </c>
      <c r="AZ15">
        <v>4</v>
      </c>
      <c r="BA15">
        <v>4</v>
      </c>
      <c r="BB15">
        <v>21</v>
      </c>
      <c r="BC15">
        <v>67</v>
      </c>
      <c r="BD15" t="s">
        <v>620</v>
      </c>
      <c r="BE15">
        <v>5</v>
      </c>
      <c r="BF15">
        <v>1</v>
      </c>
      <c r="BJ15">
        <v>12</v>
      </c>
      <c r="BK15">
        <v>23</v>
      </c>
      <c r="BL15">
        <v>55</v>
      </c>
      <c r="BM15">
        <v>11</v>
      </c>
      <c r="BN15">
        <v>24</v>
      </c>
      <c r="CU15">
        <v>535404.6324</v>
      </c>
      <c r="CV15">
        <v>4874387.4830999998</v>
      </c>
      <c r="CW15">
        <v>44.021794479999997</v>
      </c>
      <c r="CX15">
        <v>-92.558249079999996</v>
      </c>
      <c r="CY15" s="319">
        <v>43809.75</v>
      </c>
      <c r="CZ15" t="s">
        <v>615</v>
      </c>
      <c r="DB15" t="s">
        <v>616</v>
      </c>
      <c r="DC15" t="s">
        <v>617</v>
      </c>
      <c r="DD15" t="s">
        <v>660</v>
      </c>
    </row>
    <row r="16" spans="1:108" ht="16.5" customHeight="1" x14ac:dyDescent="0.25">
      <c r="A16">
        <v>40</v>
      </c>
      <c r="B16">
        <v>665739</v>
      </c>
      <c r="C16">
        <v>4</v>
      </c>
      <c r="D16">
        <v>44</v>
      </c>
      <c r="E16">
        <v>2.278</v>
      </c>
      <c r="F16">
        <v>55</v>
      </c>
      <c r="H16" t="s">
        <v>608</v>
      </c>
      <c r="I16">
        <v>6</v>
      </c>
      <c r="J16">
        <v>21</v>
      </c>
      <c r="L16">
        <v>18930478</v>
      </c>
      <c r="M16">
        <v>183320849</v>
      </c>
      <c r="N16">
        <v>11</v>
      </c>
      <c r="O16">
        <v>28</v>
      </c>
      <c r="P16">
        <v>2018</v>
      </c>
      <c r="Q16" t="s">
        <v>645</v>
      </c>
      <c r="R16">
        <v>17</v>
      </c>
      <c r="T16">
        <v>5</v>
      </c>
      <c r="U16">
        <v>0</v>
      </c>
      <c r="V16">
        <v>2</v>
      </c>
      <c r="W16">
        <v>90</v>
      </c>
      <c r="X16">
        <v>10</v>
      </c>
      <c r="Y16">
        <v>10</v>
      </c>
      <c r="Z16">
        <v>6</v>
      </c>
      <c r="AA16">
        <v>4</v>
      </c>
      <c r="AB16">
        <v>5</v>
      </c>
      <c r="AC16">
        <v>3</v>
      </c>
      <c r="AD16">
        <v>98</v>
      </c>
      <c r="AE16" t="s">
        <v>612</v>
      </c>
      <c r="AG16" t="s">
        <v>613</v>
      </c>
      <c r="AH16">
        <v>90</v>
      </c>
      <c r="AI16">
        <v>2</v>
      </c>
      <c r="AJ16">
        <v>4</v>
      </c>
      <c r="AK16">
        <v>2</v>
      </c>
      <c r="AL16">
        <v>26</v>
      </c>
      <c r="AM16">
        <v>33</v>
      </c>
      <c r="AN16" t="s">
        <v>614</v>
      </c>
      <c r="AO16">
        <v>5</v>
      </c>
      <c r="AP16">
        <v>90</v>
      </c>
      <c r="AT16">
        <v>12</v>
      </c>
      <c r="AU16">
        <v>23</v>
      </c>
      <c r="AV16">
        <v>55</v>
      </c>
      <c r="AW16">
        <v>11</v>
      </c>
      <c r="AX16">
        <v>24</v>
      </c>
      <c r="AY16">
        <v>2</v>
      </c>
      <c r="AZ16">
        <v>4</v>
      </c>
      <c r="BA16">
        <v>4</v>
      </c>
      <c r="BB16">
        <v>21</v>
      </c>
      <c r="BC16">
        <v>45</v>
      </c>
      <c r="BD16" t="s">
        <v>620</v>
      </c>
      <c r="BE16">
        <v>5</v>
      </c>
      <c r="BF16">
        <v>90</v>
      </c>
      <c r="BJ16">
        <v>12</v>
      </c>
      <c r="BK16">
        <v>9</v>
      </c>
      <c r="BL16">
        <v>55</v>
      </c>
      <c r="BM16">
        <v>11</v>
      </c>
      <c r="BN16">
        <v>21</v>
      </c>
      <c r="CU16">
        <v>535404.62089999998</v>
      </c>
      <c r="CV16">
        <v>4874389.0487000002</v>
      </c>
      <c r="CW16">
        <v>44.021808579999998</v>
      </c>
      <c r="CX16">
        <v>-92.558249119999999</v>
      </c>
      <c r="CY16" s="319">
        <v>43432.731249999997</v>
      </c>
      <c r="CZ16" t="s">
        <v>615</v>
      </c>
      <c r="DB16" t="s">
        <v>616</v>
      </c>
      <c r="DC16" t="s">
        <v>617</v>
      </c>
      <c r="DD16" t="s">
        <v>661</v>
      </c>
    </row>
    <row r="17" spans="1:108" ht="16.5" customHeight="1" x14ac:dyDescent="0.25">
      <c r="A17">
        <v>60</v>
      </c>
      <c r="B17">
        <v>676835</v>
      </c>
      <c r="C17">
        <v>4</v>
      </c>
      <c r="D17">
        <v>4</v>
      </c>
      <c r="E17">
        <v>6.03</v>
      </c>
      <c r="F17">
        <v>55</v>
      </c>
      <c r="G17" t="s">
        <v>643</v>
      </c>
      <c r="I17">
        <v>6</v>
      </c>
      <c r="J17">
        <v>21</v>
      </c>
      <c r="L17">
        <v>1902839</v>
      </c>
      <c r="M17">
        <v>190180020</v>
      </c>
      <c r="N17">
        <v>1</v>
      </c>
      <c r="O17">
        <v>18</v>
      </c>
      <c r="P17">
        <v>2019</v>
      </c>
      <c r="Q17" t="s">
        <v>638</v>
      </c>
      <c r="R17">
        <v>10</v>
      </c>
      <c r="T17">
        <v>5</v>
      </c>
      <c r="U17">
        <v>0</v>
      </c>
      <c r="V17">
        <v>2</v>
      </c>
      <c r="W17">
        <v>12</v>
      </c>
      <c r="X17">
        <v>10</v>
      </c>
      <c r="Y17">
        <v>7</v>
      </c>
      <c r="Z17">
        <v>1</v>
      </c>
      <c r="AA17">
        <v>4</v>
      </c>
      <c r="AC17">
        <v>3</v>
      </c>
      <c r="AD17">
        <v>98</v>
      </c>
      <c r="AE17" t="s">
        <v>662</v>
      </c>
      <c r="AG17" t="s">
        <v>663</v>
      </c>
      <c r="AH17">
        <v>7</v>
      </c>
      <c r="AI17">
        <v>2</v>
      </c>
      <c r="AJ17">
        <v>2</v>
      </c>
      <c r="AK17">
        <v>3</v>
      </c>
      <c r="AL17">
        <v>21</v>
      </c>
      <c r="AM17">
        <v>61</v>
      </c>
      <c r="AN17" t="s">
        <v>620</v>
      </c>
      <c r="AO17">
        <v>5</v>
      </c>
      <c r="AP17">
        <v>1</v>
      </c>
      <c r="AT17">
        <v>11</v>
      </c>
      <c r="AU17">
        <v>9</v>
      </c>
      <c r="AV17">
        <v>55</v>
      </c>
      <c r="AW17">
        <v>13</v>
      </c>
      <c r="AX17">
        <v>21</v>
      </c>
      <c r="AY17">
        <v>2</v>
      </c>
      <c r="AZ17">
        <v>2</v>
      </c>
      <c r="BA17">
        <v>3</v>
      </c>
      <c r="BB17">
        <v>21</v>
      </c>
      <c r="BC17">
        <v>56</v>
      </c>
      <c r="BD17" t="s">
        <v>614</v>
      </c>
      <c r="BE17">
        <v>5</v>
      </c>
      <c r="BF17">
        <v>75</v>
      </c>
      <c r="BJ17">
        <v>11</v>
      </c>
      <c r="BK17">
        <v>9</v>
      </c>
      <c r="BL17">
        <v>55</v>
      </c>
      <c r="BM17">
        <v>13</v>
      </c>
      <c r="BN17">
        <v>21</v>
      </c>
      <c r="CU17">
        <v>536909.82889999996</v>
      </c>
      <c r="CV17">
        <v>4878363.9979999997</v>
      </c>
      <c r="CW17">
        <v>44.057521510000001</v>
      </c>
      <c r="CX17">
        <v>-92.539191299999999</v>
      </c>
      <c r="CY17" s="319">
        <v>43483.454861111109</v>
      </c>
      <c r="CZ17" t="s">
        <v>615</v>
      </c>
      <c r="DA17" t="s">
        <v>664</v>
      </c>
      <c r="DB17" t="s">
        <v>665</v>
      </c>
      <c r="DC17" t="s">
        <v>666</v>
      </c>
      <c r="DD17" t="s">
        <v>667</v>
      </c>
    </row>
    <row r="18" spans="1:108" ht="16.5" customHeight="1" x14ac:dyDescent="0.25">
      <c r="A18">
        <v>60</v>
      </c>
      <c r="B18">
        <v>681988</v>
      </c>
      <c r="C18">
        <v>4</v>
      </c>
      <c r="D18">
        <v>4</v>
      </c>
      <c r="E18">
        <v>6.0350000000000001</v>
      </c>
      <c r="F18">
        <v>55</v>
      </c>
      <c r="G18" t="s">
        <v>643</v>
      </c>
      <c r="I18">
        <v>6</v>
      </c>
      <c r="J18">
        <v>21</v>
      </c>
      <c r="L18">
        <v>1905037</v>
      </c>
      <c r="M18">
        <v>190320112</v>
      </c>
      <c r="N18">
        <v>2</v>
      </c>
      <c r="O18">
        <v>1</v>
      </c>
      <c r="P18">
        <v>2019</v>
      </c>
      <c r="Q18" t="s">
        <v>638</v>
      </c>
      <c r="R18">
        <v>9</v>
      </c>
      <c r="T18">
        <v>5</v>
      </c>
      <c r="U18">
        <v>0</v>
      </c>
      <c r="V18">
        <v>2</v>
      </c>
      <c r="W18">
        <v>10</v>
      </c>
      <c r="X18">
        <v>10</v>
      </c>
      <c r="Y18">
        <v>7</v>
      </c>
      <c r="Z18">
        <v>1</v>
      </c>
      <c r="AA18">
        <v>2</v>
      </c>
      <c r="AC18">
        <v>5</v>
      </c>
      <c r="AD18">
        <v>98</v>
      </c>
      <c r="AE18" t="s">
        <v>662</v>
      </c>
      <c r="AG18" t="s">
        <v>668</v>
      </c>
      <c r="AH18">
        <v>5</v>
      </c>
      <c r="AI18">
        <v>2</v>
      </c>
      <c r="AJ18">
        <v>4</v>
      </c>
      <c r="AK18">
        <v>4</v>
      </c>
      <c r="AL18">
        <v>21</v>
      </c>
      <c r="AM18">
        <v>34</v>
      </c>
      <c r="AN18" t="s">
        <v>620</v>
      </c>
      <c r="AO18">
        <v>5</v>
      </c>
      <c r="AP18">
        <v>1</v>
      </c>
      <c r="AT18">
        <v>11</v>
      </c>
      <c r="AU18">
        <v>9</v>
      </c>
      <c r="AV18">
        <v>50</v>
      </c>
      <c r="AW18">
        <v>12</v>
      </c>
      <c r="AX18">
        <v>21</v>
      </c>
      <c r="AY18">
        <v>2</v>
      </c>
      <c r="AZ18">
        <v>2</v>
      </c>
      <c r="BA18">
        <v>2</v>
      </c>
      <c r="BB18">
        <v>23</v>
      </c>
      <c r="BC18">
        <v>48</v>
      </c>
      <c r="BD18" t="s">
        <v>614</v>
      </c>
      <c r="BE18">
        <v>5</v>
      </c>
      <c r="BF18">
        <v>75</v>
      </c>
      <c r="BJ18">
        <v>11</v>
      </c>
      <c r="BK18">
        <v>9</v>
      </c>
      <c r="BL18">
        <v>50</v>
      </c>
      <c r="BM18">
        <v>13</v>
      </c>
      <c r="BN18">
        <v>21</v>
      </c>
      <c r="CU18">
        <v>536917.98640000005</v>
      </c>
      <c r="CV18">
        <v>4878393.8726000004</v>
      </c>
      <c r="CW18">
        <v>44.057790070000003</v>
      </c>
      <c r="CX18">
        <v>-92.539087370000004</v>
      </c>
      <c r="CY18" s="319">
        <v>43497.390972222223</v>
      </c>
      <c r="CZ18" t="s">
        <v>615</v>
      </c>
      <c r="DA18" t="s">
        <v>664</v>
      </c>
      <c r="DB18" t="s">
        <v>665</v>
      </c>
      <c r="DC18" t="s">
        <v>666</v>
      </c>
      <c r="DD18" t="s">
        <v>669</v>
      </c>
    </row>
    <row r="19" spans="1:108" ht="16.5" customHeight="1" x14ac:dyDescent="0.25">
      <c r="A19">
        <v>60</v>
      </c>
      <c r="B19">
        <v>416644</v>
      </c>
      <c r="C19">
        <v>4</v>
      </c>
      <c r="D19">
        <v>4</v>
      </c>
      <c r="E19">
        <v>6.0389999999999997</v>
      </c>
      <c r="F19">
        <v>55</v>
      </c>
      <c r="G19" t="s">
        <v>643</v>
      </c>
      <c r="I19">
        <v>6</v>
      </c>
      <c r="J19">
        <v>21</v>
      </c>
      <c r="L19">
        <v>170002932</v>
      </c>
      <c r="M19">
        <v>170190040</v>
      </c>
      <c r="N19">
        <v>1</v>
      </c>
      <c r="O19">
        <v>19</v>
      </c>
      <c r="P19">
        <v>2017</v>
      </c>
      <c r="Q19" t="s">
        <v>619</v>
      </c>
      <c r="R19">
        <v>8</v>
      </c>
      <c r="S19" t="s">
        <v>646</v>
      </c>
      <c r="T19">
        <v>5</v>
      </c>
      <c r="U19">
        <v>0</v>
      </c>
      <c r="V19">
        <v>2</v>
      </c>
      <c r="W19">
        <v>5</v>
      </c>
      <c r="X19">
        <v>10</v>
      </c>
      <c r="Y19">
        <v>7</v>
      </c>
      <c r="Z19">
        <v>1</v>
      </c>
      <c r="AA19">
        <v>6</v>
      </c>
      <c r="AC19">
        <v>5</v>
      </c>
      <c r="AD19">
        <v>98</v>
      </c>
      <c r="AE19" t="s">
        <v>662</v>
      </c>
      <c r="AF19" t="s">
        <v>670</v>
      </c>
      <c r="AG19" t="s">
        <v>663</v>
      </c>
      <c r="AH19">
        <v>10</v>
      </c>
      <c r="AI19">
        <v>2</v>
      </c>
      <c r="AJ19">
        <v>2</v>
      </c>
      <c r="AK19">
        <v>3</v>
      </c>
      <c r="AL19">
        <v>26</v>
      </c>
      <c r="AM19">
        <v>24</v>
      </c>
      <c r="AN19" t="s">
        <v>620</v>
      </c>
      <c r="AO19">
        <v>5</v>
      </c>
      <c r="AP19">
        <v>2</v>
      </c>
      <c r="AQ19">
        <v>75</v>
      </c>
      <c r="AT19">
        <v>15</v>
      </c>
      <c r="AU19">
        <v>22</v>
      </c>
      <c r="AV19">
        <v>55</v>
      </c>
      <c r="AW19">
        <v>11</v>
      </c>
      <c r="AX19">
        <v>21</v>
      </c>
      <c r="AY19">
        <v>2</v>
      </c>
      <c r="AZ19">
        <v>2</v>
      </c>
      <c r="BA19">
        <v>2</v>
      </c>
      <c r="BB19">
        <v>21</v>
      </c>
      <c r="BC19">
        <v>34</v>
      </c>
      <c r="BD19" t="s">
        <v>620</v>
      </c>
      <c r="BE19">
        <v>5</v>
      </c>
      <c r="BF19">
        <v>1</v>
      </c>
      <c r="BJ19">
        <v>11</v>
      </c>
      <c r="BK19">
        <v>22</v>
      </c>
      <c r="BM19">
        <v>12</v>
      </c>
      <c r="BN19">
        <v>21</v>
      </c>
      <c r="CU19">
        <v>536921.80630000005</v>
      </c>
      <c r="CV19">
        <v>4878356.8327000001</v>
      </c>
      <c r="CW19">
        <v>44.0574564</v>
      </c>
      <c r="CX19">
        <v>-92.539042269999996</v>
      </c>
      <c r="CY19" s="319">
        <v>42754.335416666669</v>
      </c>
      <c r="CZ19" t="s">
        <v>615</v>
      </c>
      <c r="DA19" t="s">
        <v>664</v>
      </c>
      <c r="DB19" t="s">
        <v>665</v>
      </c>
      <c r="DC19" t="s">
        <v>666</v>
      </c>
      <c r="DD19" s="82" t="s">
        <v>671</v>
      </c>
    </row>
    <row r="20" spans="1:108" ht="16.5" customHeight="1" x14ac:dyDescent="0.25">
      <c r="A20">
        <v>60</v>
      </c>
      <c r="B20">
        <v>655612</v>
      </c>
      <c r="C20">
        <v>4</v>
      </c>
      <c r="D20">
        <v>4</v>
      </c>
      <c r="E20">
        <v>6.04</v>
      </c>
      <c r="F20">
        <v>55</v>
      </c>
      <c r="G20" t="s">
        <v>643</v>
      </c>
      <c r="I20">
        <v>6</v>
      </c>
      <c r="J20">
        <v>21</v>
      </c>
      <c r="L20">
        <v>18053271</v>
      </c>
      <c r="M20">
        <v>183030079</v>
      </c>
      <c r="N20">
        <v>10</v>
      </c>
      <c r="O20">
        <v>30</v>
      </c>
      <c r="P20">
        <v>2018</v>
      </c>
      <c r="Q20" t="s">
        <v>625</v>
      </c>
      <c r="R20">
        <v>14</v>
      </c>
      <c r="T20">
        <v>3</v>
      </c>
      <c r="U20">
        <v>0</v>
      </c>
      <c r="V20">
        <v>1</v>
      </c>
      <c r="X20">
        <v>32</v>
      </c>
      <c r="Y20">
        <v>7</v>
      </c>
      <c r="Z20">
        <v>1</v>
      </c>
      <c r="AA20">
        <v>2</v>
      </c>
      <c r="AC20">
        <v>7</v>
      </c>
      <c r="AD20">
        <v>98</v>
      </c>
      <c r="AE20" t="s">
        <v>662</v>
      </c>
      <c r="AF20" t="s">
        <v>670</v>
      </c>
      <c r="AG20" t="s">
        <v>668</v>
      </c>
      <c r="AH20">
        <v>3</v>
      </c>
      <c r="AI20">
        <v>2</v>
      </c>
      <c r="AJ20">
        <v>31</v>
      </c>
      <c r="AK20">
        <v>2</v>
      </c>
      <c r="AL20">
        <v>32</v>
      </c>
      <c r="AM20">
        <v>66</v>
      </c>
      <c r="AN20" t="s">
        <v>614</v>
      </c>
      <c r="AO20">
        <v>5</v>
      </c>
      <c r="AP20">
        <v>62</v>
      </c>
      <c r="AQ20">
        <v>72</v>
      </c>
      <c r="AT20">
        <v>90</v>
      </c>
      <c r="AU20">
        <v>22</v>
      </c>
      <c r="AV20">
        <v>45</v>
      </c>
      <c r="AW20">
        <v>13</v>
      </c>
      <c r="AX20">
        <v>21</v>
      </c>
      <c r="CU20">
        <v>536924.94189999998</v>
      </c>
      <c r="CV20">
        <v>4878396.9793999996</v>
      </c>
      <c r="CW20">
        <v>44.05781769</v>
      </c>
      <c r="CX20">
        <v>-92.53900032</v>
      </c>
      <c r="CY20" s="319">
        <v>43403.619444444441</v>
      </c>
      <c r="CZ20" t="s">
        <v>615</v>
      </c>
      <c r="DA20" t="s">
        <v>664</v>
      </c>
      <c r="DB20" t="s">
        <v>665</v>
      </c>
      <c r="DC20" t="s">
        <v>666</v>
      </c>
      <c r="DD20" s="82" t="s">
        <v>672</v>
      </c>
    </row>
    <row r="21" spans="1:108" ht="16.5" customHeight="1" x14ac:dyDescent="0.25">
      <c r="A21">
        <v>60</v>
      </c>
      <c r="B21">
        <v>450678</v>
      </c>
      <c r="C21">
        <v>4</v>
      </c>
      <c r="D21">
        <v>4</v>
      </c>
      <c r="E21">
        <v>6.0410000000000004</v>
      </c>
      <c r="F21">
        <v>55</v>
      </c>
      <c r="G21" t="s">
        <v>643</v>
      </c>
      <c r="I21">
        <v>6</v>
      </c>
      <c r="J21">
        <v>21</v>
      </c>
      <c r="L21">
        <v>17022452</v>
      </c>
      <c r="M21">
        <v>171280169</v>
      </c>
      <c r="N21">
        <v>5</v>
      </c>
      <c r="O21">
        <v>8</v>
      </c>
      <c r="P21">
        <v>2017</v>
      </c>
      <c r="Q21" t="s">
        <v>610</v>
      </c>
      <c r="R21">
        <v>17</v>
      </c>
      <c r="S21" t="s">
        <v>673</v>
      </c>
      <c r="T21">
        <v>5</v>
      </c>
      <c r="U21">
        <v>0</v>
      </c>
      <c r="V21">
        <v>2</v>
      </c>
      <c r="W21">
        <v>5</v>
      </c>
      <c r="X21">
        <v>10</v>
      </c>
      <c r="Y21">
        <v>7</v>
      </c>
      <c r="Z21">
        <v>1</v>
      </c>
      <c r="AA21">
        <v>1</v>
      </c>
      <c r="AC21">
        <v>1</v>
      </c>
      <c r="AD21">
        <v>98</v>
      </c>
      <c r="AE21" t="s">
        <v>662</v>
      </c>
      <c r="AF21" t="s">
        <v>670</v>
      </c>
      <c r="AG21" t="s">
        <v>663</v>
      </c>
      <c r="AH21">
        <v>10</v>
      </c>
      <c r="AI21">
        <v>2</v>
      </c>
      <c r="AJ21">
        <v>3</v>
      </c>
      <c r="AK21">
        <v>2</v>
      </c>
      <c r="AL21">
        <v>21</v>
      </c>
      <c r="AM21">
        <v>58</v>
      </c>
      <c r="AN21" t="s">
        <v>614</v>
      </c>
      <c r="AO21">
        <v>5</v>
      </c>
      <c r="AP21">
        <v>99</v>
      </c>
      <c r="AT21">
        <v>90</v>
      </c>
      <c r="AU21">
        <v>22</v>
      </c>
      <c r="AV21">
        <v>30</v>
      </c>
      <c r="AW21">
        <v>12</v>
      </c>
      <c r="AX21">
        <v>21</v>
      </c>
      <c r="AY21">
        <v>2</v>
      </c>
      <c r="AZ21">
        <v>4</v>
      </c>
      <c r="BA21">
        <v>2</v>
      </c>
      <c r="BB21">
        <v>21</v>
      </c>
      <c r="BC21">
        <v>35</v>
      </c>
      <c r="BD21" t="s">
        <v>620</v>
      </c>
      <c r="BE21">
        <v>5</v>
      </c>
      <c r="BF21">
        <v>99</v>
      </c>
      <c r="BJ21">
        <v>90</v>
      </c>
      <c r="BK21">
        <v>22</v>
      </c>
      <c r="BL21">
        <v>30</v>
      </c>
      <c r="BM21">
        <v>12</v>
      </c>
      <c r="BN21">
        <v>21</v>
      </c>
      <c r="CU21">
        <v>536924.28500000003</v>
      </c>
      <c r="CV21">
        <v>4878356.0082999999</v>
      </c>
      <c r="CW21">
        <v>44.05744885</v>
      </c>
      <c r="CX21">
        <v>-92.539011380000005</v>
      </c>
      <c r="CY21" s="319">
        <v>42863.71875</v>
      </c>
      <c r="CZ21" t="s">
        <v>615</v>
      </c>
      <c r="DA21" t="s">
        <v>664</v>
      </c>
      <c r="DB21" t="s">
        <v>665</v>
      </c>
      <c r="DC21" t="s">
        <v>666</v>
      </c>
      <c r="DD21" t="s">
        <v>674</v>
      </c>
    </row>
    <row r="22" spans="1:108" ht="16.5" customHeight="1" x14ac:dyDescent="0.25">
      <c r="A22">
        <v>60</v>
      </c>
      <c r="B22">
        <v>861201</v>
      </c>
      <c r="C22">
        <v>4</v>
      </c>
      <c r="D22">
        <v>4</v>
      </c>
      <c r="E22">
        <v>6.0469999999999997</v>
      </c>
      <c r="F22">
        <v>55</v>
      </c>
      <c r="G22" t="s">
        <v>643</v>
      </c>
      <c r="I22">
        <v>6</v>
      </c>
      <c r="J22">
        <v>21</v>
      </c>
      <c r="L22" t="s">
        <v>675</v>
      </c>
      <c r="M22">
        <v>203090075</v>
      </c>
      <c r="N22">
        <v>11</v>
      </c>
      <c r="O22">
        <v>4</v>
      </c>
      <c r="P22">
        <v>2020</v>
      </c>
      <c r="Q22" t="s">
        <v>645</v>
      </c>
      <c r="R22">
        <v>15</v>
      </c>
      <c r="S22" t="s">
        <v>639</v>
      </c>
      <c r="T22">
        <v>5</v>
      </c>
      <c r="U22">
        <v>0</v>
      </c>
      <c r="V22">
        <v>2</v>
      </c>
      <c r="W22">
        <v>10</v>
      </c>
      <c r="X22">
        <v>10</v>
      </c>
      <c r="Y22">
        <v>7</v>
      </c>
      <c r="Z22">
        <v>1</v>
      </c>
      <c r="AA22">
        <v>1</v>
      </c>
      <c r="AC22">
        <v>1</v>
      </c>
      <c r="AD22">
        <v>98</v>
      </c>
      <c r="AE22" t="s">
        <v>662</v>
      </c>
      <c r="AF22" t="s">
        <v>676</v>
      </c>
      <c r="AG22" t="s">
        <v>668</v>
      </c>
      <c r="AH22">
        <v>5</v>
      </c>
      <c r="AI22">
        <v>2</v>
      </c>
      <c r="AJ22">
        <v>4</v>
      </c>
      <c r="AK22">
        <v>4</v>
      </c>
      <c r="AL22">
        <v>21</v>
      </c>
      <c r="AM22">
        <v>56</v>
      </c>
      <c r="AN22" t="s">
        <v>614</v>
      </c>
      <c r="AO22">
        <v>5</v>
      </c>
      <c r="AP22">
        <v>1</v>
      </c>
      <c r="AT22">
        <v>90</v>
      </c>
      <c r="AU22">
        <v>9</v>
      </c>
      <c r="AV22">
        <v>45</v>
      </c>
      <c r="AW22">
        <v>12</v>
      </c>
      <c r="AX22">
        <v>21</v>
      </c>
      <c r="AY22">
        <v>2</v>
      </c>
      <c r="AZ22">
        <v>2</v>
      </c>
      <c r="BA22">
        <v>4</v>
      </c>
      <c r="BB22">
        <v>21</v>
      </c>
      <c r="BC22">
        <v>26</v>
      </c>
      <c r="BD22" t="s">
        <v>620</v>
      </c>
      <c r="BE22">
        <v>5</v>
      </c>
      <c r="BF22">
        <v>2</v>
      </c>
      <c r="BJ22">
        <v>90</v>
      </c>
      <c r="BK22">
        <v>9</v>
      </c>
      <c r="BL22">
        <v>45</v>
      </c>
      <c r="BM22">
        <v>12</v>
      </c>
      <c r="BN22">
        <v>21</v>
      </c>
      <c r="CU22">
        <v>536936.52639999997</v>
      </c>
      <c r="CV22">
        <v>4878397.1935999999</v>
      </c>
      <c r="CW22">
        <v>44.057819029999997</v>
      </c>
      <c r="CX22">
        <v>-92.538855670000004</v>
      </c>
      <c r="CY22" s="319">
        <v>44139.642361111109</v>
      </c>
      <c r="CZ22" t="s">
        <v>615</v>
      </c>
      <c r="DA22" t="s">
        <v>664</v>
      </c>
      <c r="DB22" t="s">
        <v>665</v>
      </c>
      <c r="DC22" t="s">
        <v>666</v>
      </c>
      <c r="DD22" s="82" t="s">
        <v>677</v>
      </c>
    </row>
    <row r="23" spans="1:108" ht="16.5" customHeight="1" x14ac:dyDescent="0.25">
      <c r="A23">
        <v>60</v>
      </c>
      <c r="B23">
        <v>663492</v>
      </c>
      <c r="C23">
        <v>4</v>
      </c>
      <c r="D23">
        <v>4</v>
      </c>
      <c r="E23">
        <v>6.0529999999999999</v>
      </c>
      <c r="F23">
        <v>55</v>
      </c>
      <c r="G23" t="s">
        <v>643</v>
      </c>
      <c r="I23">
        <v>6</v>
      </c>
      <c r="J23">
        <v>21</v>
      </c>
      <c r="L23" t="s">
        <v>678</v>
      </c>
      <c r="M23">
        <v>183320216</v>
      </c>
      <c r="N23">
        <v>11</v>
      </c>
      <c r="O23">
        <v>28</v>
      </c>
      <c r="P23">
        <v>2018</v>
      </c>
      <c r="Q23" t="s">
        <v>645</v>
      </c>
      <c r="R23">
        <v>16</v>
      </c>
      <c r="S23">
        <v>98</v>
      </c>
      <c r="T23">
        <v>5</v>
      </c>
      <c r="U23">
        <v>0</v>
      </c>
      <c r="V23">
        <v>1</v>
      </c>
      <c r="X23">
        <v>28</v>
      </c>
      <c r="Y23">
        <v>7</v>
      </c>
      <c r="Z23">
        <v>3</v>
      </c>
      <c r="AA23">
        <v>2</v>
      </c>
      <c r="AB23">
        <v>4</v>
      </c>
      <c r="AC23">
        <v>3</v>
      </c>
      <c r="AD23">
        <v>98</v>
      </c>
      <c r="AE23" t="s">
        <v>662</v>
      </c>
      <c r="AG23" t="s">
        <v>663</v>
      </c>
      <c r="AH23">
        <v>3</v>
      </c>
      <c r="AI23">
        <v>2</v>
      </c>
      <c r="AJ23">
        <v>4</v>
      </c>
      <c r="AK23">
        <v>3</v>
      </c>
      <c r="AL23">
        <v>32</v>
      </c>
      <c r="AM23">
        <v>60</v>
      </c>
      <c r="AN23" t="s">
        <v>614</v>
      </c>
      <c r="AO23">
        <v>5</v>
      </c>
      <c r="AP23">
        <v>62</v>
      </c>
      <c r="AQ23">
        <v>75</v>
      </c>
      <c r="AT23">
        <v>11</v>
      </c>
      <c r="AU23">
        <v>98</v>
      </c>
      <c r="AV23">
        <v>15</v>
      </c>
      <c r="AW23">
        <v>12</v>
      </c>
      <c r="AX23">
        <v>24</v>
      </c>
      <c r="CU23">
        <v>536942.85820000002</v>
      </c>
      <c r="CV23">
        <v>4878359.9034000002</v>
      </c>
      <c r="CW23">
        <v>44.057482989999997</v>
      </c>
      <c r="CX23">
        <v>-92.538779230000003</v>
      </c>
      <c r="CY23" s="319">
        <v>43432.677083333336</v>
      </c>
      <c r="CZ23" t="s">
        <v>615</v>
      </c>
      <c r="DA23" t="s">
        <v>664</v>
      </c>
      <c r="DB23" t="s">
        <v>665</v>
      </c>
      <c r="DC23" t="s">
        <v>666</v>
      </c>
      <c r="DD23" t="s">
        <v>679</v>
      </c>
    </row>
    <row r="24" spans="1:108" ht="16.5" customHeight="1" x14ac:dyDescent="0.25">
      <c r="A24">
        <v>60</v>
      </c>
      <c r="B24">
        <v>507310</v>
      </c>
      <c r="C24">
        <v>4</v>
      </c>
      <c r="D24">
        <v>4</v>
      </c>
      <c r="E24">
        <v>6.0579999999999998</v>
      </c>
      <c r="F24">
        <v>55</v>
      </c>
      <c r="H24" t="s">
        <v>623</v>
      </c>
      <c r="I24">
        <v>6</v>
      </c>
      <c r="J24">
        <v>21</v>
      </c>
      <c r="L24">
        <v>17049691</v>
      </c>
      <c r="M24">
        <v>172820018</v>
      </c>
      <c r="N24">
        <v>10</v>
      </c>
      <c r="O24">
        <v>9</v>
      </c>
      <c r="P24">
        <v>2017</v>
      </c>
      <c r="Q24" t="s">
        <v>610</v>
      </c>
      <c r="R24">
        <v>7</v>
      </c>
      <c r="T24">
        <v>5</v>
      </c>
      <c r="U24">
        <v>0</v>
      </c>
      <c r="V24">
        <v>2</v>
      </c>
      <c r="W24">
        <v>10</v>
      </c>
      <c r="X24">
        <v>10</v>
      </c>
      <c r="Y24">
        <v>7</v>
      </c>
      <c r="Z24">
        <v>1</v>
      </c>
      <c r="AA24">
        <v>1</v>
      </c>
      <c r="AC24">
        <v>1</v>
      </c>
      <c r="AD24">
        <v>98</v>
      </c>
      <c r="AE24" t="s">
        <v>662</v>
      </c>
      <c r="AG24" t="s">
        <v>668</v>
      </c>
      <c r="AH24">
        <v>5</v>
      </c>
      <c r="AI24">
        <v>2</v>
      </c>
      <c r="AJ24">
        <v>3</v>
      </c>
      <c r="AK24">
        <v>3</v>
      </c>
      <c r="AL24">
        <v>28</v>
      </c>
      <c r="AM24">
        <v>64</v>
      </c>
      <c r="AN24" t="s">
        <v>614</v>
      </c>
      <c r="AO24">
        <v>5</v>
      </c>
      <c r="AP24">
        <v>68</v>
      </c>
      <c r="AT24">
        <v>11</v>
      </c>
      <c r="AU24">
        <v>9</v>
      </c>
      <c r="AV24">
        <v>50</v>
      </c>
      <c r="AW24">
        <v>12</v>
      </c>
      <c r="AX24">
        <v>21</v>
      </c>
      <c r="AY24">
        <v>2</v>
      </c>
      <c r="AZ24">
        <v>2</v>
      </c>
      <c r="BA24">
        <v>3</v>
      </c>
      <c r="BB24">
        <v>24</v>
      </c>
      <c r="BC24">
        <v>18</v>
      </c>
      <c r="BD24" t="s">
        <v>614</v>
      </c>
      <c r="BE24">
        <v>5</v>
      </c>
      <c r="BF24">
        <v>1</v>
      </c>
      <c r="BJ24">
        <v>11</v>
      </c>
      <c r="BK24">
        <v>9</v>
      </c>
      <c r="BL24">
        <v>50</v>
      </c>
      <c r="BM24">
        <v>12</v>
      </c>
      <c r="BN24">
        <v>21</v>
      </c>
      <c r="CU24">
        <v>536951.56319999998</v>
      </c>
      <c r="CV24">
        <v>4878387.5597000001</v>
      </c>
      <c r="CW24">
        <v>44.057731539999999</v>
      </c>
      <c r="CX24">
        <v>-92.538668619999996</v>
      </c>
      <c r="CY24" s="319">
        <v>43017.317361111112</v>
      </c>
      <c r="CZ24" t="s">
        <v>615</v>
      </c>
      <c r="DA24" t="s">
        <v>664</v>
      </c>
      <c r="DB24" t="s">
        <v>665</v>
      </c>
      <c r="DC24" t="s">
        <v>666</v>
      </c>
      <c r="DD24" s="82" t="s">
        <v>680</v>
      </c>
    </row>
    <row r="25" spans="1:108" ht="16.5" customHeight="1" x14ac:dyDescent="0.25">
      <c r="A25">
        <v>60</v>
      </c>
      <c r="B25">
        <v>416637</v>
      </c>
      <c r="C25">
        <v>5</v>
      </c>
      <c r="D25">
        <v>164</v>
      </c>
      <c r="E25">
        <v>0.53900000000000003</v>
      </c>
      <c r="F25">
        <v>55</v>
      </c>
      <c r="G25" t="s">
        <v>643</v>
      </c>
      <c r="I25">
        <v>6</v>
      </c>
      <c r="J25">
        <v>21</v>
      </c>
      <c r="L25">
        <v>17002937</v>
      </c>
      <c r="M25">
        <v>170190033</v>
      </c>
      <c r="N25">
        <v>1</v>
      </c>
      <c r="O25">
        <v>19</v>
      </c>
      <c r="P25">
        <v>2017</v>
      </c>
      <c r="Q25" t="s">
        <v>619</v>
      </c>
      <c r="R25">
        <v>8</v>
      </c>
      <c r="S25">
        <v>98</v>
      </c>
      <c r="T25">
        <v>5</v>
      </c>
      <c r="U25">
        <v>0</v>
      </c>
      <c r="V25">
        <v>2</v>
      </c>
      <c r="W25">
        <v>12</v>
      </c>
      <c r="X25">
        <v>10</v>
      </c>
      <c r="Y25">
        <v>7</v>
      </c>
      <c r="Z25">
        <v>1</v>
      </c>
      <c r="AA25">
        <v>5</v>
      </c>
      <c r="AC25">
        <v>5</v>
      </c>
      <c r="AD25">
        <v>98</v>
      </c>
      <c r="AE25" t="s">
        <v>670</v>
      </c>
      <c r="AF25" t="s">
        <v>662</v>
      </c>
      <c r="AG25" t="s">
        <v>681</v>
      </c>
      <c r="AH25">
        <v>7</v>
      </c>
      <c r="AI25">
        <v>2</v>
      </c>
      <c r="AJ25">
        <v>2</v>
      </c>
      <c r="AK25">
        <v>3</v>
      </c>
      <c r="AL25">
        <v>21</v>
      </c>
      <c r="AM25">
        <v>25</v>
      </c>
      <c r="AN25" t="s">
        <v>620</v>
      </c>
      <c r="AO25">
        <v>5</v>
      </c>
      <c r="AP25">
        <v>71</v>
      </c>
      <c r="AT25">
        <v>11</v>
      </c>
      <c r="AU25">
        <v>9</v>
      </c>
      <c r="AV25">
        <v>40</v>
      </c>
      <c r="AW25">
        <v>11</v>
      </c>
      <c r="AX25">
        <v>21</v>
      </c>
      <c r="AY25">
        <v>2</v>
      </c>
      <c r="AZ25">
        <v>2</v>
      </c>
      <c r="BA25">
        <v>3</v>
      </c>
      <c r="BB25">
        <v>21</v>
      </c>
      <c r="BC25">
        <v>29</v>
      </c>
      <c r="BD25" t="s">
        <v>620</v>
      </c>
      <c r="BE25">
        <v>5</v>
      </c>
      <c r="BF25">
        <v>1</v>
      </c>
      <c r="BJ25">
        <v>11</v>
      </c>
      <c r="BK25">
        <v>9</v>
      </c>
      <c r="BL25">
        <v>40</v>
      </c>
      <c r="BM25">
        <v>11</v>
      </c>
      <c r="BN25">
        <v>21</v>
      </c>
      <c r="CU25">
        <v>536950.4118</v>
      </c>
      <c r="CV25">
        <v>4878369.8698000005</v>
      </c>
      <c r="CW25">
        <v>44.057572329999999</v>
      </c>
      <c r="CX25">
        <v>-92.538684230000001</v>
      </c>
      <c r="CY25" s="319">
        <v>42754.347222222219</v>
      </c>
      <c r="CZ25" t="s">
        <v>615</v>
      </c>
      <c r="DA25" t="s">
        <v>664</v>
      </c>
      <c r="DB25" t="s">
        <v>665</v>
      </c>
      <c r="DC25" t="s">
        <v>666</v>
      </c>
      <c r="DD25" t="s">
        <v>682</v>
      </c>
    </row>
    <row r="26" spans="1:108" ht="16.5" customHeight="1" x14ac:dyDescent="0.25">
      <c r="A26">
        <v>60</v>
      </c>
      <c r="B26">
        <v>422740</v>
      </c>
      <c r="C26">
        <v>5</v>
      </c>
      <c r="D26">
        <v>164</v>
      </c>
      <c r="E26">
        <v>0.55100000000000005</v>
      </c>
      <c r="F26">
        <v>55</v>
      </c>
      <c r="H26" t="s">
        <v>623</v>
      </c>
      <c r="I26">
        <v>6</v>
      </c>
      <c r="J26">
        <v>21</v>
      </c>
      <c r="L26">
        <v>1707160</v>
      </c>
      <c r="M26">
        <v>170440079</v>
      </c>
      <c r="N26">
        <v>2</v>
      </c>
      <c r="O26">
        <v>13</v>
      </c>
      <c r="P26">
        <v>2017</v>
      </c>
      <c r="Q26" t="s">
        <v>610</v>
      </c>
      <c r="R26">
        <v>10</v>
      </c>
      <c r="S26" t="s">
        <v>646</v>
      </c>
      <c r="T26">
        <v>3</v>
      </c>
      <c r="U26">
        <v>0</v>
      </c>
      <c r="V26">
        <v>1</v>
      </c>
      <c r="X26">
        <v>35</v>
      </c>
      <c r="Y26">
        <v>7</v>
      </c>
      <c r="Z26">
        <v>1</v>
      </c>
      <c r="AA26">
        <v>1</v>
      </c>
      <c r="AC26">
        <v>1</v>
      </c>
      <c r="AD26">
        <v>98</v>
      </c>
      <c r="AE26" t="s">
        <v>670</v>
      </c>
      <c r="AG26" t="s">
        <v>681</v>
      </c>
      <c r="AH26">
        <v>3</v>
      </c>
      <c r="AI26">
        <v>2</v>
      </c>
      <c r="AJ26">
        <v>2</v>
      </c>
      <c r="AK26">
        <v>3</v>
      </c>
      <c r="AL26">
        <v>21</v>
      </c>
      <c r="AM26">
        <v>45</v>
      </c>
      <c r="AN26" t="s">
        <v>620</v>
      </c>
      <c r="AO26">
        <v>5</v>
      </c>
      <c r="AP26">
        <v>99</v>
      </c>
      <c r="AT26">
        <v>15</v>
      </c>
      <c r="AU26">
        <v>9</v>
      </c>
      <c r="AV26">
        <v>55</v>
      </c>
      <c r="AW26">
        <v>11</v>
      </c>
      <c r="AX26">
        <v>21</v>
      </c>
      <c r="CU26">
        <v>536947.32310000004</v>
      </c>
      <c r="CV26">
        <v>4878388.4352000002</v>
      </c>
      <c r="CW26">
        <v>44.057739640000001</v>
      </c>
      <c r="CX26">
        <v>-92.53872149</v>
      </c>
      <c r="CY26" s="319">
        <v>42779.426388888889</v>
      </c>
      <c r="CZ26" t="s">
        <v>615</v>
      </c>
      <c r="DA26" t="s">
        <v>664</v>
      </c>
      <c r="DB26" t="s">
        <v>665</v>
      </c>
      <c r="DC26" t="s">
        <v>666</v>
      </c>
      <c r="DD26" s="82" t="s">
        <v>683</v>
      </c>
    </row>
    <row r="27" spans="1:108" ht="16.5" customHeight="1" x14ac:dyDescent="0.25">
      <c r="A27">
        <v>60</v>
      </c>
      <c r="B27">
        <v>410961</v>
      </c>
      <c r="C27">
        <v>5</v>
      </c>
      <c r="D27">
        <v>164</v>
      </c>
      <c r="E27">
        <v>0.55600000000000005</v>
      </c>
      <c r="F27">
        <v>55</v>
      </c>
      <c r="H27" t="s">
        <v>623</v>
      </c>
      <c r="I27">
        <v>6</v>
      </c>
      <c r="J27">
        <v>21</v>
      </c>
      <c r="L27">
        <v>1600000369</v>
      </c>
      <c r="M27">
        <v>170030168</v>
      </c>
      <c r="N27">
        <v>1</v>
      </c>
      <c r="O27">
        <v>3</v>
      </c>
      <c r="P27">
        <v>2017</v>
      </c>
      <c r="Q27" t="s">
        <v>625</v>
      </c>
      <c r="R27">
        <v>12</v>
      </c>
      <c r="T27">
        <v>5</v>
      </c>
      <c r="U27">
        <v>0</v>
      </c>
      <c r="V27">
        <v>1</v>
      </c>
      <c r="X27">
        <v>28</v>
      </c>
      <c r="Y27">
        <v>7</v>
      </c>
      <c r="Z27">
        <v>1</v>
      </c>
      <c r="AA27">
        <v>2</v>
      </c>
      <c r="AC27">
        <v>5</v>
      </c>
      <c r="AD27">
        <v>98</v>
      </c>
      <c r="AE27" t="s">
        <v>670</v>
      </c>
      <c r="AG27" t="s">
        <v>681</v>
      </c>
      <c r="AH27">
        <v>3</v>
      </c>
      <c r="AI27">
        <v>2</v>
      </c>
      <c r="AJ27">
        <v>49</v>
      </c>
      <c r="AK27">
        <v>3</v>
      </c>
      <c r="AL27">
        <v>21</v>
      </c>
      <c r="AM27">
        <v>40</v>
      </c>
      <c r="AN27" t="s">
        <v>614</v>
      </c>
      <c r="AO27">
        <v>5</v>
      </c>
      <c r="AP27">
        <v>90</v>
      </c>
      <c r="AT27">
        <v>15</v>
      </c>
      <c r="AU27">
        <v>9</v>
      </c>
      <c r="AV27">
        <v>55</v>
      </c>
      <c r="AW27">
        <v>11</v>
      </c>
      <c r="AX27">
        <v>24</v>
      </c>
      <c r="CU27">
        <v>536941.96409999998</v>
      </c>
      <c r="CV27">
        <v>4878395.1020999998</v>
      </c>
      <c r="CW27">
        <v>44.057799930000002</v>
      </c>
      <c r="CX27">
        <v>-92.538787929999998</v>
      </c>
      <c r="CY27" s="319">
        <v>42738.536805555559</v>
      </c>
      <c r="CZ27" t="s">
        <v>615</v>
      </c>
      <c r="DA27" t="s">
        <v>664</v>
      </c>
      <c r="DB27" t="s">
        <v>665</v>
      </c>
      <c r="DC27" t="s">
        <v>666</v>
      </c>
      <c r="DD27" s="82" t="s">
        <v>684</v>
      </c>
    </row>
    <row r="28" spans="1:108" ht="16.5" customHeight="1" x14ac:dyDescent="0.25">
      <c r="A28">
        <v>60</v>
      </c>
      <c r="B28">
        <v>416649</v>
      </c>
      <c r="C28">
        <v>5</v>
      </c>
      <c r="D28">
        <v>164</v>
      </c>
      <c r="E28">
        <v>0.55700000000000005</v>
      </c>
      <c r="F28">
        <v>55</v>
      </c>
      <c r="G28" t="s">
        <v>643</v>
      </c>
      <c r="I28">
        <v>6</v>
      </c>
      <c r="J28">
        <v>21</v>
      </c>
      <c r="L28">
        <v>170002945</v>
      </c>
      <c r="M28">
        <v>170190045</v>
      </c>
      <c r="N28">
        <v>1</v>
      </c>
      <c r="O28">
        <v>19</v>
      </c>
      <c r="P28">
        <v>2017</v>
      </c>
      <c r="Q28" t="s">
        <v>619</v>
      </c>
      <c r="R28">
        <v>8</v>
      </c>
      <c r="S28" t="s">
        <v>646</v>
      </c>
      <c r="T28">
        <v>2</v>
      </c>
      <c r="U28">
        <v>0</v>
      </c>
      <c r="V28">
        <v>2</v>
      </c>
      <c r="X28">
        <v>8</v>
      </c>
      <c r="Y28">
        <v>7</v>
      </c>
      <c r="Z28">
        <v>1</v>
      </c>
      <c r="AA28">
        <v>6</v>
      </c>
      <c r="AC28">
        <v>5</v>
      </c>
      <c r="AD28">
        <v>98</v>
      </c>
      <c r="AE28" t="s">
        <v>670</v>
      </c>
      <c r="AF28" t="s">
        <v>662</v>
      </c>
      <c r="AG28" t="s">
        <v>685</v>
      </c>
      <c r="AH28">
        <v>1</v>
      </c>
      <c r="AI28">
        <v>2</v>
      </c>
      <c r="AJ28">
        <v>4</v>
      </c>
      <c r="AK28">
        <v>3</v>
      </c>
      <c r="AL28">
        <v>26</v>
      </c>
      <c r="AM28">
        <v>31</v>
      </c>
      <c r="AN28" t="s">
        <v>620</v>
      </c>
      <c r="AO28">
        <v>5</v>
      </c>
      <c r="AP28">
        <v>75</v>
      </c>
      <c r="AT28">
        <v>15</v>
      </c>
      <c r="AU28">
        <v>22</v>
      </c>
      <c r="AV28">
        <v>55</v>
      </c>
      <c r="AW28">
        <v>11</v>
      </c>
      <c r="AX28">
        <v>21</v>
      </c>
      <c r="AY28">
        <v>5</v>
      </c>
      <c r="BC28">
        <v>34</v>
      </c>
      <c r="BD28" t="s">
        <v>620</v>
      </c>
      <c r="BE28">
        <v>5</v>
      </c>
      <c r="BF28">
        <v>25</v>
      </c>
      <c r="BH28">
        <v>31</v>
      </c>
      <c r="BI28">
        <v>7</v>
      </c>
      <c r="BO28">
        <v>3</v>
      </c>
      <c r="BP28">
        <v>4</v>
      </c>
      <c r="BQ28">
        <v>1</v>
      </c>
      <c r="BR28">
        <v>34</v>
      </c>
      <c r="BZ28">
        <v>11</v>
      </c>
      <c r="CA28">
        <v>22</v>
      </c>
      <c r="CB28">
        <v>45</v>
      </c>
      <c r="CC28">
        <v>12</v>
      </c>
      <c r="CD28">
        <v>21</v>
      </c>
      <c r="CU28">
        <v>536918.78599999996</v>
      </c>
      <c r="CV28">
        <v>4878393.5311000003</v>
      </c>
      <c r="CW28">
        <v>44.057786950000001</v>
      </c>
      <c r="CX28">
        <v>-92.539077410000004</v>
      </c>
      <c r="CY28" s="319">
        <v>42754.340277777781</v>
      </c>
      <c r="CZ28" t="s">
        <v>615</v>
      </c>
      <c r="DA28" t="s">
        <v>664</v>
      </c>
      <c r="DB28" t="s">
        <v>665</v>
      </c>
      <c r="DC28" t="s">
        <v>666</v>
      </c>
      <c r="DD28" s="82" t="s">
        <v>686</v>
      </c>
    </row>
    <row r="29" spans="1:108" ht="16.5" customHeight="1" x14ac:dyDescent="0.25">
      <c r="A29">
        <v>60</v>
      </c>
      <c r="B29">
        <v>928867</v>
      </c>
      <c r="C29">
        <v>5</v>
      </c>
      <c r="D29">
        <v>164</v>
      </c>
      <c r="E29">
        <v>0.55700000000000005</v>
      </c>
      <c r="F29">
        <v>55</v>
      </c>
      <c r="G29" t="s">
        <v>643</v>
      </c>
      <c r="I29">
        <v>6</v>
      </c>
      <c r="J29">
        <v>21</v>
      </c>
      <c r="L29">
        <v>21029756</v>
      </c>
      <c r="M29">
        <v>211990057</v>
      </c>
      <c r="N29">
        <v>7</v>
      </c>
      <c r="O29">
        <v>18</v>
      </c>
      <c r="P29">
        <v>2021</v>
      </c>
      <c r="Q29" t="s">
        <v>652</v>
      </c>
      <c r="R29">
        <v>17</v>
      </c>
      <c r="S29">
        <v>98</v>
      </c>
      <c r="T29">
        <v>5</v>
      </c>
      <c r="U29">
        <v>0</v>
      </c>
      <c r="V29">
        <v>2</v>
      </c>
      <c r="W29">
        <v>5</v>
      </c>
      <c r="X29">
        <v>10</v>
      </c>
      <c r="Y29">
        <v>7</v>
      </c>
      <c r="Z29">
        <v>1</v>
      </c>
      <c r="AA29">
        <v>1</v>
      </c>
      <c r="AC29">
        <v>1</v>
      </c>
      <c r="AD29">
        <v>98</v>
      </c>
      <c r="AE29" t="s">
        <v>676</v>
      </c>
      <c r="AG29" t="s">
        <v>685</v>
      </c>
      <c r="AH29">
        <v>10</v>
      </c>
      <c r="AI29">
        <v>2</v>
      </c>
      <c r="AJ29">
        <v>3</v>
      </c>
      <c r="AK29">
        <v>4</v>
      </c>
      <c r="AL29">
        <v>21</v>
      </c>
      <c r="AM29">
        <v>30</v>
      </c>
      <c r="AN29" t="s">
        <v>614</v>
      </c>
      <c r="AO29">
        <v>5</v>
      </c>
      <c r="AP29">
        <v>1</v>
      </c>
      <c r="AT29">
        <v>90</v>
      </c>
      <c r="AU29">
        <v>9</v>
      </c>
      <c r="AV29">
        <v>30</v>
      </c>
      <c r="AW29">
        <v>11</v>
      </c>
      <c r="AX29">
        <v>21</v>
      </c>
      <c r="AY29">
        <v>2</v>
      </c>
      <c r="AZ29">
        <v>2</v>
      </c>
      <c r="BA29">
        <v>2</v>
      </c>
      <c r="BB29">
        <v>21</v>
      </c>
      <c r="BC29">
        <v>83</v>
      </c>
      <c r="BD29" t="s">
        <v>614</v>
      </c>
      <c r="BE29">
        <v>5</v>
      </c>
      <c r="BF29">
        <v>1</v>
      </c>
      <c r="BJ29">
        <v>90</v>
      </c>
      <c r="BK29">
        <v>9</v>
      </c>
      <c r="BL29">
        <v>30</v>
      </c>
      <c r="BM29">
        <v>11</v>
      </c>
      <c r="BN29">
        <v>21</v>
      </c>
      <c r="CU29">
        <v>536918.91</v>
      </c>
      <c r="CV29">
        <v>4878393.6359999999</v>
      </c>
      <c r="CW29">
        <v>44.05778789</v>
      </c>
      <c r="CX29">
        <v>-92.539075859999997</v>
      </c>
      <c r="CY29" s="319">
        <v>44395.739583333336</v>
      </c>
      <c r="CZ29" t="s">
        <v>615</v>
      </c>
      <c r="DA29" t="s">
        <v>664</v>
      </c>
      <c r="DB29" t="s">
        <v>665</v>
      </c>
      <c r="DC29" t="s">
        <v>666</v>
      </c>
      <c r="DD29" t="s">
        <v>687</v>
      </c>
    </row>
    <row r="30" spans="1:108" ht="16.5" customHeight="1" x14ac:dyDescent="0.25">
      <c r="A30">
        <v>60</v>
      </c>
      <c r="B30">
        <v>694339</v>
      </c>
      <c r="C30">
        <v>5</v>
      </c>
      <c r="D30">
        <v>164</v>
      </c>
      <c r="E30">
        <v>0.56100000000000005</v>
      </c>
      <c r="F30">
        <v>55</v>
      </c>
      <c r="G30" t="s">
        <v>643</v>
      </c>
      <c r="I30">
        <v>6</v>
      </c>
      <c r="J30">
        <v>21</v>
      </c>
      <c r="L30" t="s">
        <v>688</v>
      </c>
      <c r="M30">
        <v>190620097</v>
      </c>
      <c r="N30">
        <v>3</v>
      </c>
      <c r="O30">
        <v>3</v>
      </c>
      <c r="P30">
        <v>2019</v>
      </c>
      <c r="Q30" t="s">
        <v>652</v>
      </c>
      <c r="R30">
        <v>16</v>
      </c>
      <c r="S30" t="s">
        <v>673</v>
      </c>
      <c r="T30">
        <v>5</v>
      </c>
      <c r="U30">
        <v>0</v>
      </c>
      <c r="V30">
        <v>1</v>
      </c>
      <c r="X30">
        <v>32</v>
      </c>
      <c r="Y30">
        <v>7</v>
      </c>
      <c r="Z30">
        <v>1</v>
      </c>
      <c r="AA30">
        <v>1</v>
      </c>
      <c r="AC30">
        <v>3</v>
      </c>
      <c r="AD30">
        <v>98</v>
      </c>
      <c r="AE30" t="s">
        <v>670</v>
      </c>
      <c r="AG30" t="s">
        <v>685</v>
      </c>
      <c r="AH30">
        <v>3</v>
      </c>
      <c r="AI30">
        <v>2</v>
      </c>
      <c r="AJ30">
        <v>2</v>
      </c>
      <c r="AK30">
        <v>2</v>
      </c>
      <c r="AL30">
        <v>32</v>
      </c>
      <c r="AM30">
        <v>24</v>
      </c>
      <c r="AN30" t="s">
        <v>614</v>
      </c>
      <c r="AO30">
        <v>99</v>
      </c>
      <c r="AP30">
        <v>1</v>
      </c>
      <c r="AT30">
        <v>12</v>
      </c>
      <c r="AU30">
        <v>22</v>
      </c>
      <c r="AV30">
        <v>45</v>
      </c>
      <c r="AW30">
        <v>12</v>
      </c>
      <c r="AX30">
        <v>21</v>
      </c>
      <c r="CU30">
        <v>536922.13540000003</v>
      </c>
      <c r="CV30">
        <v>4878399.2520000003</v>
      </c>
      <c r="CW30">
        <v>44.057838289999999</v>
      </c>
      <c r="CX30">
        <v>-92.539035190000007</v>
      </c>
      <c r="CY30" s="319">
        <v>43527.703472222223</v>
      </c>
      <c r="CZ30" t="s">
        <v>615</v>
      </c>
      <c r="DA30" t="s">
        <v>664</v>
      </c>
      <c r="DB30" t="s">
        <v>665</v>
      </c>
      <c r="DC30" t="s">
        <v>666</v>
      </c>
      <c r="DD30" s="82" t="s">
        <v>689</v>
      </c>
    </row>
    <row r="31" spans="1:108" ht="16.5" customHeight="1" x14ac:dyDescent="0.25">
      <c r="A31">
        <v>60</v>
      </c>
      <c r="B31">
        <v>784932</v>
      </c>
      <c r="C31">
        <v>5</v>
      </c>
      <c r="D31">
        <v>164</v>
      </c>
      <c r="E31">
        <v>0.57399999999999995</v>
      </c>
      <c r="F31">
        <v>55</v>
      </c>
      <c r="G31" t="s">
        <v>643</v>
      </c>
      <c r="I31">
        <v>6</v>
      </c>
      <c r="J31">
        <v>21</v>
      </c>
      <c r="L31">
        <v>20005521</v>
      </c>
      <c r="M31">
        <v>200320089</v>
      </c>
      <c r="N31">
        <v>2</v>
      </c>
      <c r="O31">
        <v>1</v>
      </c>
      <c r="P31">
        <v>2020</v>
      </c>
      <c r="Q31" t="s">
        <v>655</v>
      </c>
      <c r="R31">
        <v>16</v>
      </c>
      <c r="S31">
        <v>98</v>
      </c>
      <c r="T31">
        <v>5</v>
      </c>
      <c r="U31">
        <v>0</v>
      </c>
      <c r="V31">
        <v>2</v>
      </c>
      <c r="W31">
        <v>5</v>
      </c>
      <c r="X31">
        <v>10</v>
      </c>
      <c r="Y31">
        <v>7</v>
      </c>
      <c r="Z31">
        <v>1</v>
      </c>
      <c r="AA31">
        <v>2</v>
      </c>
      <c r="AC31">
        <v>2</v>
      </c>
      <c r="AD31">
        <v>98</v>
      </c>
      <c r="AE31" t="s">
        <v>676</v>
      </c>
      <c r="AG31" t="s">
        <v>685</v>
      </c>
      <c r="AH31">
        <v>10</v>
      </c>
      <c r="AI31">
        <v>2</v>
      </c>
      <c r="AJ31">
        <v>4</v>
      </c>
      <c r="AK31">
        <v>4</v>
      </c>
      <c r="AL31">
        <v>32</v>
      </c>
      <c r="AM31">
        <v>28</v>
      </c>
      <c r="AN31" t="s">
        <v>620</v>
      </c>
      <c r="AO31">
        <v>5</v>
      </c>
      <c r="AP31">
        <v>1</v>
      </c>
      <c r="AT31">
        <v>11</v>
      </c>
      <c r="AU31">
        <v>22</v>
      </c>
      <c r="AV31">
        <v>45</v>
      </c>
      <c r="AW31">
        <v>13</v>
      </c>
      <c r="AX31">
        <v>21</v>
      </c>
      <c r="AY31">
        <v>2</v>
      </c>
      <c r="AZ31">
        <v>2</v>
      </c>
      <c r="BA31">
        <v>2</v>
      </c>
      <c r="BB31">
        <v>26</v>
      </c>
      <c r="BC31">
        <v>19</v>
      </c>
      <c r="BD31" t="s">
        <v>614</v>
      </c>
      <c r="BE31">
        <v>5</v>
      </c>
      <c r="BF31">
        <v>2</v>
      </c>
      <c r="BG31">
        <v>68</v>
      </c>
      <c r="BJ31">
        <v>12</v>
      </c>
      <c r="BK31">
        <v>22</v>
      </c>
      <c r="BM31">
        <v>13</v>
      </c>
      <c r="BN31">
        <v>21</v>
      </c>
      <c r="CU31">
        <v>536921.06660000002</v>
      </c>
      <c r="CV31">
        <v>4878419.2213000003</v>
      </c>
      <c r="CW31">
        <v>44.058018130000001</v>
      </c>
      <c r="CX31">
        <v>-92.539047139999994</v>
      </c>
      <c r="CY31" s="319">
        <v>43862.705555555556</v>
      </c>
      <c r="CZ31" t="s">
        <v>615</v>
      </c>
      <c r="DA31" t="s">
        <v>664</v>
      </c>
      <c r="DB31" t="s">
        <v>665</v>
      </c>
      <c r="DC31" t="s">
        <v>666</v>
      </c>
      <c r="DD31" s="82" t="s">
        <v>690</v>
      </c>
    </row>
    <row r="32" spans="1:108" ht="16.5" customHeight="1" x14ac:dyDescent="0.25">
      <c r="A32">
        <v>60</v>
      </c>
      <c r="B32">
        <v>667473</v>
      </c>
      <c r="F32">
        <v>55</v>
      </c>
      <c r="G32">
        <v>2396395</v>
      </c>
      <c r="J32">
        <v>21</v>
      </c>
      <c r="L32">
        <v>18060482</v>
      </c>
      <c r="M32">
        <v>183450159</v>
      </c>
      <c r="N32">
        <v>12</v>
      </c>
      <c r="O32">
        <v>11</v>
      </c>
      <c r="P32">
        <v>2018</v>
      </c>
      <c r="Q32" t="s">
        <v>625</v>
      </c>
      <c r="R32">
        <v>20</v>
      </c>
      <c r="T32">
        <v>5</v>
      </c>
      <c r="U32">
        <v>0</v>
      </c>
      <c r="V32">
        <v>1</v>
      </c>
      <c r="X32">
        <v>28</v>
      </c>
      <c r="Y32">
        <v>2</v>
      </c>
      <c r="Z32">
        <v>4</v>
      </c>
      <c r="AA32">
        <v>1</v>
      </c>
      <c r="AC32">
        <v>4</v>
      </c>
      <c r="AD32">
        <v>98</v>
      </c>
      <c r="AE32" t="s">
        <v>691</v>
      </c>
      <c r="AH32">
        <v>3</v>
      </c>
      <c r="AI32">
        <v>2</v>
      </c>
      <c r="AJ32">
        <v>2</v>
      </c>
      <c r="AK32">
        <v>3</v>
      </c>
      <c r="AL32">
        <v>32</v>
      </c>
      <c r="AM32">
        <v>33</v>
      </c>
      <c r="AN32" t="s">
        <v>614</v>
      </c>
      <c r="AO32">
        <v>5</v>
      </c>
      <c r="AP32">
        <v>68</v>
      </c>
      <c r="AT32">
        <v>14</v>
      </c>
      <c r="AU32">
        <v>22</v>
      </c>
      <c r="AV32">
        <v>45</v>
      </c>
      <c r="AW32">
        <v>12</v>
      </c>
      <c r="AX32">
        <v>21</v>
      </c>
      <c r="CU32">
        <v>536958.26187895995</v>
      </c>
      <c r="CV32">
        <v>4878349.9237679299</v>
      </c>
      <c r="CW32">
        <v>44.057384450000001</v>
      </c>
      <c r="CX32">
        <v>-92.538580199999998</v>
      </c>
      <c r="CY32" s="319">
        <v>43445.838194444441</v>
      </c>
      <c r="CZ32" t="s">
        <v>615</v>
      </c>
      <c r="DA32" t="s">
        <v>664</v>
      </c>
      <c r="DB32" t="s">
        <v>665</v>
      </c>
      <c r="DC32" t="s">
        <v>666</v>
      </c>
      <c r="DD32" s="82" t="s">
        <v>692</v>
      </c>
    </row>
    <row r="33" spans="1:108" ht="16.5" customHeight="1" x14ac:dyDescent="0.25">
      <c r="A33">
        <v>70</v>
      </c>
      <c r="B33">
        <v>684332</v>
      </c>
      <c r="C33">
        <v>4</v>
      </c>
      <c r="D33">
        <v>4</v>
      </c>
      <c r="E33">
        <v>6.7619999999999996</v>
      </c>
      <c r="F33">
        <v>55</v>
      </c>
      <c r="G33" t="s">
        <v>643</v>
      </c>
      <c r="I33">
        <v>6</v>
      </c>
      <c r="J33">
        <v>21</v>
      </c>
      <c r="L33">
        <v>19903977</v>
      </c>
      <c r="M33">
        <v>190370292</v>
      </c>
      <c r="N33">
        <v>2</v>
      </c>
      <c r="O33">
        <v>6</v>
      </c>
      <c r="P33">
        <v>2019</v>
      </c>
      <c r="Q33" t="s">
        <v>645</v>
      </c>
      <c r="R33">
        <v>18</v>
      </c>
      <c r="T33">
        <v>5</v>
      </c>
      <c r="U33">
        <v>0</v>
      </c>
      <c r="V33">
        <v>1</v>
      </c>
      <c r="X33">
        <v>32</v>
      </c>
      <c r="Y33">
        <v>10</v>
      </c>
      <c r="Z33">
        <v>4</v>
      </c>
      <c r="AA33">
        <v>4</v>
      </c>
      <c r="AB33">
        <v>5</v>
      </c>
      <c r="AC33">
        <v>3</v>
      </c>
      <c r="AD33">
        <v>98</v>
      </c>
      <c r="AE33" t="s">
        <v>662</v>
      </c>
      <c r="AG33" t="s">
        <v>668</v>
      </c>
      <c r="AH33">
        <v>3</v>
      </c>
      <c r="AI33">
        <v>2</v>
      </c>
      <c r="AJ33">
        <v>2</v>
      </c>
      <c r="AK33">
        <v>2</v>
      </c>
      <c r="AL33">
        <v>21</v>
      </c>
      <c r="AM33">
        <v>38</v>
      </c>
      <c r="AN33" t="s">
        <v>614</v>
      </c>
      <c r="AO33">
        <v>5</v>
      </c>
      <c r="AP33">
        <v>90</v>
      </c>
      <c r="AT33">
        <v>15</v>
      </c>
      <c r="AU33">
        <v>20</v>
      </c>
      <c r="AW33">
        <v>11</v>
      </c>
      <c r="AX33">
        <v>21</v>
      </c>
      <c r="CU33">
        <v>538078.90350000001</v>
      </c>
      <c r="CV33">
        <v>4878420.0113000004</v>
      </c>
      <c r="CW33">
        <v>44.057966010000001</v>
      </c>
      <c r="CX33">
        <v>-92.524591950000001</v>
      </c>
      <c r="CY33" s="319">
        <v>43502.772916666669</v>
      </c>
      <c r="CZ33" t="s">
        <v>615</v>
      </c>
      <c r="DA33" t="s">
        <v>664</v>
      </c>
      <c r="DB33" t="s">
        <v>616</v>
      </c>
      <c r="DC33" t="s">
        <v>617</v>
      </c>
      <c r="DD33" t="s">
        <v>693</v>
      </c>
    </row>
    <row r="34" spans="1:108" ht="16.5" customHeight="1" x14ac:dyDescent="0.25">
      <c r="A34">
        <v>70</v>
      </c>
      <c r="B34">
        <v>674737</v>
      </c>
      <c r="C34">
        <v>4</v>
      </c>
      <c r="D34">
        <v>4</v>
      </c>
      <c r="E34">
        <v>6.766</v>
      </c>
      <c r="F34">
        <v>55</v>
      </c>
      <c r="G34" t="s">
        <v>643</v>
      </c>
      <c r="I34">
        <v>6</v>
      </c>
      <c r="J34">
        <v>21</v>
      </c>
      <c r="L34" t="s">
        <v>694</v>
      </c>
      <c r="M34">
        <v>190080058</v>
      </c>
      <c r="N34">
        <v>1</v>
      </c>
      <c r="O34">
        <v>8</v>
      </c>
      <c r="P34">
        <v>2019</v>
      </c>
      <c r="Q34" t="s">
        <v>625</v>
      </c>
      <c r="R34">
        <v>12</v>
      </c>
      <c r="T34">
        <v>5</v>
      </c>
      <c r="U34">
        <v>0</v>
      </c>
      <c r="V34">
        <v>2</v>
      </c>
      <c r="W34">
        <v>12</v>
      </c>
      <c r="X34">
        <v>10</v>
      </c>
      <c r="Y34">
        <v>10</v>
      </c>
      <c r="Z34">
        <v>1</v>
      </c>
      <c r="AA34">
        <v>1</v>
      </c>
      <c r="AC34">
        <v>5</v>
      </c>
      <c r="AD34">
        <v>98</v>
      </c>
      <c r="AE34" t="s">
        <v>662</v>
      </c>
      <c r="AG34" t="s">
        <v>663</v>
      </c>
      <c r="AH34">
        <v>7</v>
      </c>
      <c r="AI34">
        <v>2</v>
      </c>
      <c r="AJ34">
        <v>4</v>
      </c>
      <c r="AK34">
        <v>3</v>
      </c>
      <c r="AL34">
        <v>34</v>
      </c>
      <c r="AM34">
        <v>44</v>
      </c>
      <c r="AN34" t="s">
        <v>620</v>
      </c>
      <c r="AO34">
        <v>5</v>
      </c>
      <c r="AP34">
        <v>90</v>
      </c>
      <c r="AT34">
        <v>90</v>
      </c>
      <c r="AU34">
        <v>20</v>
      </c>
      <c r="AV34">
        <v>30</v>
      </c>
      <c r="AW34">
        <v>11</v>
      </c>
      <c r="AX34">
        <v>21</v>
      </c>
      <c r="AY34">
        <v>2</v>
      </c>
      <c r="AZ34">
        <v>2</v>
      </c>
      <c r="BA34">
        <v>3</v>
      </c>
      <c r="BB34">
        <v>21</v>
      </c>
      <c r="BC34">
        <v>29</v>
      </c>
      <c r="BD34" t="s">
        <v>614</v>
      </c>
      <c r="BE34">
        <v>5</v>
      </c>
      <c r="BF34">
        <v>90</v>
      </c>
      <c r="BJ34">
        <v>12</v>
      </c>
      <c r="BK34">
        <v>20</v>
      </c>
      <c r="BL34">
        <v>30</v>
      </c>
      <c r="BM34">
        <v>11</v>
      </c>
      <c r="BN34">
        <v>21</v>
      </c>
      <c r="CU34">
        <v>538088.10210000002</v>
      </c>
      <c r="CV34">
        <v>4878403.8828999996</v>
      </c>
      <c r="CW34">
        <v>44.057820329999998</v>
      </c>
      <c r="CX34">
        <v>-92.524478270000003</v>
      </c>
      <c r="CY34" s="319">
        <v>43473.513888888891</v>
      </c>
      <c r="CZ34" t="s">
        <v>615</v>
      </c>
      <c r="DA34" t="s">
        <v>664</v>
      </c>
      <c r="DB34" t="s">
        <v>616</v>
      </c>
      <c r="DC34" t="s">
        <v>617</v>
      </c>
      <c r="DD34" t="s">
        <v>695</v>
      </c>
    </row>
    <row r="35" spans="1:108" ht="16.5" customHeight="1" x14ac:dyDescent="0.25">
      <c r="A35">
        <v>70</v>
      </c>
      <c r="B35">
        <v>969036</v>
      </c>
      <c r="C35">
        <v>4</v>
      </c>
      <c r="D35">
        <v>4</v>
      </c>
      <c r="E35">
        <v>6.774</v>
      </c>
      <c r="F35">
        <v>55</v>
      </c>
      <c r="G35" t="s">
        <v>643</v>
      </c>
      <c r="I35">
        <v>6</v>
      </c>
      <c r="J35">
        <v>21</v>
      </c>
      <c r="L35">
        <v>21046123</v>
      </c>
      <c r="M35">
        <v>212980021</v>
      </c>
      <c r="N35">
        <v>10</v>
      </c>
      <c r="O35">
        <v>25</v>
      </c>
      <c r="P35">
        <v>2021</v>
      </c>
      <c r="Q35" t="s">
        <v>610</v>
      </c>
      <c r="R35">
        <v>9</v>
      </c>
      <c r="S35">
        <v>98</v>
      </c>
      <c r="T35">
        <v>3</v>
      </c>
      <c r="U35">
        <v>0</v>
      </c>
      <c r="V35">
        <v>2</v>
      </c>
      <c r="W35">
        <v>5</v>
      </c>
      <c r="X35">
        <v>10</v>
      </c>
      <c r="Y35">
        <v>3</v>
      </c>
      <c r="Z35">
        <v>1</v>
      </c>
      <c r="AA35">
        <v>1</v>
      </c>
      <c r="AC35">
        <v>1</v>
      </c>
      <c r="AD35">
        <v>98</v>
      </c>
      <c r="AE35" t="s">
        <v>662</v>
      </c>
      <c r="AF35" t="s">
        <v>696</v>
      </c>
      <c r="AG35" t="s">
        <v>663</v>
      </c>
      <c r="AH35">
        <v>10</v>
      </c>
      <c r="AI35">
        <v>2</v>
      </c>
      <c r="AJ35">
        <v>3</v>
      </c>
      <c r="AK35">
        <v>4</v>
      </c>
      <c r="AL35">
        <v>21</v>
      </c>
      <c r="AM35">
        <v>46</v>
      </c>
      <c r="AN35" t="s">
        <v>620</v>
      </c>
      <c r="AO35">
        <v>5</v>
      </c>
      <c r="AP35">
        <v>1</v>
      </c>
      <c r="AT35">
        <v>14</v>
      </c>
      <c r="AU35">
        <v>20</v>
      </c>
      <c r="AV35">
        <v>45</v>
      </c>
      <c r="AW35">
        <v>11</v>
      </c>
      <c r="AX35">
        <v>23</v>
      </c>
      <c r="AY35">
        <v>2</v>
      </c>
      <c r="AZ35">
        <v>2</v>
      </c>
      <c r="BA35">
        <v>2</v>
      </c>
      <c r="BB35">
        <v>21</v>
      </c>
      <c r="BC35">
        <v>19</v>
      </c>
      <c r="BD35" t="s">
        <v>620</v>
      </c>
      <c r="BE35">
        <v>7</v>
      </c>
      <c r="BF35">
        <v>63</v>
      </c>
      <c r="BJ35">
        <v>14</v>
      </c>
      <c r="BK35">
        <v>20</v>
      </c>
      <c r="BL35">
        <v>55</v>
      </c>
      <c r="BM35">
        <v>11</v>
      </c>
      <c r="BN35">
        <v>21</v>
      </c>
      <c r="CU35">
        <v>538100.80819999997</v>
      </c>
      <c r="CV35">
        <v>4878404.1152999997</v>
      </c>
      <c r="CW35">
        <v>44.057821760000003</v>
      </c>
      <c r="CX35">
        <v>-92.524319629999994</v>
      </c>
      <c r="CY35" s="319">
        <v>44494.378472222219</v>
      </c>
      <c r="CZ35" t="s">
        <v>615</v>
      </c>
      <c r="DA35" t="s">
        <v>664</v>
      </c>
      <c r="DB35" t="s">
        <v>665</v>
      </c>
      <c r="DC35" t="s">
        <v>666</v>
      </c>
      <c r="DD35" t="s">
        <v>697</v>
      </c>
    </row>
    <row r="36" spans="1:108" ht="16.5" customHeight="1" x14ac:dyDescent="0.25">
      <c r="A36">
        <v>70</v>
      </c>
      <c r="B36">
        <v>820824</v>
      </c>
      <c r="C36">
        <v>4</v>
      </c>
      <c r="D36">
        <v>4</v>
      </c>
      <c r="E36">
        <v>6.7779999999999996</v>
      </c>
      <c r="F36">
        <v>55</v>
      </c>
      <c r="G36" t="s">
        <v>643</v>
      </c>
      <c r="I36">
        <v>6</v>
      </c>
      <c r="J36">
        <v>21</v>
      </c>
      <c r="L36">
        <v>20031820</v>
      </c>
      <c r="M36">
        <v>202030029</v>
      </c>
      <c r="N36">
        <v>7</v>
      </c>
      <c r="O36">
        <v>21</v>
      </c>
      <c r="P36">
        <v>2020</v>
      </c>
      <c r="Q36" t="s">
        <v>625</v>
      </c>
      <c r="R36">
        <v>11</v>
      </c>
      <c r="S36" t="s">
        <v>639</v>
      </c>
      <c r="T36">
        <v>5</v>
      </c>
      <c r="U36">
        <v>0</v>
      </c>
      <c r="V36">
        <v>2</v>
      </c>
      <c r="W36">
        <v>10</v>
      </c>
      <c r="X36">
        <v>10</v>
      </c>
      <c r="Y36">
        <v>3</v>
      </c>
      <c r="Z36">
        <v>1</v>
      </c>
      <c r="AA36">
        <v>2</v>
      </c>
      <c r="AC36">
        <v>1</v>
      </c>
      <c r="AD36">
        <v>98</v>
      </c>
      <c r="AE36" t="s">
        <v>662</v>
      </c>
      <c r="AF36" t="s">
        <v>696</v>
      </c>
      <c r="AG36" t="s">
        <v>668</v>
      </c>
      <c r="AH36">
        <v>5</v>
      </c>
      <c r="AI36">
        <v>2</v>
      </c>
      <c r="AJ36">
        <v>4</v>
      </c>
      <c r="AK36">
        <v>4</v>
      </c>
      <c r="AL36">
        <v>24</v>
      </c>
      <c r="AM36">
        <v>77</v>
      </c>
      <c r="AN36" t="s">
        <v>614</v>
      </c>
      <c r="AO36">
        <v>5</v>
      </c>
      <c r="AP36">
        <v>10</v>
      </c>
      <c r="AT36">
        <v>15</v>
      </c>
      <c r="AU36">
        <v>20</v>
      </c>
      <c r="AV36">
        <v>45</v>
      </c>
      <c r="AW36">
        <v>12</v>
      </c>
      <c r="AX36">
        <v>21</v>
      </c>
      <c r="AY36">
        <v>2</v>
      </c>
      <c r="AZ36">
        <v>5</v>
      </c>
      <c r="BA36">
        <v>4</v>
      </c>
      <c r="BB36">
        <v>24</v>
      </c>
      <c r="BC36">
        <v>27</v>
      </c>
      <c r="BD36" t="s">
        <v>620</v>
      </c>
      <c r="BE36">
        <v>5</v>
      </c>
      <c r="BF36">
        <v>1</v>
      </c>
      <c r="BJ36">
        <v>15</v>
      </c>
      <c r="BK36">
        <v>20</v>
      </c>
      <c r="BL36">
        <v>45</v>
      </c>
      <c r="BM36">
        <v>12</v>
      </c>
      <c r="BN36">
        <v>21</v>
      </c>
      <c r="CU36">
        <v>538105.64210000006</v>
      </c>
      <c r="CV36">
        <v>4878420.1820999999</v>
      </c>
      <c r="CW36">
        <v>44.057966159999999</v>
      </c>
      <c r="CX36">
        <v>-92.524258119999999</v>
      </c>
      <c r="CY36" s="319">
        <v>44033.490277777775</v>
      </c>
      <c r="CZ36" t="s">
        <v>615</v>
      </c>
      <c r="DA36" t="s">
        <v>664</v>
      </c>
      <c r="DB36" t="s">
        <v>665</v>
      </c>
      <c r="DC36" t="s">
        <v>666</v>
      </c>
      <c r="DD36" s="82" t="s">
        <v>698</v>
      </c>
    </row>
    <row r="37" spans="1:108" ht="16.5" customHeight="1" x14ac:dyDescent="0.25">
      <c r="A37">
        <v>70</v>
      </c>
      <c r="B37">
        <v>510194</v>
      </c>
      <c r="C37">
        <v>4</v>
      </c>
      <c r="D37">
        <v>4</v>
      </c>
      <c r="E37">
        <v>6.782</v>
      </c>
      <c r="F37">
        <v>55</v>
      </c>
      <c r="G37" t="s">
        <v>643</v>
      </c>
      <c r="I37">
        <v>6</v>
      </c>
      <c r="J37">
        <v>21</v>
      </c>
      <c r="L37">
        <v>17051529</v>
      </c>
      <c r="M37">
        <v>172930069</v>
      </c>
      <c r="N37">
        <v>10</v>
      </c>
      <c r="O37">
        <v>20</v>
      </c>
      <c r="P37">
        <v>2017</v>
      </c>
      <c r="Q37" t="s">
        <v>638</v>
      </c>
      <c r="R37">
        <v>13</v>
      </c>
      <c r="S37" t="s">
        <v>673</v>
      </c>
      <c r="T37">
        <v>3</v>
      </c>
      <c r="U37">
        <v>0</v>
      </c>
      <c r="V37">
        <v>3</v>
      </c>
      <c r="W37">
        <v>5</v>
      </c>
      <c r="X37">
        <v>10</v>
      </c>
      <c r="Y37">
        <v>3</v>
      </c>
      <c r="Z37">
        <v>1</v>
      </c>
      <c r="AA37">
        <v>2</v>
      </c>
      <c r="AC37">
        <v>1</v>
      </c>
      <c r="AD37">
        <v>98</v>
      </c>
      <c r="AE37" t="s">
        <v>662</v>
      </c>
      <c r="AF37" t="s">
        <v>696</v>
      </c>
      <c r="AG37" t="s">
        <v>663</v>
      </c>
      <c r="AH37">
        <v>10</v>
      </c>
      <c r="AI37">
        <v>2</v>
      </c>
      <c r="AJ37">
        <v>2</v>
      </c>
      <c r="AK37">
        <v>4</v>
      </c>
      <c r="AL37">
        <v>21</v>
      </c>
      <c r="AM37">
        <v>53</v>
      </c>
      <c r="AN37" t="s">
        <v>614</v>
      </c>
      <c r="AO37">
        <v>5</v>
      </c>
      <c r="AP37">
        <v>63</v>
      </c>
      <c r="AT37">
        <v>15</v>
      </c>
      <c r="AU37">
        <v>20</v>
      </c>
      <c r="AV37">
        <v>45</v>
      </c>
      <c r="AW37">
        <v>11</v>
      </c>
      <c r="AX37">
        <v>23</v>
      </c>
      <c r="AY37">
        <v>2</v>
      </c>
      <c r="AZ37">
        <v>2</v>
      </c>
      <c r="BA37">
        <v>2</v>
      </c>
      <c r="BB37">
        <v>21</v>
      </c>
      <c r="BC37">
        <v>31</v>
      </c>
      <c r="BD37" t="s">
        <v>620</v>
      </c>
      <c r="BE37">
        <v>5</v>
      </c>
      <c r="BF37">
        <v>1</v>
      </c>
      <c r="BJ37">
        <v>15</v>
      </c>
      <c r="BK37">
        <v>20</v>
      </c>
      <c r="BL37">
        <v>55</v>
      </c>
      <c r="BM37">
        <v>11</v>
      </c>
      <c r="BN37">
        <v>21</v>
      </c>
      <c r="BO37">
        <v>2</v>
      </c>
      <c r="BP37">
        <v>2</v>
      </c>
      <c r="BQ37">
        <v>3</v>
      </c>
      <c r="BR37">
        <v>34</v>
      </c>
      <c r="BS37">
        <v>42</v>
      </c>
      <c r="BT37" t="s">
        <v>614</v>
      </c>
      <c r="BU37">
        <v>5</v>
      </c>
      <c r="BV37">
        <v>1</v>
      </c>
      <c r="BZ37">
        <v>15</v>
      </c>
      <c r="CA37">
        <v>20</v>
      </c>
      <c r="CB37">
        <v>45</v>
      </c>
      <c r="CC37">
        <v>11</v>
      </c>
      <c r="CD37">
        <v>21</v>
      </c>
      <c r="CU37">
        <v>538112.5747</v>
      </c>
      <c r="CV37">
        <v>4878404.3305000002</v>
      </c>
      <c r="CW37">
        <v>44.057823079999999</v>
      </c>
      <c r="CX37">
        <v>-92.524172710000002</v>
      </c>
      <c r="CY37" s="319">
        <v>43028.543749999997</v>
      </c>
      <c r="CZ37" t="s">
        <v>615</v>
      </c>
      <c r="DA37" t="s">
        <v>664</v>
      </c>
      <c r="DB37" t="s">
        <v>665</v>
      </c>
      <c r="DC37" t="s">
        <v>666</v>
      </c>
      <c r="DD37" s="82" t="s">
        <v>699</v>
      </c>
    </row>
    <row r="38" spans="1:108" ht="16.5" customHeight="1" x14ac:dyDescent="0.25">
      <c r="A38">
        <v>70</v>
      </c>
      <c r="B38">
        <v>630997</v>
      </c>
      <c r="C38">
        <v>4</v>
      </c>
      <c r="D38">
        <v>4</v>
      </c>
      <c r="E38">
        <v>6.7850000000000001</v>
      </c>
      <c r="F38">
        <v>55</v>
      </c>
      <c r="G38" t="s">
        <v>643</v>
      </c>
      <c r="I38">
        <v>6</v>
      </c>
      <c r="J38">
        <v>21</v>
      </c>
      <c r="L38">
        <v>18040105</v>
      </c>
      <c r="M38">
        <v>182340262</v>
      </c>
      <c r="N38">
        <v>8</v>
      </c>
      <c r="O38">
        <v>22</v>
      </c>
      <c r="P38">
        <v>2018</v>
      </c>
      <c r="Q38" t="s">
        <v>645</v>
      </c>
      <c r="R38">
        <v>19</v>
      </c>
      <c r="S38" t="s">
        <v>673</v>
      </c>
      <c r="T38">
        <v>3</v>
      </c>
      <c r="U38">
        <v>0</v>
      </c>
      <c r="V38">
        <v>2</v>
      </c>
      <c r="W38">
        <v>13</v>
      </c>
      <c r="X38">
        <v>10</v>
      </c>
      <c r="Y38">
        <v>3</v>
      </c>
      <c r="Z38">
        <v>3</v>
      </c>
      <c r="AA38">
        <v>1</v>
      </c>
      <c r="AC38">
        <v>1</v>
      </c>
      <c r="AD38">
        <v>98</v>
      </c>
      <c r="AE38" t="s">
        <v>662</v>
      </c>
      <c r="AF38" t="s">
        <v>696</v>
      </c>
      <c r="AG38" t="s">
        <v>663</v>
      </c>
      <c r="AH38">
        <v>10</v>
      </c>
      <c r="AI38">
        <v>2</v>
      </c>
      <c r="AJ38">
        <v>2</v>
      </c>
      <c r="AK38">
        <v>2</v>
      </c>
      <c r="AL38">
        <v>21</v>
      </c>
      <c r="AM38">
        <v>17</v>
      </c>
      <c r="AN38" t="s">
        <v>620</v>
      </c>
      <c r="AO38">
        <v>5</v>
      </c>
      <c r="AP38">
        <v>74</v>
      </c>
      <c r="AT38">
        <v>14</v>
      </c>
      <c r="AU38">
        <v>20</v>
      </c>
      <c r="AV38">
        <v>55</v>
      </c>
      <c r="AW38">
        <v>11</v>
      </c>
      <c r="AX38">
        <v>22</v>
      </c>
      <c r="AY38">
        <v>2</v>
      </c>
      <c r="AZ38">
        <v>4</v>
      </c>
      <c r="BA38">
        <v>3</v>
      </c>
      <c r="BB38">
        <v>21</v>
      </c>
      <c r="BC38">
        <v>27</v>
      </c>
      <c r="BD38" t="s">
        <v>614</v>
      </c>
      <c r="BE38">
        <v>5</v>
      </c>
      <c r="BF38">
        <v>1</v>
      </c>
      <c r="BJ38">
        <v>14</v>
      </c>
      <c r="BK38">
        <v>20</v>
      </c>
      <c r="BL38">
        <v>55</v>
      </c>
      <c r="BM38">
        <v>11</v>
      </c>
      <c r="BN38">
        <v>22</v>
      </c>
      <c r="CU38">
        <v>538118.43299999996</v>
      </c>
      <c r="CV38">
        <v>4878404.4376999997</v>
      </c>
      <c r="CW38">
        <v>44.057823740000003</v>
      </c>
      <c r="CX38">
        <v>-92.524099559999996</v>
      </c>
      <c r="CY38" s="319">
        <v>43334.809027777781</v>
      </c>
      <c r="CZ38" t="s">
        <v>615</v>
      </c>
      <c r="DA38" t="s">
        <v>664</v>
      </c>
      <c r="DB38" t="s">
        <v>665</v>
      </c>
      <c r="DC38" t="s">
        <v>666</v>
      </c>
      <c r="DD38" s="82" t="s">
        <v>700</v>
      </c>
    </row>
    <row r="39" spans="1:108" ht="16.5" customHeight="1" x14ac:dyDescent="0.25">
      <c r="A39">
        <v>70</v>
      </c>
      <c r="B39">
        <v>679141</v>
      </c>
      <c r="C39">
        <v>4</v>
      </c>
      <c r="D39">
        <v>4</v>
      </c>
      <c r="E39">
        <v>6.7850000000000001</v>
      </c>
      <c r="F39">
        <v>55</v>
      </c>
      <c r="G39" t="s">
        <v>643</v>
      </c>
      <c r="I39">
        <v>6</v>
      </c>
      <c r="J39">
        <v>21</v>
      </c>
      <c r="L39">
        <v>19003946</v>
      </c>
      <c r="M39">
        <v>190260002</v>
      </c>
      <c r="N39">
        <v>1</v>
      </c>
      <c r="O39">
        <v>26</v>
      </c>
      <c r="P39">
        <v>2019</v>
      </c>
      <c r="Q39" t="s">
        <v>655</v>
      </c>
      <c r="R39">
        <v>0</v>
      </c>
      <c r="S39" t="s">
        <v>646</v>
      </c>
      <c r="T39">
        <v>3</v>
      </c>
      <c r="U39">
        <v>0</v>
      </c>
      <c r="V39">
        <v>2</v>
      </c>
      <c r="W39">
        <v>12</v>
      </c>
      <c r="X39">
        <v>10</v>
      </c>
      <c r="Y39">
        <v>3</v>
      </c>
      <c r="Z39">
        <v>4</v>
      </c>
      <c r="AA39">
        <v>1</v>
      </c>
      <c r="AC39">
        <v>1</v>
      </c>
      <c r="AD39">
        <v>98</v>
      </c>
      <c r="AE39" t="s">
        <v>662</v>
      </c>
      <c r="AF39" t="s">
        <v>696</v>
      </c>
      <c r="AG39" t="s">
        <v>663</v>
      </c>
      <c r="AH39">
        <v>7</v>
      </c>
      <c r="AI39">
        <v>2</v>
      </c>
      <c r="AJ39">
        <v>2</v>
      </c>
      <c r="AK39">
        <v>3</v>
      </c>
      <c r="AL39">
        <v>26</v>
      </c>
      <c r="AM39">
        <v>22</v>
      </c>
      <c r="AN39" t="s">
        <v>620</v>
      </c>
      <c r="AO39">
        <v>5</v>
      </c>
      <c r="AP39">
        <v>4</v>
      </c>
      <c r="AT39">
        <v>15</v>
      </c>
      <c r="AU39">
        <v>20</v>
      </c>
      <c r="AV39">
        <v>45</v>
      </c>
      <c r="AW39">
        <v>11</v>
      </c>
      <c r="AX39">
        <v>24</v>
      </c>
      <c r="AY39">
        <v>2</v>
      </c>
      <c r="AZ39">
        <v>2</v>
      </c>
      <c r="BA39">
        <v>3</v>
      </c>
      <c r="BB39">
        <v>34</v>
      </c>
      <c r="BC39">
        <v>20</v>
      </c>
      <c r="BD39" t="s">
        <v>620</v>
      </c>
      <c r="BE39">
        <v>5</v>
      </c>
      <c r="BF39">
        <v>90</v>
      </c>
      <c r="BJ39">
        <v>15</v>
      </c>
      <c r="BK39">
        <v>20</v>
      </c>
      <c r="BL39">
        <v>45</v>
      </c>
      <c r="BM39">
        <v>11</v>
      </c>
      <c r="BN39">
        <v>24</v>
      </c>
      <c r="CU39">
        <v>538118.59420000005</v>
      </c>
      <c r="CV39">
        <v>4878404.4406000003</v>
      </c>
      <c r="CW39">
        <v>44.057823759999998</v>
      </c>
      <c r="CX39">
        <v>-92.524097549999993</v>
      </c>
      <c r="CY39" s="319">
        <v>43491.021527777775</v>
      </c>
      <c r="CZ39" t="s">
        <v>615</v>
      </c>
      <c r="DA39" t="s">
        <v>664</v>
      </c>
      <c r="DB39" t="s">
        <v>665</v>
      </c>
      <c r="DC39" t="s">
        <v>666</v>
      </c>
      <c r="DD39" t="s">
        <v>701</v>
      </c>
    </row>
    <row r="40" spans="1:108" ht="16.5" customHeight="1" x14ac:dyDescent="0.25">
      <c r="A40">
        <v>70</v>
      </c>
      <c r="B40">
        <v>470598</v>
      </c>
      <c r="C40">
        <v>4</v>
      </c>
      <c r="D40">
        <v>4</v>
      </c>
      <c r="E40">
        <v>6.7869999999999999</v>
      </c>
      <c r="F40">
        <v>55</v>
      </c>
      <c r="G40" t="s">
        <v>643</v>
      </c>
      <c r="I40">
        <v>6</v>
      </c>
      <c r="J40">
        <v>21</v>
      </c>
      <c r="L40" t="s">
        <v>702</v>
      </c>
      <c r="M40">
        <v>171690014</v>
      </c>
      <c r="N40">
        <v>6</v>
      </c>
      <c r="O40">
        <v>18</v>
      </c>
      <c r="P40">
        <v>2017</v>
      </c>
      <c r="Q40" t="s">
        <v>652</v>
      </c>
      <c r="R40">
        <v>8</v>
      </c>
      <c r="T40">
        <v>3</v>
      </c>
      <c r="U40">
        <v>0</v>
      </c>
      <c r="V40">
        <v>2</v>
      </c>
      <c r="W40">
        <v>5</v>
      </c>
      <c r="X40">
        <v>10</v>
      </c>
      <c r="Y40">
        <v>3</v>
      </c>
      <c r="Z40">
        <v>1</v>
      </c>
      <c r="AA40">
        <v>1</v>
      </c>
      <c r="AC40">
        <v>1</v>
      </c>
      <c r="AD40">
        <v>1</v>
      </c>
      <c r="AE40" t="s">
        <v>703</v>
      </c>
      <c r="AF40" t="s">
        <v>696</v>
      </c>
      <c r="AG40" t="s">
        <v>663</v>
      </c>
      <c r="AH40">
        <v>10</v>
      </c>
      <c r="AI40">
        <v>2</v>
      </c>
      <c r="AJ40">
        <v>2</v>
      </c>
      <c r="AK40">
        <v>2</v>
      </c>
      <c r="AL40">
        <v>21</v>
      </c>
      <c r="AM40">
        <v>40</v>
      </c>
      <c r="AN40" t="s">
        <v>614</v>
      </c>
      <c r="AO40">
        <v>5</v>
      </c>
      <c r="AP40">
        <v>63</v>
      </c>
      <c r="AQ40">
        <v>2</v>
      </c>
      <c r="AT40">
        <v>15</v>
      </c>
      <c r="AU40">
        <v>20</v>
      </c>
      <c r="AV40">
        <v>55</v>
      </c>
      <c r="AW40">
        <v>11</v>
      </c>
      <c r="AX40">
        <v>21</v>
      </c>
      <c r="AY40">
        <v>2</v>
      </c>
      <c r="AZ40">
        <v>2</v>
      </c>
      <c r="BA40">
        <v>4</v>
      </c>
      <c r="BB40">
        <v>24</v>
      </c>
      <c r="BC40">
        <v>78</v>
      </c>
      <c r="BD40" t="s">
        <v>614</v>
      </c>
      <c r="BE40">
        <v>5</v>
      </c>
      <c r="BF40">
        <v>1</v>
      </c>
      <c r="BJ40">
        <v>15</v>
      </c>
      <c r="BK40">
        <v>20</v>
      </c>
      <c r="BL40">
        <v>55</v>
      </c>
      <c r="BM40">
        <v>11</v>
      </c>
      <c r="BN40">
        <v>21</v>
      </c>
      <c r="CU40">
        <v>538120.77289999998</v>
      </c>
      <c r="CV40">
        <v>4878404.4804999996</v>
      </c>
      <c r="CW40">
        <v>44.057824009999997</v>
      </c>
      <c r="CX40">
        <v>-92.524070350000002</v>
      </c>
      <c r="CY40" s="319">
        <v>42904.334027777775</v>
      </c>
      <c r="CZ40" t="s">
        <v>615</v>
      </c>
      <c r="DA40" t="s">
        <v>664</v>
      </c>
      <c r="DB40" t="s">
        <v>665</v>
      </c>
      <c r="DC40" t="s">
        <v>666</v>
      </c>
      <c r="DD40" t="s">
        <v>704</v>
      </c>
    </row>
    <row r="41" spans="1:108" ht="16.5" customHeight="1" x14ac:dyDescent="0.25">
      <c r="A41">
        <v>70</v>
      </c>
      <c r="B41">
        <v>779275</v>
      </c>
      <c r="C41">
        <v>4</v>
      </c>
      <c r="D41">
        <v>4</v>
      </c>
      <c r="E41">
        <v>6.7869999999999999</v>
      </c>
      <c r="F41">
        <v>55</v>
      </c>
      <c r="G41" t="s">
        <v>643</v>
      </c>
      <c r="I41">
        <v>6</v>
      </c>
      <c r="J41">
        <v>21</v>
      </c>
      <c r="L41" t="s">
        <v>705</v>
      </c>
      <c r="M41">
        <v>200140019</v>
      </c>
      <c r="N41">
        <v>1</v>
      </c>
      <c r="O41">
        <v>14</v>
      </c>
      <c r="P41">
        <v>2020</v>
      </c>
      <c r="Q41" t="s">
        <v>625</v>
      </c>
      <c r="R41">
        <v>6</v>
      </c>
      <c r="S41" t="s">
        <v>673</v>
      </c>
      <c r="T41">
        <v>5</v>
      </c>
      <c r="U41">
        <v>0</v>
      </c>
      <c r="V41">
        <v>2</v>
      </c>
      <c r="W41">
        <v>10</v>
      </c>
      <c r="X41">
        <v>10</v>
      </c>
      <c r="Y41">
        <v>3</v>
      </c>
      <c r="Z41">
        <v>1</v>
      </c>
      <c r="AA41">
        <v>4</v>
      </c>
      <c r="AC41">
        <v>3</v>
      </c>
      <c r="AD41">
        <v>98</v>
      </c>
      <c r="AE41" t="s">
        <v>662</v>
      </c>
      <c r="AF41" t="s">
        <v>696</v>
      </c>
      <c r="AG41" t="s">
        <v>663</v>
      </c>
      <c r="AH41">
        <v>5</v>
      </c>
      <c r="AI41">
        <v>2</v>
      </c>
      <c r="AJ41">
        <v>4</v>
      </c>
      <c r="AK41">
        <v>3</v>
      </c>
      <c r="AL41">
        <v>27</v>
      </c>
      <c r="AM41">
        <v>56</v>
      </c>
      <c r="AN41" t="s">
        <v>614</v>
      </c>
      <c r="AO41">
        <v>5</v>
      </c>
      <c r="AP41">
        <v>71</v>
      </c>
      <c r="AT41">
        <v>15</v>
      </c>
      <c r="AU41">
        <v>20</v>
      </c>
      <c r="AV41">
        <v>45</v>
      </c>
      <c r="AW41">
        <v>11</v>
      </c>
      <c r="AX41">
        <v>24</v>
      </c>
      <c r="AY41">
        <v>2</v>
      </c>
      <c r="AZ41">
        <v>4</v>
      </c>
      <c r="BA41">
        <v>2</v>
      </c>
      <c r="BB41">
        <v>21</v>
      </c>
      <c r="BC41">
        <v>28</v>
      </c>
      <c r="BD41" t="s">
        <v>620</v>
      </c>
      <c r="BE41">
        <v>5</v>
      </c>
      <c r="BF41">
        <v>1</v>
      </c>
      <c r="BJ41">
        <v>15</v>
      </c>
      <c r="BK41">
        <v>20</v>
      </c>
      <c r="BL41">
        <v>55</v>
      </c>
      <c r="BM41">
        <v>11</v>
      </c>
      <c r="BN41">
        <v>21</v>
      </c>
      <c r="CU41">
        <v>538121.53500000003</v>
      </c>
      <c r="CV41">
        <v>4878404.4944000002</v>
      </c>
      <c r="CW41">
        <v>44.057824089999997</v>
      </c>
      <c r="CX41">
        <v>-92.524060829999996</v>
      </c>
      <c r="CY41" s="319">
        <v>43844.26666666667</v>
      </c>
      <c r="CZ41" t="s">
        <v>615</v>
      </c>
      <c r="DA41" t="s">
        <v>664</v>
      </c>
      <c r="DB41" t="s">
        <v>665</v>
      </c>
      <c r="DC41" t="s">
        <v>666</v>
      </c>
      <c r="DD41" s="82" t="s">
        <v>706</v>
      </c>
    </row>
    <row r="42" spans="1:108" ht="16.5" customHeight="1" x14ac:dyDescent="0.25">
      <c r="A42">
        <v>70</v>
      </c>
      <c r="B42">
        <v>695192</v>
      </c>
      <c r="C42">
        <v>4</v>
      </c>
      <c r="D42">
        <v>4</v>
      </c>
      <c r="E42">
        <v>6.7910000000000004</v>
      </c>
      <c r="F42">
        <v>55</v>
      </c>
      <c r="G42" t="s">
        <v>643</v>
      </c>
      <c r="I42">
        <v>6</v>
      </c>
      <c r="J42">
        <v>21</v>
      </c>
      <c r="L42" t="s">
        <v>707</v>
      </c>
      <c r="M42">
        <v>190640228</v>
      </c>
      <c r="N42">
        <v>3</v>
      </c>
      <c r="O42">
        <v>5</v>
      </c>
      <c r="P42">
        <v>2019</v>
      </c>
      <c r="Q42" t="s">
        <v>625</v>
      </c>
      <c r="R42">
        <v>17</v>
      </c>
      <c r="T42">
        <v>5</v>
      </c>
      <c r="U42">
        <v>0</v>
      </c>
      <c r="V42">
        <v>2</v>
      </c>
      <c r="W42">
        <v>12</v>
      </c>
      <c r="X42">
        <v>10</v>
      </c>
      <c r="Y42">
        <v>3</v>
      </c>
      <c r="Z42">
        <v>1</v>
      </c>
      <c r="AA42">
        <v>1</v>
      </c>
      <c r="AC42">
        <v>1</v>
      </c>
      <c r="AD42">
        <v>98</v>
      </c>
      <c r="AE42" t="s">
        <v>662</v>
      </c>
      <c r="AG42" t="s">
        <v>668</v>
      </c>
      <c r="AH42">
        <v>7</v>
      </c>
      <c r="AI42">
        <v>2</v>
      </c>
      <c r="AJ42">
        <v>4</v>
      </c>
      <c r="AK42">
        <v>1</v>
      </c>
      <c r="AL42">
        <v>21</v>
      </c>
      <c r="AM42">
        <v>44</v>
      </c>
      <c r="AN42" t="s">
        <v>614</v>
      </c>
      <c r="AO42">
        <v>5</v>
      </c>
      <c r="AP42">
        <v>10</v>
      </c>
      <c r="AT42">
        <v>15</v>
      </c>
      <c r="AU42">
        <v>22</v>
      </c>
      <c r="AV42">
        <v>55</v>
      </c>
      <c r="AW42">
        <v>11</v>
      </c>
      <c r="AX42">
        <v>21</v>
      </c>
      <c r="AY42">
        <v>2</v>
      </c>
      <c r="AZ42">
        <v>2</v>
      </c>
      <c r="BA42">
        <v>1</v>
      </c>
      <c r="BB42">
        <v>21</v>
      </c>
      <c r="BC42">
        <v>48</v>
      </c>
      <c r="BD42" t="s">
        <v>620</v>
      </c>
      <c r="BE42">
        <v>5</v>
      </c>
      <c r="BF42">
        <v>1</v>
      </c>
      <c r="BJ42">
        <v>15</v>
      </c>
      <c r="BK42">
        <v>22</v>
      </c>
      <c r="BL42">
        <v>55</v>
      </c>
      <c r="BM42">
        <v>11</v>
      </c>
      <c r="BN42">
        <v>21</v>
      </c>
      <c r="CU42">
        <v>538126.46640000003</v>
      </c>
      <c r="CV42">
        <v>4878420.426</v>
      </c>
      <c r="CW42">
        <v>44.057967269999999</v>
      </c>
      <c r="CX42">
        <v>-92.523998120000002</v>
      </c>
      <c r="CY42" s="319">
        <v>43529.710416666669</v>
      </c>
      <c r="CZ42" t="s">
        <v>615</v>
      </c>
      <c r="DA42" t="s">
        <v>664</v>
      </c>
      <c r="DB42" t="s">
        <v>665</v>
      </c>
      <c r="DC42" t="s">
        <v>666</v>
      </c>
      <c r="DD42" t="s">
        <v>708</v>
      </c>
    </row>
    <row r="43" spans="1:108" ht="16.5" customHeight="1" x14ac:dyDescent="0.25">
      <c r="A43">
        <v>70</v>
      </c>
      <c r="B43">
        <v>719112</v>
      </c>
      <c r="C43">
        <v>4</v>
      </c>
      <c r="D43">
        <v>4</v>
      </c>
      <c r="E43">
        <v>6.7919999999999998</v>
      </c>
      <c r="F43">
        <v>55</v>
      </c>
      <c r="G43" t="s">
        <v>643</v>
      </c>
      <c r="I43">
        <v>6</v>
      </c>
      <c r="J43">
        <v>21</v>
      </c>
      <c r="L43">
        <v>19022632</v>
      </c>
      <c r="M43">
        <v>191300110</v>
      </c>
      <c r="N43">
        <v>5</v>
      </c>
      <c r="O43">
        <v>10</v>
      </c>
      <c r="P43">
        <v>2019</v>
      </c>
      <c r="Q43" t="s">
        <v>638</v>
      </c>
      <c r="R43">
        <v>19</v>
      </c>
      <c r="S43" t="s">
        <v>611</v>
      </c>
      <c r="T43">
        <v>5</v>
      </c>
      <c r="U43">
        <v>0</v>
      </c>
      <c r="V43">
        <v>2</v>
      </c>
      <c r="W43">
        <v>10</v>
      </c>
      <c r="X43">
        <v>10</v>
      </c>
      <c r="Y43">
        <v>3</v>
      </c>
      <c r="Z43">
        <v>1</v>
      </c>
      <c r="AA43">
        <v>1</v>
      </c>
      <c r="AC43">
        <v>1</v>
      </c>
      <c r="AD43">
        <v>98</v>
      </c>
      <c r="AE43" t="s">
        <v>662</v>
      </c>
      <c r="AG43" t="s">
        <v>663</v>
      </c>
      <c r="AH43">
        <v>5</v>
      </c>
      <c r="AI43">
        <v>2</v>
      </c>
      <c r="AJ43">
        <v>2</v>
      </c>
      <c r="AK43">
        <v>1</v>
      </c>
      <c r="AL43">
        <v>24</v>
      </c>
      <c r="AM43">
        <v>16</v>
      </c>
      <c r="AN43" t="s">
        <v>614</v>
      </c>
      <c r="AO43">
        <v>5</v>
      </c>
      <c r="AP43">
        <v>68</v>
      </c>
      <c r="AT43">
        <v>15</v>
      </c>
      <c r="AU43">
        <v>20</v>
      </c>
      <c r="AV43">
        <v>55</v>
      </c>
      <c r="AW43">
        <v>11</v>
      </c>
      <c r="AX43">
        <v>21</v>
      </c>
      <c r="AY43">
        <v>2</v>
      </c>
      <c r="AZ43">
        <v>32</v>
      </c>
      <c r="BA43">
        <v>1</v>
      </c>
      <c r="BB43">
        <v>24</v>
      </c>
      <c r="BC43">
        <v>35</v>
      </c>
      <c r="BD43" t="s">
        <v>614</v>
      </c>
      <c r="BE43">
        <v>5</v>
      </c>
      <c r="BF43">
        <v>1</v>
      </c>
      <c r="BJ43">
        <v>15</v>
      </c>
      <c r="BK43">
        <v>20</v>
      </c>
      <c r="BL43">
        <v>55</v>
      </c>
      <c r="BM43">
        <v>11</v>
      </c>
      <c r="BN43">
        <v>21</v>
      </c>
      <c r="CU43">
        <v>538128.82330000005</v>
      </c>
      <c r="CV43">
        <v>4878404.5214</v>
      </c>
      <c r="CW43">
        <v>44.05782396</v>
      </c>
      <c r="CX43">
        <v>-92.523969840000007</v>
      </c>
      <c r="CY43" s="319">
        <v>43595.799305555556</v>
      </c>
      <c r="CZ43" t="s">
        <v>615</v>
      </c>
      <c r="DA43" t="s">
        <v>664</v>
      </c>
      <c r="DB43" t="s">
        <v>665</v>
      </c>
      <c r="DC43" t="s">
        <v>666</v>
      </c>
      <c r="DD43" s="82" t="s">
        <v>709</v>
      </c>
    </row>
    <row r="44" spans="1:108" ht="16.5" customHeight="1" x14ac:dyDescent="0.25">
      <c r="A44">
        <v>70</v>
      </c>
      <c r="B44">
        <v>590626</v>
      </c>
      <c r="C44">
        <v>4</v>
      </c>
      <c r="D44">
        <v>4</v>
      </c>
      <c r="E44">
        <v>6.7960000000000003</v>
      </c>
      <c r="F44">
        <v>55</v>
      </c>
      <c r="G44" t="s">
        <v>643</v>
      </c>
      <c r="I44">
        <v>6</v>
      </c>
      <c r="J44">
        <v>21</v>
      </c>
      <c r="L44">
        <v>18016306</v>
      </c>
      <c r="M44">
        <v>181030125</v>
      </c>
      <c r="N44">
        <v>4</v>
      </c>
      <c r="O44">
        <v>13</v>
      </c>
      <c r="P44">
        <v>2018</v>
      </c>
      <c r="Q44" t="s">
        <v>638</v>
      </c>
      <c r="R44">
        <v>19</v>
      </c>
      <c r="S44" t="s">
        <v>611</v>
      </c>
      <c r="T44">
        <v>5</v>
      </c>
      <c r="U44">
        <v>0</v>
      </c>
      <c r="V44">
        <v>2</v>
      </c>
      <c r="W44">
        <v>10</v>
      </c>
      <c r="X44">
        <v>10</v>
      </c>
      <c r="Y44">
        <v>10</v>
      </c>
      <c r="Z44">
        <v>3</v>
      </c>
      <c r="AA44">
        <v>3</v>
      </c>
      <c r="AC44">
        <v>2</v>
      </c>
      <c r="AD44">
        <v>98</v>
      </c>
      <c r="AE44" t="s">
        <v>662</v>
      </c>
      <c r="AG44" t="s">
        <v>668</v>
      </c>
      <c r="AH44">
        <v>5</v>
      </c>
      <c r="AI44">
        <v>2</v>
      </c>
      <c r="AJ44">
        <v>4</v>
      </c>
      <c r="AK44">
        <v>1</v>
      </c>
      <c r="AL44">
        <v>28</v>
      </c>
      <c r="AM44">
        <v>24</v>
      </c>
      <c r="AN44" t="s">
        <v>614</v>
      </c>
      <c r="AO44">
        <v>5</v>
      </c>
      <c r="AP44">
        <v>1</v>
      </c>
      <c r="AT44">
        <v>14</v>
      </c>
      <c r="AU44">
        <v>20</v>
      </c>
      <c r="AV44">
        <v>55</v>
      </c>
      <c r="AW44">
        <v>11</v>
      </c>
      <c r="AX44">
        <v>21</v>
      </c>
      <c r="AY44">
        <v>1</v>
      </c>
      <c r="AZ44">
        <v>2</v>
      </c>
      <c r="BA44">
        <v>1</v>
      </c>
      <c r="BB44">
        <v>29</v>
      </c>
      <c r="BC44">
        <v>23</v>
      </c>
      <c r="BD44" t="s">
        <v>620</v>
      </c>
      <c r="BE44">
        <v>99</v>
      </c>
      <c r="BF44">
        <v>7</v>
      </c>
      <c r="BG44">
        <v>70</v>
      </c>
      <c r="BJ44">
        <v>14</v>
      </c>
      <c r="BK44">
        <v>20</v>
      </c>
      <c r="BL44">
        <v>55</v>
      </c>
      <c r="BM44">
        <v>11</v>
      </c>
      <c r="BN44">
        <v>21</v>
      </c>
      <c r="CU44">
        <v>538133.61410000001</v>
      </c>
      <c r="CV44">
        <v>4878420.6382999998</v>
      </c>
      <c r="CW44">
        <v>44.057968809999998</v>
      </c>
      <c r="CX44">
        <v>-92.52390887</v>
      </c>
      <c r="CY44" s="319">
        <v>43203.806944444441</v>
      </c>
      <c r="CZ44" t="s">
        <v>615</v>
      </c>
      <c r="DA44" t="s">
        <v>664</v>
      </c>
      <c r="DB44" t="s">
        <v>665</v>
      </c>
      <c r="DC44" t="s">
        <v>666</v>
      </c>
      <c r="DD44" t="s">
        <v>710</v>
      </c>
    </row>
    <row r="45" spans="1:108" ht="16.5" customHeight="1" x14ac:dyDescent="0.25">
      <c r="A45">
        <v>70</v>
      </c>
      <c r="B45">
        <v>488609</v>
      </c>
      <c r="C45">
        <v>4</v>
      </c>
      <c r="D45">
        <v>4</v>
      </c>
      <c r="E45">
        <v>6.7960000000000003</v>
      </c>
      <c r="F45">
        <v>55</v>
      </c>
      <c r="G45" t="s">
        <v>643</v>
      </c>
      <c r="I45">
        <v>6</v>
      </c>
      <c r="J45">
        <v>21</v>
      </c>
      <c r="L45">
        <v>17036119</v>
      </c>
      <c r="M45">
        <v>172020163</v>
      </c>
      <c r="N45">
        <v>7</v>
      </c>
      <c r="O45">
        <v>21</v>
      </c>
      <c r="P45">
        <v>2017</v>
      </c>
      <c r="Q45" t="s">
        <v>638</v>
      </c>
      <c r="R45">
        <v>18</v>
      </c>
      <c r="S45" t="s">
        <v>611</v>
      </c>
      <c r="T45">
        <v>3</v>
      </c>
      <c r="U45">
        <v>0</v>
      </c>
      <c r="V45">
        <v>2</v>
      </c>
      <c r="W45">
        <v>5</v>
      </c>
      <c r="X45">
        <v>10</v>
      </c>
      <c r="Y45">
        <v>3</v>
      </c>
      <c r="Z45">
        <v>1</v>
      </c>
      <c r="AA45">
        <v>1</v>
      </c>
      <c r="AC45">
        <v>1</v>
      </c>
      <c r="AD45">
        <v>98</v>
      </c>
      <c r="AE45" t="s">
        <v>703</v>
      </c>
      <c r="AG45" t="s">
        <v>663</v>
      </c>
      <c r="AH45">
        <v>10</v>
      </c>
      <c r="AI45">
        <v>2</v>
      </c>
      <c r="AJ45">
        <v>4</v>
      </c>
      <c r="AK45">
        <v>1</v>
      </c>
      <c r="AL45">
        <v>21</v>
      </c>
      <c r="AM45">
        <v>63</v>
      </c>
      <c r="AN45" t="s">
        <v>620</v>
      </c>
      <c r="AO45">
        <v>5</v>
      </c>
      <c r="AP45">
        <v>74</v>
      </c>
      <c r="AT45">
        <v>15</v>
      </c>
      <c r="AU45">
        <v>20</v>
      </c>
      <c r="AV45">
        <v>55</v>
      </c>
      <c r="AW45">
        <v>11</v>
      </c>
      <c r="AX45">
        <v>21</v>
      </c>
      <c r="AY45">
        <v>2</v>
      </c>
      <c r="AZ45">
        <v>2</v>
      </c>
      <c r="BA45">
        <v>3</v>
      </c>
      <c r="BB45">
        <v>21</v>
      </c>
      <c r="BC45">
        <v>30</v>
      </c>
      <c r="BD45" t="s">
        <v>614</v>
      </c>
      <c r="BE45">
        <v>5</v>
      </c>
      <c r="BF45">
        <v>1</v>
      </c>
      <c r="BJ45">
        <v>15</v>
      </c>
      <c r="BK45">
        <v>20</v>
      </c>
      <c r="BL45">
        <v>45</v>
      </c>
      <c r="BM45">
        <v>11</v>
      </c>
      <c r="BN45">
        <v>21</v>
      </c>
      <c r="CU45">
        <v>538135.88630000001</v>
      </c>
      <c r="CV45">
        <v>4878404.5416999999</v>
      </c>
      <c r="CW45">
        <v>44.057823769999999</v>
      </c>
      <c r="CX45">
        <v>-92.523881660000001</v>
      </c>
      <c r="CY45" s="319">
        <v>42937.777777777781</v>
      </c>
      <c r="CZ45" t="s">
        <v>615</v>
      </c>
      <c r="DA45" t="s">
        <v>664</v>
      </c>
      <c r="DB45" t="s">
        <v>665</v>
      </c>
      <c r="DC45" t="s">
        <v>666</v>
      </c>
      <c r="DD45" t="s">
        <v>711</v>
      </c>
    </row>
    <row r="46" spans="1:108" ht="16.5" customHeight="1" x14ac:dyDescent="0.25">
      <c r="A46">
        <v>70</v>
      </c>
      <c r="B46">
        <v>888870</v>
      </c>
      <c r="C46">
        <v>4</v>
      </c>
      <c r="D46">
        <v>22</v>
      </c>
      <c r="E46">
        <v>5.5709999999999997</v>
      </c>
      <c r="F46">
        <v>55</v>
      </c>
      <c r="G46" t="s">
        <v>643</v>
      </c>
      <c r="I46">
        <v>6</v>
      </c>
      <c r="J46">
        <v>21</v>
      </c>
      <c r="L46" t="s">
        <v>712</v>
      </c>
      <c r="M46">
        <v>210390088</v>
      </c>
      <c r="N46">
        <v>2</v>
      </c>
      <c r="O46">
        <v>8</v>
      </c>
      <c r="P46">
        <v>2021</v>
      </c>
      <c r="Q46" t="s">
        <v>610</v>
      </c>
      <c r="R46">
        <v>9</v>
      </c>
      <c r="S46" t="s">
        <v>673</v>
      </c>
      <c r="T46">
        <v>5</v>
      </c>
      <c r="U46">
        <v>0</v>
      </c>
      <c r="V46">
        <v>2</v>
      </c>
      <c r="W46">
        <v>12</v>
      </c>
      <c r="X46">
        <v>10</v>
      </c>
      <c r="Y46">
        <v>2</v>
      </c>
      <c r="Z46">
        <v>1</v>
      </c>
      <c r="AA46">
        <v>1</v>
      </c>
      <c r="AC46">
        <v>1</v>
      </c>
      <c r="AD46">
        <v>98</v>
      </c>
      <c r="AE46" t="s">
        <v>696</v>
      </c>
      <c r="AG46" t="s">
        <v>713</v>
      </c>
      <c r="AH46">
        <v>7</v>
      </c>
      <c r="AI46">
        <v>2</v>
      </c>
      <c r="AJ46">
        <v>2</v>
      </c>
      <c r="AK46">
        <v>2</v>
      </c>
      <c r="AL46">
        <v>21</v>
      </c>
      <c r="AM46">
        <v>41</v>
      </c>
      <c r="AN46" t="s">
        <v>620</v>
      </c>
      <c r="AO46">
        <v>5</v>
      </c>
      <c r="AP46">
        <v>1</v>
      </c>
      <c r="AT46">
        <v>12</v>
      </c>
      <c r="AU46">
        <v>9</v>
      </c>
      <c r="AV46">
        <v>55</v>
      </c>
      <c r="AW46">
        <v>11</v>
      </c>
      <c r="AX46">
        <v>21</v>
      </c>
      <c r="AY46">
        <v>2</v>
      </c>
      <c r="AZ46">
        <v>2</v>
      </c>
      <c r="BA46">
        <v>2</v>
      </c>
      <c r="BB46">
        <v>21</v>
      </c>
      <c r="BC46">
        <v>25</v>
      </c>
      <c r="BD46" t="s">
        <v>620</v>
      </c>
      <c r="BE46">
        <v>5</v>
      </c>
      <c r="BF46">
        <v>1</v>
      </c>
      <c r="BJ46">
        <v>14</v>
      </c>
      <c r="BK46">
        <v>9</v>
      </c>
      <c r="BL46">
        <v>55</v>
      </c>
      <c r="BM46">
        <v>11</v>
      </c>
      <c r="BN46">
        <v>21</v>
      </c>
      <c r="CU46">
        <v>538123.14769999997</v>
      </c>
      <c r="CV46">
        <v>4878327.8649000004</v>
      </c>
      <c r="CW46">
        <v>44.05713411</v>
      </c>
      <c r="CX46">
        <v>-92.524046220000002</v>
      </c>
      <c r="CY46" s="319">
        <v>44235.378472222219</v>
      </c>
      <c r="CZ46" t="s">
        <v>615</v>
      </c>
      <c r="DA46" t="s">
        <v>664</v>
      </c>
      <c r="DB46" t="s">
        <v>665</v>
      </c>
      <c r="DC46" t="s">
        <v>666</v>
      </c>
      <c r="DD46" s="82" t="s">
        <v>714</v>
      </c>
    </row>
    <row r="47" spans="1:108" ht="16.5" customHeight="1" x14ac:dyDescent="0.25">
      <c r="A47">
        <v>70</v>
      </c>
      <c r="B47">
        <v>840982</v>
      </c>
      <c r="C47">
        <v>4</v>
      </c>
      <c r="D47">
        <v>22</v>
      </c>
      <c r="E47">
        <v>5.58</v>
      </c>
      <c r="F47">
        <v>55</v>
      </c>
      <c r="G47" t="s">
        <v>643</v>
      </c>
      <c r="I47">
        <v>6</v>
      </c>
      <c r="J47">
        <v>21</v>
      </c>
      <c r="L47">
        <v>20040951</v>
      </c>
      <c r="M47">
        <v>202590128</v>
      </c>
      <c r="N47">
        <v>9</v>
      </c>
      <c r="O47">
        <v>15</v>
      </c>
      <c r="P47">
        <v>2020</v>
      </c>
      <c r="Q47" t="s">
        <v>625</v>
      </c>
      <c r="R47">
        <v>16</v>
      </c>
      <c r="S47" t="s">
        <v>611</v>
      </c>
      <c r="T47">
        <v>5</v>
      </c>
      <c r="U47">
        <v>0</v>
      </c>
      <c r="V47">
        <v>2</v>
      </c>
      <c r="W47">
        <v>12</v>
      </c>
      <c r="X47">
        <v>10</v>
      </c>
      <c r="Y47">
        <v>3</v>
      </c>
      <c r="Z47">
        <v>1</v>
      </c>
      <c r="AA47">
        <v>1</v>
      </c>
      <c r="AC47">
        <v>1</v>
      </c>
      <c r="AD47">
        <v>98</v>
      </c>
      <c r="AE47" t="s">
        <v>696</v>
      </c>
      <c r="AG47" t="s">
        <v>715</v>
      </c>
      <c r="AH47">
        <v>7</v>
      </c>
      <c r="AI47">
        <v>2</v>
      </c>
      <c r="AJ47">
        <v>4</v>
      </c>
      <c r="AK47">
        <v>1</v>
      </c>
      <c r="AL47">
        <v>34</v>
      </c>
      <c r="AM47">
        <v>55</v>
      </c>
      <c r="AN47" t="s">
        <v>614</v>
      </c>
      <c r="AO47">
        <v>5</v>
      </c>
      <c r="AP47">
        <v>1</v>
      </c>
      <c r="AT47">
        <v>14</v>
      </c>
      <c r="AU47">
        <v>20</v>
      </c>
      <c r="AV47">
        <v>55</v>
      </c>
      <c r="AW47">
        <v>11</v>
      </c>
      <c r="AX47">
        <v>21</v>
      </c>
      <c r="AY47">
        <v>2</v>
      </c>
      <c r="AZ47">
        <v>2</v>
      </c>
      <c r="BA47">
        <v>1</v>
      </c>
      <c r="BB47">
        <v>21</v>
      </c>
      <c r="BC47">
        <v>27</v>
      </c>
      <c r="BD47" t="s">
        <v>614</v>
      </c>
      <c r="BE47">
        <v>5</v>
      </c>
      <c r="BF47">
        <v>1</v>
      </c>
      <c r="BJ47">
        <v>14</v>
      </c>
      <c r="BK47">
        <v>20</v>
      </c>
      <c r="BL47">
        <v>55</v>
      </c>
      <c r="BM47">
        <v>11</v>
      </c>
      <c r="BN47">
        <v>21</v>
      </c>
      <c r="CU47">
        <v>538145.13280000002</v>
      </c>
      <c r="CV47">
        <v>4878361.7252000002</v>
      </c>
      <c r="CW47">
        <v>44.057437810000003</v>
      </c>
      <c r="CX47">
        <v>-92.523769310000006</v>
      </c>
      <c r="CY47" s="319">
        <v>44089.691666666666</v>
      </c>
      <c r="CZ47" t="s">
        <v>615</v>
      </c>
      <c r="DA47" t="s">
        <v>664</v>
      </c>
      <c r="DB47" t="s">
        <v>665</v>
      </c>
      <c r="DC47" t="s">
        <v>666</v>
      </c>
      <c r="DD47" t="s">
        <v>716</v>
      </c>
    </row>
    <row r="48" spans="1:108" ht="16.5" customHeight="1" x14ac:dyDescent="0.25">
      <c r="A48">
        <v>70</v>
      </c>
      <c r="B48">
        <v>600503</v>
      </c>
      <c r="C48">
        <v>4</v>
      </c>
      <c r="D48">
        <v>22</v>
      </c>
      <c r="E48">
        <v>5.593</v>
      </c>
      <c r="F48">
        <v>55</v>
      </c>
      <c r="G48" t="s">
        <v>643</v>
      </c>
      <c r="I48">
        <v>6</v>
      </c>
      <c r="J48">
        <v>21</v>
      </c>
      <c r="L48">
        <v>18024149</v>
      </c>
      <c r="M48">
        <v>181490101</v>
      </c>
      <c r="N48">
        <v>5</v>
      </c>
      <c r="O48">
        <v>29</v>
      </c>
      <c r="P48">
        <v>2018</v>
      </c>
      <c r="Q48" t="s">
        <v>625</v>
      </c>
      <c r="R48">
        <v>14</v>
      </c>
      <c r="S48">
        <v>98</v>
      </c>
      <c r="T48">
        <v>5</v>
      </c>
      <c r="U48">
        <v>0</v>
      </c>
      <c r="V48">
        <v>2</v>
      </c>
      <c r="W48">
        <v>12</v>
      </c>
      <c r="X48">
        <v>10</v>
      </c>
      <c r="Y48">
        <v>3</v>
      </c>
      <c r="Z48">
        <v>1</v>
      </c>
      <c r="AA48">
        <v>3</v>
      </c>
      <c r="AC48">
        <v>2</v>
      </c>
      <c r="AD48">
        <v>98</v>
      </c>
      <c r="AE48" t="s">
        <v>696</v>
      </c>
      <c r="AF48" t="s">
        <v>662</v>
      </c>
      <c r="AG48" t="s">
        <v>715</v>
      </c>
      <c r="AH48">
        <v>7</v>
      </c>
      <c r="AI48">
        <v>2</v>
      </c>
      <c r="AJ48">
        <v>3</v>
      </c>
      <c r="AK48">
        <v>1</v>
      </c>
      <c r="AL48">
        <v>21</v>
      </c>
      <c r="AM48">
        <v>44</v>
      </c>
      <c r="AN48" t="s">
        <v>614</v>
      </c>
      <c r="AO48">
        <v>5</v>
      </c>
      <c r="AP48">
        <v>4</v>
      </c>
      <c r="AT48">
        <v>12</v>
      </c>
      <c r="AU48">
        <v>20</v>
      </c>
      <c r="AV48">
        <v>55</v>
      </c>
      <c r="AW48">
        <v>11</v>
      </c>
      <c r="AX48">
        <v>21</v>
      </c>
      <c r="AY48">
        <v>2</v>
      </c>
      <c r="AZ48">
        <v>4</v>
      </c>
      <c r="BA48">
        <v>1</v>
      </c>
      <c r="BB48">
        <v>34</v>
      </c>
      <c r="BC48">
        <v>55</v>
      </c>
      <c r="BD48" t="s">
        <v>620</v>
      </c>
      <c r="BE48">
        <v>5</v>
      </c>
      <c r="BF48">
        <v>1</v>
      </c>
      <c r="BJ48">
        <v>12</v>
      </c>
      <c r="BK48">
        <v>20</v>
      </c>
      <c r="BL48">
        <v>55</v>
      </c>
      <c r="BM48">
        <v>11</v>
      </c>
      <c r="BN48">
        <v>21</v>
      </c>
      <c r="CU48">
        <v>538144.37060000002</v>
      </c>
      <c r="CV48">
        <v>4878382.6579</v>
      </c>
      <c r="CW48">
        <v>44.057626310000003</v>
      </c>
      <c r="CX48">
        <v>-92.523777319999994</v>
      </c>
      <c r="CY48" s="319">
        <v>43249.621527777781</v>
      </c>
      <c r="CZ48" t="s">
        <v>615</v>
      </c>
      <c r="DA48" t="s">
        <v>664</v>
      </c>
      <c r="DB48" t="s">
        <v>665</v>
      </c>
      <c r="DC48" t="s">
        <v>666</v>
      </c>
      <c r="DD48" t="s">
        <v>717</v>
      </c>
    </row>
    <row r="49" spans="1:108" ht="16.5" customHeight="1" x14ac:dyDescent="0.25">
      <c r="A49">
        <v>70</v>
      </c>
      <c r="B49">
        <v>675403</v>
      </c>
      <c r="C49">
        <v>4</v>
      </c>
      <c r="D49">
        <v>22</v>
      </c>
      <c r="E49">
        <v>5.5970000000000004</v>
      </c>
      <c r="F49">
        <v>55</v>
      </c>
      <c r="G49" t="s">
        <v>643</v>
      </c>
      <c r="I49">
        <v>6</v>
      </c>
      <c r="J49">
        <v>21</v>
      </c>
      <c r="L49">
        <v>19000598</v>
      </c>
      <c r="M49">
        <v>190110054</v>
      </c>
      <c r="N49">
        <v>1</v>
      </c>
      <c r="O49">
        <v>4</v>
      </c>
      <c r="P49">
        <v>2019</v>
      </c>
      <c r="Q49" t="s">
        <v>638</v>
      </c>
      <c r="R49">
        <v>15</v>
      </c>
      <c r="T49">
        <v>5</v>
      </c>
      <c r="U49">
        <v>0</v>
      </c>
      <c r="V49">
        <v>2</v>
      </c>
      <c r="W49">
        <v>12</v>
      </c>
      <c r="X49">
        <v>10</v>
      </c>
      <c r="Y49">
        <v>10</v>
      </c>
      <c r="Z49">
        <v>1</v>
      </c>
      <c r="AA49">
        <v>1</v>
      </c>
      <c r="AC49">
        <v>1</v>
      </c>
      <c r="AD49">
        <v>98</v>
      </c>
      <c r="AE49" t="s">
        <v>696</v>
      </c>
      <c r="AG49" t="s">
        <v>715</v>
      </c>
      <c r="AH49">
        <v>7</v>
      </c>
      <c r="AI49">
        <v>2</v>
      </c>
      <c r="AJ49">
        <v>4</v>
      </c>
      <c r="AK49">
        <v>1</v>
      </c>
      <c r="AL49">
        <v>21</v>
      </c>
      <c r="AM49">
        <v>18</v>
      </c>
      <c r="AN49" t="s">
        <v>620</v>
      </c>
      <c r="AO49">
        <v>5</v>
      </c>
      <c r="AP49">
        <v>74</v>
      </c>
      <c r="AT49">
        <v>14</v>
      </c>
      <c r="AU49">
        <v>20</v>
      </c>
      <c r="AV49">
        <v>55</v>
      </c>
      <c r="AW49">
        <v>11</v>
      </c>
      <c r="AX49">
        <v>21</v>
      </c>
      <c r="AY49">
        <v>2</v>
      </c>
      <c r="AZ49">
        <v>3</v>
      </c>
      <c r="BA49">
        <v>1</v>
      </c>
      <c r="BB49">
        <v>21</v>
      </c>
      <c r="BC49">
        <v>62</v>
      </c>
      <c r="BD49" t="s">
        <v>614</v>
      </c>
      <c r="BE49">
        <v>5</v>
      </c>
      <c r="BF49">
        <v>1</v>
      </c>
      <c r="BJ49">
        <v>14</v>
      </c>
      <c r="BK49">
        <v>20</v>
      </c>
      <c r="BL49">
        <v>55</v>
      </c>
      <c r="BM49">
        <v>11</v>
      </c>
      <c r="BN49">
        <v>21</v>
      </c>
      <c r="CU49">
        <v>538144.15850000002</v>
      </c>
      <c r="CV49">
        <v>4878388.4819999998</v>
      </c>
      <c r="CW49">
        <v>44.057678760000002</v>
      </c>
      <c r="CX49">
        <v>-92.523779540000007</v>
      </c>
      <c r="CY49" s="319">
        <v>43469.638888888891</v>
      </c>
      <c r="CZ49" t="s">
        <v>615</v>
      </c>
      <c r="DA49" t="s">
        <v>664</v>
      </c>
      <c r="DB49" t="s">
        <v>665</v>
      </c>
      <c r="DC49" t="s">
        <v>666</v>
      </c>
      <c r="DD49" s="82" t="s">
        <v>718</v>
      </c>
    </row>
    <row r="50" spans="1:108" ht="16.5" customHeight="1" x14ac:dyDescent="0.25">
      <c r="A50">
        <v>70</v>
      </c>
      <c r="B50">
        <v>681439</v>
      </c>
      <c r="C50">
        <v>4</v>
      </c>
      <c r="D50">
        <v>22</v>
      </c>
      <c r="E50">
        <v>5.5979999999999999</v>
      </c>
      <c r="F50">
        <v>55</v>
      </c>
      <c r="G50" t="s">
        <v>643</v>
      </c>
      <c r="I50">
        <v>6</v>
      </c>
      <c r="J50">
        <v>21</v>
      </c>
      <c r="L50" t="s">
        <v>719</v>
      </c>
      <c r="M50">
        <v>190310045</v>
      </c>
      <c r="N50">
        <v>1</v>
      </c>
      <c r="O50">
        <v>31</v>
      </c>
      <c r="P50">
        <v>2019</v>
      </c>
      <c r="Q50" t="s">
        <v>619</v>
      </c>
      <c r="R50">
        <v>8</v>
      </c>
      <c r="S50" t="s">
        <v>611</v>
      </c>
      <c r="T50">
        <v>5</v>
      </c>
      <c r="U50">
        <v>0</v>
      </c>
      <c r="V50">
        <v>2</v>
      </c>
      <c r="W50">
        <v>5</v>
      </c>
      <c r="X50">
        <v>10</v>
      </c>
      <c r="Y50">
        <v>3</v>
      </c>
      <c r="Z50">
        <v>1</v>
      </c>
      <c r="AA50">
        <v>1</v>
      </c>
      <c r="AC50">
        <v>3</v>
      </c>
      <c r="AD50">
        <v>98</v>
      </c>
      <c r="AE50" t="s">
        <v>696</v>
      </c>
      <c r="AG50" t="s">
        <v>715</v>
      </c>
      <c r="AH50">
        <v>10</v>
      </c>
      <c r="AI50">
        <v>2</v>
      </c>
      <c r="AJ50">
        <v>4</v>
      </c>
      <c r="AK50">
        <v>1</v>
      </c>
      <c r="AL50">
        <v>21</v>
      </c>
      <c r="AM50">
        <v>39</v>
      </c>
      <c r="AN50" t="s">
        <v>614</v>
      </c>
      <c r="AO50">
        <v>5</v>
      </c>
      <c r="AP50">
        <v>71</v>
      </c>
      <c r="AT50">
        <v>15</v>
      </c>
      <c r="AU50">
        <v>20</v>
      </c>
      <c r="AV50">
        <v>45</v>
      </c>
      <c r="AW50">
        <v>11</v>
      </c>
      <c r="AX50">
        <v>21</v>
      </c>
      <c r="AY50">
        <v>2</v>
      </c>
      <c r="AZ50">
        <v>4</v>
      </c>
      <c r="BA50">
        <v>1</v>
      </c>
      <c r="BB50">
        <v>34</v>
      </c>
      <c r="BC50">
        <v>50</v>
      </c>
      <c r="BD50" t="s">
        <v>620</v>
      </c>
      <c r="BE50">
        <v>5</v>
      </c>
      <c r="BF50">
        <v>1</v>
      </c>
      <c r="BJ50">
        <v>15</v>
      </c>
      <c r="BK50">
        <v>20</v>
      </c>
      <c r="BL50">
        <v>45</v>
      </c>
      <c r="BM50">
        <v>11</v>
      </c>
      <c r="BN50">
        <v>21</v>
      </c>
      <c r="CU50">
        <v>538144.07929999998</v>
      </c>
      <c r="CV50">
        <v>4878390.6546</v>
      </c>
      <c r="CW50">
        <v>44.05769832</v>
      </c>
      <c r="CX50">
        <v>-92.523780369999997</v>
      </c>
      <c r="CY50" s="319">
        <v>43496.373611111114</v>
      </c>
      <c r="CZ50" t="s">
        <v>615</v>
      </c>
      <c r="DA50" t="s">
        <v>664</v>
      </c>
      <c r="DB50" t="s">
        <v>616</v>
      </c>
      <c r="DC50" t="s">
        <v>617</v>
      </c>
      <c r="DD50" t="s">
        <v>720</v>
      </c>
    </row>
    <row r="51" spans="1:108" ht="16.5" customHeight="1" x14ac:dyDescent="0.25">
      <c r="A51">
        <v>70</v>
      </c>
      <c r="B51">
        <v>488424</v>
      </c>
      <c r="C51">
        <v>4</v>
      </c>
      <c r="D51">
        <v>22</v>
      </c>
      <c r="E51">
        <v>5.6040000000000001</v>
      </c>
      <c r="F51">
        <v>55</v>
      </c>
      <c r="G51" t="s">
        <v>643</v>
      </c>
      <c r="I51">
        <v>6</v>
      </c>
      <c r="J51">
        <v>21</v>
      </c>
      <c r="L51">
        <v>17036024</v>
      </c>
      <c r="M51">
        <v>172020015</v>
      </c>
      <c r="N51">
        <v>7</v>
      </c>
      <c r="O51">
        <v>21</v>
      </c>
      <c r="P51">
        <v>2017</v>
      </c>
      <c r="Q51" t="s">
        <v>638</v>
      </c>
      <c r="R51">
        <v>8</v>
      </c>
      <c r="S51" t="s">
        <v>611</v>
      </c>
      <c r="T51">
        <v>4</v>
      </c>
      <c r="U51">
        <v>0</v>
      </c>
      <c r="V51">
        <v>2</v>
      </c>
      <c r="W51">
        <v>12</v>
      </c>
      <c r="X51">
        <v>10</v>
      </c>
      <c r="Y51">
        <v>3</v>
      </c>
      <c r="Z51">
        <v>1</v>
      </c>
      <c r="AA51">
        <v>3</v>
      </c>
      <c r="AC51">
        <v>2</v>
      </c>
      <c r="AD51">
        <v>98</v>
      </c>
      <c r="AE51" t="s">
        <v>696</v>
      </c>
      <c r="AF51" t="s">
        <v>703</v>
      </c>
      <c r="AG51" t="s">
        <v>715</v>
      </c>
      <c r="AH51">
        <v>7</v>
      </c>
      <c r="AI51">
        <v>2</v>
      </c>
      <c r="AJ51">
        <v>2</v>
      </c>
      <c r="AK51">
        <v>1</v>
      </c>
      <c r="AL51">
        <v>34</v>
      </c>
      <c r="AM51">
        <v>33</v>
      </c>
      <c r="AN51" t="s">
        <v>620</v>
      </c>
      <c r="AO51">
        <v>5</v>
      </c>
      <c r="AP51">
        <v>1</v>
      </c>
      <c r="AT51">
        <v>14</v>
      </c>
      <c r="AU51">
        <v>20</v>
      </c>
      <c r="AV51">
        <v>55</v>
      </c>
      <c r="AW51">
        <v>11</v>
      </c>
      <c r="AX51">
        <v>22</v>
      </c>
      <c r="AY51">
        <v>2</v>
      </c>
      <c r="AZ51">
        <v>2</v>
      </c>
      <c r="BA51">
        <v>1</v>
      </c>
      <c r="BB51">
        <v>34</v>
      </c>
      <c r="BC51">
        <v>28</v>
      </c>
      <c r="BD51" t="s">
        <v>614</v>
      </c>
      <c r="BE51">
        <v>5</v>
      </c>
      <c r="BF51">
        <v>99</v>
      </c>
      <c r="BJ51">
        <v>14</v>
      </c>
      <c r="BK51">
        <v>20</v>
      </c>
      <c r="BL51">
        <v>55</v>
      </c>
      <c r="BM51">
        <v>11</v>
      </c>
      <c r="BN51">
        <v>22</v>
      </c>
      <c r="CU51">
        <v>538143.71400000004</v>
      </c>
      <c r="CV51">
        <v>4878400.6874000002</v>
      </c>
      <c r="CW51">
        <v>44.057788670000001</v>
      </c>
      <c r="CX51">
        <v>-92.523784210000002</v>
      </c>
      <c r="CY51" s="319">
        <v>42937.350694444445</v>
      </c>
      <c r="CZ51" t="s">
        <v>615</v>
      </c>
      <c r="DA51" t="s">
        <v>664</v>
      </c>
      <c r="DB51" t="s">
        <v>665</v>
      </c>
      <c r="DC51" t="s">
        <v>666</v>
      </c>
      <c r="DD51" s="82" t="s">
        <v>721</v>
      </c>
    </row>
    <row r="52" spans="1:108" ht="16.5" customHeight="1" x14ac:dyDescent="0.25">
      <c r="A52">
        <v>70</v>
      </c>
      <c r="B52">
        <v>491414</v>
      </c>
      <c r="C52">
        <v>4</v>
      </c>
      <c r="D52">
        <v>22</v>
      </c>
      <c r="E52">
        <v>5.6109999999999998</v>
      </c>
      <c r="F52">
        <v>55</v>
      </c>
      <c r="G52" t="s">
        <v>643</v>
      </c>
      <c r="I52">
        <v>6</v>
      </c>
      <c r="J52">
        <v>21</v>
      </c>
      <c r="L52" t="s">
        <v>722</v>
      </c>
      <c r="M52">
        <v>172150062</v>
      </c>
      <c r="N52">
        <v>8</v>
      </c>
      <c r="O52">
        <v>3</v>
      </c>
      <c r="P52">
        <v>2017</v>
      </c>
      <c r="Q52" t="s">
        <v>619</v>
      </c>
      <c r="R52">
        <v>10</v>
      </c>
      <c r="S52" t="s">
        <v>611</v>
      </c>
      <c r="T52">
        <v>4</v>
      </c>
      <c r="U52">
        <v>0</v>
      </c>
      <c r="V52">
        <v>2</v>
      </c>
      <c r="W52">
        <v>12</v>
      </c>
      <c r="X52">
        <v>10</v>
      </c>
      <c r="Y52">
        <v>3</v>
      </c>
      <c r="Z52">
        <v>1</v>
      </c>
      <c r="AA52">
        <v>2</v>
      </c>
      <c r="AC52">
        <v>1</v>
      </c>
      <c r="AD52">
        <v>98</v>
      </c>
      <c r="AE52" t="s">
        <v>696</v>
      </c>
      <c r="AF52" t="s">
        <v>703</v>
      </c>
      <c r="AG52" t="s">
        <v>715</v>
      </c>
      <c r="AH52">
        <v>7</v>
      </c>
      <c r="AI52">
        <v>2</v>
      </c>
      <c r="AJ52">
        <v>3</v>
      </c>
      <c r="AK52">
        <v>1</v>
      </c>
      <c r="AL52">
        <v>26</v>
      </c>
      <c r="AM52">
        <v>54</v>
      </c>
      <c r="AN52" t="s">
        <v>614</v>
      </c>
      <c r="AO52">
        <v>5</v>
      </c>
      <c r="AP52">
        <v>99</v>
      </c>
      <c r="AT52">
        <v>15</v>
      </c>
      <c r="AU52">
        <v>20</v>
      </c>
      <c r="AV52">
        <v>55</v>
      </c>
      <c r="AW52">
        <v>11</v>
      </c>
      <c r="AX52">
        <v>22</v>
      </c>
      <c r="AY52">
        <v>2</v>
      </c>
      <c r="AZ52">
        <v>2</v>
      </c>
      <c r="BA52">
        <v>1</v>
      </c>
      <c r="BB52">
        <v>21</v>
      </c>
      <c r="BC52">
        <v>57</v>
      </c>
      <c r="BD52" t="s">
        <v>620</v>
      </c>
      <c r="BE52">
        <v>5</v>
      </c>
      <c r="BF52">
        <v>99</v>
      </c>
      <c r="BJ52">
        <v>15</v>
      </c>
      <c r="BK52">
        <v>20</v>
      </c>
      <c r="BL52">
        <v>55</v>
      </c>
      <c r="BM52">
        <v>11</v>
      </c>
      <c r="BN52">
        <v>22</v>
      </c>
      <c r="CU52">
        <v>538143.33169999998</v>
      </c>
      <c r="CV52">
        <v>4878411.1843999997</v>
      </c>
      <c r="CW52">
        <v>44.057883189999998</v>
      </c>
      <c r="CX52">
        <v>-92.523788229999994</v>
      </c>
      <c r="CY52" s="319">
        <v>42950.453472222223</v>
      </c>
      <c r="CZ52" t="s">
        <v>615</v>
      </c>
      <c r="DA52" t="s">
        <v>664</v>
      </c>
      <c r="DB52" t="s">
        <v>665</v>
      </c>
      <c r="DC52" t="s">
        <v>666</v>
      </c>
      <c r="DD52" t="s">
        <v>723</v>
      </c>
    </row>
    <row r="53" spans="1:108" ht="16.5" customHeight="1" x14ac:dyDescent="0.25">
      <c r="A53">
        <v>70</v>
      </c>
      <c r="B53">
        <v>705678</v>
      </c>
      <c r="C53">
        <v>4</v>
      </c>
      <c r="D53">
        <v>22</v>
      </c>
      <c r="E53">
        <v>5.6139999999999999</v>
      </c>
      <c r="F53">
        <v>55</v>
      </c>
      <c r="G53" t="s">
        <v>643</v>
      </c>
      <c r="I53">
        <v>6</v>
      </c>
      <c r="J53">
        <v>21</v>
      </c>
      <c r="L53">
        <v>19019614</v>
      </c>
      <c r="M53">
        <v>191130107</v>
      </c>
      <c r="N53">
        <v>4</v>
      </c>
      <c r="O53">
        <v>23</v>
      </c>
      <c r="P53">
        <v>2019</v>
      </c>
      <c r="Q53" t="s">
        <v>625</v>
      </c>
      <c r="R53">
        <v>15</v>
      </c>
      <c r="S53" t="s">
        <v>611</v>
      </c>
      <c r="T53">
        <v>4</v>
      </c>
      <c r="U53">
        <v>0</v>
      </c>
      <c r="V53">
        <v>2</v>
      </c>
      <c r="W53">
        <v>12</v>
      </c>
      <c r="X53">
        <v>10</v>
      </c>
      <c r="Y53">
        <v>3</v>
      </c>
      <c r="Z53">
        <v>1</v>
      </c>
      <c r="AA53">
        <v>1</v>
      </c>
      <c r="AC53">
        <v>1</v>
      </c>
      <c r="AD53">
        <v>98</v>
      </c>
      <c r="AE53" t="s">
        <v>696</v>
      </c>
      <c r="AF53" t="s">
        <v>662</v>
      </c>
      <c r="AG53" t="s">
        <v>715</v>
      </c>
      <c r="AH53">
        <v>7</v>
      </c>
      <c r="AI53">
        <v>2</v>
      </c>
      <c r="AJ53">
        <v>4</v>
      </c>
      <c r="AK53">
        <v>1</v>
      </c>
      <c r="AL53">
        <v>34</v>
      </c>
      <c r="AM53">
        <v>62</v>
      </c>
      <c r="AN53" t="s">
        <v>620</v>
      </c>
      <c r="AO53">
        <v>5</v>
      </c>
      <c r="AP53">
        <v>1</v>
      </c>
      <c r="AT53">
        <v>15</v>
      </c>
      <c r="AU53">
        <v>20</v>
      </c>
      <c r="AV53">
        <v>55</v>
      </c>
      <c r="AW53">
        <v>11</v>
      </c>
      <c r="AX53">
        <v>22</v>
      </c>
      <c r="AY53">
        <v>2</v>
      </c>
      <c r="AZ53">
        <v>4</v>
      </c>
      <c r="BA53">
        <v>1</v>
      </c>
      <c r="BB53">
        <v>26</v>
      </c>
      <c r="BC53">
        <v>38</v>
      </c>
      <c r="BD53" t="s">
        <v>620</v>
      </c>
      <c r="BE53">
        <v>5</v>
      </c>
      <c r="BF53">
        <v>4</v>
      </c>
      <c r="BJ53">
        <v>15</v>
      </c>
      <c r="BK53">
        <v>20</v>
      </c>
      <c r="BL53">
        <v>55</v>
      </c>
      <c r="BM53">
        <v>11</v>
      </c>
      <c r="BN53">
        <v>22</v>
      </c>
      <c r="CU53">
        <v>538143.28749999998</v>
      </c>
      <c r="CV53">
        <v>4878415.6189999999</v>
      </c>
      <c r="CW53">
        <v>44.057923119999998</v>
      </c>
      <c r="CX53">
        <v>-92.523788460000006</v>
      </c>
      <c r="CY53" s="319">
        <v>43578.652777777781</v>
      </c>
      <c r="CZ53" t="s">
        <v>615</v>
      </c>
      <c r="DA53" t="s">
        <v>664</v>
      </c>
      <c r="DB53" t="s">
        <v>665</v>
      </c>
      <c r="DC53" t="s">
        <v>666</v>
      </c>
      <c r="DD53" t="s">
        <v>724</v>
      </c>
    </row>
    <row r="54" spans="1:108" ht="16.5" customHeight="1" x14ac:dyDescent="0.25">
      <c r="A54">
        <v>70</v>
      </c>
      <c r="B54">
        <v>564419</v>
      </c>
      <c r="C54">
        <v>4</v>
      </c>
      <c r="D54">
        <v>22</v>
      </c>
      <c r="E54">
        <v>5.6150000000000002</v>
      </c>
      <c r="F54">
        <v>55</v>
      </c>
      <c r="G54" t="s">
        <v>643</v>
      </c>
      <c r="I54">
        <v>6</v>
      </c>
      <c r="J54">
        <v>21</v>
      </c>
      <c r="L54" t="s">
        <v>725</v>
      </c>
      <c r="M54">
        <v>180390127</v>
      </c>
      <c r="N54">
        <v>2</v>
      </c>
      <c r="O54">
        <v>8</v>
      </c>
      <c r="P54">
        <v>2018</v>
      </c>
      <c r="Q54" t="s">
        <v>619</v>
      </c>
      <c r="R54">
        <v>11</v>
      </c>
      <c r="T54">
        <v>5</v>
      </c>
      <c r="U54">
        <v>0</v>
      </c>
      <c r="V54">
        <v>2</v>
      </c>
      <c r="W54">
        <v>5</v>
      </c>
      <c r="X54">
        <v>10</v>
      </c>
      <c r="Y54">
        <v>3</v>
      </c>
      <c r="Z54">
        <v>1</v>
      </c>
      <c r="AA54">
        <v>1</v>
      </c>
      <c r="AC54">
        <v>1</v>
      </c>
      <c r="AD54">
        <v>98</v>
      </c>
      <c r="AE54" t="s">
        <v>696</v>
      </c>
      <c r="AG54" t="s">
        <v>715</v>
      </c>
      <c r="AH54">
        <v>10</v>
      </c>
      <c r="AI54">
        <v>2</v>
      </c>
      <c r="AJ54">
        <v>2</v>
      </c>
      <c r="AK54">
        <v>3</v>
      </c>
      <c r="AL54">
        <v>24</v>
      </c>
      <c r="AM54">
        <v>51</v>
      </c>
      <c r="AN54" t="s">
        <v>614</v>
      </c>
      <c r="AO54">
        <v>5</v>
      </c>
      <c r="AP54">
        <v>1</v>
      </c>
      <c r="AT54">
        <v>15</v>
      </c>
      <c r="AU54">
        <v>20</v>
      </c>
      <c r="AV54">
        <v>55</v>
      </c>
      <c r="AW54">
        <v>11</v>
      </c>
      <c r="AX54">
        <v>21</v>
      </c>
      <c r="AY54">
        <v>2</v>
      </c>
      <c r="AZ54">
        <v>2</v>
      </c>
      <c r="BA54">
        <v>3</v>
      </c>
      <c r="BB54">
        <v>21</v>
      </c>
      <c r="BC54">
        <v>30</v>
      </c>
      <c r="BD54" t="s">
        <v>620</v>
      </c>
      <c r="BE54">
        <v>99</v>
      </c>
      <c r="BF54">
        <v>65</v>
      </c>
      <c r="BJ54">
        <v>15</v>
      </c>
      <c r="BK54">
        <v>20</v>
      </c>
      <c r="BL54">
        <v>55</v>
      </c>
      <c r="BM54">
        <v>11</v>
      </c>
      <c r="BN54">
        <v>21</v>
      </c>
      <c r="CU54">
        <v>538143.27709999995</v>
      </c>
      <c r="CV54">
        <v>4878418.2085999995</v>
      </c>
      <c r="CW54">
        <v>44.057946430000001</v>
      </c>
      <c r="CX54">
        <v>-92.523788400000001</v>
      </c>
      <c r="CY54" s="319">
        <v>43139.482638888891</v>
      </c>
      <c r="CZ54" t="s">
        <v>615</v>
      </c>
      <c r="DA54" t="s">
        <v>664</v>
      </c>
      <c r="DB54" t="s">
        <v>665</v>
      </c>
      <c r="DC54" t="s">
        <v>666</v>
      </c>
      <c r="DD54" s="82" t="s">
        <v>726</v>
      </c>
    </row>
    <row r="55" spans="1:108" ht="16.5" customHeight="1" x14ac:dyDescent="0.25">
      <c r="A55">
        <v>70</v>
      </c>
      <c r="B55">
        <v>537010</v>
      </c>
      <c r="C55">
        <v>4</v>
      </c>
      <c r="D55">
        <v>22</v>
      </c>
      <c r="E55">
        <v>5.62</v>
      </c>
      <c r="F55">
        <v>55</v>
      </c>
      <c r="G55" t="s">
        <v>643</v>
      </c>
      <c r="I55">
        <v>6</v>
      </c>
      <c r="J55">
        <v>21</v>
      </c>
      <c r="L55" t="s">
        <v>727</v>
      </c>
      <c r="M55">
        <v>180160020</v>
      </c>
      <c r="N55">
        <v>1</v>
      </c>
      <c r="O55">
        <v>16</v>
      </c>
      <c r="P55">
        <v>2018</v>
      </c>
      <c r="Q55" t="s">
        <v>625</v>
      </c>
      <c r="R55">
        <v>6</v>
      </c>
      <c r="S55">
        <v>98</v>
      </c>
      <c r="T55">
        <v>5</v>
      </c>
      <c r="U55">
        <v>0</v>
      </c>
      <c r="V55">
        <v>1</v>
      </c>
      <c r="X55">
        <v>30</v>
      </c>
      <c r="Y55">
        <v>3</v>
      </c>
      <c r="Z55">
        <v>2</v>
      </c>
      <c r="AA55">
        <v>2</v>
      </c>
      <c r="AC55">
        <v>3</v>
      </c>
      <c r="AD55">
        <v>98</v>
      </c>
      <c r="AE55" t="s">
        <v>696</v>
      </c>
      <c r="AG55" t="s">
        <v>713</v>
      </c>
      <c r="AH55">
        <v>3</v>
      </c>
      <c r="AI55">
        <v>2</v>
      </c>
      <c r="AJ55">
        <v>3</v>
      </c>
      <c r="AK55">
        <v>3</v>
      </c>
      <c r="AL55">
        <v>27</v>
      </c>
      <c r="AM55">
        <v>38</v>
      </c>
      <c r="AN55" t="s">
        <v>614</v>
      </c>
      <c r="AO55">
        <v>5</v>
      </c>
      <c r="AP55">
        <v>75</v>
      </c>
      <c r="AQ55">
        <v>71</v>
      </c>
      <c r="AT55">
        <v>15</v>
      </c>
      <c r="AU55">
        <v>20</v>
      </c>
      <c r="AV55">
        <v>30</v>
      </c>
      <c r="AW55">
        <v>11</v>
      </c>
      <c r="AX55">
        <v>24</v>
      </c>
      <c r="CU55">
        <v>538121.87959999999</v>
      </c>
      <c r="CV55">
        <v>4878407.1509999996</v>
      </c>
      <c r="CW55">
        <v>44.057847989999999</v>
      </c>
      <c r="CX55">
        <v>-92.524056340000001</v>
      </c>
      <c r="CY55" s="319">
        <v>43116.290972222225</v>
      </c>
      <c r="CZ55" t="s">
        <v>615</v>
      </c>
      <c r="DA55" t="s">
        <v>664</v>
      </c>
      <c r="DB55" t="s">
        <v>616</v>
      </c>
      <c r="DC55" t="s">
        <v>617</v>
      </c>
      <c r="DD55" t="s">
        <v>728</v>
      </c>
    </row>
    <row r="56" spans="1:108" ht="16.5" customHeight="1" x14ac:dyDescent="0.25">
      <c r="A56">
        <v>70</v>
      </c>
      <c r="B56">
        <v>745782</v>
      </c>
      <c r="C56">
        <v>4</v>
      </c>
      <c r="D56">
        <v>22</v>
      </c>
      <c r="E56">
        <v>5.6219999999999999</v>
      </c>
      <c r="F56">
        <v>55</v>
      </c>
      <c r="G56" t="s">
        <v>643</v>
      </c>
      <c r="I56">
        <v>6</v>
      </c>
      <c r="J56">
        <v>21</v>
      </c>
      <c r="L56">
        <v>19044590</v>
      </c>
      <c r="M56">
        <v>192510014</v>
      </c>
      <c r="N56">
        <v>9</v>
      </c>
      <c r="O56">
        <v>8</v>
      </c>
      <c r="P56">
        <v>2019</v>
      </c>
      <c r="Q56" t="s">
        <v>652</v>
      </c>
      <c r="R56">
        <v>9</v>
      </c>
      <c r="T56">
        <v>3</v>
      </c>
      <c r="U56">
        <v>0</v>
      </c>
      <c r="V56">
        <v>2</v>
      </c>
      <c r="W56">
        <v>5</v>
      </c>
      <c r="X56">
        <v>10</v>
      </c>
      <c r="Y56">
        <v>3</v>
      </c>
      <c r="Z56">
        <v>1</v>
      </c>
      <c r="AA56">
        <v>2</v>
      </c>
      <c r="AC56">
        <v>1</v>
      </c>
      <c r="AD56">
        <v>98</v>
      </c>
      <c r="AE56" t="s">
        <v>696</v>
      </c>
      <c r="AG56" t="s">
        <v>715</v>
      </c>
      <c r="AH56">
        <v>10</v>
      </c>
      <c r="AI56">
        <v>2</v>
      </c>
      <c r="AJ56">
        <v>4</v>
      </c>
      <c r="AK56">
        <v>4</v>
      </c>
      <c r="AL56">
        <v>21</v>
      </c>
      <c r="AM56">
        <v>30</v>
      </c>
      <c r="AN56" t="s">
        <v>620</v>
      </c>
      <c r="AO56">
        <v>99</v>
      </c>
      <c r="AP56">
        <v>2</v>
      </c>
      <c r="AT56">
        <v>14</v>
      </c>
      <c r="AU56">
        <v>20</v>
      </c>
      <c r="AV56">
        <v>45</v>
      </c>
      <c r="AW56">
        <v>11</v>
      </c>
      <c r="AX56">
        <v>21</v>
      </c>
      <c r="AY56">
        <v>2</v>
      </c>
      <c r="AZ56">
        <v>5</v>
      </c>
      <c r="BA56">
        <v>1</v>
      </c>
      <c r="BB56">
        <v>21</v>
      </c>
      <c r="BC56">
        <v>36</v>
      </c>
      <c r="BD56" t="s">
        <v>614</v>
      </c>
      <c r="BE56">
        <v>5</v>
      </c>
      <c r="BF56">
        <v>1</v>
      </c>
      <c r="BJ56">
        <v>14</v>
      </c>
      <c r="BK56">
        <v>20</v>
      </c>
      <c r="BL56">
        <v>55</v>
      </c>
      <c r="BM56">
        <v>11</v>
      </c>
      <c r="BN56">
        <v>21</v>
      </c>
      <c r="CU56">
        <v>538143.2341</v>
      </c>
      <c r="CV56">
        <v>4878428.9357000003</v>
      </c>
      <c r="CW56">
        <v>44.058043009999999</v>
      </c>
      <c r="CX56">
        <v>-92.523788170000003</v>
      </c>
      <c r="CY56" s="319">
        <v>43716.376388888886</v>
      </c>
      <c r="CZ56" t="s">
        <v>615</v>
      </c>
      <c r="DA56" t="s">
        <v>664</v>
      </c>
      <c r="DB56" t="s">
        <v>665</v>
      </c>
      <c r="DC56" t="s">
        <v>666</v>
      </c>
      <c r="DD56" t="s">
        <v>729</v>
      </c>
    </row>
    <row r="57" spans="1:108" ht="16.5" customHeight="1" x14ac:dyDescent="0.25">
      <c r="A57">
        <v>70</v>
      </c>
      <c r="B57">
        <v>899294</v>
      </c>
      <c r="C57">
        <v>4</v>
      </c>
      <c r="D57">
        <v>22</v>
      </c>
      <c r="E57">
        <v>5.6219999999999999</v>
      </c>
      <c r="F57">
        <v>55</v>
      </c>
      <c r="G57" t="s">
        <v>643</v>
      </c>
      <c r="I57">
        <v>6</v>
      </c>
      <c r="J57">
        <v>21</v>
      </c>
      <c r="L57">
        <v>21013743</v>
      </c>
      <c r="M57">
        <v>210950090</v>
      </c>
      <c r="N57">
        <v>4</v>
      </c>
      <c r="O57">
        <v>5</v>
      </c>
      <c r="P57">
        <v>2021</v>
      </c>
      <c r="Q57" t="s">
        <v>610</v>
      </c>
      <c r="R57">
        <v>18</v>
      </c>
      <c r="S57">
        <v>98</v>
      </c>
      <c r="T57">
        <v>4</v>
      </c>
      <c r="U57">
        <v>0</v>
      </c>
      <c r="V57">
        <v>2</v>
      </c>
      <c r="W57">
        <v>13</v>
      </c>
      <c r="X57">
        <v>10</v>
      </c>
      <c r="Y57">
        <v>3</v>
      </c>
      <c r="Z57">
        <v>1</v>
      </c>
      <c r="AA57">
        <v>1</v>
      </c>
      <c r="AC57">
        <v>1</v>
      </c>
      <c r="AD57">
        <v>98</v>
      </c>
      <c r="AE57" t="s">
        <v>696</v>
      </c>
      <c r="AF57" t="s">
        <v>662</v>
      </c>
      <c r="AG57" t="s">
        <v>713</v>
      </c>
      <c r="AH57">
        <v>7</v>
      </c>
      <c r="AI57">
        <v>2</v>
      </c>
      <c r="AJ57">
        <v>4</v>
      </c>
      <c r="AK57">
        <v>1</v>
      </c>
      <c r="AL57">
        <v>24</v>
      </c>
      <c r="AM57">
        <v>35</v>
      </c>
      <c r="AN57" t="s">
        <v>614</v>
      </c>
      <c r="AO57">
        <v>5</v>
      </c>
      <c r="AP57">
        <v>1</v>
      </c>
      <c r="AT57">
        <v>15</v>
      </c>
      <c r="AU57">
        <v>20</v>
      </c>
      <c r="AV57">
        <v>55</v>
      </c>
      <c r="AW57">
        <v>11</v>
      </c>
      <c r="AX57">
        <v>21</v>
      </c>
      <c r="AY57">
        <v>2</v>
      </c>
      <c r="AZ57">
        <v>4</v>
      </c>
      <c r="BA57">
        <v>1</v>
      </c>
      <c r="BB57">
        <v>21</v>
      </c>
      <c r="BC57">
        <v>16</v>
      </c>
      <c r="BD57" t="s">
        <v>614</v>
      </c>
      <c r="BE57">
        <v>5</v>
      </c>
      <c r="BF57">
        <v>99</v>
      </c>
      <c r="BJ57">
        <v>15</v>
      </c>
      <c r="BK57">
        <v>20</v>
      </c>
      <c r="BL57">
        <v>55</v>
      </c>
      <c r="BM57">
        <v>11</v>
      </c>
      <c r="BN57">
        <v>21</v>
      </c>
      <c r="CU57">
        <v>538121.82209999999</v>
      </c>
      <c r="CV57">
        <v>4878410.7455000002</v>
      </c>
      <c r="CW57">
        <v>44.057880359999999</v>
      </c>
      <c r="CX57">
        <v>-92.524056799999997</v>
      </c>
      <c r="CY57" s="319">
        <v>44291.756944444445</v>
      </c>
      <c r="CZ57" t="s">
        <v>615</v>
      </c>
      <c r="DA57" t="s">
        <v>664</v>
      </c>
      <c r="DB57" t="s">
        <v>665</v>
      </c>
      <c r="DC57" t="s">
        <v>666</v>
      </c>
      <c r="DD57" t="s">
        <v>730</v>
      </c>
    </row>
    <row r="58" spans="1:108" ht="16.5" customHeight="1" x14ac:dyDescent="0.25">
      <c r="A58">
        <v>70</v>
      </c>
      <c r="B58">
        <v>838746</v>
      </c>
      <c r="C58">
        <v>4</v>
      </c>
      <c r="D58">
        <v>22</v>
      </c>
      <c r="E58">
        <v>5.6260000000000003</v>
      </c>
      <c r="F58">
        <v>55</v>
      </c>
      <c r="G58">
        <v>2396395</v>
      </c>
      <c r="J58">
        <v>21</v>
      </c>
      <c r="L58">
        <v>20038964</v>
      </c>
      <c r="M58">
        <v>202470039</v>
      </c>
      <c r="N58">
        <v>9</v>
      </c>
      <c r="O58">
        <v>3</v>
      </c>
      <c r="P58">
        <v>2020</v>
      </c>
      <c r="Q58" t="s">
        <v>619</v>
      </c>
      <c r="R58">
        <v>12</v>
      </c>
      <c r="S58" t="s">
        <v>673</v>
      </c>
      <c r="T58">
        <v>4</v>
      </c>
      <c r="U58">
        <v>0</v>
      </c>
      <c r="V58">
        <v>2</v>
      </c>
      <c r="W58">
        <v>13</v>
      </c>
      <c r="X58">
        <v>10</v>
      </c>
      <c r="Y58">
        <v>3</v>
      </c>
      <c r="Z58">
        <v>1</v>
      </c>
      <c r="AA58">
        <v>1</v>
      </c>
      <c r="AC58">
        <v>1</v>
      </c>
      <c r="AD58">
        <v>98</v>
      </c>
      <c r="AE58" t="s">
        <v>696</v>
      </c>
      <c r="AG58" t="s">
        <v>713</v>
      </c>
      <c r="AH58">
        <v>8</v>
      </c>
      <c r="AI58">
        <v>2</v>
      </c>
      <c r="AJ58">
        <v>5</v>
      </c>
      <c r="AK58">
        <v>1</v>
      </c>
      <c r="AL58">
        <v>24</v>
      </c>
      <c r="AM58">
        <v>32</v>
      </c>
      <c r="AN58" t="s">
        <v>620</v>
      </c>
      <c r="AO58">
        <v>5</v>
      </c>
      <c r="AP58">
        <v>63</v>
      </c>
      <c r="AT58">
        <v>14</v>
      </c>
      <c r="AU58">
        <v>20</v>
      </c>
      <c r="AV58">
        <v>45</v>
      </c>
      <c r="AW58">
        <v>11</v>
      </c>
      <c r="AX58">
        <v>21</v>
      </c>
      <c r="AY58">
        <v>2</v>
      </c>
      <c r="AZ58">
        <v>4</v>
      </c>
      <c r="BA58">
        <v>2</v>
      </c>
      <c r="BB58">
        <v>21</v>
      </c>
      <c r="BC58">
        <v>66</v>
      </c>
      <c r="BD58" t="s">
        <v>614</v>
      </c>
      <c r="BE58">
        <v>5</v>
      </c>
      <c r="BF58">
        <v>1</v>
      </c>
      <c r="BJ58">
        <v>14</v>
      </c>
      <c r="BK58">
        <v>20</v>
      </c>
      <c r="BL58">
        <v>45</v>
      </c>
      <c r="BM58">
        <v>11</v>
      </c>
      <c r="BN58">
        <v>21</v>
      </c>
      <c r="CU58">
        <v>538121.56568457</v>
      </c>
      <c r="CV58">
        <v>4878416.9085605601</v>
      </c>
      <c r="CW58">
        <v>44.05792795</v>
      </c>
      <c r="CX58">
        <v>-92.524052139999995</v>
      </c>
      <c r="CY58" s="319">
        <v>44077.515277777777</v>
      </c>
      <c r="CZ58" t="s">
        <v>615</v>
      </c>
      <c r="DA58" t="s">
        <v>664</v>
      </c>
      <c r="DB58" t="s">
        <v>665</v>
      </c>
      <c r="DC58" t="s">
        <v>666</v>
      </c>
      <c r="DD58" s="82" t="s">
        <v>731</v>
      </c>
    </row>
    <row r="59" spans="1:108" ht="16.5" customHeight="1" x14ac:dyDescent="0.25">
      <c r="A59">
        <v>70</v>
      </c>
      <c r="B59">
        <v>945326</v>
      </c>
      <c r="C59">
        <v>4</v>
      </c>
      <c r="D59">
        <v>22</v>
      </c>
      <c r="E59">
        <v>5.6269999999999998</v>
      </c>
      <c r="F59">
        <v>55</v>
      </c>
      <c r="G59" t="s">
        <v>643</v>
      </c>
      <c r="I59">
        <v>6</v>
      </c>
      <c r="J59">
        <v>21</v>
      </c>
      <c r="L59" t="s">
        <v>732</v>
      </c>
      <c r="M59">
        <v>212800020</v>
      </c>
      <c r="N59">
        <v>10</v>
      </c>
      <c r="O59">
        <v>7</v>
      </c>
      <c r="P59">
        <v>2021</v>
      </c>
      <c r="Q59" t="s">
        <v>619</v>
      </c>
      <c r="R59">
        <v>7</v>
      </c>
      <c r="T59">
        <v>5</v>
      </c>
      <c r="U59">
        <v>0</v>
      </c>
      <c r="V59">
        <v>3</v>
      </c>
      <c r="W59">
        <v>10</v>
      </c>
      <c r="X59">
        <v>10</v>
      </c>
      <c r="Y59">
        <v>3</v>
      </c>
      <c r="Z59">
        <v>1</v>
      </c>
      <c r="AA59">
        <v>2</v>
      </c>
      <c r="AC59">
        <v>1</v>
      </c>
      <c r="AD59">
        <v>98</v>
      </c>
      <c r="AE59" t="s">
        <v>696</v>
      </c>
      <c r="AF59" t="s">
        <v>662</v>
      </c>
      <c r="AG59" t="s">
        <v>713</v>
      </c>
      <c r="AH59">
        <v>5</v>
      </c>
      <c r="AI59">
        <v>2</v>
      </c>
      <c r="AJ59">
        <v>49</v>
      </c>
      <c r="AK59">
        <v>1</v>
      </c>
      <c r="AL59">
        <v>24</v>
      </c>
      <c r="AM59">
        <v>20</v>
      </c>
      <c r="AN59" t="s">
        <v>614</v>
      </c>
      <c r="AO59">
        <v>5</v>
      </c>
      <c r="AP59">
        <v>2</v>
      </c>
      <c r="AT59">
        <v>15</v>
      </c>
      <c r="AU59">
        <v>20</v>
      </c>
      <c r="AV59">
        <v>55</v>
      </c>
      <c r="AW59">
        <v>11</v>
      </c>
      <c r="AX59">
        <v>21</v>
      </c>
      <c r="AY59">
        <v>2</v>
      </c>
      <c r="AZ59">
        <v>4</v>
      </c>
      <c r="BA59">
        <v>2</v>
      </c>
      <c r="BB59">
        <v>21</v>
      </c>
      <c r="BC59">
        <v>40</v>
      </c>
      <c r="BD59" t="s">
        <v>620</v>
      </c>
      <c r="BE59">
        <v>5</v>
      </c>
      <c r="BF59">
        <v>71</v>
      </c>
      <c r="BG59">
        <v>1</v>
      </c>
      <c r="BJ59">
        <v>15</v>
      </c>
      <c r="BK59">
        <v>20</v>
      </c>
      <c r="BL59">
        <v>55</v>
      </c>
      <c r="BM59">
        <v>11</v>
      </c>
      <c r="BN59">
        <v>21</v>
      </c>
      <c r="BO59">
        <v>2</v>
      </c>
      <c r="BP59">
        <v>4</v>
      </c>
      <c r="BQ59">
        <v>2</v>
      </c>
      <c r="BR59">
        <v>21</v>
      </c>
      <c r="BS59">
        <v>71</v>
      </c>
      <c r="BT59" t="s">
        <v>620</v>
      </c>
      <c r="BU59">
        <v>5</v>
      </c>
      <c r="BV59">
        <v>1</v>
      </c>
      <c r="BZ59">
        <v>15</v>
      </c>
      <c r="CA59">
        <v>20</v>
      </c>
      <c r="CB59">
        <v>55</v>
      </c>
      <c r="CC59">
        <v>11</v>
      </c>
      <c r="CD59">
        <v>21</v>
      </c>
      <c r="CU59">
        <v>538121.73750000005</v>
      </c>
      <c r="CV59">
        <v>4878417.6688000001</v>
      </c>
      <c r="CW59">
        <v>44.057942689999997</v>
      </c>
      <c r="CX59">
        <v>-92.524057350000007</v>
      </c>
      <c r="CY59" s="319">
        <v>44476.313194444447</v>
      </c>
      <c r="CZ59" t="s">
        <v>615</v>
      </c>
      <c r="DA59" t="s">
        <v>664</v>
      </c>
      <c r="DB59" t="s">
        <v>665</v>
      </c>
      <c r="DC59" t="s">
        <v>666</v>
      </c>
      <c r="DD59" t="s">
        <v>733</v>
      </c>
    </row>
    <row r="60" spans="1:108" ht="16.5" customHeight="1" x14ac:dyDescent="0.25">
      <c r="A60">
        <v>70</v>
      </c>
      <c r="B60">
        <v>774494</v>
      </c>
      <c r="C60">
        <v>4</v>
      </c>
      <c r="D60">
        <v>22</v>
      </c>
      <c r="E60">
        <v>5.6310000000000002</v>
      </c>
      <c r="F60">
        <v>55</v>
      </c>
      <c r="G60" t="s">
        <v>643</v>
      </c>
      <c r="I60">
        <v>6</v>
      </c>
      <c r="J60">
        <v>21</v>
      </c>
      <c r="L60">
        <v>19063081</v>
      </c>
      <c r="M60">
        <v>193590083</v>
      </c>
      <c r="N60">
        <v>12</v>
      </c>
      <c r="O60">
        <v>25</v>
      </c>
      <c r="P60">
        <v>2019</v>
      </c>
      <c r="Q60" t="s">
        <v>645</v>
      </c>
      <c r="R60">
        <v>10</v>
      </c>
      <c r="T60">
        <v>5</v>
      </c>
      <c r="U60">
        <v>0</v>
      </c>
      <c r="V60">
        <v>2</v>
      </c>
      <c r="W60">
        <v>12</v>
      </c>
      <c r="X60">
        <v>10</v>
      </c>
      <c r="Y60">
        <v>3</v>
      </c>
      <c r="Z60">
        <v>1</v>
      </c>
      <c r="AA60">
        <v>2</v>
      </c>
      <c r="AC60">
        <v>1</v>
      </c>
      <c r="AD60">
        <v>98</v>
      </c>
      <c r="AE60" t="s">
        <v>696</v>
      </c>
      <c r="AG60" t="s">
        <v>713</v>
      </c>
      <c r="AH60">
        <v>7</v>
      </c>
      <c r="AI60">
        <v>2</v>
      </c>
      <c r="AJ60">
        <v>4</v>
      </c>
      <c r="AK60">
        <v>2</v>
      </c>
      <c r="AL60">
        <v>34</v>
      </c>
      <c r="AM60">
        <v>66</v>
      </c>
      <c r="AN60" t="s">
        <v>614</v>
      </c>
      <c r="AO60">
        <v>5</v>
      </c>
      <c r="AP60">
        <v>1</v>
      </c>
      <c r="AT60">
        <v>15</v>
      </c>
      <c r="AU60">
        <v>20</v>
      </c>
      <c r="AV60">
        <v>55</v>
      </c>
      <c r="AW60">
        <v>11</v>
      </c>
      <c r="AX60">
        <v>21</v>
      </c>
      <c r="AY60">
        <v>1</v>
      </c>
      <c r="AZ60">
        <v>2</v>
      </c>
      <c r="BA60">
        <v>2</v>
      </c>
      <c r="BB60">
        <v>21</v>
      </c>
      <c r="BJ60">
        <v>15</v>
      </c>
      <c r="BK60">
        <v>20</v>
      </c>
      <c r="BL60">
        <v>55</v>
      </c>
      <c r="BM60">
        <v>11</v>
      </c>
      <c r="BN60">
        <v>21</v>
      </c>
      <c r="CU60">
        <v>538121.65949999995</v>
      </c>
      <c r="CV60">
        <v>4878424.5241</v>
      </c>
      <c r="CW60">
        <v>44.058004420000003</v>
      </c>
      <c r="CX60">
        <v>-92.524057830000004</v>
      </c>
      <c r="CY60" s="319">
        <v>43824.4375</v>
      </c>
      <c r="CZ60" t="s">
        <v>615</v>
      </c>
      <c r="DA60" t="s">
        <v>664</v>
      </c>
      <c r="DB60" t="s">
        <v>665</v>
      </c>
      <c r="DC60" t="s">
        <v>666</v>
      </c>
      <c r="DD60" t="s">
        <v>734</v>
      </c>
    </row>
    <row r="61" spans="1:108" ht="16.5" customHeight="1" x14ac:dyDescent="0.25">
      <c r="A61">
        <v>70</v>
      </c>
      <c r="B61">
        <v>873183</v>
      </c>
      <c r="C61">
        <v>4</v>
      </c>
      <c r="D61">
        <v>22</v>
      </c>
      <c r="E61">
        <v>5.6349999999999998</v>
      </c>
      <c r="F61">
        <v>55</v>
      </c>
      <c r="G61" t="s">
        <v>643</v>
      </c>
      <c r="I61">
        <v>6</v>
      </c>
      <c r="J61">
        <v>21</v>
      </c>
      <c r="L61">
        <v>210000770</v>
      </c>
      <c r="M61">
        <v>210060047</v>
      </c>
      <c r="N61">
        <v>1</v>
      </c>
      <c r="O61">
        <v>6</v>
      </c>
      <c r="P61">
        <v>2021</v>
      </c>
      <c r="Q61" t="s">
        <v>645</v>
      </c>
      <c r="R61">
        <v>18</v>
      </c>
      <c r="S61">
        <v>98</v>
      </c>
      <c r="T61">
        <v>5</v>
      </c>
      <c r="U61">
        <v>0</v>
      </c>
      <c r="V61">
        <v>2</v>
      </c>
      <c r="W61">
        <v>12</v>
      </c>
      <c r="X61">
        <v>10</v>
      </c>
      <c r="Y61">
        <v>3</v>
      </c>
      <c r="Z61">
        <v>4</v>
      </c>
      <c r="AA61">
        <v>2</v>
      </c>
      <c r="AC61">
        <v>1</v>
      </c>
      <c r="AD61">
        <v>98</v>
      </c>
      <c r="AE61" t="s">
        <v>696</v>
      </c>
      <c r="AG61" t="s">
        <v>713</v>
      </c>
      <c r="AH61">
        <v>7</v>
      </c>
      <c r="AI61">
        <v>2</v>
      </c>
      <c r="AJ61">
        <v>4</v>
      </c>
      <c r="AK61">
        <v>2</v>
      </c>
      <c r="AL61">
        <v>21</v>
      </c>
      <c r="AM61">
        <v>24</v>
      </c>
      <c r="AN61" t="s">
        <v>620</v>
      </c>
      <c r="AO61">
        <v>5</v>
      </c>
      <c r="AP61">
        <v>1</v>
      </c>
      <c r="AT61">
        <v>13</v>
      </c>
      <c r="AU61">
        <v>20</v>
      </c>
      <c r="AV61">
        <v>55</v>
      </c>
      <c r="AW61">
        <v>11</v>
      </c>
      <c r="AX61">
        <v>21</v>
      </c>
      <c r="AY61">
        <v>2</v>
      </c>
      <c r="AZ61">
        <v>4</v>
      </c>
      <c r="BA61">
        <v>2</v>
      </c>
      <c r="BB61">
        <v>28</v>
      </c>
      <c r="BC61">
        <v>26</v>
      </c>
      <c r="BD61" t="s">
        <v>620</v>
      </c>
      <c r="BE61">
        <v>5</v>
      </c>
      <c r="BF61">
        <v>1</v>
      </c>
      <c r="BJ61">
        <v>13</v>
      </c>
      <c r="BK61">
        <v>20</v>
      </c>
      <c r="BL61">
        <v>55</v>
      </c>
      <c r="BM61">
        <v>11</v>
      </c>
      <c r="BN61">
        <v>21</v>
      </c>
      <c r="CU61">
        <v>538121.58629999997</v>
      </c>
      <c r="CV61">
        <v>4878430.9540999997</v>
      </c>
      <c r="CW61">
        <v>44.058062309999997</v>
      </c>
      <c r="CX61">
        <v>-92.524058280000006</v>
      </c>
      <c r="CY61" s="319">
        <v>44202.754166666666</v>
      </c>
      <c r="CZ61" t="s">
        <v>615</v>
      </c>
      <c r="DA61" t="s">
        <v>664</v>
      </c>
      <c r="DB61" t="s">
        <v>665</v>
      </c>
      <c r="DC61" t="s">
        <v>666</v>
      </c>
      <c r="DD61" s="82" t="s">
        <v>735</v>
      </c>
    </row>
    <row r="62" spans="1:108" ht="16.5" customHeight="1" x14ac:dyDescent="0.25">
      <c r="A62">
        <v>70</v>
      </c>
      <c r="B62">
        <v>600434</v>
      </c>
      <c r="C62">
        <v>4</v>
      </c>
      <c r="D62">
        <v>22</v>
      </c>
      <c r="E62">
        <v>5.6379999999999999</v>
      </c>
      <c r="F62">
        <v>55</v>
      </c>
      <c r="G62" t="s">
        <v>643</v>
      </c>
      <c r="I62">
        <v>6</v>
      </c>
      <c r="J62">
        <v>21</v>
      </c>
      <c r="L62">
        <v>18023940</v>
      </c>
      <c r="M62">
        <v>181490041</v>
      </c>
      <c r="N62">
        <v>5</v>
      </c>
      <c r="O62">
        <v>28</v>
      </c>
      <c r="P62">
        <v>2018</v>
      </c>
      <c r="Q62" t="s">
        <v>610</v>
      </c>
      <c r="R62">
        <v>17</v>
      </c>
      <c r="S62">
        <v>98</v>
      </c>
      <c r="T62">
        <v>5</v>
      </c>
      <c r="U62">
        <v>0</v>
      </c>
      <c r="V62">
        <v>2</v>
      </c>
      <c r="W62">
        <v>5</v>
      </c>
      <c r="X62">
        <v>10</v>
      </c>
      <c r="Y62">
        <v>3</v>
      </c>
      <c r="Z62">
        <v>1</v>
      </c>
      <c r="AA62">
        <v>1</v>
      </c>
      <c r="AC62">
        <v>1</v>
      </c>
      <c r="AD62">
        <v>98</v>
      </c>
      <c r="AE62" t="s">
        <v>696</v>
      </c>
      <c r="AF62" t="s">
        <v>662</v>
      </c>
      <c r="AG62" t="s">
        <v>713</v>
      </c>
      <c r="AH62">
        <v>10</v>
      </c>
      <c r="AI62">
        <v>2</v>
      </c>
      <c r="AJ62">
        <v>4</v>
      </c>
      <c r="AK62">
        <v>2</v>
      </c>
      <c r="AL62">
        <v>21</v>
      </c>
      <c r="AM62">
        <v>41</v>
      </c>
      <c r="AN62" t="s">
        <v>614</v>
      </c>
      <c r="AO62">
        <v>5</v>
      </c>
      <c r="AP62">
        <v>1</v>
      </c>
      <c r="AT62">
        <v>14</v>
      </c>
      <c r="AU62">
        <v>20</v>
      </c>
      <c r="AV62">
        <v>55</v>
      </c>
      <c r="AW62">
        <v>11</v>
      </c>
      <c r="AX62">
        <v>23</v>
      </c>
      <c r="AY62">
        <v>2</v>
      </c>
      <c r="AZ62">
        <v>3</v>
      </c>
      <c r="BA62">
        <v>4</v>
      </c>
      <c r="BB62">
        <v>21</v>
      </c>
      <c r="BC62">
        <v>35</v>
      </c>
      <c r="BD62" t="s">
        <v>614</v>
      </c>
      <c r="BE62">
        <v>5</v>
      </c>
      <c r="BF62">
        <v>1</v>
      </c>
      <c r="BJ62">
        <v>14</v>
      </c>
      <c r="BK62">
        <v>20</v>
      </c>
      <c r="BL62">
        <v>45</v>
      </c>
      <c r="BM62">
        <v>11</v>
      </c>
      <c r="BN62">
        <v>23</v>
      </c>
      <c r="CU62">
        <v>538121.53980000003</v>
      </c>
      <c r="CV62">
        <v>4878435.0395999998</v>
      </c>
      <c r="CW62">
        <v>44.0580991</v>
      </c>
      <c r="CX62">
        <v>-92.524058569999994</v>
      </c>
      <c r="CY62" s="319">
        <v>43248.729166666664</v>
      </c>
      <c r="CZ62" t="s">
        <v>615</v>
      </c>
      <c r="DA62" t="s">
        <v>664</v>
      </c>
      <c r="DB62" t="s">
        <v>665</v>
      </c>
      <c r="DC62" t="s">
        <v>666</v>
      </c>
      <c r="DD62" t="s">
        <v>736</v>
      </c>
    </row>
    <row r="63" spans="1:108" ht="16.5" customHeight="1" x14ac:dyDescent="0.25">
      <c r="A63">
        <v>70</v>
      </c>
      <c r="B63">
        <v>625159</v>
      </c>
      <c r="C63">
        <v>4</v>
      </c>
      <c r="D63">
        <v>22</v>
      </c>
      <c r="E63">
        <v>5.64</v>
      </c>
      <c r="F63">
        <v>55</v>
      </c>
      <c r="G63" t="s">
        <v>643</v>
      </c>
      <c r="I63">
        <v>6</v>
      </c>
      <c r="J63">
        <v>21</v>
      </c>
      <c r="L63">
        <v>18035883</v>
      </c>
      <c r="M63">
        <v>182140162</v>
      </c>
      <c r="N63">
        <v>8</v>
      </c>
      <c r="O63">
        <v>2</v>
      </c>
      <c r="P63">
        <v>2018</v>
      </c>
      <c r="Q63" t="s">
        <v>619</v>
      </c>
      <c r="R63">
        <v>6</v>
      </c>
      <c r="S63" t="s">
        <v>673</v>
      </c>
      <c r="T63">
        <v>4</v>
      </c>
      <c r="U63">
        <v>0</v>
      </c>
      <c r="V63">
        <v>2</v>
      </c>
      <c r="W63">
        <v>12</v>
      </c>
      <c r="X63">
        <v>10</v>
      </c>
      <c r="Y63">
        <v>10</v>
      </c>
      <c r="Z63">
        <v>1</v>
      </c>
      <c r="AA63">
        <v>2</v>
      </c>
      <c r="AC63">
        <v>1</v>
      </c>
      <c r="AD63">
        <v>98</v>
      </c>
      <c r="AE63" t="s">
        <v>696</v>
      </c>
      <c r="AG63" t="s">
        <v>713</v>
      </c>
      <c r="AH63">
        <v>7</v>
      </c>
      <c r="AI63">
        <v>1</v>
      </c>
      <c r="AJ63">
        <v>5</v>
      </c>
      <c r="AK63">
        <v>2</v>
      </c>
      <c r="AL63">
        <v>21</v>
      </c>
      <c r="AT63">
        <v>15</v>
      </c>
      <c r="AU63">
        <v>20</v>
      </c>
      <c r="AV63">
        <v>55</v>
      </c>
      <c r="AW63">
        <v>11</v>
      </c>
      <c r="AX63">
        <v>23</v>
      </c>
      <c r="AY63">
        <v>2</v>
      </c>
      <c r="AZ63">
        <v>5</v>
      </c>
      <c r="BA63">
        <v>2</v>
      </c>
      <c r="BB63">
        <v>34</v>
      </c>
      <c r="BC63">
        <v>52</v>
      </c>
      <c r="BD63" t="s">
        <v>614</v>
      </c>
      <c r="BE63">
        <v>5</v>
      </c>
      <c r="BF63">
        <v>1</v>
      </c>
      <c r="BJ63">
        <v>15</v>
      </c>
      <c r="BK63">
        <v>20</v>
      </c>
      <c r="BL63">
        <v>55</v>
      </c>
      <c r="BM63">
        <v>11</v>
      </c>
      <c r="BN63">
        <v>23</v>
      </c>
      <c r="CU63">
        <v>538121.49029999995</v>
      </c>
      <c r="CV63">
        <v>4878439.3898999998</v>
      </c>
      <c r="CW63">
        <v>44.05813826</v>
      </c>
      <c r="CX63">
        <v>-92.524058870000005</v>
      </c>
      <c r="CY63" s="319">
        <v>43314.272916666669</v>
      </c>
      <c r="CZ63" t="s">
        <v>615</v>
      </c>
      <c r="DA63" t="s">
        <v>664</v>
      </c>
      <c r="DB63" t="s">
        <v>665</v>
      </c>
      <c r="DC63" t="s">
        <v>666</v>
      </c>
      <c r="DD63" s="82" t="s">
        <v>737</v>
      </c>
    </row>
    <row r="64" spans="1:108" ht="16.5" customHeight="1" x14ac:dyDescent="0.25">
      <c r="A64">
        <v>70</v>
      </c>
      <c r="B64">
        <v>932640</v>
      </c>
      <c r="C64">
        <v>4</v>
      </c>
      <c r="D64">
        <v>22</v>
      </c>
      <c r="E64">
        <v>5.6449999999999996</v>
      </c>
      <c r="F64">
        <v>55</v>
      </c>
      <c r="G64" t="s">
        <v>643</v>
      </c>
      <c r="I64">
        <v>6</v>
      </c>
      <c r="J64">
        <v>21</v>
      </c>
      <c r="L64">
        <v>21033049</v>
      </c>
      <c r="M64">
        <v>212180056</v>
      </c>
      <c r="N64">
        <v>8</v>
      </c>
      <c r="O64">
        <v>6</v>
      </c>
      <c r="P64">
        <v>2021</v>
      </c>
      <c r="Q64" t="s">
        <v>638</v>
      </c>
      <c r="R64">
        <v>14</v>
      </c>
      <c r="S64" t="s">
        <v>673</v>
      </c>
      <c r="T64">
        <v>5</v>
      </c>
      <c r="U64">
        <v>0</v>
      </c>
      <c r="V64">
        <v>2</v>
      </c>
      <c r="W64">
        <v>12</v>
      </c>
      <c r="X64">
        <v>10</v>
      </c>
      <c r="Y64">
        <v>2</v>
      </c>
      <c r="Z64">
        <v>1</v>
      </c>
      <c r="AA64">
        <v>1</v>
      </c>
      <c r="AC64">
        <v>1</v>
      </c>
      <c r="AD64">
        <v>98</v>
      </c>
      <c r="AE64" t="s">
        <v>696</v>
      </c>
      <c r="AF64" t="s">
        <v>703</v>
      </c>
      <c r="AG64" t="s">
        <v>713</v>
      </c>
      <c r="AH64">
        <v>7</v>
      </c>
      <c r="AI64">
        <v>2</v>
      </c>
      <c r="AJ64">
        <v>4</v>
      </c>
      <c r="AK64">
        <v>2</v>
      </c>
      <c r="AL64">
        <v>34</v>
      </c>
      <c r="AM64">
        <v>43</v>
      </c>
      <c r="AN64" t="s">
        <v>614</v>
      </c>
      <c r="AO64">
        <v>5</v>
      </c>
      <c r="AP64">
        <v>1</v>
      </c>
      <c r="AT64">
        <v>15</v>
      </c>
      <c r="AU64">
        <v>20</v>
      </c>
      <c r="AV64">
        <v>55</v>
      </c>
      <c r="AW64">
        <v>11</v>
      </c>
      <c r="AX64">
        <v>21</v>
      </c>
      <c r="AY64">
        <v>2</v>
      </c>
      <c r="AZ64">
        <v>5</v>
      </c>
      <c r="BA64">
        <v>2</v>
      </c>
      <c r="BB64">
        <v>21</v>
      </c>
      <c r="BC64">
        <v>21</v>
      </c>
      <c r="BD64" t="s">
        <v>614</v>
      </c>
      <c r="BE64">
        <v>5</v>
      </c>
      <c r="BF64">
        <v>74</v>
      </c>
      <c r="BJ64">
        <v>15</v>
      </c>
      <c r="BK64">
        <v>20</v>
      </c>
      <c r="BL64">
        <v>55</v>
      </c>
      <c r="BM64">
        <v>11</v>
      </c>
      <c r="BN64">
        <v>21</v>
      </c>
      <c r="CU64">
        <v>538121.39740000002</v>
      </c>
      <c r="CV64">
        <v>4878447.5520000001</v>
      </c>
      <c r="CW64">
        <v>44.058211749999998</v>
      </c>
      <c r="CX64">
        <v>-92.524059449999996</v>
      </c>
      <c r="CY64" s="319">
        <v>44414.613888888889</v>
      </c>
      <c r="CZ64" t="s">
        <v>615</v>
      </c>
      <c r="DA64" t="s">
        <v>664</v>
      </c>
      <c r="DB64" t="s">
        <v>665</v>
      </c>
      <c r="DC64" t="s">
        <v>666</v>
      </c>
      <c r="DD64" s="82" t="s">
        <v>738</v>
      </c>
    </row>
    <row r="65" spans="1:108" ht="16.5" customHeight="1" x14ac:dyDescent="0.25">
      <c r="A65">
        <v>70</v>
      </c>
      <c r="B65">
        <v>411235</v>
      </c>
      <c r="C65">
        <v>4</v>
      </c>
      <c r="D65">
        <v>22</v>
      </c>
      <c r="E65">
        <v>5.6459999999999999</v>
      </c>
      <c r="F65">
        <v>55</v>
      </c>
      <c r="G65" t="s">
        <v>643</v>
      </c>
      <c r="I65">
        <v>6</v>
      </c>
      <c r="J65">
        <v>21</v>
      </c>
      <c r="L65">
        <v>1700494</v>
      </c>
      <c r="M65">
        <v>170040033</v>
      </c>
      <c r="N65">
        <v>1</v>
      </c>
      <c r="O65">
        <v>4</v>
      </c>
      <c r="P65">
        <v>2017</v>
      </c>
      <c r="Q65" t="s">
        <v>645</v>
      </c>
      <c r="R65">
        <v>9</v>
      </c>
      <c r="T65">
        <v>5</v>
      </c>
      <c r="U65">
        <v>0</v>
      </c>
      <c r="V65">
        <v>2</v>
      </c>
      <c r="W65">
        <v>12</v>
      </c>
      <c r="X65">
        <v>10</v>
      </c>
      <c r="Y65">
        <v>3</v>
      </c>
      <c r="Z65">
        <v>1</v>
      </c>
      <c r="AA65">
        <v>1</v>
      </c>
      <c r="AC65">
        <v>5</v>
      </c>
      <c r="AD65">
        <v>98</v>
      </c>
      <c r="AE65" t="s">
        <v>696</v>
      </c>
      <c r="AG65" t="s">
        <v>713</v>
      </c>
      <c r="AH65">
        <v>7</v>
      </c>
      <c r="AI65">
        <v>2</v>
      </c>
      <c r="AJ65">
        <v>4</v>
      </c>
      <c r="AK65">
        <v>2</v>
      </c>
      <c r="AL65">
        <v>34</v>
      </c>
      <c r="AM65">
        <v>64</v>
      </c>
      <c r="AN65" t="s">
        <v>620</v>
      </c>
      <c r="AO65">
        <v>5</v>
      </c>
      <c r="AP65">
        <v>1</v>
      </c>
      <c r="AT65">
        <v>14</v>
      </c>
      <c r="AU65">
        <v>20</v>
      </c>
      <c r="AV65">
        <v>55</v>
      </c>
      <c r="AW65">
        <v>11</v>
      </c>
      <c r="AX65">
        <v>21</v>
      </c>
      <c r="AY65">
        <v>2</v>
      </c>
      <c r="AZ65">
        <v>5</v>
      </c>
      <c r="BA65">
        <v>2</v>
      </c>
      <c r="BB65">
        <v>21</v>
      </c>
      <c r="BC65">
        <v>31</v>
      </c>
      <c r="BD65" t="s">
        <v>620</v>
      </c>
      <c r="BE65">
        <v>5</v>
      </c>
      <c r="BF65">
        <v>90</v>
      </c>
      <c r="BJ65">
        <v>14</v>
      </c>
      <c r="BK65">
        <v>20</v>
      </c>
      <c r="BL65">
        <v>55</v>
      </c>
      <c r="BM65">
        <v>11</v>
      </c>
      <c r="BN65">
        <v>21</v>
      </c>
      <c r="CU65">
        <v>538121.37840000005</v>
      </c>
      <c r="CV65">
        <v>4878449.2176000001</v>
      </c>
      <c r="CW65">
        <v>44.058226750000003</v>
      </c>
      <c r="CX65">
        <v>-92.524059559999998</v>
      </c>
      <c r="CY65" s="319">
        <v>42739.37777777778</v>
      </c>
      <c r="CZ65" t="s">
        <v>615</v>
      </c>
      <c r="DA65" t="s">
        <v>664</v>
      </c>
      <c r="DB65" t="s">
        <v>665</v>
      </c>
      <c r="DC65" t="s">
        <v>666</v>
      </c>
      <c r="DD65" s="82" t="s">
        <v>739</v>
      </c>
    </row>
    <row r="66" spans="1:108" ht="16.5" customHeight="1" x14ac:dyDescent="0.25">
      <c r="A66">
        <v>70</v>
      </c>
      <c r="B66">
        <v>835446</v>
      </c>
      <c r="C66">
        <v>4</v>
      </c>
      <c r="D66">
        <v>22</v>
      </c>
      <c r="E66">
        <v>5.649</v>
      </c>
      <c r="F66">
        <v>55</v>
      </c>
      <c r="G66" t="s">
        <v>643</v>
      </c>
      <c r="I66">
        <v>6</v>
      </c>
      <c r="J66">
        <v>21</v>
      </c>
      <c r="L66">
        <v>20035974</v>
      </c>
      <c r="M66">
        <v>202280066</v>
      </c>
      <c r="N66">
        <v>8</v>
      </c>
      <c r="O66">
        <v>15</v>
      </c>
      <c r="P66">
        <v>2020</v>
      </c>
      <c r="Q66" t="s">
        <v>655</v>
      </c>
      <c r="R66">
        <v>16</v>
      </c>
      <c r="S66" t="s">
        <v>673</v>
      </c>
      <c r="T66">
        <v>4</v>
      </c>
      <c r="U66">
        <v>0</v>
      </c>
      <c r="V66">
        <v>3</v>
      </c>
      <c r="W66">
        <v>12</v>
      </c>
      <c r="X66">
        <v>10</v>
      </c>
      <c r="Y66">
        <v>10</v>
      </c>
      <c r="Z66">
        <v>1</v>
      </c>
      <c r="AA66">
        <v>1</v>
      </c>
      <c r="AC66">
        <v>1</v>
      </c>
      <c r="AD66">
        <v>98</v>
      </c>
      <c r="AE66" t="s">
        <v>696</v>
      </c>
      <c r="AF66" t="s">
        <v>740</v>
      </c>
      <c r="AG66" t="s">
        <v>713</v>
      </c>
      <c r="AH66">
        <v>7</v>
      </c>
      <c r="AI66">
        <v>2</v>
      </c>
      <c r="AJ66">
        <v>2</v>
      </c>
      <c r="AK66">
        <v>2</v>
      </c>
      <c r="AL66">
        <v>21</v>
      </c>
      <c r="AM66">
        <v>42</v>
      </c>
      <c r="AN66" t="s">
        <v>614</v>
      </c>
      <c r="AO66">
        <v>5</v>
      </c>
      <c r="AP66">
        <v>4</v>
      </c>
      <c r="AT66">
        <v>14</v>
      </c>
      <c r="AU66">
        <v>20</v>
      </c>
      <c r="AV66">
        <v>55</v>
      </c>
      <c r="AW66">
        <v>11</v>
      </c>
      <c r="AX66">
        <v>23</v>
      </c>
      <c r="AY66">
        <v>2</v>
      </c>
      <c r="AZ66">
        <v>2</v>
      </c>
      <c r="BA66">
        <v>2</v>
      </c>
      <c r="BB66">
        <v>21</v>
      </c>
      <c r="BC66">
        <v>37</v>
      </c>
      <c r="BD66" t="s">
        <v>620</v>
      </c>
      <c r="BE66">
        <v>5</v>
      </c>
      <c r="BF66">
        <v>1</v>
      </c>
      <c r="BJ66">
        <v>14</v>
      </c>
      <c r="BK66">
        <v>20</v>
      </c>
      <c r="BL66">
        <v>55</v>
      </c>
      <c r="BM66">
        <v>11</v>
      </c>
      <c r="BN66">
        <v>23</v>
      </c>
      <c r="BO66">
        <v>2</v>
      </c>
      <c r="BP66">
        <v>2</v>
      </c>
      <c r="BQ66">
        <v>2</v>
      </c>
      <c r="BR66">
        <v>21</v>
      </c>
      <c r="BS66">
        <v>38</v>
      </c>
      <c r="BT66" t="s">
        <v>620</v>
      </c>
      <c r="BU66">
        <v>5</v>
      </c>
      <c r="BV66">
        <v>1</v>
      </c>
      <c r="BZ66">
        <v>14</v>
      </c>
      <c r="CA66">
        <v>20</v>
      </c>
      <c r="CB66">
        <v>55</v>
      </c>
      <c r="CC66">
        <v>11</v>
      </c>
      <c r="CD66">
        <v>23</v>
      </c>
      <c r="CU66">
        <v>538121.32750000001</v>
      </c>
      <c r="CV66">
        <v>4878453.6875</v>
      </c>
      <c r="CW66">
        <v>44.058267000000001</v>
      </c>
      <c r="CX66">
        <v>-92.524059879999996</v>
      </c>
      <c r="CY66" s="319">
        <v>44058.697222222225</v>
      </c>
      <c r="CZ66" t="s">
        <v>615</v>
      </c>
      <c r="DA66" t="s">
        <v>664</v>
      </c>
      <c r="DB66" t="s">
        <v>665</v>
      </c>
      <c r="DC66" t="s">
        <v>666</v>
      </c>
      <c r="DD66" s="82" t="s">
        <v>741</v>
      </c>
    </row>
    <row r="67" spans="1:108" ht="16.5" customHeight="1" x14ac:dyDescent="0.25">
      <c r="A67">
        <v>70</v>
      </c>
      <c r="B67">
        <v>489533</v>
      </c>
      <c r="C67">
        <v>4</v>
      </c>
      <c r="D67">
        <v>22</v>
      </c>
      <c r="E67">
        <v>5.65</v>
      </c>
      <c r="F67">
        <v>55</v>
      </c>
      <c r="G67" t="s">
        <v>643</v>
      </c>
      <c r="I67">
        <v>6</v>
      </c>
      <c r="J67">
        <v>21</v>
      </c>
      <c r="L67">
        <v>17036908</v>
      </c>
      <c r="M67">
        <v>172070019</v>
      </c>
      <c r="N67">
        <v>7</v>
      </c>
      <c r="O67">
        <v>26</v>
      </c>
      <c r="P67">
        <v>2017</v>
      </c>
      <c r="Q67" t="s">
        <v>645</v>
      </c>
      <c r="R67">
        <v>7</v>
      </c>
      <c r="S67" t="s">
        <v>673</v>
      </c>
      <c r="T67">
        <v>4</v>
      </c>
      <c r="U67">
        <v>0</v>
      </c>
      <c r="V67">
        <v>2</v>
      </c>
      <c r="W67">
        <v>12</v>
      </c>
      <c r="X67">
        <v>10</v>
      </c>
      <c r="Y67">
        <v>3</v>
      </c>
      <c r="Z67">
        <v>1</v>
      </c>
      <c r="AA67">
        <v>2</v>
      </c>
      <c r="AB67">
        <v>3</v>
      </c>
      <c r="AC67">
        <v>2</v>
      </c>
      <c r="AD67">
        <v>98</v>
      </c>
      <c r="AE67" t="s">
        <v>696</v>
      </c>
      <c r="AG67" t="s">
        <v>713</v>
      </c>
      <c r="AH67">
        <v>7</v>
      </c>
      <c r="AI67">
        <v>2</v>
      </c>
      <c r="AJ67">
        <v>4</v>
      </c>
      <c r="AK67">
        <v>2</v>
      </c>
      <c r="AL67">
        <v>21</v>
      </c>
      <c r="AM67">
        <v>36</v>
      </c>
      <c r="AN67" t="s">
        <v>620</v>
      </c>
      <c r="AO67">
        <v>5</v>
      </c>
      <c r="AP67">
        <v>4</v>
      </c>
      <c r="AT67">
        <v>14</v>
      </c>
      <c r="AU67">
        <v>20</v>
      </c>
      <c r="AV67">
        <v>55</v>
      </c>
      <c r="AW67">
        <v>11</v>
      </c>
      <c r="AX67">
        <v>21</v>
      </c>
      <c r="AY67">
        <v>2</v>
      </c>
      <c r="AZ67">
        <v>2</v>
      </c>
      <c r="BA67">
        <v>2</v>
      </c>
      <c r="BB67">
        <v>26</v>
      </c>
      <c r="BC67">
        <v>37</v>
      </c>
      <c r="BD67" t="s">
        <v>620</v>
      </c>
      <c r="BE67">
        <v>5</v>
      </c>
      <c r="BF67">
        <v>1</v>
      </c>
      <c r="BJ67">
        <v>14</v>
      </c>
      <c r="BK67">
        <v>20</v>
      </c>
      <c r="BL67">
        <v>55</v>
      </c>
      <c r="BM67">
        <v>11</v>
      </c>
      <c r="BN67">
        <v>21</v>
      </c>
      <c r="CU67">
        <v>538121.30810000002</v>
      </c>
      <c r="CV67">
        <v>4878455.3919000002</v>
      </c>
      <c r="CW67">
        <v>44.058282339999998</v>
      </c>
      <c r="CX67">
        <v>-92.524060000000006</v>
      </c>
      <c r="CY67" s="319">
        <v>42942.329861111109</v>
      </c>
      <c r="CZ67" t="s">
        <v>615</v>
      </c>
      <c r="DA67" t="s">
        <v>664</v>
      </c>
      <c r="DB67" t="s">
        <v>665</v>
      </c>
      <c r="DC67" t="s">
        <v>666</v>
      </c>
      <c r="DD67" s="82" t="s">
        <v>742</v>
      </c>
    </row>
    <row r="68" spans="1:108" ht="16.5" customHeight="1" x14ac:dyDescent="0.25">
      <c r="A68">
        <v>70</v>
      </c>
      <c r="B68">
        <v>887819</v>
      </c>
      <c r="C68">
        <v>4</v>
      </c>
      <c r="D68">
        <v>22</v>
      </c>
      <c r="E68">
        <v>5.6509999999999998</v>
      </c>
      <c r="F68">
        <v>55</v>
      </c>
      <c r="G68" t="s">
        <v>643</v>
      </c>
      <c r="I68">
        <v>6</v>
      </c>
      <c r="J68">
        <v>21</v>
      </c>
      <c r="L68" t="s">
        <v>743</v>
      </c>
      <c r="M68">
        <v>210340031</v>
      </c>
      <c r="N68">
        <v>2</v>
      </c>
      <c r="O68">
        <v>3</v>
      </c>
      <c r="P68">
        <v>2021</v>
      </c>
      <c r="Q68" t="s">
        <v>645</v>
      </c>
      <c r="R68">
        <v>10</v>
      </c>
      <c r="S68" t="s">
        <v>611</v>
      </c>
      <c r="T68">
        <v>5</v>
      </c>
      <c r="U68">
        <v>0</v>
      </c>
      <c r="V68">
        <v>2</v>
      </c>
      <c r="W68">
        <v>10</v>
      </c>
      <c r="X68">
        <v>10</v>
      </c>
      <c r="Y68">
        <v>3</v>
      </c>
      <c r="Z68">
        <v>1</v>
      </c>
      <c r="AA68">
        <v>1</v>
      </c>
      <c r="AC68">
        <v>1</v>
      </c>
      <c r="AD68">
        <v>98</v>
      </c>
      <c r="AE68" t="s">
        <v>696</v>
      </c>
      <c r="AG68" t="s">
        <v>715</v>
      </c>
      <c r="AH68">
        <v>5</v>
      </c>
      <c r="AI68">
        <v>2</v>
      </c>
      <c r="AJ68">
        <v>2</v>
      </c>
      <c r="AK68">
        <v>1</v>
      </c>
      <c r="AL68">
        <v>24</v>
      </c>
      <c r="AM68">
        <v>23</v>
      </c>
      <c r="AN68" t="s">
        <v>620</v>
      </c>
      <c r="AO68">
        <v>5</v>
      </c>
      <c r="AP68">
        <v>1</v>
      </c>
      <c r="AT68">
        <v>15</v>
      </c>
      <c r="AU68">
        <v>20</v>
      </c>
      <c r="AV68">
        <v>55</v>
      </c>
      <c r="AW68">
        <v>11</v>
      </c>
      <c r="AX68">
        <v>21</v>
      </c>
      <c r="AY68">
        <v>2</v>
      </c>
      <c r="AZ68">
        <v>2</v>
      </c>
      <c r="BA68">
        <v>1</v>
      </c>
      <c r="BB68">
        <v>24</v>
      </c>
      <c r="BC68">
        <v>77</v>
      </c>
      <c r="BD68" t="s">
        <v>614</v>
      </c>
      <c r="BE68">
        <v>5</v>
      </c>
      <c r="BF68">
        <v>68</v>
      </c>
      <c r="BG68">
        <v>10</v>
      </c>
      <c r="BJ68">
        <v>15</v>
      </c>
      <c r="BK68">
        <v>20</v>
      </c>
      <c r="BL68">
        <v>55</v>
      </c>
      <c r="BM68">
        <v>11</v>
      </c>
      <c r="BN68">
        <v>21</v>
      </c>
      <c r="CU68">
        <v>538143.04709999997</v>
      </c>
      <c r="CV68">
        <v>4878475.5418999996</v>
      </c>
      <c r="CW68">
        <v>44.05846262</v>
      </c>
      <c r="CX68">
        <v>-92.523787139999996</v>
      </c>
      <c r="CY68" s="319">
        <v>44230.426388888889</v>
      </c>
      <c r="CZ68" t="s">
        <v>615</v>
      </c>
      <c r="DA68" t="s">
        <v>664</v>
      </c>
      <c r="DB68" t="s">
        <v>665</v>
      </c>
      <c r="DC68" t="s">
        <v>666</v>
      </c>
      <c r="DD68" s="82" t="s">
        <v>744</v>
      </c>
    </row>
    <row r="69" spans="1:108" ht="16.5" customHeight="1" x14ac:dyDescent="0.25">
      <c r="A69">
        <v>70</v>
      </c>
      <c r="B69">
        <v>412759</v>
      </c>
      <c r="C69">
        <v>4</v>
      </c>
      <c r="D69">
        <v>22</v>
      </c>
      <c r="E69">
        <v>5.6749999999999998</v>
      </c>
      <c r="F69">
        <v>55</v>
      </c>
      <c r="G69" t="s">
        <v>643</v>
      </c>
      <c r="I69">
        <v>6</v>
      </c>
      <c r="J69">
        <v>21</v>
      </c>
      <c r="L69">
        <v>170001319</v>
      </c>
      <c r="M69">
        <v>170090194</v>
      </c>
      <c r="N69">
        <v>1</v>
      </c>
      <c r="O69">
        <v>9</v>
      </c>
      <c r="P69">
        <v>2017</v>
      </c>
      <c r="Q69" t="s">
        <v>610</v>
      </c>
      <c r="R69">
        <v>16</v>
      </c>
      <c r="S69" t="s">
        <v>673</v>
      </c>
      <c r="T69">
        <v>5</v>
      </c>
      <c r="U69">
        <v>0</v>
      </c>
      <c r="V69">
        <v>2</v>
      </c>
      <c r="W69">
        <v>12</v>
      </c>
      <c r="X69">
        <v>10</v>
      </c>
      <c r="Y69">
        <v>3</v>
      </c>
      <c r="Z69">
        <v>1</v>
      </c>
      <c r="AA69">
        <v>2</v>
      </c>
      <c r="AC69">
        <v>2</v>
      </c>
      <c r="AD69">
        <v>98</v>
      </c>
      <c r="AE69" t="s">
        <v>696</v>
      </c>
      <c r="AG69" t="s">
        <v>713</v>
      </c>
      <c r="AH69">
        <v>7</v>
      </c>
      <c r="AI69">
        <v>2</v>
      </c>
      <c r="AJ69">
        <v>4</v>
      </c>
      <c r="AK69">
        <v>2</v>
      </c>
      <c r="AL69">
        <v>34</v>
      </c>
      <c r="AM69">
        <v>56</v>
      </c>
      <c r="AN69" t="s">
        <v>620</v>
      </c>
      <c r="AO69">
        <v>5</v>
      </c>
      <c r="AP69">
        <v>1</v>
      </c>
      <c r="AT69">
        <v>14</v>
      </c>
      <c r="AU69">
        <v>20</v>
      </c>
      <c r="AV69">
        <v>55</v>
      </c>
      <c r="AW69">
        <v>11</v>
      </c>
      <c r="AX69">
        <v>23</v>
      </c>
      <c r="AY69">
        <v>2</v>
      </c>
      <c r="AZ69">
        <v>2</v>
      </c>
      <c r="BA69">
        <v>2</v>
      </c>
      <c r="BB69">
        <v>21</v>
      </c>
      <c r="BC69">
        <v>25</v>
      </c>
      <c r="BD69" t="s">
        <v>620</v>
      </c>
      <c r="BE69">
        <v>5</v>
      </c>
      <c r="BF69">
        <v>74</v>
      </c>
      <c r="BJ69">
        <v>14</v>
      </c>
      <c r="BK69">
        <v>20</v>
      </c>
      <c r="BL69">
        <v>55</v>
      </c>
      <c r="BM69">
        <v>11</v>
      </c>
      <c r="BN69">
        <v>23</v>
      </c>
      <c r="CU69">
        <v>538120.85959999997</v>
      </c>
      <c r="CV69">
        <v>4878494.8020000001</v>
      </c>
      <c r="CW69">
        <v>44.058637179999998</v>
      </c>
      <c r="CX69">
        <v>-92.524062749999999</v>
      </c>
      <c r="CY69" s="319">
        <v>42744.674305555556</v>
      </c>
      <c r="CZ69" t="s">
        <v>615</v>
      </c>
      <c r="DA69" t="s">
        <v>664</v>
      </c>
      <c r="DB69" t="s">
        <v>665</v>
      </c>
      <c r="DC69" t="s">
        <v>666</v>
      </c>
      <c r="DD69" s="82" t="s">
        <v>745</v>
      </c>
    </row>
    <row r="70" spans="1:108" ht="16.5" customHeight="1" x14ac:dyDescent="0.25">
      <c r="A70">
        <v>70</v>
      </c>
      <c r="B70">
        <v>768643</v>
      </c>
      <c r="C70">
        <v>5</v>
      </c>
      <c r="D70">
        <v>211</v>
      </c>
      <c r="E70">
        <v>5.0000000000000001E-3</v>
      </c>
      <c r="F70">
        <v>55</v>
      </c>
      <c r="G70" t="s">
        <v>643</v>
      </c>
      <c r="I70">
        <v>6</v>
      </c>
      <c r="J70">
        <v>21</v>
      </c>
      <c r="L70" t="s">
        <v>746</v>
      </c>
      <c r="M70">
        <v>193390224</v>
      </c>
      <c r="N70">
        <v>12</v>
      </c>
      <c r="O70">
        <v>5</v>
      </c>
      <c r="P70">
        <v>2019</v>
      </c>
      <c r="Q70" t="s">
        <v>619</v>
      </c>
      <c r="R70">
        <v>18</v>
      </c>
      <c r="S70">
        <v>98</v>
      </c>
      <c r="T70">
        <v>5</v>
      </c>
      <c r="U70">
        <v>0</v>
      </c>
      <c r="V70">
        <v>2</v>
      </c>
      <c r="W70">
        <v>12</v>
      </c>
      <c r="X70">
        <v>10</v>
      </c>
      <c r="Y70">
        <v>3</v>
      </c>
      <c r="Z70">
        <v>3</v>
      </c>
      <c r="AA70">
        <v>2</v>
      </c>
      <c r="AC70">
        <v>1</v>
      </c>
      <c r="AD70">
        <v>98</v>
      </c>
      <c r="AE70" t="s">
        <v>662</v>
      </c>
      <c r="AG70" t="s">
        <v>747</v>
      </c>
      <c r="AH70">
        <v>7</v>
      </c>
      <c r="AI70">
        <v>2</v>
      </c>
      <c r="AJ70">
        <v>2</v>
      </c>
      <c r="AK70">
        <v>1</v>
      </c>
      <c r="AL70">
        <v>21</v>
      </c>
      <c r="AM70">
        <v>40</v>
      </c>
      <c r="AN70" t="s">
        <v>614</v>
      </c>
      <c r="AO70">
        <v>5</v>
      </c>
      <c r="AP70">
        <v>1</v>
      </c>
      <c r="AT70">
        <v>15</v>
      </c>
      <c r="AU70">
        <v>20</v>
      </c>
      <c r="AV70">
        <v>55</v>
      </c>
      <c r="AW70">
        <v>11</v>
      </c>
      <c r="AX70">
        <v>21</v>
      </c>
      <c r="AY70">
        <v>2</v>
      </c>
      <c r="AZ70">
        <v>2</v>
      </c>
      <c r="BA70">
        <v>1</v>
      </c>
      <c r="BB70">
        <v>34</v>
      </c>
      <c r="BC70">
        <v>73</v>
      </c>
      <c r="BD70" t="s">
        <v>614</v>
      </c>
      <c r="BE70">
        <v>5</v>
      </c>
      <c r="BF70">
        <v>1</v>
      </c>
      <c r="BJ70">
        <v>15</v>
      </c>
      <c r="BK70">
        <v>20</v>
      </c>
      <c r="BL70">
        <v>55</v>
      </c>
      <c r="BM70">
        <v>11</v>
      </c>
      <c r="BN70">
        <v>21</v>
      </c>
      <c r="CU70">
        <v>538152.1189</v>
      </c>
      <c r="CV70">
        <v>4878404.9486999996</v>
      </c>
      <c r="CW70">
        <v>44.057826589999998</v>
      </c>
      <c r="CX70">
        <v>-92.523678970000006</v>
      </c>
      <c r="CY70" s="319">
        <v>43804.753472222219</v>
      </c>
      <c r="CZ70" t="s">
        <v>615</v>
      </c>
      <c r="DA70" t="s">
        <v>664</v>
      </c>
      <c r="DB70" t="s">
        <v>665</v>
      </c>
      <c r="DC70" t="s">
        <v>666</v>
      </c>
      <c r="DD70" s="82" t="s">
        <v>748</v>
      </c>
    </row>
    <row r="71" spans="1:108" ht="16.5" customHeight="1" x14ac:dyDescent="0.25">
      <c r="A71">
        <v>70</v>
      </c>
      <c r="B71">
        <v>698338</v>
      </c>
      <c r="C71">
        <v>5</v>
      </c>
      <c r="D71">
        <v>211</v>
      </c>
      <c r="E71">
        <v>7.0000000000000001E-3</v>
      </c>
      <c r="F71">
        <v>55</v>
      </c>
      <c r="G71" t="s">
        <v>643</v>
      </c>
      <c r="I71">
        <v>6</v>
      </c>
      <c r="J71">
        <v>21</v>
      </c>
      <c r="L71">
        <v>19010667</v>
      </c>
      <c r="M71">
        <v>190600912</v>
      </c>
      <c r="N71">
        <v>3</v>
      </c>
      <c r="O71">
        <v>1</v>
      </c>
      <c r="P71">
        <v>2019</v>
      </c>
      <c r="Q71" t="s">
        <v>638</v>
      </c>
      <c r="R71">
        <v>10</v>
      </c>
      <c r="S71" t="s">
        <v>646</v>
      </c>
      <c r="T71">
        <v>5</v>
      </c>
      <c r="U71">
        <v>0</v>
      </c>
      <c r="V71">
        <v>1</v>
      </c>
      <c r="X71">
        <v>35</v>
      </c>
      <c r="Y71">
        <v>3</v>
      </c>
      <c r="Z71">
        <v>1</v>
      </c>
      <c r="AA71">
        <v>1</v>
      </c>
      <c r="AC71">
        <v>5</v>
      </c>
      <c r="AD71">
        <v>98</v>
      </c>
      <c r="AE71" t="s">
        <v>662</v>
      </c>
      <c r="AG71" t="s">
        <v>747</v>
      </c>
      <c r="AH71">
        <v>3</v>
      </c>
      <c r="AI71">
        <v>2</v>
      </c>
      <c r="AJ71">
        <v>5</v>
      </c>
      <c r="AK71">
        <v>1</v>
      </c>
      <c r="AL71">
        <v>21</v>
      </c>
      <c r="AM71">
        <v>33</v>
      </c>
      <c r="AN71" t="s">
        <v>620</v>
      </c>
      <c r="AO71">
        <v>5</v>
      </c>
      <c r="AP71">
        <v>1</v>
      </c>
      <c r="AT71">
        <v>14</v>
      </c>
      <c r="AU71">
        <v>20</v>
      </c>
      <c r="AV71">
        <v>55</v>
      </c>
      <c r="AW71">
        <v>11</v>
      </c>
      <c r="AX71">
        <v>21</v>
      </c>
      <c r="CU71">
        <v>538154.19319999998</v>
      </c>
      <c r="CV71">
        <v>4878405.0421000002</v>
      </c>
      <c r="CW71">
        <v>44.057827330000002</v>
      </c>
      <c r="CX71">
        <v>-92.523653069999995</v>
      </c>
      <c r="CY71" s="319">
        <v>43525.430555555555</v>
      </c>
      <c r="CZ71" t="s">
        <v>615</v>
      </c>
      <c r="DA71" t="s">
        <v>664</v>
      </c>
      <c r="DB71" t="s">
        <v>665</v>
      </c>
      <c r="DC71" t="s">
        <v>666</v>
      </c>
      <c r="DD71" t="s">
        <v>749</v>
      </c>
    </row>
    <row r="72" spans="1:108" ht="16.5" customHeight="1" x14ac:dyDescent="0.25">
      <c r="A72">
        <v>70</v>
      </c>
      <c r="B72">
        <v>933797</v>
      </c>
      <c r="C72">
        <v>22</v>
      </c>
      <c r="D72">
        <v>24</v>
      </c>
      <c r="E72">
        <v>4.2000000000000003E-2</v>
      </c>
      <c r="F72">
        <v>55</v>
      </c>
      <c r="G72" t="s">
        <v>643</v>
      </c>
      <c r="I72">
        <v>6</v>
      </c>
      <c r="J72">
        <v>21</v>
      </c>
      <c r="L72">
        <v>21033997</v>
      </c>
      <c r="M72">
        <v>212240065</v>
      </c>
      <c r="N72">
        <v>8</v>
      </c>
      <c r="O72">
        <v>12</v>
      </c>
      <c r="P72">
        <v>2021</v>
      </c>
      <c r="Q72" t="s">
        <v>619</v>
      </c>
      <c r="R72">
        <v>14</v>
      </c>
      <c r="S72" t="s">
        <v>673</v>
      </c>
      <c r="T72">
        <v>2</v>
      </c>
      <c r="U72">
        <v>0</v>
      </c>
      <c r="V72">
        <v>1</v>
      </c>
      <c r="X72">
        <v>83</v>
      </c>
      <c r="Y72">
        <v>3</v>
      </c>
      <c r="Z72">
        <v>1</v>
      </c>
      <c r="AA72">
        <v>1</v>
      </c>
      <c r="AC72">
        <v>1</v>
      </c>
      <c r="AD72">
        <v>98</v>
      </c>
      <c r="AE72" t="s">
        <v>750</v>
      </c>
      <c r="AG72" t="s">
        <v>751</v>
      </c>
      <c r="AH72">
        <v>3</v>
      </c>
      <c r="AI72">
        <v>2</v>
      </c>
      <c r="AJ72">
        <v>49</v>
      </c>
      <c r="AK72">
        <v>3</v>
      </c>
      <c r="AL72">
        <v>23</v>
      </c>
      <c r="AM72">
        <v>63</v>
      </c>
      <c r="AN72" t="s">
        <v>614</v>
      </c>
      <c r="AO72">
        <v>5</v>
      </c>
      <c r="AP72">
        <v>75</v>
      </c>
      <c r="AQ72">
        <v>68</v>
      </c>
      <c r="AT72">
        <v>14</v>
      </c>
      <c r="AU72">
        <v>20</v>
      </c>
      <c r="AV72">
        <v>45</v>
      </c>
      <c r="AW72">
        <v>11</v>
      </c>
      <c r="AX72">
        <v>21</v>
      </c>
      <c r="CU72">
        <v>538056.4264</v>
      </c>
      <c r="CV72">
        <v>4878398.8661000002</v>
      </c>
      <c r="CW72">
        <v>44.05777681</v>
      </c>
      <c r="CX72">
        <v>-92.524874089999997</v>
      </c>
      <c r="CY72" s="319">
        <v>44420.618055555555</v>
      </c>
      <c r="CZ72" t="s">
        <v>615</v>
      </c>
      <c r="DA72" t="s">
        <v>664</v>
      </c>
      <c r="DB72" t="s">
        <v>665</v>
      </c>
      <c r="DC72" t="s">
        <v>666</v>
      </c>
      <c r="DD72" t="s">
        <v>752</v>
      </c>
    </row>
    <row r="73" spans="1:108" ht="16.5" customHeight="1" x14ac:dyDescent="0.25">
      <c r="A73">
        <v>70</v>
      </c>
      <c r="B73">
        <v>901413</v>
      </c>
      <c r="C73">
        <v>22</v>
      </c>
      <c r="D73">
        <v>24</v>
      </c>
      <c r="E73">
        <v>7.4999999999999997E-2</v>
      </c>
      <c r="F73">
        <v>55</v>
      </c>
      <c r="G73" t="s">
        <v>643</v>
      </c>
      <c r="I73">
        <v>6</v>
      </c>
      <c r="J73">
        <v>21</v>
      </c>
      <c r="L73" t="s">
        <v>753</v>
      </c>
      <c r="M73">
        <v>211090010</v>
      </c>
      <c r="N73">
        <v>4</v>
      </c>
      <c r="O73">
        <v>19</v>
      </c>
      <c r="P73">
        <v>2021</v>
      </c>
      <c r="Q73" t="s">
        <v>610</v>
      </c>
      <c r="R73">
        <v>7</v>
      </c>
      <c r="S73" t="s">
        <v>673</v>
      </c>
      <c r="T73">
        <v>5</v>
      </c>
      <c r="U73">
        <v>0</v>
      </c>
      <c r="V73">
        <v>2</v>
      </c>
      <c r="W73">
        <v>12</v>
      </c>
      <c r="X73">
        <v>10</v>
      </c>
      <c r="Y73">
        <v>29</v>
      </c>
      <c r="Z73">
        <v>1</v>
      </c>
      <c r="AA73">
        <v>2</v>
      </c>
      <c r="AC73">
        <v>1</v>
      </c>
      <c r="AD73">
        <v>98</v>
      </c>
      <c r="AE73" t="s">
        <v>750</v>
      </c>
      <c r="AG73" t="s">
        <v>751</v>
      </c>
      <c r="AH73">
        <v>7</v>
      </c>
      <c r="AI73">
        <v>2</v>
      </c>
      <c r="AJ73">
        <v>4</v>
      </c>
      <c r="AK73">
        <v>2</v>
      </c>
      <c r="AL73">
        <v>26</v>
      </c>
      <c r="AM73">
        <v>28</v>
      </c>
      <c r="AN73" t="s">
        <v>620</v>
      </c>
      <c r="AO73">
        <v>5</v>
      </c>
      <c r="AP73">
        <v>4</v>
      </c>
      <c r="AT73">
        <v>15</v>
      </c>
      <c r="AU73">
        <v>20</v>
      </c>
      <c r="AV73">
        <v>45</v>
      </c>
      <c r="AW73">
        <v>13</v>
      </c>
      <c r="AX73">
        <v>21</v>
      </c>
      <c r="AY73">
        <v>2</v>
      </c>
      <c r="AZ73">
        <v>2</v>
      </c>
      <c r="BA73">
        <v>2</v>
      </c>
      <c r="BB73">
        <v>26</v>
      </c>
      <c r="BC73">
        <v>30</v>
      </c>
      <c r="BD73" t="s">
        <v>620</v>
      </c>
      <c r="BE73">
        <v>5</v>
      </c>
      <c r="BF73">
        <v>1</v>
      </c>
      <c r="BJ73">
        <v>15</v>
      </c>
      <c r="BK73">
        <v>20</v>
      </c>
      <c r="BL73">
        <v>45</v>
      </c>
      <c r="BM73">
        <v>13</v>
      </c>
      <c r="BN73">
        <v>21</v>
      </c>
      <c r="CU73">
        <v>538103.57339999999</v>
      </c>
      <c r="CV73">
        <v>4878376.9286000002</v>
      </c>
      <c r="CW73">
        <v>44.057576849999997</v>
      </c>
      <c r="CX73">
        <v>-92.524287060000006</v>
      </c>
      <c r="CY73" s="319">
        <v>44305.295138888891</v>
      </c>
      <c r="CZ73" t="s">
        <v>615</v>
      </c>
      <c r="DA73" t="s">
        <v>664</v>
      </c>
      <c r="DB73" t="s">
        <v>665</v>
      </c>
      <c r="DC73" t="s">
        <v>666</v>
      </c>
      <c r="DD73" s="82" t="s">
        <v>754</v>
      </c>
    </row>
    <row r="74" spans="1:108" ht="16.5" customHeight="1" x14ac:dyDescent="0.25">
      <c r="A74">
        <v>70</v>
      </c>
      <c r="B74">
        <v>816718</v>
      </c>
      <c r="C74">
        <v>22</v>
      </c>
      <c r="D74">
        <v>24</v>
      </c>
      <c r="E74">
        <v>7.9000000000000001E-2</v>
      </c>
      <c r="F74">
        <v>55</v>
      </c>
      <c r="G74" t="s">
        <v>643</v>
      </c>
      <c r="I74">
        <v>6</v>
      </c>
      <c r="J74">
        <v>21</v>
      </c>
      <c r="L74" t="s">
        <v>755</v>
      </c>
      <c r="M74">
        <v>201780167</v>
      </c>
      <c r="N74">
        <v>6</v>
      </c>
      <c r="O74">
        <v>26</v>
      </c>
      <c r="P74">
        <v>2020</v>
      </c>
      <c r="Q74" t="s">
        <v>638</v>
      </c>
      <c r="R74">
        <v>17</v>
      </c>
      <c r="S74" t="s">
        <v>673</v>
      </c>
      <c r="T74">
        <v>5</v>
      </c>
      <c r="U74">
        <v>0</v>
      </c>
      <c r="V74">
        <v>2</v>
      </c>
      <c r="W74">
        <v>12</v>
      </c>
      <c r="X74">
        <v>10</v>
      </c>
      <c r="Y74">
        <v>30</v>
      </c>
      <c r="Z74">
        <v>1</v>
      </c>
      <c r="AA74">
        <v>1</v>
      </c>
      <c r="AC74">
        <v>1</v>
      </c>
      <c r="AD74">
        <v>98</v>
      </c>
      <c r="AE74" t="s">
        <v>750</v>
      </c>
      <c r="AG74" t="s">
        <v>751</v>
      </c>
      <c r="AH74">
        <v>7</v>
      </c>
      <c r="AI74">
        <v>2</v>
      </c>
      <c r="AJ74">
        <v>2</v>
      </c>
      <c r="AK74">
        <v>2</v>
      </c>
      <c r="AL74">
        <v>31</v>
      </c>
      <c r="AM74">
        <v>64</v>
      </c>
      <c r="AN74" t="s">
        <v>620</v>
      </c>
      <c r="AO74">
        <v>5</v>
      </c>
      <c r="AP74">
        <v>1</v>
      </c>
      <c r="AT74">
        <v>11</v>
      </c>
      <c r="AU74">
        <v>9</v>
      </c>
      <c r="AV74">
        <v>55</v>
      </c>
      <c r="AW74">
        <v>13</v>
      </c>
      <c r="AX74">
        <v>21</v>
      </c>
      <c r="AY74">
        <v>2</v>
      </c>
      <c r="AZ74">
        <v>4</v>
      </c>
      <c r="BA74">
        <v>2</v>
      </c>
      <c r="BB74">
        <v>31</v>
      </c>
      <c r="BC74">
        <v>16</v>
      </c>
      <c r="BD74" t="s">
        <v>620</v>
      </c>
      <c r="BE74">
        <v>5</v>
      </c>
      <c r="BF74">
        <v>74</v>
      </c>
      <c r="BJ74">
        <v>11</v>
      </c>
      <c r="BK74">
        <v>9</v>
      </c>
      <c r="BL74">
        <v>55</v>
      </c>
      <c r="BM74">
        <v>13</v>
      </c>
      <c r="BN74">
        <v>21</v>
      </c>
      <c r="CU74">
        <v>538106.78870000003</v>
      </c>
      <c r="CV74">
        <v>4878371.5439999998</v>
      </c>
      <c r="CW74">
        <v>44.0575282</v>
      </c>
      <c r="CX74">
        <v>-92.524247310000007</v>
      </c>
      <c r="CY74" s="319">
        <v>44008.739583333336</v>
      </c>
      <c r="CZ74" t="s">
        <v>615</v>
      </c>
      <c r="DA74" t="s">
        <v>664</v>
      </c>
      <c r="DB74" t="s">
        <v>665</v>
      </c>
      <c r="DC74" t="s">
        <v>666</v>
      </c>
      <c r="DD74" t="s">
        <v>756</v>
      </c>
    </row>
    <row r="75" spans="1:108" ht="16.5" customHeight="1" x14ac:dyDescent="0.25">
      <c r="A75">
        <v>80</v>
      </c>
      <c r="B75">
        <v>798511</v>
      </c>
      <c r="C75">
        <v>4</v>
      </c>
      <c r="D75">
        <v>22</v>
      </c>
      <c r="E75">
        <v>5.0970000000000004</v>
      </c>
      <c r="F75">
        <v>55</v>
      </c>
      <c r="G75" t="s">
        <v>643</v>
      </c>
      <c r="I75">
        <v>6</v>
      </c>
      <c r="J75">
        <v>21</v>
      </c>
      <c r="L75">
        <v>20100442</v>
      </c>
      <c r="M75">
        <v>200240295</v>
      </c>
      <c r="N75">
        <v>1</v>
      </c>
      <c r="O75">
        <v>24</v>
      </c>
      <c r="P75">
        <v>2020</v>
      </c>
      <c r="Q75" t="s">
        <v>638</v>
      </c>
      <c r="R75">
        <v>1</v>
      </c>
      <c r="S75" t="s">
        <v>673</v>
      </c>
      <c r="T75">
        <v>5</v>
      </c>
      <c r="U75">
        <v>0</v>
      </c>
      <c r="V75">
        <v>1</v>
      </c>
      <c r="X75">
        <v>35</v>
      </c>
      <c r="Y75">
        <v>3</v>
      </c>
      <c r="Z75">
        <v>4</v>
      </c>
      <c r="AA75">
        <v>4</v>
      </c>
      <c r="AC75">
        <v>4</v>
      </c>
      <c r="AD75">
        <v>98</v>
      </c>
      <c r="AE75" t="s">
        <v>696</v>
      </c>
      <c r="AG75" t="s">
        <v>713</v>
      </c>
      <c r="AH75">
        <v>3</v>
      </c>
      <c r="AI75">
        <v>2</v>
      </c>
      <c r="AJ75">
        <v>2</v>
      </c>
      <c r="AK75">
        <v>2</v>
      </c>
      <c r="AL75">
        <v>21</v>
      </c>
      <c r="AM75">
        <v>21</v>
      </c>
      <c r="AN75" t="s">
        <v>614</v>
      </c>
      <c r="AO75">
        <v>5</v>
      </c>
      <c r="AP75">
        <v>1</v>
      </c>
      <c r="AT75">
        <v>14</v>
      </c>
      <c r="AU75">
        <v>20</v>
      </c>
      <c r="AV75">
        <v>55</v>
      </c>
      <c r="AW75">
        <v>11</v>
      </c>
      <c r="AX75">
        <v>24</v>
      </c>
      <c r="CU75">
        <v>538272.41870000004</v>
      </c>
      <c r="CV75">
        <v>4877581.6796000004</v>
      </c>
      <c r="CW75">
        <v>44.050408339999997</v>
      </c>
      <c r="CX75">
        <v>-92.522236680000006</v>
      </c>
      <c r="CY75" s="319">
        <v>43854.05972222222</v>
      </c>
      <c r="CZ75" t="s">
        <v>615</v>
      </c>
      <c r="DA75" t="s">
        <v>664</v>
      </c>
      <c r="DB75" t="s">
        <v>757</v>
      </c>
      <c r="DC75" t="s">
        <v>758</v>
      </c>
      <c r="DD75" s="82" t="s">
        <v>759</v>
      </c>
    </row>
    <row r="76" spans="1:108" ht="16.5" customHeight="1" x14ac:dyDescent="0.25">
      <c r="A76">
        <v>80</v>
      </c>
      <c r="B76">
        <v>489141</v>
      </c>
      <c r="C76">
        <v>4</v>
      </c>
      <c r="D76">
        <v>22</v>
      </c>
      <c r="E76">
        <v>5.1050000000000004</v>
      </c>
      <c r="F76">
        <v>55</v>
      </c>
      <c r="G76" t="s">
        <v>643</v>
      </c>
      <c r="I76">
        <v>6</v>
      </c>
      <c r="J76">
        <v>21</v>
      </c>
      <c r="L76">
        <v>17036617</v>
      </c>
      <c r="M76">
        <v>172050059</v>
      </c>
      <c r="N76">
        <v>7</v>
      </c>
      <c r="O76">
        <v>24</v>
      </c>
      <c r="P76">
        <v>2017</v>
      </c>
      <c r="Q76" t="s">
        <v>610</v>
      </c>
      <c r="R76">
        <v>13</v>
      </c>
      <c r="S76" t="s">
        <v>673</v>
      </c>
      <c r="T76">
        <v>2</v>
      </c>
      <c r="U76">
        <v>0</v>
      </c>
      <c r="V76">
        <v>2</v>
      </c>
      <c r="W76">
        <v>5</v>
      </c>
      <c r="X76">
        <v>10</v>
      </c>
      <c r="Y76">
        <v>3</v>
      </c>
      <c r="Z76">
        <v>1</v>
      </c>
      <c r="AA76">
        <v>2</v>
      </c>
      <c r="AC76">
        <v>1</v>
      </c>
      <c r="AD76">
        <v>98</v>
      </c>
      <c r="AE76" t="s">
        <v>696</v>
      </c>
      <c r="AG76" t="s">
        <v>713</v>
      </c>
      <c r="AH76">
        <v>10</v>
      </c>
      <c r="AI76">
        <v>2</v>
      </c>
      <c r="AJ76">
        <v>4</v>
      </c>
      <c r="AK76">
        <v>4</v>
      </c>
      <c r="AL76">
        <v>31</v>
      </c>
      <c r="AM76">
        <v>61</v>
      </c>
      <c r="AN76" t="s">
        <v>620</v>
      </c>
      <c r="AO76">
        <v>5</v>
      </c>
      <c r="AP76">
        <v>2</v>
      </c>
      <c r="AT76">
        <v>15</v>
      </c>
      <c r="AU76">
        <v>23</v>
      </c>
      <c r="AV76">
        <v>55</v>
      </c>
      <c r="AW76">
        <v>11</v>
      </c>
      <c r="AX76">
        <v>21</v>
      </c>
      <c r="AY76">
        <v>2</v>
      </c>
      <c r="AZ76">
        <v>49</v>
      </c>
      <c r="BA76">
        <v>2</v>
      </c>
      <c r="BB76">
        <v>21</v>
      </c>
      <c r="BC76">
        <v>56</v>
      </c>
      <c r="BD76" t="s">
        <v>614</v>
      </c>
      <c r="BE76">
        <v>5</v>
      </c>
      <c r="BF76">
        <v>1</v>
      </c>
      <c r="BJ76">
        <v>15</v>
      </c>
      <c r="BK76">
        <v>9</v>
      </c>
      <c r="BL76">
        <v>55</v>
      </c>
      <c r="BM76">
        <v>11</v>
      </c>
      <c r="BN76">
        <v>24</v>
      </c>
      <c r="CU76">
        <v>538269.81270000001</v>
      </c>
      <c r="CV76">
        <v>4877593.0865000002</v>
      </c>
      <c r="CW76">
        <v>44.05051117</v>
      </c>
      <c r="CX76">
        <v>-92.52226838</v>
      </c>
      <c r="CY76" s="319">
        <v>42940.541666666664</v>
      </c>
      <c r="CZ76" t="s">
        <v>615</v>
      </c>
      <c r="DA76" t="s">
        <v>664</v>
      </c>
      <c r="DB76" t="s">
        <v>665</v>
      </c>
      <c r="DC76" t="s">
        <v>666</v>
      </c>
      <c r="DD76" s="82" t="s">
        <v>760</v>
      </c>
    </row>
    <row r="77" spans="1:108" ht="16.5" customHeight="1" x14ac:dyDescent="0.25">
      <c r="A77">
        <v>80</v>
      </c>
      <c r="B77">
        <v>692529</v>
      </c>
      <c r="C77">
        <v>4</v>
      </c>
      <c r="D77">
        <v>22</v>
      </c>
      <c r="E77">
        <v>5.1050000000000004</v>
      </c>
      <c r="F77">
        <v>55</v>
      </c>
      <c r="G77" t="s">
        <v>643</v>
      </c>
      <c r="I77">
        <v>6</v>
      </c>
      <c r="J77">
        <v>21</v>
      </c>
      <c r="L77" t="s">
        <v>761</v>
      </c>
      <c r="M77">
        <v>190580213</v>
      </c>
      <c r="N77">
        <v>2</v>
      </c>
      <c r="O77">
        <v>27</v>
      </c>
      <c r="P77">
        <v>2019</v>
      </c>
      <c r="Q77" t="s">
        <v>645</v>
      </c>
      <c r="R77">
        <v>11</v>
      </c>
      <c r="S77" t="s">
        <v>639</v>
      </c>
      <c r="T77">
        <v>5</v>
      </c>
      <c r="U77">
        <v>0</v>
      </c>
      <c r="V77">
        <v>2</v>
      </c>
      <c r="W77">
        <v>13</v>
      </c>
      <c r="X77">
        <v>10</v>
      </c>
      <c r="Y77">
        <v>3</v>
      </c>
      <c r="Z77">
        <v>1</v>
      </c>
      <c r="AA77">
        <v>1</v>
      </c>
      <c r="AC77">
        <v>5</v>
      </c>
      <c r="AD77">
        <v>98</v>
      </c>
      <c r="AE77" t="s">
        <v>696</v>
      </c>
      <c r="AG77" t="s">
        <v>715</v>
      </c>
      <c r="AH77">
        <v>9</v>
      </c>
      <c r="AI77">
        <v>2</v>
      </c>
      <c r="AJ77">
        <v>4</v>
      </c>
      <c r="AK77">
        <v>4</v>
      </c>
      <c r="AL77">
        <v>24</v>
      </c>
      <c r="AM77">
        <v>20</v>
      </c>
      <c r="AN77" t="s">
        <v>620</v>
      </c>
      <c r="AO77">
        <v>5</v>
      </c>
      <c r="AP77">
        <v>1</v>
      </c>
      <c r="AT77">
        <v>15</v>
      </c>
      <c r="AU77">
        <v>9</v>
      </c>
      <c r="AV77">
        <v>55</v>
      </c>
      <c r="AW77">
        <v>11</v>
      </c>
      <c r="AX77">
        <v>23</v>
      </c>
      <c r="AY77">
        <v>2</v>
      </c>
      <c r="AZ77">
        <v>4</v>
      </c>
      <c r="BA77">
        <v>2</v>
      </c>
      <c r="BB77">
        <v>21</v>
      </c>
      <c r="BC77">
        <v>71</v>
      </c>
      <c r="BD77" t="s">
        <v>614</v>
      </c>
      <c r="BE77">
        <v>5</v>
      </c>
      <c r="BF77">
        <v>1</v>
      </c>
      <c r="BJ77">
        <v>15</v>
      </c>
      <c r="BK77">
        <v>9</v>
      </c>
      <c r="BL77">
        <v>55</v>
      </c>
      <c r="BM77">
        <v>11</v>
      </c>
      <c r="BN77">
        <v>24</v>
      </c>
      <c r="CU77">
        <v>538293.29700000002</v>
      </c>
      <c r="CV77">
        <v>4877612.5193999996</v>
      </c>
      <c r="CW77">
        <v>44.0506849</v>
      </c>
      <c r="CX77">
        <v>-92.521973819999999</v>
      </c>
      <c r="CY77" s="319">
        <v>43523.46597222222</v>
      </c>
      <c r="CZ77" t="s">
        <v>615</v>
      </c>
      <c r="DA77" t="s">
        <v>664</v>
      </c>
      <c r="DB77" t="s">
        <v>616</v>
      </c>
      <c r="DC77" t="s">
        <v>617</v>
      </c>
      <c r="DD77" t="s">
        <v>762</v>
      </c>
    </row>
    <row r="78" spans="1:108" ht="16.5" customHeight="1" x14ac:dyDescent="0.25">
      <c r="A78">
        <v>80</v>
      </c>
      <c r="B78">
        <v>530521</v>
      </c>
      <c r="C78">
        <v>4</v>
      </c>
      <c r="D78">
        <v>22</v>
      </c>
      <c r="E78">
        <v>5.109</v>
      </c>
      <c r="F78">
        <v>55</v>
      </c>
      <c r="G78" t="s">
        <v>643</v>
      </c>
      <c r="I78">
        <v>6</v>
      </c>
      <c r="J78">
        <v>21</v>
      </c>
      <c r="L78">
        <v>17062788</v>
      </c>
      <c r="M78">
        <v>173640312</v>
      </c>
      <c r="N78">
        <v>12</v>
      </c>
      <c r="O78">
        <v>30</v>
      </c>
      <c r="P78">
        <v>2017</v>
      </c>
      <c r="Q78" t="s">
        <v>655</v>
      </c>
      <c r="R78">
        <v>20</v>
      </c>
      <c r="S78" t="s">
        <v>639</v>
      </c>
      <c r="T78">
        <v>5</v>
      </c>
      <c r="U78">
        <v>0</v>
      </c>
      <c r="V78">
        <v>2</v>
      </c>
      <c r="W78">
        <v>5</v>
      </c>
      <c r="X78">
        <v>10</v>
      </c>
      <c r="Y78">
        <v>3</v>
      </c>
      <c r="Z78">
        <v>4</v>
      </c>
      <c r="AA78">
        <v>90</v>
      </c>
      <c r="AC78">
        <v>3</v>
      </c>
      <c r="AD78">
        <v>98</v>
      </c>
      <c r="AE78" t="s">
        <v>696</v>
      </c>
      <c r="AG78" t="s">
        <v>715</v>
      </c>
      <c r="AH78">
        <v>10</v>
      </c>
      <c r="AI78">
        <v>2</v>
      </c>
      <c r="AJ78">
        <v>2</v>
      </c>
      <c r="AK78">
        <v>1</v>
      </c>
      <c r="AL78">
        <v>21</v>
      </c>
      <c r="AM78">
        <v>45</v>
      </c>
      <c r="AN78" t="s">
        <v>614</v>
      </c>
      <c r="AO78">
        <v>5</v>
      </c>
      <c r="AP78">
        <v>1</v>
      </c>
      <c r="AT78">
        <v>14</v>
      </c>
      <c r="AU78">
        <v>23</v>
      </c>
      <c r="AV78">
        <v>55</v>
      </c>
      <c r="AW78">
        <v>11</v>
      </c>
      <c r="AX78">
        <v>21</v>
      </c>
      <c r="AY78">
        <v>2</v>
      </c>
      <c r="AZ78">
        <v>2</v>
      </c>
      <c r="BA78">
        <v>4</v>
      </c>
      <c r="BB78">
        <v>21</v>
      </c>
      <c r="BC78">
        <v>28</v>
      </c>
      <c r="BD78" t="s">
        <v>620</v>
      </c>
      <c r="BE78">
        <v>10</v>
      </c>
      <c r="BF78">
        <v>2</v>
      </c>
      <c r="BJ78">
        <v>14</v>
      </c>
      <c r="BK78">
        <v>23</v>
      </c>
      <c r="BL78">
        <v>55</v>
      </c>
      <c r="BM78">
        <v>11</v>
      </c>
      <c r="BN78">
        <v>21</v>
      </c>
      <c r="CU78">
        <v>538291.87600000005</v>
      </c>
      <c r="CV78">
        <v>4877618.8024000004</v>
      </c>
      <c r="CW78">
        <v>44.050741539999997</v>
      </c>
      <c r="CX78">
        <v>-92.521991110000002</v>
      </c>
      <c r="CY78" s="319">
        <v>43099.835416666669</v>
      </c>
      <c r="CZ78" t="s">
        <v>615</v>
      </c>
      <c r="DA78" t="s">
        <v>664</v>
      </c>
      <c r="DB78" t="s">
        <v>665</v>
      </c>
      <c r="DC78" t="s">
        <v>666</v>
      </c>
      <c r="DD78" t="s">
        <v>763</v>
      </c>
    </row>
    <row r="79" spans="1:108" ht="16.5" customHeight="1" x14ac:dyDescent="0.25">
      <c r="A79">
        <v>80</v>
      </c>
      <c r="B79">
        <v>870414</v>
      </c>
      <c r="C79">
        <v>4</v>
      </c>
      <c r="D79">
        <v>22</v>
      </c>
      <c r="E79">
        <v>5.1100000000000003</v>
      </c>
      <c r="F79">
        <v>55</v>
      </c>
      <c r="G79" t="s">
        <v>643</v>
      </c>
      <c r="I79">
        <v>6</v>
      </c>
      <c r="J79">
        <v>21</v>
      </c>
      <c r="L79">
        <v>20055524</v>
      </c>
      <c r="M79">
        <v>203590368</v>
      </c>
      <c r="N79">
        <v>12</v>
      </c>
      <c r="O79">
        <v>24</v>
      </c>
      <c r="P79">
        <v>2020</v>
      </c>
      <c r="Q79" t="s">
        <v>619</v>
      </c>
      <c r="R79">
        <v>16</v>
      </c>
      <c r="S79" t="s">
        <v>673</v>
      </c>
      <c r="T79">
        <v>5</v>
      </c>
      <c r="U79">
        <v>0</v>
      </c>
      <c r="V79">
        <v>2</v>
      </c>
      <c r="W79">
        <v>5</v>
      </c>
      <c r="X79">
        <v>10</v>
      </c>
      <c r="Y79">
        <v>3</v>
      </c>
      <c r="Z79">
        <v>1</v>
      </c>
      <c r="AA79">
        <v>1</v>
      </c>
      <c r="AC79">
        <v>1</v>
      </c>
      <c r="AD79">
        <v>98</v>
      </c>
      <c r="AE79" t="s">
        <v>696</v>
      </c>
      <c r="AG79" t="s">
        <v>715</v>
      </c>
      <c r="AH79">
        <v>10</v>
      </c>
      <c r="AI79">
        <v>2</v>
      </c>
      <c r="AJ79">
        <v>3</v>
      </c>
      <c r="AK79">
        <v>4</v>
      </c>
      <c r="AL79">
        <v>21</v>
      </c>
      <c r="AM79">
        <v>45</v>
      </c>
      <c r="AN79" t="s">
        <v>620</v>
      </c>
      <c r="AO79">
        <v>5</v>
      </c>
      <c r="AP79">
        <v>1</v>
      </c>
      <c r="AT79">
        <v>12</v>
      </c>
      <c r="AU79">
        <v>20</v>
      </c>
      <c r="AV79">
        <v>30</v>
      </c>
      <c r="AW79">
        <v>11</v>
      </c>
      <c r="AX79">
        <v>21</v>
      </c>
      <c r="AY79">
        <v>2</v>
      </c>
      <c r="AZ79">
        <v>2</v>
      </c>
      <c r="BA79">
        <v>2</v>
      </c>
      <c r="BB79">
        <v>21</v>
      </c>
      <c r="BC79">
        <v>40</v>
      </c>
      <c r="BD79" t="s">
        <v>614</v>
      </c>
      <c r="BE79">
        <v>5</v>
      </c>
      <c r="BF79">
        <v>2</v>
      </c>
      <c r="BJ79">
        <v>11</v>
      </c>
      <c r="BK79">
        <v>20</v>
      </c>
      <c r="BL79">
        <v>55</v>
      </c>
      <c r="BM79">
        <v>11</v>
      </c>
      <c r="BN79">
        <v>21</v>
      </c>
      <c r="CU79">
        <v>538291.19310000003</v>
      </c>
      <c r="CV79">
        <v>4877621.7182</v>
      </c>
      <c r="CW79">
        <v>44.050767829999998</v>
      </c>
      <c r="CX79">
        <v>-92.52199942</v>
      </c>
      <c r="CY79" s="319">
        <v>44189.668055555558</v>
      </c>
      <c r="CZ79" t="s">
        <v>615</v>
      </c>
      <c r="DA79" t="s">
        <v>664</v>
      </c>
      <c r="DB79" t="s">
        <v>665</v>
      </c>
      <c r="DC79" t="s">
        <v>666</v>
      </c>
      <c r="DD79" s="82" t="s">
        <v>764</v>
      </c>
    </row>
    <row r="80" spans="1:108" ht="16.5" customHeight="1" x14ac:dyDescent="0.25">
      <c r="A80">
        <v>80</v>
      </c>
      <c r="B80">
        <v>674265</v>
      </c>
      <c r="C80">
        <v>4</v>
      </c>
      <c r="D80">
        <v>22</v>
      </c>
      <c r="E80">
        <v>5.1150000000000002</v>
      </c>
      <c r="F80">
        <v>55</v>
      </c>
      <c r="G80" t="s">
        <v>643</v>
      </c>
      <c r="I80">
        <v>6</v>
      </c>
      <c r="J80">
        <v>21</v>
      </c>
      <c r="L80">
        <v>18063261</v>
      </c>
      <c r="M80">
        <v>183620510</v>
      </c>
      <c r="N80">
        <v>12</v>
      </c>
      <c r="O80">
        <v>28</v>
      </c>
      <c r="P80">
        <v>2018</v>
      </c>
      <c r="Q80" t="s">
        <v>638</v>
      </c>
      <c r="R80">
        <v>10</v>
      </c>
      <c r="S80" t="s">
        <v>611</v>
      </c>
      <c r="T80">
        <v>5</v>
      </c>
      <c r="U80">
        <v>0</v>
      </c>
      <c r="V80">
        <v>1</v>
      </c>
      <c r="X80">
        <v>48</v>
      </c>
      <c r="Y80">
        <v>3</v>
      </c>
      <c r="Z80">
        <v>1</v>
      </c>
      <c r="AA80">
        <v>1</v>
      </c>
      <c r="AC80">
        <v>5</v>
      </c>
      <c r="AD80">
        <v>98</v>
      </c>
      <c r="AE80" t="s">
        <v>696</v>
      </c>
      <c r="AG80" t="s">
        <v>715</v>
      </c>
      <c r="AH80">
        <v>3</v>
      </c>
      <c r="AI80">
        <v>2</v>
      </c>
      <c r="AJ80">
        <v>4</v>
      </c>
      <c r="AK80">
        <v>1</v>
      </c>
      <c r="AL80">
        <v>21</v>
      </c>
      <c r="AM80">
        <v>51</v>
      </c>
      <c r="AN80" t="s">
        <v>620</v>
      </c>
      <c r="AO80">
        <v>5</v>
      </c>
      <c r="AP80">
        <v>1</v>
      </c>
      <c r="AT80">
        <v>14</v>
      </c>
      <c r="AU80">
        <v>98</v>
      </c>
      <c r="AV80">
        <v>55</v>
      </c>
      <c r="AW80">
        <v>11</v>
      </c>
      <c r="AX80">
        <v>23</v>
      </c>
      <c r="CU80">
        <v>538289.64150000003</v>
      </c>
      <c r="CV80">
        <v>4877628.3430000003</v>
      </c>
      <c r="CW80">
        <v>44.050827550000001</v>
      </c>
      <c r="CX80">
        <v>-92.522018310000007</v>
      </c>
      <c r="CY80" s="319">
        <v>43462.444444444445</v>
      </c>
      <c r="CZ80" t="s">
        <v>615</v>
      </c>
      <c r="DA80" t="s">
        <v>664</v>
      </c>
      <c r="DB80" t="s">
        <v>665</v>
      </c>
      <c r="DC80" t="s">
        <v>666</v>
      </c>
      <c r="DD80" t="s">
        <v>765</v>
      </c>
    </row>
    <row r="81" spans="1:108" ht="16.5" customHeight="1" x14ac:dyDescent="0.25">
      <c r="A81">
        <v>80</v>
      </c>
      <c r="B81">
        <v>847143</v>
      </c>
      <c r="C81">
        <v>4</v>
      </c>
      <c r="D81">
        <v>22</v>
      </c>
      <c r="E81">
        <v>5.1150000000000002</v>
      </c>
      <c r="F81">
        <v>55</v>
      </c>
      <c r="G81" t="s">
        <v>643</v>
      </c>
      <c r="I81">
        <v>6</v>
      </c>
      <c r="J81">
        <v>21</v>
      </c>
      <c r="L81">
        <v>20044808</v>
      </c>
      <c r="M81">
        <v>202830286</v>
      </c>
      <c r="N81">
        <v>10</v>
      </c>
      <c r="O81">
        <v>9</v>
      </c>
      <c r="P81">
        <v>2020</v>
      </c>
      <c r="Q81" t="s">
        <v>638</v>
      </c>
      <c r="R81">
        <v>14</v>
      </c>
      <c r="S81" t="s">
        <v>673</v>
      </c>
      <c r="T81">
        <v>3</v>
      </c>
      <c r="U81">
        <v>0</v>
      </c>
      <c r="V81">
        <v>2</v>
      </c>
      <c r="W81">
        <v>13</v>
      </c>
      <c r="X81">
        <v>10</v>
      </c>
      <c r="Y81">
        <v>3</v>
      </c>
      <c r="Z81">
        <v>1</v>
      </c>
      <c r="AA81">
        <v>1</v>
      </c>
      <c r="AC81">
        <v>1</v>
      </c>
      <c r="AD81">
        <v>98</v>
      </c>
      <c r="AE81" t="s">
        <v>696</v>
      </c>
      <c r="AG81" t="s">
        <v>713</v>
      </c>
      <c r="AH81">
        <v>7</v>
      </c>
      <c r="AI81">
        <v>2</v>
      </c>
      <c r="AJ81">
        <v>2</v>
      </c>
      <c r="AK81">
        <v>2</v>
      </c>
      <c r="AL81">
        <v>21</v>
      </c>
      <c r="AM81">
        <v>54</v>
      </c>
      <c r="AN81" t="s">
        <v>614</v>
      </c>
      <c r="AO81">
        <v>5</v>
      </c>
      <c r="AP81">
        <v>99</v>
      </c>
      <c r="AT81">
        <v>14</v>
      </c>
      <c r="AU81">
        <v>20</v>
      </c>
      <c r="AW81">
        <v>11</v>
      </c>
      <c r="AX81">
        <v>24</v>
      </c>
      <c r="AY81">
        <v>2</v>
      </c>
      <c r="AZ81">
        <v>2</v>
      </c>
      <c r="BA81">
        <v>2</v>
      </c>
      <c r="BB81">
        <v>24</v>
      </c>
      <c r="BC81">
        <v>45</v>
      </c>
      <c r="BD81" t="s">
        <v>620</v>
      </c>
      <c r="BE81">
        <v>5</v>
      </c>
      <c r="BF81">
        <v>99</v>
      </c>
      <c r="BJ81">
        <v>14</v>
      </c>
      <c r="BK81">
        <v>20</v>
      </c>
      <c r="BM81">
        <v>11</v>
      </c>
      <c r="BN81">
        <v>24</v>
      </c>
      <c r="CU81">
        <v>538266.1594</v>
      </c>
      <c r="CV81">
        <v>4877609.0772000002</v>
      </c>
      <c r="CW81">
        <v>44.050655329999998</v>
      </c>
      <c r="CX81">
        <v>-92.522312830000004</v>
      </c>
      <c r="CY81" s="319">
        <v>44113.605555555558</v>
      </c>
      <c r="CZ81" t="s">
        <v>615</v>
      </c>
      <c r="DA81" t="s">
        <v>664</v>
      </c>
      <c r="DB81" t="s">
        <v>665</v>
      </c>
      <c r="DC81" t="s">
        <v>666</v>
      </c>
      <c r="DD81" s="82" t="s">
        <v>766</v>
      </c>
    </row>
    <row r="82" spans="1:108" ht="16.5" customHeight="1" x14ac:dyDescent="0.25">
      <c r="A82">
        <v>80</v>
      </c>
      <c r="B82">
        <v>517502</v>
      </c>
      <c r="C82">
        <v>4</v>
      </c>
      <c r="D82">
        <v>22</v>
      </c>
      <c r="E82">
        <v>5.1150000000000002</v>
      </c>
      <c r="F82">
        <v>55</v>
      </c>
      <c r="G82" t="s">
        <v>643</v>
      </c>
      <c r="I82">
        <v>6</v>
      </c>
      <c r="J82">
        <v>21</v>
      </c>
      <c r="L82">
        <v>17055541</v>
      </c>
      <c r="M82">
        <v>173190217</v>
      </c>
      <c r="N82">
        <v>11</v>
      </c>
      <c r="O82">
        <v>15</v>
      </c>
      <c r="P82">
        <v>2017</v>
      </c>
      <c r="Q82" t="s">
        <v>645</v>
      </c>
      <c r="R82">
        <v>7</v>
      </c>
      <c r="S82" t="s">
        <v>673</v>
      </c>
      <c r="T82">
        <v>5</v>
      </c>
      <c r="U82">
        <v>0</v>
      </c>
      <c r="V82">
        <v>2</v>
      </c>
      <c r="W82">
        <v>12</v>
      </c>
      <c r="X82">
        <v>10</v>
      </c>
      <c r="Y82">
        <v>3</v>
      </c>
      <c r="Z82">
        <v>1</v>
      </c>
      <c r="AA82">
        <v>2</v>
      </c>
      <c r="AC82">
        <v>1</v>
      </c>
      <c r="AD82">
        <v>98</v>
      </c>
      <c r="AE82" t="s">
        <v>696</v>
      </c>
      <c r="AG82" t="s">
        <v>713</v>
      </c>
      <c r="AH82">
        <v>7</v>
      </c>
      <c r="AI82">
        <v>2</v>
      </c>
      <c r="AJ82">
        <v>3</v>
      </c>
      <c r="AK82">
        <v>2</v>
      </c>
      <c r="AL82">
        <v>27</v>
      </c>
      <c r="AM82">
        <v>30</v>
      </c>
      <c r="AN82" t="s">
        <v>614</v>
      </c>
      <c r="AO82">
        <v>5</v>
      </c>
      <c r="AP82">
        <v>1</v>
      </c>
      <c r="AT82">
        <v>15</v>
      </c>
      <c r="AU82">
        <v>9</v>
      </c>
      <c r="AV82">
        <v>55</v>
      </c>
      <c r="AW82">
        <v>11</v>
      </c>
      <c r="AX82">
        <v>24</v>
      </c>
      <c r="AY82">
        <v>2</v>
      </c>
      <c r="AZ82">
        <v>4</v>
      </c>
      <c r="BA82">
        <v>2</v>
      </c>
      <c r="BB82">
        <v>27</v>
      </c>
      <c r="BC82">
        <v>24</v>
      </c>
      <c r="BD82" t="s">
        <v>620</v>
      </c>
      <c r="BE82">
        <v>5</v>
      </c>
      <c r="BF82">
        <v>1</v>
      </c>
      <c r="BJ82">
        <v>15</v>
      </c>
      <c r="BK82">
        <v>9</v>
      </c>
      <c r="BL82">
        <v>55</v>
      </c>
      <c r="BM82">
        <v>11</v>
      </c>
      <c r="BN82">
        <v>24</v>
      </c>
      <c r="CU82">
        <v>538265.94519999996</v>
      </c>
      <c r="CV82">
        <v>4877610.0151000004</v>
      </c>
      <c r="CW82">
        <v>44.050663780000001</v>
      </c>
      <c r="CX82">
        <v>-92.52231544</v>
      </c>
      <c r="CY82" s="319">
        <v>43054.29791666667</v>
      </c>
      <c r="CZ82" t="s">
        <v>615</v>
      </c>
      <c r="DA82" t="s">
        <v>664</v>
      </c>
      <c r="DB82" t="s">
        <v>665</v>
      </c>
      <c r="DC82" t="s">
        <v>666</v>
      </c>
      <c r="DD82" s="82" t="s">
        <v>767</v>
      </c>
    </row>
    <row r="83" spans="1:108" ht="16.5" customHeight="1" x14ac:dyDescent="0.25">
      <c r="A83">
        <v>80</v>
      </c>
      <c r="B83">
        <v>602085</v>
      </c>
      <c r="C83">
        <v>4</v>
      </c>
      <c r="D83">
        <v>22</v>
      </c>
      <c r="E83">
        <v>5.1150000000000002</v>
      </c>
      <c r="F83">
        <v>55</v>
      </c>
      <c r="G83" t="s">
        <v>643</v>
      </c>
      <c r="I83">
        <v>6</v>
      </c>
      <c r="J83">
        <v>21</v>
      </c>
      <c r="L83">
        <v>18025458</v>
      </c>
      <c r="M83">
        <v>181560036</v>
      </c>
      <c r="N83">
        <v>6</v>
      </c>
      <c r="O83">
        <v>5</v>
      </c>
      <c r="P83">
        <v>2018</v>
      </c>
      <c r="Q83" t="s">
        <v>625</v>
      </c>
      <c r="R83">
        <v>10</v>
      </c>
      <c r="S83" t="s">
        <v>673</v>
      </c>
      <c r="T83">
        <v>5</v>
      </c>
      <c r="U83">
        <v>0</v>
      </c>
      <c r="V83">
        <v>2</v>
      </c>
      <c r="W83">
        <v>5</v>
      </c>
      <c r="X83">
        <v>10</v>
      </c>
      <c r="Y83">
        <v>3</v>
      </c>
      <c r="Z83">
        <v>1</v>
      </c>
      <c r="AA83">
        <v>1</v>
      </c>
      <c r="AC83">
        <v>1</v>
      </c>
      <c r="AD83">
        <v>98</v>
      </c>
      <c r="AE83" t="s">
        <v>696</v>
      </c>
      <c r="AF83" t="s">
        <v>768</v>
      </c>
      <c r="AG83" t="s">
        <v>713</v>
      </c>
      <c r="AH83">
        <v>10</v>
      </c>
      <c r="AI83">
        <v>2</v>
      </c>
      <c r="AJ83">
        <v>2</v>
      </c>
      <c r="AK83">
        <v>4</v>
      </c>
      <c r="AL83">
        <v>21</v>
      </c>
      <c r="AM83">
        <v>31</v>
      </c>
      <c r="AN83" t="s">
        <v>620</v>
      </c>
      <c r="AO83">
        <v>5</v>
      </c>
      <c r="AP83">
        <v>64</v>
      </c>
      <c r="AQ83">
        <v>2</v>
      </c>
      <c r="AT83">
        <v>12</v>
      </c>
      <c r="AU83">
        <v>23</v>
      </c>
      <c r="AV83">
        <v>30</v>
      </c>
      <c r="AW83">
        <v>11</v>
      </c>
      <c r="AX83">
        <v>21</v>
      </c>
      <c r="AY83">
        <v>2</v>
      </c>
      <c r="AZ83">
        <v>2</v>
      </c>
      <c r="BA83">
        <v>2</v>
      </c>
      <c r="BB83">
        <v>21</v>
      </c>
      <c r="BC83">
        <v>62</v>
      </c>
      <c r="BD83" t="s">
        <v>614</v>
      </c>
      <c r="BE83">
        <v>5</v>
      </c>
      <c r="BF83">
        <v>1</v>
      </c>
      <c r="BJ83">
        <v>15</v>
      </c>
      <c r="BK83">
        <v>9</v>
      </c>
      <c r="BL83">
        <v>55</v>
      </c>
      <c r="BM83">
        <v>11</v>
      </c>
      <c r="BN83">
        <v>24</v>
      </c>
      <c r="CU83">
        <v>538266.03319999995</v>
      </c>
      <c r="CV83">
        <v>4877609.6298000002</v>
      </c>
      <c r="CW83">
        <v>44.050660309999998</v>
      </c>
      <c r="CX83">
        <v>-92.522314370000004</v>
      </c>
      <c r="CY83" s="319">
        <v>43256.447222222225</v>
      </c>
      <c r="CZ83" t="s">
        <v>615</v>
      </c>
      <c r="DA83" t="s">
        <v>664</v>
      </c>
      <c r="DB83" t="s">
        <v>665</v>
      </c>
      <c r="DC83" t="s">
        <v>666</v>
      </c>
      <c r="DD83" s="82" t="s">
        <v>769</v>
      </c>
    </row>
    <row r="84" spans="1:108" ht="16.5" customHeight="1" x14ac:dyDescent="0.25">
      <c r="A84">
        <v>80</v>
      </c>
      <c r="B84">
        <v>470054</v>
      </c>
      <c r="C84">
        <v>4</v>
      </c>
      <c r="D84">
        <v>22</v>
      </c>
      <c r="E84">
        <v>5.117</v>
      </c>
      <c r="F84">
        <v>55</v>
      </c>
      <c r="G84" t="s">
        <v>643</v>
      </c>
      <c r="I84">
        <v>6</v>
      </c>
      <c r="J84">
        <v>21</v>
      </c>
      <c r="L84">
        <v>17029932</v>
      </c>
      <c r="M84">
        <v>171660104</v>
      </c>
      <c r="N84">
        <v>6</v>
      </c>
      <c r="O84">
        <v>15</v>
      </c>
      <c r="P84">
        <v>2017</v>
      </c>
      <c r="Q84" t="s">
        <v>619</v>
      </c>
      <c r="R84">
        <v>16</v>
      </c>
      <c r="T84">
        <v>5</v>
      </c>
      <c r="U84">
        <v>0</v>
      </c>
      <c r="V84">
        <v>2</v>
      </c>
      <c r="W84">
        <v>5</v>
      </c>
      <c r="X84">
        <v>10</v>
      </c>
      <c r="Y84">
        <v>28</v>
      </c>
      <c r="Z84">
        <v>1</v>
      </c>
      <c r="AA84">
        <v>1</v>
      </c>
      <c r="AC84">
        <v>1</v>
      </c>
      <c r="AD84">
        <v>98</v>
      </c>
      <c r="AE84" t="s">
        <v>696</v>
      </c>
      <c r="AG84" t="s">
        <v>713</v>
      </c>
      <c r="AH84">
        <v>10</v>
      </c>
      <c r="AI84">
        <v>2</v>
      </c>
      <c r="AJ84">
        <v>2</v>
      </c>
      <c r="AK84">
        <v>4</v>
      </c>
      <c r="AL84">
        <v>24</v>
      </c>
      <c r="AM84">
        <v>43</v>
      </c>
      <c r="AN84" t="s">
        <v>614</v>
      </c>
      <c r="AO84">
        <v>5</v>
      </c>
      <c r="AP84">
        <v>2</v>
      </c>
      <c r="AT84">
        <v>15</v>
      </c>
      <c r="AU84">
        <v>9</v>
      </c>
      <c r="AV84">
        <v>55</v>
      </c>
      <c r="AW84">
        <v>11</v>
      </c>
      <c r="AX84">
        <v>24</v>
      </c>
      <c r="AY84">
        <v>2</v>
      </c>
      <c r="AZ84">
        <v>4</v>
      </c>
      <c r="BA84">
        <v>2</v>
      </c>
      <c r="BB84">
        <v>21</v>
      </c>
      <c r="BC84">
        <v>47</v>
      </c>
      <c r="BD84" t="s">
        <v>614</v>
      </c>
      <c r="BE84">
        <v>5</v>
      </c>
      <c r="BF84">
        <v>1</v>
      </c>
      <c r="BJ84">
        <v>15</v>
      </c>
      <c r="BK84">
        <v>9</v>
      </c>
      <c r="BL84">
        <v>55</v>
      </c>
      <c r="BM84">
        <v>11</v>
      </c>
      <c r="BN84">
        <v>24</v>
      </c>
      <c r="CU84">
        <v>538265.51229999994</v>
      </c>
      <c r="CV84">
        <v>4877611.9129999997</v>
      </c>
      <c r="CW84">
        <v>44.050680890000002</v>
      </c>
      <c r="CX84">
        <v>-92.522320699999995</v>
      </c>
      <c r="CY84" s="319">
        <v>42901.694444444445</v>
      </c>
      <c r="CZ84" t="s">
        <v>615</v>
      </c>
      <c r="DA84" t="s">
        <v>664</v>
      </c>
      <c r="DB84" t="s">
        <v>665</v>
      </c>
      <c r="DC84" t="s">
        <v>666</v>
      </c>
      <c r="DD84" s="82" t="s">
        <v>770</v>
      </c>
    </row>
    <row r="85" spans="1:108" ht="16.5" customHeight="1" x14ac:dyDescent="0.25">
      <c r="A85">
        <v>80</v>
      </c>
      <c r="B85">
        <v>508467</v>
      </c>
      <c r="C85">
        <v>4</v>
      </c>
      <c r="D85">
        <v>22</v>
      </c>
      <c r="E85">
        <v>5.1159999999999997</v>
      </c>
      <c r="F85">
        <v>55</v>
      </c>
      <c r="G85" t="s">
        <v>643</v>
      </c>
      <c r="I85">
        <v>6</v>
      </c>
      <c r="J85">
        <v>21</v>
      </c>
      <c r="L85">
        <v>17050389</v>
      </c>
      <c r="M85">
        <v>172860083</v>
      </c>
      <c r="N85">
        <v>10</v>
      </c>
      <c r="O85">
        <v>13</v>
      </c>
      <c r="P85">
        <v>2017</v>
      </c>
      <c r="Q85" t="s">
        <v>638</v>
      </c>
      <c r="R85">
        <v>13</v>
      </c>
      <c r="S85">
        <v>98</v>
      </c>
      <c r="T85">
        <v>4</v>
      </c>
      <c r="U85">
        <v>0</v>
      </c>
      <c r="V85">
        <v>2</v>
      </c>
      <c r="W85">
        <v>5</v>
      </c>
      <c r="X85">
        <v>10</v>
      </c>
      <c r="Y85">
        <v>3</v>
      </c>
      <c r="Z85">
        <v>1</v>
      </c>
      <c r="AA85">
        <v>2</v>
      </c>
      <c r="AC85">
        <v>2</v>
      </c>
      <c r="AD85">
        <v>98</v>
      </c>
      <c r="AE85" t="s">
        <v>696</v>
      </c>
      <c r="AF85" t="s">
        <v>768</v>
      </c>
      <c r="AG85" t="s">
        <v>713</v>
      </c>
      <c r="AH85">
        <v>10</v>
      </c>
      <c r="AI85">
        <v>2</v>
      </c>
      <c r="AJ85">
        <v>4</v>
      </c>
      <c r="AK85">
        <v>4</v>
      </c>
      <c r="AL85">
        <v>21</v>
      </c>
      <c r="AM85">
        <v>29</v>
      </c>
      <c r="AN85" t="s">
        <v>614</v>
      </c>
      <c r="AO85">
        <v>5</v>
      </c>
      <c r="AP85">
        <v>2</v>
      </c>
      <c r="AT85">
        <v>12</v>
      </c>
      <c r="AU85">
        <v>23</v>
      </c>
      <c r="AV85">
        <v>30</v>
      </c>
      <c r="AW85">
        <v>11</v>
      </c>
      <c r="AX85">
        <v>21</v>
      </c>
      <c r="AY85">
        <v>2</v>
      </c>
      <c r="AZ85">
        <v>2</v>
      </c>
      <c r="BA85">
        <v>2</v>
      </c>
      <c r="BB85">
        <v>21</v>
      </c>
      <c r="BC85">
        <v>64</v>
      </c>
      <c r="BD85" t="s">
        <v>620</v>
      </c>
      <c r="BE85">
        <v>5</v>
      </c>
      <c r="BF85">
        <v>1</v>
      </c>
      <c r="BJ85">
        <v>14</v>
      </c>
      <c r="BK85">
        <v>9</v>
      </c>
      <c r="BL85">
        <v>55</v>
      </c>
      <c r="BM85">
        <v>11</v>
      </c>
      <c r="BN85">
        <v>24</v>
      </c>
      <c r="CU85">
        <v>538265.73120000004</v>
      </c>
      <c r="CV85">
        <v>4877610.9518999998</v>
      </c>
      <c r="CW85">
        <v>44.050672230000004</v>
      </c>
      <c r="CX85">
        <v>-92.522318040000002</v>
      </c>
      <c r="CY85" s="319">
        <v>43021.5625</v>
      </c>
      <c r="CZ85" t="s">
        <v>615</v>
      </c>
      <c r="DA85" t="s">
        <v>664</v>
      </c>
      <c r="DB85" t="s">
        <v>665</v>
      </c>
      <c r="DC85" t="s">
        <v>666</v>
      </c>
      <c r="DD85" s="82" t="s">
        <v>771</v>
      </c>
    </row>
    <row r="86" spans="1:108" ht="16.5" customHeight="1" x14ac:dyDescent="0.25">
      <c r="A86">
        <v>80</v>
      </c>
      <c r="B86">
        <v>662982</v>
      </c>
      <c r="C86">
        <v>4</v>
      </c>
      <c r="D86">
        <v>22</v>
      </c>
      <c r="E86">
        <v>5.117</v>
      </c>
      <c r="F86">
        <v>55</v>
      </c>
      <c r="G86" t="s">
        <v>643</v>
      </c>
      <c r="I86">
        <v>6</v>
      </c>
      <c r="J86">
        <v>21</v>
      </c>
      <c r="L86" t="s">
        <v>772</v>
      </c>
      <c r="M86">
        <v>183300068</v>
      </c>
      <c r="N86">
        <v>11</v>
      </c>
      <c r="O86">
        <v>26</v>
      </c>
      <c r="P86">
        <v>2018</v>
      </c>
      <c r="Q86" t="s">
        <v>610</v>
      </c>
      <c r="R86">
        <v>16</v>
      </c>
      <c r="S86" t="s">
        <v>673</v>
      </c>
      <c r="T86">
        <v>5</v>
      </c>
      <c r="U86">
        <v>0</v>
      </c>
      <c r="V86">
        <v>2</v>
      </c>
      <c r="W86">
        <v>5</v>
      </c>
      <c r="X86">
        <v>10</v>
      </c>
      <c r="Y86">
        <v>90</v>
      </c>
      <c r="Z86">
        <v>1</v>
      </c>
      <c r="AA86">
        <v>2</v>
      </c>
      <c r="AC86">
        <v>1</v>
      </c>
      <c r="AD86">
        <v>98</v>
      </c>
      <c r="AE86" t="s">
        <v>696</v>
      </c>
      <c r="AF86" t="s">
        <v>768</v>
      </c>
      <c r="AG86" t="s">
        <v>713</v>
      </c>
      <c r="AH86">
        <v>10</v>
      </c>
      <c r="AI86">
        <v>2</v>
      </c>
      <c r="AJ86">
        <v>2</v>
      </c>
      <c r="AK86">
        <v>3</v>
      </c>
      <c r="AL86">
        <v>21</v>
      </c>
      <c r="AM86">
        <v>81</v>
      </c>
      <c r="AN86" t="s">
        <v>614</v>
      </c>
      <c r="AO86">
        <v>5</v>
      </c>
      <c r="AP86">
        <v>2</v>
      </c>
      <c r="AQ86">
        <v>70</v>
      </c>
      <c r="AT86">
        <v>90</v>
      </c>
      <c r="AU86">
        <v>23</v>
      </c>
      <c r="AV86">
        <v>30</v>
      </c>
      <c r="AW86">
        <v>11</v>
      </c>
      <c r="AX86">
        <v>21</v>
      </c>
      <c r="AY86">
        <v>2</v>
      </c>
      <c r="AZ86">
        <v>2</v>
      </c>
      <c r="BA86">
        <v>2</v>
      </c>
      <c r="BB86">
        <v>21</v>
      </c>
      <c r="BC86">
        <v>22</v>
      </c>
      <c r="BD86" t="s">
        <v>620</v>
      </c>
      <c r="BE86">
        <v>5</v>
      </c>
      <c r="BF86">
        <v>1</v>
      </c>
      <c r="BJ86">
        <v>15</v>
      </c>
      <c r="BK86">
        <v>9</v>
      </c>
      <c r="BL86">
        <v>45</v>
      </c>
      <c r="BM86">
        <v>11</v>
      </c>
      <c r="BN86">
        <v>24</v>
      </c>
      <c r="CU86">
        <v>538265.55390000006</v>
      </c>
      <c r="CV86">
        <v>4877611.7302999999</v>
      </c>
      <c r="CW86">
        <v>44.050679250000002</v>
      </c>
      <c r="CX86">
        <v>-92.522320199999996</v>
      </c>
      <c r="CY86" s="319">
        <v>43430.671527777777</v>
      </c>
      <c r="CZ86" t="s">
        <v>615</v>
      </c>
      <c r="DA86" t="s">
        <v>664</v>
      </c>
      <c r="DB86" t="s">
        <v>665</v>
      </c>
      <c r="DC86" t="s">
        <v>666</v>
      </c>
      <c r="DD86" s="82" t="s">
        <v>773</v>
      </c>
    </row>
    <row r="87" spans="1:108" ht="16.5" customHeight="1" x14ac:dyDescent="0.25">
      <c r="A87">
        <v>80</v>
      </c>
      <c r="B87">
        <v>722097</v>
      </c>
      <c r="C87">
        <v>4</v>
      </c>
      <c r="D87">
        <v>22</v>
      </c>
      <c r="E87">
        <v>5.1159999999999997</v>
      </c>
      <c r="F87">
        <v>55</v>
      </c>
      <c r="G87" t="s">
        <v>643</v>
      </c>
      <c r="I87">
        <v>6</v>
      </c>
      <c r="J87">
        <v>21</v>
      </c>
      <c r="L87">
        <v>19025020</v>
      </c>
      <c r="M87">
        <v>191440085</v>
      </c>
      <c r="N87">
        <v>5</v>
      </c>
      <c r="O87">
        <v>24</v>
      </c>
      <c r="P87">
        <v>2019</v>
      </c>
      <c r="Q87" t="s">
        <v>638</v>
      </c>
      <c r="R87">
        <v>16</v>
      </c>
      <c r="T87">
        <v>3</v>
      </c>
      <c r="U87">
        <v>0</v>
      </c>
      <c r="V87">
        <v>2</v>
      </c>
      <c r="W87">
        <v>12</v>
      </c>
      <c r="X87">
        <v>10</v>
      </c>
      <c r="Y87">
        <v>3</v>
      </c>
      <c r="Z87">
        <v>1</v>
      </c>
      <c r="AA87">
        <v>2</v>
      </c>
      <c r="AC87">
        <v>1</v>
      </c>
      <c r="AD87">
        <v>1</v>
      </c>
      <c r="AE87" t="s">
        <v>696</v>
      </c>
      <c r="AF87" t="s">
        <v>768</v>
      </c>
      <c r="AG87" t="s">
        <v>713</v>
      </c>
      <c r="AH87">
        <v>7</v>
      </c>
      <c r="AI87">
        <v>2</v>
      </c>
      <c r="AJ87">
        <v>4</v>
      </c>
      <c r="AK87">
        <v>2</v>
      </c>
      <c r="AL87">
        <v>34</v>
      </c>
      <c r="AM87">
        <v>26</v>
      </c>
      <c r="AN87" t="s">
        <v>614</v>
      </c>
      <c r="AO87">
        <v>5</v>
      </c>
      <c r="AP87">
        <v>1</v>
      </c>
      <c r="AT87">
        <v>15</v>
      </c>
      <c r="AU87">
        <v>20</v>
      </c>
      <c r="AV87">
        <v>55</v>
      </c>
      <c r="AW87">
        <v>11</v>
      </c>
      <c r="AX87">
        <v>24</v>
      </c>
      <c r="AY87">
        <v>2</v>
      </c>
      <c r="AZ87">
        <v>4</v>
      </c>
      <c r="BA87">
        <v>2</v>
      </c>
      <c r="BB87">
        <v>21</v>
      </c>
      <c r="BC87">
        <v>34</v>
      </c>
      <c r="BD87" t="s">
        <v>620</v>
      </c>
      <c r="BE87">
        <v>5</v>
      </c>
      <c r="BF87">
        <v>4</v>
      </c>
      <c r="BJ87">
        <v>15</v>
      </c>
      <c r="BK87">
        <v>20</v>
      </c>
      <c r="BL87">
        <v>55</v>
      </c>
      <c r="BM87">
        <v>11</v>
      </c>
      <c r="BN87">
        <v>24</v>
      </c>
      <c r="CU87">
        <v>538265.61769999994</v>
      </c>
      <c r="CV87">
        <v>4877611.4497999996</v>
      </c>
      <c r="CW87">
        <v>44.050676719999998</v>
      </c>
      <c r="CX87">
        <v>-92.522319420000002</v>
      </c>
      <c r="CY87" s="319">
        <v>43609.677083333336</v>
      </c>
      <c r="CZ87" t="s">
        <v>615</v>
      </c>
      <c r="DA87" t="s">
        <v>664</v>
      </c>
      <c r="DB87" t="s">
        <v>665</v>
      </c>
      <c r="DC87" t="s">
        <v>666</v>
      </c>
      <c r="DD87" t="s">
        <v>774</v>
      </c>
    </row>
    <row r="88" spans="1:108" ht="16.5" customHeight="1" x14ac:dyDescent="0.25">
      <c r="A88">
        <v>80</v>
      </c>
      <c r="B88">
        <v>674523</v>
      </c>
      <c r="C88">
        <v>4</v>
      </c>
      <c r="D88">
        <v>22</v>
      </c>
      <c r="E88">
        <v>5.117</v>
      </c>
      <c r="F88">
        <v>55</v>
      </c>
      <c r="G88" t="s">
        <v>643</v>
      </c>
      <c r="I88">
        <v>6</v>
      </c>
      <c r="J88">
        <v>21</v>
      </c>
      <c r="L88">
        <v>1900001055</v>
      </c>
      <c r="M88">
        <v>190070064</v>
      </c>
      <c r="N88">
        <v>1</v>
      </c>
      <c r="O88">
        <v>7</v>
      </c>
      <c r="P88">
        <v>2019</v>
      </c>
      <c r="Q88" t="s">
        <v>610</v>
      </c>
      <c r="R88">
        <v>14</v>
      </c>
      <c r="S88" t="s">
        <v>673</v>
      </c>
      <c r="T88">
        <v>3</v>
      </c>
      <c r="U88">
        <v>0</v>
      </c>
      <c r="V88">
        <v>3</v>
      </c>
      <c r="W88">
        <v>5</v>
      </c>
      <c r="X88">
        <v>10</v>
      </c>
      <c r="Y88">
        <v>3</v>
      </c>
      <c r="Z88">
        <v>1</v>
      </c>
      <c r="AA88">
        <v>2</v>
      </c>
      <c r="AC88">
        <v>1</v>
      </c>
      <c r="AD88">
        <v>98</v>
      </c>
      <c r="AE88" t="s">
        <v>696</v>
      </c>
      <c r="AF88" t="s">
        <v>768</v>
      </c>
      <c r="AG88" t="s">
        <v>713</v>
      </c>
      <c r="AH88">
        <v>9</v>
      </c>
      <c r="AI88">
        <v>2</v>
      </c>
      <c r="AJ88">
        <v>4</v>
      </c>
      <c r="AK88">
        <v>1</v>
      </c>
      <c r="AL88">
        <v>24</v>
      </c>
      <c r="AM88">
        <v>20</v>
      </c>
      <c r="AN88" t="s">
        <v>620</v>
      </c>
      <c r="AO88">
        <v>5</v>
      </c>
      <c r="AP88">
        <v>2</v>
      </c>
      <c r="AT88">
        <v>14</v>
      </c>
      <c r="AU88">
        <v>9</v>
      </c>
      <c r="AV88">
        <v>55</v>
      </c>
      <c r="AW88">
        <v>11</v>
      </c>
      <c r="AX88">
        <v>23</v>
      </c>
      <c r="AY88">
        <v>2</v>
      </c>
      <c r="AZ88">
        <v>4</v>
      </c>
      <c r="BA88">
        <v>2</v>
      </c>
      <c r="BB88">
        <v>21</v>
      </c>
      <c r="BC88">
        <v>75</v>
      </c>
      <c r="BD88" t="s">
        <v>620</v>
      </c>
      <c r="BE88">
        <v>5</v>
      </c>
      <c r="BF88">
        <v>1</v>
      </c>
      <c r="BJ88">
        <v>14</v>
      </c>
      <c r="BK88">
        <v>9</v>
      </c>
      <c r="BL88">
        <v>55</v>
      </c>
      <c r="BM88">
        <v>11</v>
      </c>
      <c r="BN88">
        <v>24</v>
      </c>
      <c r="BO88">
        <v>2</v>
      </c>
      <c r="BP88">
        <v>4</v>
      </c>
      <c r="BQ88">
        <v>3</v>
      </c>
      <c r="BR88">
        <v>34</v>
      </c>
      <c r="BS88">
        <v>33</v>
      </c>
      <c r="BT88" t="s">
        <v>620</v>
      </c>
      <c r="BU88">
        <v>5</v>
      </c>
      <c r="BV88">
        <v>1</v>
      </c>
      <c r="BZ88">
        <v>12</v>
      </c>
      <c r="CA88">
        <v>23</v>
      </c>
      <c r="CB88">
        <v>30</v>
      </c>
      <c r="CC88">
        <v>11</v>
      </c>
      <c r="CD88">
        <v>21</v>
      </c>
      <c r="CU88">
        <v>538265.35600000003</v>
      </c>
      <c r="CV88">
        <v>4877612.5992999999</v>
      </c>
      <c r="CW88">
        <v>44.050687080000003</v>
      </c>
      <c r="CX88">
        <v>-92.522322599999995</v>
      </c>
      <c r="CY88" s="319">
        <v>43472.611805555556</v>
      </c>
      <c r="CZ88" t="s">
        <v>615</v>
      </c>
      <c r="DA88" t="s">
        <v>664</v>
      </c>
      <c r="DB88" t="s">
        <v>665</v>
      </c>
      <c r="DC88" t="s">
        <v>666</v>
      </c>
      <c r="DD88" t="s">
        <v>775</v>
      </c>
    </row>
    <row r="89" spans="1:108" ht="16.5" customHeight="1" x14ac:dyDescent="0.25">
      <c r="A89">
        <v>80</v>
      </c>
      <c r="B89">
        <v>956532</v>
      </c>
      <c r="C89">
        <v>4</v>
      </c>
      <c r="D89">
        <v>22</v>
      </c>
      <c r="E89">
        <v>5.12</v>
      </c>
      <c r="F89">
        <v>55</v>
      </c>
      <c r="G89" t="s">
        <v>643</v>
      </c>
      <c r="I89">
        <v>6</v>
      </c>
      <c r="J89">
        <v>21</v>
      </c>
      <c r="L89" t="s">
        <v>776</v>
      </c>
      <c r="M89">
        <v>212850150</v>
      </c>
      <c r="N89">
        <v>10</v>
      </c>
      <c r="O89">
        <v>12</v>
      </c>
      <c r="P89">
        <v>2021</v>
      </c>
      <c r="Q89" t="s">
        <v>625</v>
      </c>
      <c r="R89">
        <v>15</v>
      </c>
      <c r="S89" t="s">
        <v>673</v>
      </c>
      <c r="T89">
        <v>4</v>
      </c>
      <c r="U89">
        <v>0</v>
      </c>
      <c r="V89">
        <v>2</v>
      </c>
      <c r="W89">
        <v>12</v>
      </c>
      <c r="X89">
        <v>10</v>
      </c>
      <c r="Y89">
        <v>3</v>
      </c>
      <c r="Z89">
        <v>1</v>
      </c>
      <c r="AA89">
        <v>2</v>
      </c>
      <c r="AC89">
        <v>1</v>
      </c>
      <c r="AD89">
        <v>98</v>
      </c>
      <c r="AE89" t="s">
        <v>696</v>
      </c>
      <c r="AG89" t="s">
        <v>713</v>
      </c>
      <c r="AH89">
        <v>7</v>
      </c>
      <c r="AI89">
        <v>2</v>
      </c>
      <c r="AJ89">
        <v>5</v>
      </c>
      <c r="AK89">
        <v>2</v>
      </c>
      <c r="AL89">
        <v>21</v>
      </c>
      <c r="AM89">
        <v>60</v>
      </c>
      <c r="AN89" t="s">
        <v>620</v>
      </c>
      <c r="AO89">
        <v>5</v>
      </c>
      <c r="AP89">
        <v>74</v>
      </c>
      <c r="AT89">
        <v>14</v>
      </c>
      <c r="AU89">
        <v>20</v>
      </c>
      <c r="AV89">
        <v>45</v>
      </c>
      <c r="AW89">
        <v>11</v>
      </c>
      <c r="AX89">
        <v>21</v>
      </c>
      <c r="AY89">
        <v>2</v>
      </c>
      <c r="AZ89">
        <v>5</v>
      </c>
      <c r="BA89">
        <v>2</v>
      </c>
      <c r="BB89">
        <v>34</v>
      </c>
      <c r="BC89">
        <v>43</v>
      </c>
      <c r="BD89" t="s">
        <v>620</v>
      </c>
      <c r="BE89">
        <v>99</v>
      </c>
      <c r="BF89">
        <v>99</v>
      </c>
      <c r="BJ89">
        <v>14</v>
      </c>
      <c r="BK89">
        <v>20</v>
      </c>
      <c r="BL89">
        <v>45</v>
      </c>
      <c r="BM89">
        <v>11</v>
      </c>
      <c r="BN89">
        <v>21</v>
      </c>
      <c r="CU89">
        <v>538264.35380000004</v>
      </c>
      <c r="CV89">
        <v>4877617.0015000002</v>
      </c>
      <c r="CW89">
        <v>44.050726769999997</v>
      </c>
      <c r="CX89">
        <v>-92.522334799999996</v>
      </c>
      <c r="CY89" s="319">
        <v>44481.631944444445</v>
      </c>
      <c r="CZ89" t="s">
        <v>615</v>
      </c>
      <c r="DA89" t="s">
        <v>664</v>
      </c>
      <c r="DB89" t="s">
        <v>665</v>
      </c>
      <c r="DC89" t="s">
        <v>666</v>
      </c>
      <c r="DD89" s="82" t="s">
        <v>777</v>
      </c>
    </row>
    <row r="90" spans="1:108" ht="16.5" customHeight="1" x14ac:dyDescent="0.25">
      <c r="A90">
        <v>80</v>
      </c>
      <c r="B90">
        <v>602553</v>
      </c>
      <c r="C90">
        <v>4</v>
      </c>
      <c r="D90">
        <v>22</v>
      </c>
      <c r="E90">
        <v>5.12</v>
      </c>
      <c r="F90">
        <v>55</v>
      </c>
      <c r="G90" t="s">
        <v>643</v>
      </c>
      <c r="I90">
        <v>6</v>
      </c>
      <c r="J90">
        <v>21</v>
      </c>
      <c r="L90">
        <v>180025651</v>
      </c>
      <c r="M90">
        <v>181570179</v>
      </c>
      <c r="N90">
        <v>6</v>
      </c>
      <c r="O90">
        <v>6</v>
      </c>
      <c r="P90">
        <v>2018</v>
      </c>
      <c r="Q90" t="s">
        <v>645</v>
      </c>
      <c r="R90">
        <v>12</v>
      </c>
      <c r="S90" t="s">
        <v>611</v>
      </c>
      <c r="T90">
        <v>4</v>
      </c>
      <c r="U90">
        <v>0</v>
      </c>
      <c r="V90">
        <v>2</v>
      </c>
      <c r="W90">
        <v>5</v>
      </c>
      <c r="X90">
        <v>10</v>
      </c>
      <c r="Y90">
        <v>2</v>
      </c>
      <c r="Z90">
        <v>1</v>
      </c>
      <c r="AA90">
        <v>1</v>
      </c>
      <c r="AC90">
        <v>1</v>
      </c>
      <c r="AD90">
        <v>98</v>
      </c>
      <c r="AE90" t="s">
        <v>696</v>
      </c>
      <c r="AG90" t="s">
        <v>713</v>
      </c>
      <c r="AH90">
        <v>10</v>
      </c>
      <c r="AI90">
        <v>2</v>
      </c>
      <c r="AJ90">
        <v>2</v>
      </c>
      <c r="AK90">
        <v>4</v>
      </c>
      <c r="AL90">
        <v>24</v>
      </c>
      <c r="AM90">
        <v>73</v>
      </c>
      <c r="AN90" t="s">
        <v>620</v>
      </c>
      <c r="AO90">
        <v>5</v>
      </c>
      <c r="AP90">
        <v>2</v>
      </c>
      <c r="AT90">
        <v>15</v>
      </c>
      <c r="AU90">
        <v>9</v>
      </c>
      <c r="AV90">
        <v>55</v>
      </c>
      <c r="AW90">
        <v>11</v>
      </c>
      <c r="AX90">
        <v>21</v>
      </c>
      <c r="AY90">
        <v>2</v>
      </c>
      <c r="AZ90">
        <v>5</v>
      </c>
      <c r="BA90">
        <v>4</v>
      </c>
      <c r="BB90">
        <v>21</v>
      </c>
      <c r="BC90">
        <v>30</v>
      </c>
      <c r="BD90" t="s">
        <v>620</v>
      </c>
      <c r="BE90">
        <v>5</v>
      </c>
      <c r="BF90">
        <v>1</v>
      </c>
      <c r="BJ90">
        <v>15</v>
      </c>
      <c r="BK90">
        <v>9</v>
      </c>
      <c r="BL90">
        <v>55</v>
      </c>
      <c r="BM90">
        <v>11</v>
      </c>
      <c r="BN90">
        <v>21</v>
      </c>
      <c r="CU90">
        <v>538264.24950000003</v>
      </c>
      <c r="CV90">
        <v>4877617.4595999997</v>
      </c>
      <c r="CW90">
        <v>44.050730899999998</v>
      </c>
      <c r="CX90">
        <v>-92.522336069999994</v>
      </c>
      <c r="CY90" s="319">
        <v>43257.503472222219</v>
      </c>
      <c r="CZ90" t="s">
        <v>615</v>
      </c>
      <c r="DA90" t="s">
        <v>664</v>
      </c>
      <c r="DB90" t="s">
        <v>665</v>
      </c>
      <c r="DC90" t="s">
        <v>666</v>
      </c>
      <c r="DD90" s="82" t="s">
        <v>778</v>
      </c>
    </row>
    <row r="91" spans="1:108" ht="16.5" customHeight="1" x14ac:dyDescent="0.25">
      <c r="A91">
        <v>80</v>
      </c>
      <c r="B91">
        <v>597981</v>
      </c>
      <c r="C91">
        <v>4</v>
      </c>
      <c r="D91">
        <v>22</v>
      </c>
      <c r="E91">
        <v>5.1210000000000004</v>
      </c>
      <c r="F91">
        <v>55</v>
      </c>
      <c r="G91" t="s">
        <v>643</v>
      </c>
      <c r="I91">
        <v>6</v>
      </c>
      <c r="J91">
        <v>21</v>
      </c>
      <c r="L91">
        <v>18021979</v>
      </c>
      <c r="M91">
        <v>181370176</v>
      </c>
      <c r="N91">
        <v>5</v>
      </c>
      <c r="O91">
        <v>17</v>
      </c>
      <c r="P91">
        <v>2018</v>
      </c>
      <c r="Q91" t="s">
        <v>619</v>
      </c>
      <c r="R91">
        <v>16</v>
      </c>
      <c r="T91">
        <v>5</v>
      </c>
      <c r="U91">
        <v>0</v>
      </c>
      <c r="V91">
        <v>1</v>
      </c>
      <c r="X91">
        <v>32</v>
      </c>
      <c r="Y91">
        <v>3</v>
      </c>
      <c r="Z91">
        <v>1</v>
      </c>
      <c r="AA91">
        <v>1</v>
      </c>
      <c r="AC91">
        <v>1</v>
      </c>
      <c r="AD91">
        <v>98</v>
      </c>
      <c r="AE91" t="s">
        <v>696</v>
      </c>
      <c r="AG91" t="s">
        <v>713</v>
      </c>
      <c r="AH91">
        <v>3</v>
      </c>
      <c r="AI91">
        <v>2</v>
      </c>
      <c r="AJ91">
        <v>2</v>
      </c>
      <c r="AK91">
        <v>2</v>
      </c>
      <c r="AL91">
        <v>27</v>
      </c>
      <c r="AM91">
        <v>32</v>
      </c>
      <c r="AN91" t="s">
        <v>614</v>
      </c>
      <c r="AO91">
        <v>5</v>
      </c>
      <c r="AP91">
        <v>71</v>
      </c>
      <c r="AT91">
        <v>14</v>
      </c>
      <c r="AU91">
        <v>9</v>
      </c>
      <c r="AV91">
        <v>55</v>
      </c>
      <c r="AW91">
        <v>11</v>
      </c>
      <c r="AX91">
        <v>24</v>
      </c>
      <c r="CU91">
        <v>538263.94830000005</v>
      </c>
      <c r="CV91">
        <v>4877618.7824999997</v>
      </c>
      <c r="CW91">
        <v>44.050742820000004</v>
      </c>
      <c r="CX91">
        <v>-92.522339729999999</v>
      </c>
      <c r="CY91" s="319">
        <v>43237.694444444445</v>
      </c>
      <c r="CZ91" t="s">
        <v>615</v>
      </c>
      <c r="DA91" t="s">
        <v>664</v>
      </c>
      <c r="DB91" t="s">
        <v>665</v>
      </c>
      <c r="DC91" t="s">
        <v>666</v>
      </c>
      <c r="DD91" s="82" t="s">
        <v>779</v>
      </c>
    </row>
    <row r="92" spans="1:108" ht="16.5" customHeight="1" x14ac:dyDescent="0.25">
      <c r="A92">
        <v>80</v>
      </c>
      <c r="B92">
        <v>861101</v>
      </c>
      <c r="C92">
        <v>4</v>
      </c>
      <c r="D92">
        <v>22</v>
      </c>
      <c r="E92">
        <v>5.1230000000000002</v>
      </c>
      <c r="F92">
        <v>55</v>
      </c>
      <c r="G92" t="s">
        <v>643</v>
      </c>
      <c r="I92">
        <v>6</v>
      </c>
      <c r="J92">
        <v>21</v>
      </c>
      <c r="L92">
        <v>20048341</v>
      </c>
      <c r="M92">
        <v>203090013</v>
      </c>
      <c r="N92">
        <v>11</v>
      </c>
      <c r="O92">
        <v>3</v>
      </c>
      <c r="P92">
        <v>2020</v>
      </c>
      <c r="Q92" t="s">
        <v>625</v>
      </c>
      <c r="R92">
        <v>11</v>
      </c>
      <c r="S92">
        <v>98</v>
      </c>
      <c r="T92">
        <v>3</v>
      </c>
      <c r="U92">
        <v>0</v>
      </c>
      <c r="V92">
        <v>2</v>
      </c>
      <c r="W92">
        <v>5</v>
      </c>
      <c r="X92">
        <v>10</v>
      </c>
      <c r="Y92">
        <v>3</v>
      </c>
      <c r="Z92">
        <v>1</v>
      </c>
      <c r="AA92">
        <v>1</v>
      </c>
      <c r="AC92">
        <v>1</v>
      </c>
      <c r="AD92">
        <v>98</v>
      </c>
      <c r="AE92" t="s">
        <v>696</v>
      </c>
      <c r="AG92" t="s">
        <v>713</v>
      </c>
      <c r="AH92">
        <v>10</v>
      </c>
      <c r="AI92">
        <v>2</v>
      </c>
      <c r="AJ92">
        <v>4</v>
      </c>
      <c r="AK92">
        <v>2</v>
      </c>
      <c r="AL92">
        <v>21</v>
      </c>
      <c r="AM92">
        <v>77</v>
      </c>
      <c r="AN92" t="s">
        <v>620</v>
      </c>
      <c r="AO92">
        <v>5</v>
      </c>
      <c r="AP92">
        <v>63</v>
      </c>
      <c r="AT92">
        <v>14</v>
      </c>
      <c r="AU92">
        <v>20</v>
      </c>
      <c r="AV92">
        <v>45</v>
      </c>
      <c r="AW92">
        <v>11</v>
      </c>
      <c r="AX92">
        <v>21</v>
      </c>
      <c r="AY92">
        <v>2</v>
      </c>
      <c r="AZ92">
        <v>4</v>
      </c>
      <c r="BA92">
        <v>3</v>
      </c>
      <c r="BB92">
        <v>21</v>
      </c>
      <c r="BC92">
        <v>40</v>
      </c>
      <c r="BD92" t="s">
        <v>614</v>
      </c>
      <c r="BE92">
        <v>5</v>
      </c>
      <c r="BF92">
        <v>1</v>
      </c>
      <c r="BJ92">
        <v>14</v>
      </c>
      <c r="BK92">
        <v>20</v>
      </c>
      <c r="BL92">
        <v>30</v>
      </c>
      <c r="BM92">
        <v>11</v>
      </c>
      <c r="BN92">
        <v>21</v>
      </c>
      <c r="CU92">
        <v>538263.3835</v>
      </c>
      <c r="CV92">
        <v>4877621.2633999996</v>
      </c>
      <c r="CW92">
        <v>44.05076519</v>
      </c>
      <c r="CX92">
        <v>-92.522346600000006</v>
      </c>
      <c r="CY92" s="319">
        <v>44138.496527777781</v>
      </c>
      <c r="CZ92" t="s">
        <v>615</v>
      </c>
      <c r="DA92" t="s">
        <v>664</v>
      </c>
      <c r="DB92" t="s">
        <v>665</v>
      </c>
      <c r="DC92" t="s">
        <v>666</v>
      </c>
      <c r="DD92" s="82" t="s">
        <v>780</v>
      </c>
    </row>
    <row r="93" spans="1:108" ht="16.5" customHeight="1" x14ac:dyDescent="0.25">
      <c r="A93">
        <v>80</v>
      </c>
      <c r="B93">
        <v>897869</v>
      </c>
      <c r="C93">
        <v>4</v>
      </c>
      <c r="D93">
        <v>22</v>
      </c>
      <c r="E93">
        <v>5.1230000000000002</v>
      </c>
      <c r="F93">
        <v>55</v>
      </c>
      <c r="G93" t="s">
        <v>643</v>
      </c>
      <c r="I93">
        <v>6</v>
      </c>
      <c r="J93">
        <v>21</v>
      </c>
      <c r="L93">
        <v>21012440</v>
      </c>
      <c r="M93">
        <v>210860019</v>
      </c>
      <c r="N93">
        <v>3</v>
      </c>
      <c r="O93">
        <v>27</v>
      </c>
      <c r="P93">
        <v>2021</v>
      </c>
      <c r="Q93" t="s">
        <v>655</v>
      </c>
      <c r="R93">
        <v>9</v>
      </c>
      <c r="S93" t="s">
        <v>673</v>
      </c>
      <c r="T93">
        <v>5</v>
      </c>
      <c r="U93">
        <v>0</v>
      </c>
      <c r="V93">
        <v>4</v>
      </c>
      <c r="W93">
        <v>12</v>
      </c>
      <c r="X93">
        <v>10</v>
      </c>
      <c r="Y93">
        <v>3</v>
      </c>
      <c r="Z93">
        <v>1</v>
      </c>
      <c r="AA93">
        <v>3</v>
      </c>
      <c r="AC93">
        <v>2</v>
      </c>
      <c r="AD93">
        <v>98</v>
      </c>
      <c r="AE93" t="s">
        <v>696</v>
      </c>
      <c r="AG93" t="s">
        <v>713</v>
      </c>
      <c r="AH93">
        <v>7</v>
      </c>
      <c r="AI93">
        <v>2</v>
      </c>
      <c r="AJ93">
        <v>4</v>
      </c>
      <c r="AK93">
        <v>2</v>
      </c>
      <c r="AL93">
        <v>21</v>
      </c>
      <c r="AM93">
        <v>31</v>
      </c>
      <c r="AN93" t="s">
        <v>620</v>
      </c>
      <c r="AO93">
        <v>5</v>
      </c>
      <c r="AP93">
        <v>99</v>
      </c>
      <c r="AT93">
        <v>14</v>
      </c>
      <c r="AU93">
        <v>20</v>
      </c>
      <c r="AV93">
        <v>45</v>
      </c>
      <c r="AW93">
        <v>11</v>
      </c>
      <c r="AX93">
        <v>24</v>
      </c>
      <c r="AY93">
        <v>2</v>
      </c>
      <c r="AZ93">
        <v>2</v>
      </c>
      <c r="BA93">
        <v>2</v>
      </c>
      <c r="BB93">
        <v>34</v>
      </c>
      <c r="BC93">
        <v>18</v>
      </c>
      <c r="BD93" t="s">
        <v>620</v>
      </c>
      <c r="BE93">
        <v>5</v>
      </c>
      <c r="BF93">
        <v>1</v>
      </c>
      <c r="BJ93">
        <v>14</v>
      </c>
      <c r="BK93">
        <v>20</v>
      </c>
      <c r="BL93">
        <v>45</v>
      </c>
      <c r="BM93">
        <v>11</v>
      </c>
      <c r="BN93">
        <v>24</v>
      </c>
      <c r="BO93">
        <v>2</v>
      </c>
      <c r="BP93">
        <v>2</v>
      </c>
      <c r="BQ93">
        <v>2</v>
      </c>
      <c r="BR93">
        <v>34</v>
      </c>
      <c r="BS93">
        <v>70</v>
      </c>
      <c r="BT93" t="s">
        <v>614</v>
      </c>
      <c r="BU93">
        <v>5</v>
      </c>
      <c r="BV93">
        <v>1</v>
      </c>
      <c r="BZ93">
        <v>14</v>
      </c>
      <c r="CA93">
        <v>20</v>
      </c>
      <c r="CB93">
        <v>45</v>
      </c>
      <c r="CC93">
        <v>11</v>
      </c>
      <c r="CD93">
        <v>24</v>
      </c>
      <c r="CE93">
        <v>2</v>
      </c>
      <c r="CF93">
        <v>4</v>
      </c>
      <c r="CG93">
        <v>2</v>
      </c>
      <c r="CH93">
        <v>34</v>
      </c>
      <c r="CI93">
        <v>42</v>
      </c>
      <c r="CJ93" t="s">
        <v>614</v>
      </c>
      <c r="CK93">
        <v>5</v>
      </c>
      <c r="CL93">
        <v>1</v>
      </c>
      <c r="CP93">
        <v>14</v>
      </c>
      <c r="CQ93">
        <v>20</v>
      </c>
      <c r="CR93">
        <v>45</v>
      </c>
      <c r="CS93">
        <v>11</v>
      </c>
      <c r="CT93">
        <v>24</v>
      </c>
      <c r="CU93">
        <v>538263.3835</v>
      </c>
      <c r="CV93">
        <v>4877621.2635000004</v>
      </c>
      <c r="CW93">
        <v>44.05076519</v>
      </c>
      <c r="CX93">
        <v>-92.522346600000006</v>
      </c>
      <c r="CY93" s="319">
        <v>44282.402777777781</v>
      </c>
      <c r="CZ93" t="s">
        <v>615</v>
      </c>
      <c r="DA93" t="s">
        <v>664</v>
      </c>
      <c r="DB93" t="s">
        <v>665</v>
      </c>
      <c r="DC93" t="s">
        <v>666</v>
      </c>
      <c r="DD93" t="s">
        <v>781</v>
      </c>
    </row>
    <row r="94" spans="1:108" ht="16.5" customHeight="1" x14ac:dyDescent="0.25">
      <c r="A94">
        <v>80</v>
      </c>
      <c r="B94">
        <v>567774</v>
      </c>
      <c r="C94">
        <v>4</v>
      </c>
      <c r="D94">
        <v>22</v>
      </c>
      <c r="E94">
        <v>5.1449999999999996</v>
      </c>
      <c r="F94">
        <v>55</v>
      </c>
      <c r="G94" t="s">
        <v>643</v>
      </c>
      <c r="I94">
        <v>6</v>
      </c>
      <c r="J94">
        <v>21</v>
      </c>
      <c r="L94">
        <v>1808006</v>
      </c>
      <c r="M94">
        <v>180510317</v>
      </c>
      <c r="N94">
        <v>2</v>
      </c>
      <c r="O94">
        <v>20</v>
      </c>
      <c r="P94">
        <v>2018</v>
      </c>
      <c r="Q94" t="s">
        <v>625</v>
      </c>
      <c r="R94">
        <v>5</v>
      </c>
      <c r="S94" t="s">
        <v>639</v>
      </c>
      <c r="T94">
        <v>5</v>
      </c>
      <c r="U94">
        <v>0</v>
      </c>
      <c r="V94">
        <v>2</v>
      </c>
      <c r="W94">
        <v>5</v>
      </c>
      <c r="X94">
        <v>10</v>
      </c>
      <c r="Y94">
        <v>3</v>
      </c>
      <c r="Z94">
        <v>4</v>
      </c>
      <c r="AA94">
        <v>5</v>
      </c>
      <c r="AC94">
        <v>5</v>
      </c>
      <c r="AD94">
        <v>98</v>
      </c>
      <c r="AE94" t="s">
        <v>696</v>
      </c>
      <c r="AG94" t="s">
        <v>715</v>
      </c>
      <c r="AH94">
        <v>10</v>
      </c>
      <c r="AI94">
        <v>2</v>
      </c>
      <c r="AJ94">
        <v>3</v>
      </c>
      <c r="AK94">
        <v>4</v>
      </c>
      <c r="AL94">
        <v>24</v>
      </c>
      <c r="AM94">
        <v>39</v>
      </c>
      <c r="AN94" t="s">
        <v>614</v>
      </c>
      <c r="AO94">
        <v>5</v>
      </c>
      <c r="AP94">
        <v>2</v>
      </c>
      <c r="AT94">
        <v>15</v>
      </c>
      <c r="AU94">
        <v>9</v>
      </c>
      <c r="AV94">
        <v>55</v>
      </c>
      <c r="AW94">
        <v>11</v>
      </c>
      <c r="AX94">
        <v>23</v>
      </c>
      <c r="AY94">
        <v>2</v>
      </c>
      <c r="AZ94">
        <v>4</v>
      </c>
      <c r="BA94">
        <v>2</v>
      </c>
      <c r="BB94">
        <v>21</v>
      </c>
      <c r="BC94">
        <v>48</v>
      </c>
      <c r="BD94" t="s">
        <v>620</v>
      </c>
      <c r="BE94">
        <v>5</v>
      </c>
      <c r="BF94">
        <v>1</v>
      </c>
      <c r="BJ94">
        <v>15</v>
      </c>
      <c r="BK94">
        <v>9</v>
      </c>
      <c r="BL94">
        <v>55</v>
      </c>
      <c r="BM94">
        <v>11</v>
      </c>
      <c r="BN94">
        <v>24</v>
      </c>
      <c r="CU94">
        <v>538278.68610000005</v>
      </c>
      <c r="CV94">
        <v>4877675.1190999998</v>
      </c>
      <c r="CW94">
        <v>44.051249259999999</v>
      </c>
      <c r="CX94">
        <v>-92.522151679999993</v>
      </c>
      <c r="CY94" s="319">
        <v>43151.224999999999</v>
      </c>
      <c r="CZ94" t="s">
        <v>615</v>
      </c>
      <c r="DA94" t="s">
        <v>664</v>
      </c>
      <c r="DB94" t="s">
        <v>665</v>
      </c>
      <c r="DC94" t="s">
        <v>666</v>
      </c>
      <c r="DD94" t="s">
        <v>782</v>
      </c>
    </row>
    <row r="95" spans="1:108" ht="16.5" customHeight="1" x14ac:dyDescent="0.25">
      <c r="A95">
        <v>80</v>
      </c>
      <c r="B95">
        <v>808003</v>
      </c>
      <c r="C95">
        <v>5</v>
      </c>
      <c r="D95">
        <v>208</v>
      </c>
      <c r="E95">
        <v>2E-3</v>
      </c>
      <c r="F95">
        <v>55</v>
      </c>
      <c r="G95" t="s">
        <v>643</v>
      </c>
      <c r="I95">
        <v>6</v>
      </c>
      <c r="J95">
        <v>21</v>
      </c>
      <c r="L95">
        <v>20018143</v>
      </c>
      <c r="M95">
        <v>201150010</v>
      </c>
      <c r="N95">
        <v>4</v>
      </c>
      <c r="O95">
        <v>24</v>
      </c>
      <c r="P95">
        <v>2020</v>
      </c>
      <c r="Q95" t="s">
        <v>638</v>
      </c>
      <c r="R95">
        <v>10</v>
      </c>
      <c r="T95">
        <v>4</v>
      </c>
      <c r="U95">
        <v>0</v>
      </c>
      <c r="V95">
        <v>2</v>
      </c>
      <c r="W95">
        <v>12</v>
      </c>
      <c r="X95">
        <v>10</v>
      </c>
      <c r="Y95">
        <v>3</v>
      </c>
      <c r="Z95">
        <v>1</v>
      </c>
      <c r="AA95">
        <v>1</v>
      </c>
      <c r="AC95">
        <v>1</v>
      </c>
      <c r="AD95">
        <v>98</v>
      </c>
      <c r="AE95" t="s">
        <v>783</v>
      </c>
      <c r="AF95" t="s">
        <v>696</v>
      </c>
      <c r="AG95" t="s">
        <v>784</v>
      </c>
      <c r="AH95">
        <v>7</v>
      </c>
      <c r="AI95">
        <v>2</v>
      </c>
      <c r="AJ95">
        <v>4</v>
      </c>
      <c r="AK95">
        <v>3</v>
      </c>
      <c r="AL95">
        <v>34</v>
      </c>
      <c r="AM95">
        <v>34</v>
      </c>
      <c r="AN95" t="s">
        <v>620</v>
      </c>
      <c r="AO95">
        <v>6</v>
      </c>
      <c r="AP95">
        <v>1</v>
      </c>
      <c r="AT95">
        <v>12</v>
      </c>
      <c r="AU95">
        <v>20</v>
      </c>
      <c r="AV95">
        <v>30</v>
      </c>
      <c r="AW95">
        <v>11</v>
      </c>
      <c r="AX95">
        <v>21</v>
      </c>
      <c r="AY95">
        <v>2</v>
      </c>
      <c r="AZ95">
        <v>4</v>
      </c>
      <c r="BA95">
        <v>3</v>
      </c>
      <c r="BB95">
        <v>21</v>
      </c>
      <c r="BC95">
        <v>31</v>
      </c>
      <c r="BD95" t="s">
        <v>614</v>
      </c>
      <c r="BE95">
        <v>5</v>
      </c>
      <c r="BF95">
        <v>4</v>
      </c>
      <c r="BJ95">
        <v>12</v>
      </c>
      <c r="BK95">
        <v>20</v>
      </c>
      <c r="BL95">
        <v>30</v>
      </c>
      <c r="BM95">
        <v>11</v>
      </c>
      <c r="BN95">
        <v>21</v>
      </c>
      <c r="CU95">
        <v>538295.87840000005</v>
      </c>
      <c r="CV95">
        <v>4877618.7811000003</v>
      </c>
      <c r="CW95">
        <v>44.05074114</v>
      </c>
      <c r="CX95">
        <v>-92.521941150000004</v>
      </c>
      <c r="CY95" s="319">
        <v>43945.426388888889</v>
      </c>
      <c r="CZ95" t="s">
        <v>615</v>
      </c>
      <c r="DA95" t="s">
        <v>664</v>
      </c>
      <c r="DB95" t="s">
        <v>665</v>
      </c>
      <c r="DC95" t="s">
        <v>666</v>
      </c>
      <c r="DD95" s="82" t="s">
        <v>785</v>
      </c>
    </row>
    <row r="96" spans="1:108" ht="16.5" customHeight="1" x14ac:dyDescent="0.25">
      <c r="A96">
        <v>80</v>
      </c>
      <c r="B96">
        <v>671894</v>
      </c>
      <c r="C96">
        <v>5</v>
      </c>
      <c r="D96">
        <v>208</v>
      </c>
      <c r="E96">
        <v>1.2E-2</v>
      </c>
      <c r="F96">
        <v>55</v>
      </c>
      <c r="G96" t="s">
        <v>643</v>
      </c>
      <c r="I96">
        <v>6</v>
      </c>
      <c r="J96">
        <v>21</v>
      </c>
      <c r="L96">
        <v>18063279</v>
      </c>
      <c r="M96">
        <v>183620100</v>
      </c>
      <c r="N96">
        <v>12</v>
      </c>
      <c r="O96">
        <v>28</v>
      </c>
      <c r="P96">
        <v>2018</v>
      </c>
      <c r="Q96" t="s">
        <v>638</v>
      </c>
      <c r="R96">
        <v>12</v>
      </c>
      <c r="T96">
        <v>5</v>
      </c>
      <c r="U96">
        <v>0</v>
      </c>
      <c r="V96">
        <v>2</v>
      </c>
      <c r="W96">
        <v>10</v>
      </c>
      <c r="X96">
        <v>10</v>
      </c>
      <c r="Y96">
        <v>10</v>
      </c>
      <c r="Z96">
        <v>1</v>
      </c>
      <c r="AA96">
        <v>2</v>
      </c>
      <c r="AC96">
        <v>5</v>
      </c>
      <c r="AD96">
        <v>98</v>
      </c>
      <c r="AE96" t="s">
        <v>783</v>
      </c>
      <c r="AF96" t="s">
        <v>696</v>
      </c>
      <c r="AG96" t="s">
        <v>784</v>
      </c>
      <c r="AH96">
        <v>5</v>
      </c>
      <c r="AI96">
        <v>2</v>
      </c>
      <c r="AJ96">
        <v>4</v>
      </c>
      <c r="AK96">
        <v>1</v>
      </c>
      <c r="AL96">
        <v>21</v>
      </c>
      <c r="AM96">
        <v>22</v>
      </c>
      <c r="AN96" t="s">
        <v>614</v>
      </c>
      <c r="AO96">
        <v>5</v>
      </c>
      <c r="AP96">
        <v>1</v>
      </c>
      <c r="AT96">
        <v>15</v>
      </c>
      <c r="AU96">
        <v>9</v>
      </c>
      <c r="AV96">
        <v>55</v>
      </c>
      <c r="AW96">
        <v>11</v>
      </c>
      <c r="AX96">
        <v>21</v>
      </c>
      <c r="AY96">
        <v>2</v>
      </c>
      <c r="AZ96">
        <v>4</v>
      </c>
      <c r="BA96">
        <v>1</v>
      </c>
      <c r="BB96">
        <v>21</v>
      </c>
      <c r="BC96">
        <v>49</v>
      </c>
      <c r="BD96" t="s">
        <v>620</v>
      </c>
      <c r="BE96">
        <v>5</v>
      </c>
      <c r="BF96">
        <v>1</v>
      </c>
      <c r="BJ96">
        <v>15</v>
      </c>
      <c r="BK96">
        <v>9</v>
      </c>
      <c r="BL96">
        <v>55</v>
      </c>
      <c r="BM96">
        <v>11</v>
      </c>
      <c r="BN96">
        <v>21</v>
      </c>
      <c r="CU96">
        <v>538311.16339999996</v>
      </c>
      <c r="CV96">
        <v>4877623.3210000005</v>
      </c>
      <c r="CW96">
        <v>44.050781219999998</v>
      </c>
      <c r="CX96">
        <v>-92.521750010000005</v>
      </c>
      <c r="CY96" s="319">
        <v>43462.506944444445</v>
      </c>
      <c r="CZ96" t="s">
        <v>615</v>
      </c>
      <c r="DA96" t="s">
        <v>664</v>
      </c>
      <c r="DB96" t="s">
        <v>665</v>
      </c>
      <c r="DC96" t="s">
        <v>666</v>
      </c>
      <c r="DD96" t="s">
        <v>786</v>
      </c>
    </row>
    <row r="97" spans="1:108" ht="16.5" customHeight="1" x14ac:dyDescent="0.25">
      <c r="A97">
        <v>80</v>
      </c>
      <c r="B97">
        <v>623510</v>
      </c>
      <c r="C97">
        <v>10</v>
      </c>
      <c r="D97">
        <v>1538</v>
      </c>
      <c r="E97">
        <v>9.6000000000000002E-2</v>
      </c>
      <c r="F97">
        <v>55</v>
      </c>
      <c r="G97" t="s">
        <v>643</v>
      </c>
      <c r="I97">
        <v>6</v>
      </c>
      <c r="J97">
        <v>21</v>
      </c>
      <c r="L97">
        <v>18034640</v>
      </c>
      <c r="M97">
        <v>182070063</v>
      </c>
      <c r="N97">
        <v>7</v>
      </c>
      <c r="O97">
        <v>26</v>
      </c>
      <c r="P97">
        <v>2018</v>
      </c>
      <c r="Q97" t="s">
        <v>619</v>
      </c>
      <c r="R97">
        <v>13</v>
      </c>
      <c r="T97">
        <v>3</v>
      </c>
      <c r="U97">
        <v>0</v>
      </c>
      <c r="V97">
        <v>2</v>
      </c>
      <c r="W97">
        <v>5</v>
      </c>
      <c r="X97">
        <v>10</v>
      </c>
      <c r="Y97">
        <v>3</v>
      </c>
      <c r="Z97">
        <v>1</v>
      </c>
      <c r="AA97">
        <v>1</v>
      </c>
      <c r="AC97">
        <v>1</v>
      </c>
      <c r="AD97">
        <v>98</v>
      </c>
      <c r="AE97" t="s">
        <v>768</v>
      </c>
      <c r="AG97" t="s">
        <v>787</v>
      </c>
      <c r="AH97">
        <v>10</v>
      </c>
      <c r="AI97">
        <v>2</v>
      </c>
      <c r="AJ97">
        <v>2</v>
      </c>
      <c r="AK97">
        <v>2</v>
      </c>
      <c r="AL97">
        <v>21</v>
      </c>
      <c r="AM97">
        <v>28</v>
      </c>
      <c r="AN97" t="s">
        <v>614</v>
      </c>
      <c r="AO97">
        <v>5</v>
      </c>
      <c r="AP97">
        <v>1</v>
      </c>
      <c r="AT97">
        <v>15</v>
      </c>
      <c r="AU97">
        <v>23</v>
      </c>
      <c r="AV97">
        <v>55</v>
      </c>
      <c r="AW97">
        <v>11</v>
      </c>
      <c r="AX97">
        <v>24</v>
      </c>
      <c r="AY97">
        <v>2</v>
      </c>
      <c r="AZ97">
        <v>4</v>
      </c>
      <c r="BA97">
        <v>3</v>
      </c>
      <c r="BB97">
        <v>21</v>
      </c>
      <c r="BC97">
        <v>62</v>
      </c>
      <c r="BD97" t="s">
        <v>620</v>
      </c>
      <c r="BE97">
        <v>5</v>
      </c>
      <c r="BF97">
        <v>2</v>
      </c>
      <c r="BJ97">
        <v>15</v>
      </c>
      <c r="BK97">
        <v>23</v>
      </c>
      <c r="BL97">
        <v>30</v>
      </c>
      <c r="BM97">
        <v>11</v>
      </c>
      <c r="BN97">
        <v>21</v>
      </c>
      <c r="CU97">
        <v>538257.93489999999</v>
      </c>
      <c r="CV97">
        <v>4877609.1915999996</v>
      </c>
      <c r="CW97">
        <v>44.050656789999998</v>
      </c>
      <c r="CX97">
        <v>-92.52241549</v>
      </c>
      <c r="CY97" s="319">
        <v>43307.555555555555</v>
      </c>
      <c r="CZ97" t="s">
        <v>615</v>
      </c>
      <c r="DA97" t="s">
        <v>664</v>
      </c>
      <c r="DB97" t="s">
        <v>665</v>
      </c>
      <c r="DC97" t="s">
        <v>666</v>
      </c>
      <c r="DD97" s="82" t="s">
        <v>788</v>
      </c>
    </row>
    <row r="98" spans="1:108" ht="16.5" customHeight="1" x14ac:dyDescent="0.25">
      <c r="A98">
        <v>80</v>
      </c>
      <c r="B98">
        <v>527711</v>
      </c>
      <c r="C98">
        <v>10</v>
      </c>
      <c r="D98">
        <v>1538</v>
      </c>
      <c r="E98">
        <v>9.8000000000000004E-2</v>
      </c>
      <c r="F98">
        <v>55</v>
      </c>
      <c r="G98" t="s">
        <v>643</v>
      </c>
      <c r="I98">
        <v>6</v>
      </c>
      <c r="J98">
        <v>21</v>
      </c>
      <c r="L98" t="s">
        <v>789</v>
      </c>
      <c r="M98">
        <v>173570043</v>
      </c>
      <c r="N98">
        <v>12</v>
      </c>
      <c r="O98">
        <v>23</v>
      </c>
      <c r="P98">
        <v>2017</v>
      </c>
      <c r="Q98" t="s">
        <v>655</v>
      </c>
      <c r="R98">
        <v>11</v>
      </c>
      <c r="T98">
        <v>5</v>
      </c>
      <c r="U98">
        <v>0</v>
      </c>
      <c r="V98">
        <v>3</v>
      </c>
      <c r="W98">
        <v>5</v>
      </c>
      <c r="X98">
        <v>10</v>
      </c>
      <c r="Y98">
        <v>3</v>
      </c>
      <c r="Z98">
        <v>1</v>
      </c>
      <c r="AA98">
        <v>1</v>
      </c>
      <c r="AC98">
        <v>1</v>
      </c>
      <c r="AD98">
        <v>98</v>
      </c>
      <c r="AE98" t="s">
        <v>768</v>
      </c>
      <c r="AG98" t="s">
        <v>787</v>
      </c>
      <c r="AH98">
        <v>10</v>
      </c>
      <c r="AI98">
        <v>2</v>
      </c>
      <c r="AJ98">
        <v>2</v>
      </c>
      <c r="AK98">
        <v>4</v>
      </c>
      <c r="AL98">
        <v>24</v>
      </c>
      <c r="AM98">
        <v>16</v>
      </c>
      <c r="AN98" t="s">
        <v>614</v>
      </c>
      <c r="AO98">
        <v>5</v>
      </c>
      <c r="AP98">
        <v>2</v>
      </c>
      <c r="AT98">
        <v>15</v>
      </c>
      <c r="AU98">
        <v>9</v>
      </c>
      <c r="AV98">
        <v>55</v>
      </c>
      <c r="AW98">
        <v>11</v>
      </c>
      <c r="AX98">
        <v>23</v>
      </c>
      <c r="AY98">
        <v>2</v>
      </c>
      <c r="AZ98">
        <v>2</v>
      </c>
      <c r="BA98">
        <v>2</v>
      </c>
      <c r="BB98">
        <v>21</v>
      </c>
      <c r="BC98">
        <v>56</v>
      </c>
      <c r="BD98" t="s">
        <v>614</v>
      </c>
      <c r="BE98">
        <v>5</v>
      </c>
      <c r="BF98">
        <v>1</v>
      </c>
      <c r="BJ98">
        <v>15</v>
      </c>
      <c r="BK98">
        <v>9</v>
      </c>
      <c r="BL98">
        <v>55</v>
      </c>
      <c r="BM98">
        <v>11</v>
      </c>
      <c r="BN98">
        <v>24</v>
      </c>
      <c r="BO98">
        <v>2</v>
      </c>
      <c r="BP98">
        <v>3</v>
      </c>
      <c r="BQ98">
        <v>3</v>
      </c>
      <c r="BR98">
        <v>34</v>
      </c>
      <c r="BS98">
        <v>66</v>
      </c>
      <c r="BT98" t="s">
        <v>614</v>
      </c>
      <c r="BU98">
        <v>5</v>
      </c>
      <c r="BV98">
        <v>1</v>
      </c>
      <c r="BZ98">
        <v>12</v>
      </c>
      <c r="CA98">
        <v>23</v>
      </c>
      <c r="CB98">
        <v>30</v>
      </c>
      <c r="CC98">
        <v>11</v>
      </c>
      <c r="CD98">
        <v>21</v>
      </c>
      <c r="CU98">
        <v>538260.94750000001</v>
      </c>
      <c r="CV98">
        <v>4877609.9166999999</v>
      </c>
      <c r="CW98">
        <v>44.050663159999999</v>
      </c>
      <c r="CX98">
        <v>-92.522377829999996</v>
      </c>
      <c r="CY98" s="319">
        <v>43092.461805555555</v>
      </c>
      <c r="CZ98" t="s">
        <v>615</v>
      </c>
      <c r="DA98" t="s">
        <v>664</v>
      </c>
      <c r="DB98" t="s">
        <v>616</v>
      </c>
      <c r="DC98" t="s">
        <v>617</v>
      </c>
      <c r="DD98" t="s">
        <v>790</v>
      </c>
    </row>
    <row r="99" spans="1:108" ht="16.5" customHeight="1" x14ac:dyDescent="0.25">
      <c r="A99">
        <v>80</v>
      </c>
      <c r="B99">
        <v>458437</v>
      </c>
      <c r="C99">
        <v>10</v>
      </c>
      <c r="D99">
        <v>1538</v>
      </c>
      <c r="E99">
        <v>0.1</v>
      </c>
      <c r="F99">
        <v>55</v>
      </c>
      <c r="G99" t="s">
        <v>643</v>
      </c>
      <c r="I99">
        <v>6</v>
      </c>
      <c r="J99">
        <v>21</v>
      </c>
      <c r="L99">
        <v>17028867</v>
      </c>
      <c r="M99">
        <v>171600063</v>
      </c>
      <c r="N99">
        <v>6</v>
      </c>
      <c r="O99">
        <v>9</v>
      </c>
      <c r="P99">
        <v>2017</v>
      </c>
      <c r="Q99" t="s">
        <v>638</v>
      </c>
      <c r="R99">
        <v>12</v>
      </c>
      <c r="S99" t="s">
        <v>673</v>
      </c>
      <c r="T99">
        <v>5</v>
      </c>
      <c r="U99">
        <v>0</v>
      </c>
      <c r="V99">
        <v>2</v>
      </c>
      <c r="W99">
        <v>90</v>
      </c>
      <c r="X99">
        <v>10</v>
      </c>
      <c r="Y99">
        <v>3</v>
      </c>
      <c r="Z99">
        <v>1</v>
      </c>
      <c r="AA99">
        <v>1</v>
      </c>
      <c r="AC99">
        <v>1</v>
      </c>
      <c r="AD99">
        <v>98</v>
      </c>
      <c r="AE99" t="s">
        <v>768</v>
      </c>
      <c r="AG99" t="s">
        <v>787</v>
      </c>
      <c r="AH99">
        <v>90</v>
      </c>
      <c r="AI99">
        <v>2</v>
      </c>
      <c r="AJ99">
        <v>4</v>
      </c>
      <c r="AK99">
        <v>2</v>
      </c>
      <c r="AL99">
        <v>21</v>
      </c>
      <c r="AM99">
        <v>48</v>
      </c>
      <c r="AN99" t="s">
        <v>620</v>
      </c>
      <c r="AO99">
        <v>5</v>
      </c>
      <c r="AP99">
        <v>1</v>
      </c>
      <c r="AT99">
        <v>14</v>
      </c>
      <c r="AU99">
        <v>9</v>
      </c>
      <c r="AV99">
        <v>50</v>
      </c>
      <c r="AW99">
        <v>11</v>
      </c>
      <c r="AX99">
        <v>24</v>
      </c>
      <c r="AY99">
        <v>2</v>
      </c>
      <c r="AZ99">
        <v>4</v>
      </c>
      <c r="BA99">
        <v>2</v>
      </c>
      <c r="BB99">
        <v>24</v>
      </c>
      <c r="BC99">
        <v>30</v>
      </c>
      <c r="BD99" t="s">
        <v>620</v>
      </c>
      <c r="BE99">
        <v>5</v>
      </c>
      <c r="BF99">
        <v>1</v>
      </c>
      <c r="BJ99">
        <v>14</v>
      </c>
      <c r="BK99">
        <v>9</v>
      </c>
      <c r="BL99">
        <v>50</v>
      </c>
      <c r="BM99">
        <v>11</v>
      </c>
      <c r="BN99">
        <v>24</v>
      </c>
      <c r="CU99">
        <v>538263.52119999996</v>
      </c>
      <c r="CV99">
        <v>4877610.5362</v>
      </c>
      <c r="CW99">
        <v>44.050668600000002</v>
      </c>
      <c r="CX99">
        <v>-92.522345659999999</v>
      </c>
      <c r="CY99" s="319">
        <v>42895.503472222219</v>
      </c>
      <c r="CZ99" t="s">
        <v>615</v>
      </c>
      <c r="DA99" t="s">
        <v>664</v>
      </c>
      <c r="DB99" t="s">
        <v>665</v>
      </c>
      <c r="DC99" t="s">
        <v>666</v>
      </c>
      <c r="DD99" t="s">
        <v>791</v>
      </c>
    </row>
    <row r="100" spans="1:108" ht="16.5" customHeight="1" x14ac:dyDescent="0.25">
      <c r="A100">
        <v>80</v>
      </c>
      <c r="B100">
        <v>450464</v>
      </c>
      <c r="C100">
        <v>10</v>
      </c>
      <c r="D100">
        <v>1538</v>
      </c>
      <c r="E100">
        <v>0.10199999999999999</v>
      </c>
      <c r="F100">
        <v>55</v>
      </c>
      <c r="G100" t="s">
        <v>643</v>
      </c>
      <c r="I100">
        <v>6</v>
      </c>
      <c r="J100">
        <v>21</v>
      </c>
      <c r="L100">
        <v>17022364</v>
      </c>
      <c r="M100">
        <v>171280008</v>
      </c>
      <c r="N100">
        <v>5</v>
      </c>
      <c r="O100">
        <v>8</v>
      </c>
      <c r="P100">
        <v>2017</v>
      </c>
      <c r="Q100" t="s">
        <v>610</v>
      </c>
      <c r="R100">
        <v>6</v>
      </c>
      <c r="S100">
        <v>98</v>
      </c>
      <c r="T100">
        <v>5</v>
      </c>
      <c r="U100">
        <v>0</v>
      </c>
      <c r="V100">
        <v>2</v>
      </c>
      <c r="W100">
        <v>5</v>
      </c>
      <c r="X100">
        <v>10</v>
      </c>
      <c r="Y100">
        <v>3</v>
      </c>
      <c r="Z100">
        <v>2</v>
      </c>
      <c r="AA100">
        <v>1</v>
      </c>
      <c r="AC100">
        <v>1</v>
      </c>
      <c r="AD100">
        <v>98</v>
      </c>
      <c r="AE100" t="s">
        <v>768</v>
      </c>
      <c r="AF100" t="s">
        <v>696</v>
      </c>
      <c r="AG100" t="s">
        <v>787</v>
      </c>
      <c r="AH100">
        <v>9</v>
      </c>
      <c r="AI100">
        <v>2</v>
      </c>
      <c r="AJ100">
        <v>2</v>
      </c>
      <c r="AK100">
        <v>1</v>
      </c>
      <c r="AL100">
        <v>24</v>
      </c>
      <c r="AM100">
        <v>54</v>
      </c>
      <c r="AN100" t="s">
        <v>614</v>
      </c>
      <c r="AO100">
        <v>5</v>
      </c>
      <c r="AP100">
        <v>74</v>
      </c>
      <c r="AQ100">
        <v>2</v>
      </c>
      <c r="AT100">
        <v>15</v>
      </c>
      <c r="AU100">
        <v>9</v>
      </c>
      <c r="AV100">
        <v>55</v>
      </c>
      <c r="AW100">
        <v>11</v>
      </c>
      <c r="AX100">
        <v>23</v>
      </c>
      <c r="AY100">
        <v>2</v>
      </c>
      <c r="AZ100">
        <v>2</v>
      </c>
      <c r="BA100">
        <v>2</v>
      </c>
      <c r="BB100">
        <v>21</v>
      </c>
      <c r="BC100">
        <v>27</v>
      </c>
      <c r="BD100" t="s">
        <v>614</v>
      </c>
      <c r="BE100">
        <v>5</v>
      </c>
      <c r="BF100">
        <v>1</v>
      </c>
      <c r="BJ100">
        <v>15</v>
      </c>
      <c r="BK100">
        <v>9</v>
      </c>
      <c r="BL100">
        <v>55</v>
      </c>
      <c r="BM100">
        <v>11</v>
      </c>
      <c r="BN100">
        <v>24</v>
      </c>
      <c r="CU100">
        <v>538265.91639999999</v>
      </c>
      <c r="CV100">
        <v>4877611.1146</v>
      </c>
      <c r="CW100">
        <v>44.050673680000003</v>
      </c>
      <c r="CX100">
        <v>-92.522315719999995</v>
      </c>
      <c r="CY100" s="319">
        <v>42863.25</v>
      </c>
      <c r="CZ100" t="s">
        <v>615</v>
      </c>
      <c r="DA100" t="s">
        <v>664</v>
      </c>
      <c r="DB100" t="s">
        <v>665</v>
      </c>
      <c r="DC100" t="s">
        <v>666</v>
      </c>
      <c r="DD100" s="82" t="s">
        <v>792</v>
      </c>
    </row>
    <row r="101" spans="1:108" ht="16.5" customHeight="1" x14ac:dyDescent="0.25">
      <c r="A101">
        <v>80</v>
      </c>
      <c r="B101">
        <v>456641</v>
      </c>
      <c r="C101">
        <v>10</v>
      </c>
      <c r="D101">
        <v>1538</v>
      </c>
      <c r="E101">
        <v>0.10199999999999999</v>
      </c>
      <c r="F101">
        <v>55</v>
      </c>
      <c r="G101" t="s">
        <v>643</v>
      </c>
      <c r="I101">
        <v>6</v>
      </c>
      <c r="J101">
        <v>21</v>
      </c>
      <c r="L101" t="s">
        <v>793</v>
      </c>
      <c r="M101">
        <v>171530103</v>
      </c>
      <c r="N101">
        <v>6</v>
      </c>
      <c r="O101">
        <v>2</v>
      </c>
      <c r="P101">
        <v>2017</v>
      </c>
      <c r="Q101" t="s">
        <v>638</v>
      </c>
      <c r="R101">
        <v>15</v>
      </c>
      <c r="S101" t="s">
        <v>673</v>
      </c>
      <c r="T101">
        <v>5</v>
      </c>
      <c r="U101">
        <v>0</v>
      </c>
      <c r="V101">
        <v>2</v>
      </c>
      <c r="W101">
        <v>12</v>
      </c>
      <c r="X101">
        <v>10</v>
      </c>
      <c r="Y101">
        <v>10</v>
      </c>
      <c r="Z101">
        <v>1</v>
      </c>
      <c r="AA101">
        <v>1</v>
      </c>
      <c r="AC101">
        <v>1</v>
      </c>
      <c r="AD101">
        <v>3</v>
      </c>
      <c r="AE101" t="s">
        <v>768</v>
      </c>
      <c r="AF101" t="s">
        <v>696</v>
      </c>
      <c r="AG101" t="s">
        <v>787</v>
      </c>
      <c r="AH101">
        <v>7</v>
      </c>
      <c r="AI101">
        <v>2</v>
      </c>
      <c r="AJ101">
        <v>2</v>
      </c>
      <c r="AK101">
        <v>2</v>
      </c>
      <c r="AL101">
        <v>21</v>
      </c>
      <c r="AM101">
        <v>42</v>
      </c>
      <c r="AN101" t="s">
        <v>620</v>
      </c>
      <c r="AO101">
        <v>5</v>
      </c>
      <c r="AP101">
        <v>1</v>
      </c>
      <c r="AT101">
        <v>15</v>
      </c>
      <c r="AU101">
        <v>9</v>
      </c>
      <c r="AV101">
        <v>55</v>
      </c>
      <c r="AW101">
        <v>11</v>
      </c>
      <c r="AX101">
        <v>24</v>
      </c>
      <c r="AY101">
        <v>2</v>
      </c>
      <c r="AZ101">
        <v>2</v>
      </c>
      <c r="BA101">
        <v>4</v>
      </c>
      <c r="BB101">
        <v>24</v>
      </c>
      <c r="BC101">
        <v>20</v>
      </c>
      <c r="BD101" t="s">
        <v>614</v>
      </c>
      <c r="BE101">
        <v>5</v>
      </c>
      <c r="BF101">
        <v>2</v>
      </c>
      <c r="BJ101">
        <v>15</v>
      </c>
      <c r="BK101">
        <v>9</v>
      </c>
      <c r="BL101">
        <v>55</v>
      </c>
      <c r="BM101">
        <v>11</v>
      </c>
      <c r="BN101">
        <v>21</v>
      </c>
      <c r="CU101">
        <v>538266.30420000001</v>
      </c>
      <c r="CV101">
        <v>4877611.2116</v>
      </c>
      <c r="CW101">
        <v>44.050674540000003</v>
      </c>
      <c r="CX101">
        <v>-92.522310869999998</v>
      </c>
      <c r="CY101" s="319">
        <v>42888.663194444445</v>
      </c>
      <c r="CZ101" t="s">
        <v>615</v>
      </c>
      <c r="DA101" t="s">
        <v>664</v>
      </c>
      <c r="DB101" t="s">
        <v>665</v>
      </c>
      <c r="DC101" t="s">
        <v>666</v>
      </c>
      <c r="DD101" t="s">
        <v>794</v>
      </c>
    </row>
    <row r="102" spans="1:108" ht="16.5" customHeight="1" x14ac:dyDescent="0.25">
      <c r="A102">
        <v>80</v>
      </c>
      <c r="B102">
        <v>476400</v>
      </c>
      <c r="C102">
        <v>10</v>
      </c>
      <c r="D102">
        <v>1538</v>
      </c>
      <c r="E102">
        <v>0.111</v>
      </c>
      <c r="F102">
        <v>55</v>
      </c>
      <c r="G102" t="s">
        <v>643</v>
      </c>
      <c r="I102">
        <v>6</v>
      </c>
      <c r="J102">
        <v>21</v>
      </c>
      <c r="L102">
        <v>17034371</v>
      </c>
      <c r="M102">
        <v>171930089</v>
      </c>
      <c r="N102">
        <v>7</v>
      </c>
      <c r="O102">
        <v>12</v>
      </c>
      <c r="P102">
        <v>2017</v>
      </c>
      <c r="Q102" t="s">
        <v>645</v>
      </c>
      <c r="R102">
        <v>13</v>
      </c>
      <c r="S102" t="s">
        <v>611</v>
      </c>
      <c r="T102">
        <v>4</v>
      </c>
      <c r="U102">
        <v>0</v>
      </c>
      <c r="V102">
        <v>3</v>
      </c>
      <c r="W102">
        <v>5</v>
      </c>
      <c r="X102">
        <v>10</v>
      </c>
      <c r="Y102">
        <v>3</v>
      </c>
      <c r="Z102">
        <v>1</v>
      </c>
      <c r="AA102">
        <v>2</v>
      </c>
      <c r="AC102">
        <v>1</v>
      </c>
      <c r="AD102">
        <v>98</v>
      </c>
      <c r="AE102" t="s">
        <v>768</v>
      </c>
      <c r="AG102" t="s">
        <v>787</v>
      </c>
      <c r="AH102">
        <v>10</v>
      </c>
      <c r="AI102">
        <v>2</v>
      </c>
      <c r="AJ102">
        <v>2</v>
      </c>
      <c r="AK102">
        <v>3</v>
      </c>
      <c r="AL102">
        <v>21</v>
      </c>
      <c r="AM102">
        <v>33</v>
      </c>
      <c r="AN102" t="s">
        <v>614</v>
      </c>
      <c r="AO102">
        <v>5</v>
      </c>
      <c r="AP102">
        <v>2</v>
      </c>
      <c r="AT102">
        <v>12</v>
      </c>
      <c r="AU102">
        <v>23</v>
      </c>
      <c r="AV102">
        <v>55</v>
      </c>
      <c r="AW102">
        <v>11</v>
      </c>
      <c r="AX102">
        <v>21</v>
      </c>
      <c r="AY102">
        <v>2</v>
      </c>
      <c r="AZ102">
        <v>5</v>
      </c>
      <c r="BA102">
        <v>3</v>
      </c>
      <c r="BB102">
        <v>21</v>
      </c>
      <c r="BC102">
        <v>77</v>
      </c>
      <c r="BD102" t="s">
        <v>620</v>
      </c>
      <c r="BE102">
        <v>5</v>
      </c>
      <c r="BF102">
        <v>1</v>
      </c>
      <c r="BJ102">
        <v>12</v>
      </c>
      <c r="BK102">
        <v>23</v>
      </c>
      <c r="BL102">
        <v>55</v>
      </c>
      <c r="BM102">
        <v>11</v>
      </c>
      <c r="BN102">
        <v>21</v>
      </c>
      <c r="BO102">
        <v>2</v>
      </c>
      <c r="BP102">
        <v>5</v>
      </c>
      <c r="BQ102">
        <v>3</v>
      </c>
      <c r="BR102">
        <v>34</v>
      </c>
      <c r="BS102">
        <v>78</v>
      </c>
      <c r="BT102" t="s">
        <v>614</v>
      </c>
      <c r="BU102">
        <v>5</v>
      </c>
      <c r="BV102">
        <v>1</v>
      </c>
      <c r="BZ102">
        <v>12</v>
      </c>
      <c r="CA102">
        <v>23</v>
      </c>
      <c r="CB102">
        <v>55</v>
      </c>
      <c r="CC102">
        <v>11</v>
      </c>
      <c r="CD102">
        <v>21</v>
      </c>
      <c r="CU102">
        <v>538280.25060000003</v>
      </c>
      <c r="CV102">
        <v>4877614.6983000003</v>
      </c>
      <c r="CW102">
        <v>44.050705200000003</v>
      </c>
      <c r="CX102">
        <v>-92.522136520000004</v>
      </c>
      <c r="CY102" s="319">
        <v>42928.574305555558</v>
      </c>
      <c r="CZ102" t="s">
        <v>615</v>
      </c>
      <c r="DA102" t="s">
        <v>664</v>
      </c>
      <c r="DB102" t="s">
        <v>665</v>
      </c>
      <c r="DC102" t="s">
        <v>666</v>
      </c>
      <c r="DD102" t="s">
        <v>795</v>
      </c>
    </row>
    <row r="103" spans="1:108" ht="16.5" customHeight="1" x14ac:dyDescent="0.25">
      <c r="A103">
        <v>80</v>
      </c>
      <c r="B103">
        <v>861293</v>
      </c>
      <c r="C103">
        <v>10</v>
      </c>
      <c r="D103">
        <v>1538</v>
      </c>
      <c r="E103">
        <v>0.113</v>
      </c>
      <c r="F103">
        <v>55</v>
      </c>
      <c r="G103" t="s">
        <v>643</v>
      </c>
      <c r="I103">
        <v>6</v>
      </c>
      <c r="J103">
        <v>21</v>
      </c>
      <c r="L103">
        <v>20048633</v>
      </c>
      <c r="M103">
        <v>203100008</v>
      </c>
      <c r="N103">
        <v>11</v>
      </c>
      <c r="O103">
        <v>5</v>
      </c>
      <c r="P103">
        <v>2020</v>
      </c>
      <c r="Q103" t="s">
        <v>619</v>
      </c>
      <c r="R103">
        <v>6</v>
      </c>
      <c r="S103" t="s">
        <v>639</v>
      </c>
      <c r="T103">
        <v>5</v>
      </c>
      <c r="U103">
        <v>0</v>
      </c>
      <c r="V103">
        <v>2</v>
      </c>
      <c r="W103">
        <v>5</v>
      </c>
      <c r="X103">
        <v>10</v>
      </c>
      <c r="Y103">
        <v>3</v>
      </c>
      <c r="Z103">
        <v>2</v>
      </c>
      <c r="AA103">
        <v>2</v>
      </c>
      <c r="AC103">
        <v>1</v>
      </c>
      <c r="AD103">
        <v>98</v>
      </c>
      <c r="AE103" t="s">
        <v>768</v>
      </c>
      <c r="AG103" t="s">
        <v>787</v>
      </c>
      <c r="AH103">
        <v>10</v>
      </c>
      <c r="AI103">
        <v>2</v>
      </c>
      <c r="AJ103">
        <v>2</v>
      </c>
      <c r="AK103">
        <v>2</v>
      </c>
      <c r="AL103">
        <v>21</v>
      </c>
      <c r="AM103">
        <v>55</v>
      </c>
      <c r="AN103" t="s">
        <v>620</v>
      </c>
      <c r="AO103">
        <v>5</v>
      </c>
      <c r="AP103">
        <v>63</v>
      </c>
      <c r="AT103">
        <v>15</v>
      </c>
      <c r="AU103">
        <v>20</v>
      </c>
      <c r="AV103">
        <v>45</v>
      </c>
      <c r="AW103">
        <v>11</v>
      </c>
      <c r="AX103">
        <v>24</v>
      </c>
      <c r="AY103">
        <v>2</v>
      </c>
      <c r="AZ103">
        <v>2</v>
      </c>
      <c r="BA103">
        <v>4</v>
      </c>
      <c r="BB103">
        <v>21</v>
      </c>
      <c r="BC103">
        <v>31</v>
      </c>
      <c r="BD103" t="s">
        <v>620</v>
      </c>
      <c r="BE103">
        <v>5</v>
      </c>
      <c r="BF103">
        <v>63</v>
      </c>
      <c r="BJ103">
        <v>12</v>
      </c>
      <c r="BK103">
        <v>20</v>
      </c>
      <c r="BL103">
        <v>30</v>
      </c>
      <c r="BM103">
        <v>11</v>
      </c>
      <c r="BN103">
        <v>23</v>
      </c>
      <c r="CU103">
        <v>538283.21719999996</v>
      </c>
      <c r="CV103">
        <v>4877615.4400000004</v>
      </c>
      <c r="CW103">
        <v>44.050711720000002</v>
      </c>
      <c r="CX103">
        <v>-92.522099440000005</v>
      </c>
      <c r="CY103" s="319">
        <v>44140.28125</v>
      </c>
      <c r="CZ103" t="s">
        <v>615</v>
      </c>
      <c r="DA103" t="s">
        <v>664</v>
      </c>
      <c r="DB103" t="s">
        <v>665</v>
      </c>
      <c r="DC103" t="s">
        <v>666</v>
      </c>
      <c r="DD103" s="82" t="s">
        <v>796</v>
      </c>
    </row>
    <row r="104" spans="1:108" ht="16.5" customHeight="1" x14ac:dyDescent="0.25">
      <c r="A104">
        <v>80</v>
      </c>
      <c r="B104">
        <v>469090</v>
      </c>
      <c r="C104">
        <v>10</v>
      </c>
      <c r="D104">
        <v>1538</v>
      </c>
      <c r="E104">
        <v>0.11799999999999999</v>
      </c>
      <c r="F104">
        <v>55</v>
      </c>
      <c r="G104" t="s">
        <v>643</v>
      </c>
      <c r="I104">
        <v>6</v>
      </c>
      <c r="J104">
        <v>21</v>
      </c>
      <c r="L104">
        <v>17029341</v>
      </c>
      <c r="M104">
        <v>171630038</v>
      </c>
      <c r="N104">
        <v>6</v>
      </c>
      <c r="O104">
        <v>12</v>
      </c>
      <c r="P104">
        <v>2017</v>
      </c>
      <c r="Q104" t="s">
        <v>610</v>
      </c>
      <c r="R104">
        <v>12</v>
      </c>
      <c r="S104" t="s">
        <v>611</v>
      </c>
      <c r="T104">
        <v>3</v>
      </c>
      <c r="U104">
        <v>0</v>
      </c>
      <c r="V104">
        <v>2</v>
      </c>
      <c r="W104">
        <v>5</v>
      </c>
      <c r="X104">
        <v>10</v>
      </c>
      <c r="Y104">
        <v>3</v>
      </c>
      <c r="Z104">
        <v>1</v>
      </c>
      <c r="AA104">
        <v>2</v>
      </c>
      <c r="AC104">
        <v>1</v>
      </c>
      <c r="AD104">
        <v>98</v>
      </c>
      <c r="AE104" t="s">
        <v>768</v>
      </c>
      <c r="AG104" t="s">
        <v>787</v>
      </c>
      <c r="AH104">
        <v>10</v>
      </c>
      <c r="AI104">
        <v>2</v>
      </c>
      <c r="AJ104">
        <v>2</v>
      </c>
      <c r="AK104">
        <v>3</v>
      </c>
      <c r="AL104">
        <v>21</v>
      </c>
      <c r="AM104">
        <v>39</v>
      </c>
      <c r="AN104" t="s">
        <v>620</v>
      </c>
      <c r="AO104">
        <v>5</v>
      </c>
      <c r="AP104">
        <v>74</v>
      </c>
      <c r="AT104">
        <v>14</v>
      </c>
      <c r="AU104">
        <v>23</v>
      </c>
      <c r="AV104">
        <v>45</v>
      </c>
      <c r="AW104">
        <v>11</v>
      </c>
      <c r="AX104">
        <v>24</v>
      </c>
      <c r="AY104">
        <v>2</v>
      </c>
      <c r="AZ104">
        <v>2</v>
      </c>
      <c r="BA104">
        <v>1</v>
      </c>
      <c r="BB104">
        <v>21</v>
      </c>
      <c r="BC104">
        <v>69</v>
      </c>
      <c r="BD104" t="s">
        <v>614</v>
      </c>
      <c r="BE104">
        <v>5</v>
      </c>
      <c r="BF104">
        <v>1</v>
      </c>
      <c r="BJ104">
        <v>14</v>
      </c>
      <c r="BK104">
        <v>23</v>
      </c>
      <c r="BL104">
        <v>45</v>
      </c>
      <c r="BM104">
        <v>11</v>
      </c>
      <c r="BN104">
        <v>23</v>
      </c>
      <c r="CU104">
        <v>538292.14099999995</v>
      </c>
      <c r="CV104">
        <v>4877617.6710000001</v>
      </c>
      <c r="CW104">
        <v>44.050731339999999</v>
      </c>
      <c r="CX104">
        <v>-92.521987879999998</v>
      </c>
      <c r="CY104" s="319">
        <v>42898.501388888886</v>
      </c>
      <c r="CZ104" t="s">
        <v>615</v>
      </c>
      <c r="DA104" t="s">
        <v>664</v>
      </c>
      <c r="DB104" t="s">
        <v>665</v>
      </c>
      <c r="DC104" t="s">
        <v>666</v>
      </c>
      <c r="DD104" s="82" t="s">
        <v>797</v>
      </c>
    </row>
    <row r="105" spans="1:108" ht="16.5" customHeight="1" x14ac:dyDescent="0.25">
      <c r="A105">
        <v>80</v>
      </c>
      <c r="B105">
        <v>515419</v>
      </c>
      <c r="C105">
        <v>10</v>
      </c>
      <c r="D105">
        <v>1538</v>
      </c>
      <c r="E105">
        <v>0.11799999999999999</v>
      </c>
      <c r="F105">
        <v>55</v>
      </c>
      <c r="G105" t="s">
        <v>643</v>
      </c>
      <c r="I105">
        <v>6</v>
      </c>
      <c r="J105">
        <v>21</v>
      </c>
      <c r="L105">
        <v>17053123</v>
      </c>
      <c r="M105">
        <v>173030292</v>
      </c>
      <c r="N105">
        <v>10</v>
      </c>
      <c r="O105">
        <v>30</v>
      </c>
      <c r="P105">
        <v>2017</v>
      </c>
      <c r="Q105" t="s">
        <v>610</v>
      </c>
      <c r="R105">
        <v>13</v>
      </c>
      <c r="T105">
        <v>3</v>
      </c>
      <c r="U105">
        <v>0</v>
      </c>
      <c r="V105">
        <v>3</v>
      </c>
      <c r="W105">
        <v>5</v>
      </c>
      <c r="X105">
        <v>10</v>
      </c>
      <c r="Y105">
        <v>3</v>
      </c>
      <c r="Z105">
        <v>1</v>
      </c>
      <c r="AA105">
        <v>1</v>
      </c>
      <c r="AC105">
        <v>2</v>
      </c>
      <c r="AD105">
        <v>98</v>
      </c>
      <c r="AE105" t="s">
        <v>768</v>
      </c>
      <c r="AG105" t="s">
        <v>787</v>
      </c>
      <c r="AH105">
        <v>10</v>
      </c>
      <c r="AI105">
        <v>2</v>
      </c>
      <c r="AJ105">
        <v>4</v>
      </c>
      <c r="AK105">
        <v>3</v>
      </c>
      <c r="AL105">
        <v>24</v>
      </c>
      <c r="AM105">
        <v>73</v>
      </c>
      <c r="AN105" t="s">
        <v>614</v>
      </c>
      <c r="AO105">
        <v>5</v>
      </c>
      <c r="AP105">
        <v>2</v>
      </c>
      <c r="AT105">
        <v>14</v>
      </c>
      <c r="AU105">
        <v>9</v>
      </c>
      <c r="AV105">
        <v>55</v>
      </c>
      <c r="AW105">
        <v>11</v>
      </c>
      <c r="AX105">
        <v>24</v>
      </c>
      <c r="AY105">
        <v>2</v>
      </c>
      <c r="AZ105">
        <v>3</v>
      </c>
      <c r="BA105">
        <v>1</v>
      </c>
      <c r="BB105">
        <v>21</v>
      </c>
      <c r="BC105">
        <v>63</v>
      </c>
      <c r="BD105" t="s">
        <v>614</v>
      </c>
      <c r="BE105">
        <v>5</v>
      </c>
      <c r="BF105">
        <v>1</v>
      </c>
      <c r="BJ105">
        <v>14</v>
      </c>
      <c r="BK105">
        <v>9</v>
      </c>
      <c r="BL105">
        <v>55</v>
      </c>
      <c r="BM105">
        <v>11</v>
      </c>
      <c r="BN105">
        <v>23</v>
      </c>
      <c r="BO105">
        <v>2</v>
      </c>
      <c r="BP105">
        <v>2</v>
      </c>
      <c r="BQ105">
        <v>4</v>
      </c>
      <c r="BR105">
        <v>34</v>
      </c>
      <c r="BS105">
        <v>52</v>
      </c>
      <c r="BT105" t="s">
        <v>620</v>
      </c>
      <c r="BU105">
        <v>5</v>
      </c>
      <c r="BV105">
        <v>1</v>
      </c>
      <c r="BZ105">
        <v>12</v>
      </c>
      <c r="CA105">
        <v>23</v>
      </c>
      <c r="CB105">
        <v>35</v>
      </c>
      <c r="CC105">
        <v>11</v>
      </c>
      <c r="CD105">
        <v>21</v>
      </c>
      <c r="CU105">
        <v>538292.14099999995</v>
      </c>
      <c r="CV105">
        <v>4877617.6710000001</v>
      </c>
      <c r="CW105">
        <v>44.050731339999999</v>
      </c>
      <c r="CX105">
        <v>-92.521987879999998</v>
      </c>
      <c r="CY105" s="319">
        <v>43038.572916666664</v>
      </c>
      <c r="CZ105" t="s">
        <v>615</v>
      </c>
      <c r="DA105" t="s">
        <v>664</v>
      </c>
      <c r="DB105" t="s">
        <v>665</v>
      </c>
      <c r="DC105" t="s">
        <v>666</v>
      </c>
      <c r="DD105" s="82" t="s">
        <v>798</v>
      </c>
    </row>
    <row r="106" spans="1:108" ht="16.5" customHeight="1" x14ac:dyDescent="0.25">
      <c r="A106">
        <v>90</v>
      </c>
      <c r="B106">
        <v>729248</v>
      </c>
      <c r="C106">
        <v>4</v>
      </c>
      <c r="D106">
        <v>22</v>
      </c>
      <c r="E106">
        <v>4.5739999999999998</v>
      </c>
      <c r="F106">
        <v>55</v>
      </c>
      <c r="G106" t="s">
        <v>643</v>
      </c>
      <c r="I106">
        <v>6</v>
      </c>
      <c r="J106">
        <v>21</v>
      </c>
      <c r="L106" t="s">
        <v>799</v>
      </c>
      <c r="M106">
        <v>191760054</v>
      </c>
      <c r="N106">
        <v>6</v>
      </c>
      <c r="O106">
        <v>25</v>
      </c>
      <c r="P106">
        <v>2019</v>
      </c>
      <c r="Q106" t="s">
        <v>625</v>
      </c>
      <c r="R106">
        <v>12</v>
      </c>
      <c r="T106">
        <v>5</v>
      </c>
      <c r="U106">
        <v>0</v>
      </c>
      <c r="V106">
        <v>2</v>
      </c>
      <c r="W106">
        <v>12</v>
      </c>
      <c r="X106">
        <v>10</v>
      </c>
      <c r="Y106">
        <v>10</v>
      </c>
      <c r="Z106">
        <v>1</v>
      </c>
      <c r="AA106">
        <v>1</v>
      </c>
      <c r="AC106">
        <v>1</v>
      </c>
      <c r="AD106">
        <v>98</v>
      </c>
      <c r="AE106" t="s">
        <v>696</v>
      </c>
      <c r="AG106" t="s">
        <v>715</v>
      </c>
      <c r="AH106">
        <v>7</v>
      </c>
      <c r="AI106">
        <v>2</v>
      </c>
      <c r="AJ106">
        <v>2</v>
      </c>
      <c r="AK106">
        <v>1</v>
      </c>
      <c r="AL106">
        <v>34</v>
      </c>
      <c r="AM106">
        <v>29</v>
      </c>
      <c r="AN106" t="s">
        <v>620</v>
      </c>
      <c r="AO106">
        <v>5</v>
      </c>
      <c r="AP106">
        <v>1</v>
      </c>
      <c r="AT106">
        <v>12</v>
      </c>
      <c r="AU106">
        <v>20</v>
      </c>
      <c r="AV106">
        <v>55</v>
      </c>
      <c r="AW106">
        <v>11</v>
      </c>
      <c r="AX106">
        <v>21</v>
      </c>
      <c r="AY106">
        <v>2</v>
      </c>
      <c r="AZ106">
        <v>4</v>
      </c>
      <c r="BA106">
        <v>1</v>
      </c>
      <c r="BB106">
        <v>21</v>
      </c>
      <c r="BC106">
        <v>23</v>
      </c>
      <c r="BD106" t="s">
        <v>620</v>
      </c>
      <c r="BE106">
        <v>5</v>
      </c>
      <c r="BF106">
        <v>4</v>
      </c>
      <c r="BJ106">
        <v>12</v>
      </c>
      <c r="BK106">
        <v>20</v>
      </c>
      <c r="BL106">
        <v>55</v>
      </c>
      <c r="BM106">
        <v>11</v>
      </c>
      <c r="BN106">
        <v>21</v>
      </c>
      <c r="CU106">
        <v>538487.37659999996</v>
      </c>
      <c r="CV106">
        <v>4876781.1331000002</v>
      </c>
      <c r="CW106">
        <v>44.043189669999997</v>
      </c>
      <c r="CX106">
        <v>-92.519611620000006</v>
      </c>
      <c r="CY106" s="319">
        <v>43641.534722222219</v>
      </c>
      <c r="CZ106" t="s">
        <v>615</v>
      </c>
      <c r="DA106" t="s">
        <v>664</v>
      </c>
      <c r="DB106" t="s">
        <v>665</v>
      </c>
      <c r="DC106" t="s">
        <v>666</v>
      </c>
      <c r="DD106" t="s">
        <v>800</v>
      </c>
    </row>
    <row r="107" spans="1:108" ht="16.5" customHeight="1" x14ac:dyDescent="0.25">
      <c r="A107">
        <v>90</v>
      </c>
      <c r="B107">
        <v>886809</v>
      </c>
      <c r="C107">
        <v>4</v>
      </c>
      <c r="D107">
        <v>22</v>
      </c>
      <c r="E107">
        <v>4.5750000000000002</v>
      </c>
      <c r="F107">
        <v>55</v>
      </c>
      <c r="G107" t="s">
        <v>643</v>
      </c>
      <c r="I107">
        <v>6</v>
      </c>
      <c r="J107">
        <v>21</v>
      </c>
      <c r="L107">
        <v>210003792</v>
      </c>
      <c r="M107">
        <v>210260091</v>
      </c>
      <c r="N107">
        <v>1</v>
      </c>
      <c r="O107">
        <v>26</v>
      </c>
      <c r="P107">
        <v>2021</v>
      </c>
      <c r="Q107" t="s">
        <v>625</v>
      </c>
      <c r="R107">
        <v>15</v>
      </c>
      <c r="S107" t="s">
        <v>611</v>
      </c>
      <c r="T107">
        <v>5</v>
      </c>
      <c r="U107">
        <v>0</v>
      </c>
      <c r="V107">
        <v>2</v>
      </c>
      <c r="W107">
        <v>12</v>
      </c>
      <c r="X107">
        <v>10</v>
      </c>
      <c r="Y107">
        <v>3</v>
      </c>
      <c r="Z107">
        <v>1</v>
      </c>
      <c r="AA107">
        <v>1</v>
      </c>
      <c r="AC107">
        <v>1</v>
      </c>
      <c r="AD107">
        <v>98</v>
      </c>
      <c r="AE107" t="s">
        <v>696</v>
      </c>
      <c r="AG107" t="s">
        <v>715</v>
      </c>
      <c r="AH107">
        <v>7</v>
      </c>
      <c r="AI107">
        <v>2</v>
      </c>
      <c r="AJ107">
        <v>2</v>
      </c>
      <c r="AK107">
        <v>1</v>
      </c>
      <c r="AL107">
        <v>26</v>
      </c>
      <c r="AM107">
        <v>48</v>
      </c>
      <c r="AN107" t="s">
        <v>620</v>
      </c>
      <c r="AO107">
        <v>5</v>
      </c>
      <c r="AP107">
        <v>1</v>
      </c>
      <c r="AT107">
        <v>14</v>
      </c>
      <c r="AU107">
        <v>20</v>
      </c>
      <c r="AV107">
        <v>55</v>
      </c>
      <c r="AW107">
        <v>11</v>
      </c>
      <c r="AX107">
        <v>21</v>
      </c>
      <c r="AY107">
        <v>1</v>
      </c>
      <c r="AZ107">
        <v>4</v>
      </c>
      <c r="BA107">
        <v>1</v>
      </c>
      <c r="BB107">
        <v>21</v>
      </c>
      <c r="BJ107">
        <v>14</v>
      </c>
      <c r="BK107">
        <v>20</v>
      </c>
      <c r="BL107">
        <v>55</v>
      </c>
      <c r="BM107">
        <v>11</v>
      </c>
      <c r="BN107">
        <v>21</v>
      </c>
      <c r="CU107">
        <v>538487.19900000002</v>
      </c>
      <c r="CV107">
        <v>4876781.8535000002</v>
      </c>
      <c r="CW107">
        <v>44.043196160000001</v>
      </c>
      <c r="CX107">
        <v>-92.51961378</v>
      </c>
      <c r="CY107" s="319">
        <v>44222.652083333334</v>
      </c>
      <c r="CZ107" t="s">
        <v>615</v>
      </c>
      <c r="DA107" t="s">
        <v>664</v>
      </c>
      <c r="DB107" t="s">
        <v>665</v>
      </c>
      <c r="DC107" t="s">
        <v>666</v>
      </c>
      <c r="DD107" t="s">
        <v>801</v>
      </c>
    </row>
    <row r="108" spans="1:108" ht="16.5" customHeight="1" x14ac:dyDescent="0.25">
      <c r="A108">
        <v>90</v>
      </c>
      <c r="B108">
        <v>970734</v>
      </c>
      <c r="C108">
        <v>4</v>
      </c>
      <c r="D108">
        <v>22</v>
      </c>
      <c r="E108">
        <v>4.58</v>
      </c>
      <c r="F108">
        <v>55</v>
      </c>
      <c r="G108" t="s">
        <v>643</v>
      </c>
      <c r="I108">
        <v>6</v>
      </c>
      <c r="J108">
        <v>21</v>
      </c>
      <c r="L108" t="s">
        <v>802</v>
      </c>
      <c r="M108">
        <v>213050106</v>
      </c>
      <c r="N108">
        <v>11</v>
      </c>
      <c r="O108">
        <v>1</v>
      </c>
      <c r="P108">
        <v>2021</v>
      </c>
      <c r="Q108" t="s">
        <v>610</v>
      </c>
      <c r="R108">
        <v>16</v>
      </c>
      <c r="T108">
        <v>3</v>
      </c>
      <c r="U108">
        <v>0</v>
      </c>
      <c r="V108">
        <v>2</v>
      </c>
      <c r="W108">
        <v>12</v>
      </c>
      <c r="X108">
        <v>10</v>
      </c>
      <c r="Y108">
        <v>2</v>
      </c>
      <c r="Z108">
        <v>1</v>
      </c>
      <c r="AA108">
        <v>2</v>
      </c>
      <c r="AC108">
        <v>1</v>
      </c>
      <c r="AD108">
        <v>98</v>
      </c>
      <c r="AE108" t="s">
        <v>696</v>
      </c>
      <c r="AG108" t="s">
        <v>713</v>
      </c>
      <c r="AH108">
        <v>7</v>
      </c>
      <c r="AI108">
        <v>2</v>
      </c>
      <c r="AJ108">
        <v>2</v>
      </c>
      <c r="AK108">
        <v>2</v>
      </c>
      <c r="AL108">
        <v>21</v>
      </c>
      <c r="AM108">
        <v>18</v>
      </c>
      <c r="AN108" t="s">
        <v>620</v>
      </c>
      <c r="AO108">
        <v>5</v>
      </c>
      <c r="AP108">
        <v>1</v>
      </c>
      <c r="AT108">
        <v>14</v>
      </c>
      <c r="AU108">
        <v>9</v>
      </c>
      <c r="AV108">
        <v>55</v>
      </c>
      <c r="AW108">
        <v>11</v>
      </c>
      <c r="AX108">
        <v>21</v>
      </c>
      <c r="AY108">
        <v>2</v>
      </c>
      <c r="AZ108">
        <v>4</v>
      </c>
      <c r="BA108">
        <v>2</v>
      </c>
      <c r="BB108">
        <v>21</v>
      </c>
      <c r="BC108">
        <v>37</v>
      </c>
      <c r="BD108" t="s">
        <v>620</v>
      </c>
      <c r="BE108">
        <v>5</v>
      </c>
      <c r="BF108">
        <v>1</v>
      </c>
      <c r="BJ108">
        <v>14</v>
      </c>
      <c r="BK108">
        <v>9</v>
      </c>
      <c r="BL108">
        <v>55</v>
      </c>
      <c r="BM108">
        <v>11</v>
      </c>
      <c r="BN108">
        <v>21</v>
      </c>
      <c r="CU108">
        <v>538462.57189999998</v>
      </c>
      <c r="CV108">
        <v>4876770.6930999998</v>
      </c>
      <c r="CW108">
        <v>44.043096980000001</v>
      </c>
      <c r="CX108">
        <v>-92.519921969999999</v>
      </c>
      <c r="CY108" s="319">
        <v>44501.693749999999</v>
      </c>
      <c r="CZ108" t="s">
        <v>615</v>
      </c>
      <c r="DA108" t="s">
        <v>664</v>
      </c>
      <c r="DB108" t="s">
        <v>665</v>
      </c>
      <c r="DC108" t="s">
        <v>666</v>
      </c>
      <c r="DD108" s="82" t="s">
        <v>803</v>
      </c>
    </row>
    <row r="109" spans="1:108" ht="16.5" customHeight="1" x14ac:dyDescent="0.25">
      <c r="A109">
        <v>90</v>
      </c>
      <c r="B109">
        <v>723467</v>
      </c>
      <c r="C109">
        <v>4</v>
      </c>
      <c r="D109">
        <v>22</v>
      </c>
      <c r="E109">
        <v>4.5910000000000002</v>
      </c>
      <c r="F109">
        <v>55</v>
      </c>
      <c r="G109" t="s">
        <v>643</v>
      </c>
      <c r="I109">
        <v>6</v>
      </c>
      <c r="J109">
        <v>21</v>
      </c>
      <c r="L109">
        <v>19023674</v>
      </c>
      <c r="M109">
        <v>191360320</v>
      </c>
      <c r="N109">
        <v>5</v>
      </c>
      <c r="O109">
        <v>16</v>
      </c>
      <c r="P109">
        <v>2019</v>
      </c>
      <c r="Q109" t="s">
        <v>619</v>
      </c>
      <c r="R109">
        <v>15</v>
      </c>
      <c r="T109">
        <v>5</v>
      </c>
      <c r="U109">
        <v>0</v>
      </c>
      <c r="V109">
        <v>2</v>
      </c>
      <c r="W109">
        <v>12</v>
      </c>
      <c r="X109">
        <v>10</v>
      </c>
      <c r="Y109">
        <v>3</v>
      </c>
      <c r="Z109">
        <v>1</v>
      </c>
      <c r="AA109">
        <v>1</v>
      </c>
      <c r="AC109">
        <v>1</v>
      </c>
      <c r="AD109">
        <v>98</v>
      </c>
      <c r="AE109" t="s">
        <v>696</v>
      </c>
      <c r="AF109" t="s">
        <v>626</v>
      </c>
      <c r="AG109" t="s">
        <v>715</v>
      </c>
      <c r="AH109">
        <v>7</v>
      </c>
      <c r="AI109">
        <v>2</v>
      </c>
      <c r="AJ109">
        <v>4</v>
      </c>
      <c r="AK109">
        <v>1</v>
      </c>
      <c r="AL109">
        <v>21</v>
      </c>
      <c r="AM109">
        <v>33</v>
      </c>
      <c r="AN109" t="s">
        <v>620</v>
      </c>
      <c r="AO109">
        <v>5</v>
      </c>
      <c r="AP109">
        <v>74</v>
      </c>
      <c r="AT109">
        <v>14</v>
      </c>
      <c r="AU109">
        <v>20</v>
      </c>
      <c r="AV109">
        <v>45</v>
      </c>
      <c r="AW109">
        <v>11</v>
      </c>
      <c r="AX109">
        <v>21</v>
      </c>
      <c r="AY109">
        <v>2</v>
      </c>
      <c r="AZ109">
        <v>4</v>
      </c>
      <c r="BA109">
        <v>1</v>
      </c>
      <c r="BB109">
        <v>21</v>
      </c>
      <c r="BC109">
        <v>35</v>
      </c>
      <c r="BD109" t="s">
        <v>620</v>
      </c>
      <c r="BE109">
        <v>5</v>
      </c>
      <c r="BF109">
        <v>1</v>
      </c>
      <c r="BJ109">
        <v>14</v>
      </c>
      <c r="BK109">
        <v>20</v>
      </c>
      <c r="BL109">
        <v>45</v>
      </c>
      <c r="BM109">
        <v>11</v>
      </c>
      <c r="BN109">
        <v>21</v>
      </c>
      <c r="CU109">
        <v>538480.85860000004</v>
      </c>
      <c r="CV109">
        <v>4876807.5674999999</v>
      </c>
      <c r="CW109">
        <v>44.043427999999999</v>
      </c>
      <c r="CX109">
        <v>-92.519691050000006</v>
      </c>
      <c r="CY109" s="319">
        <v>43601.659722222219</v>
      </c>
      <c r="CZ109" t="s">
        <v>615</v>
      </c>
      <c r="DA109" t="s">
        <v>664</v>
      </c>
      <c r="DB109" t="s">
        <v>665</v>
      </c>
      <c r="DC109" t="s">
        <v>666</v>
      </c>
      <c r="DD109" s="82" t="s">
        <v>804</v>
      </c>
    </row>
    <row r="110" spans="1:108" ht="16.5" customHeight="1" x14ac:dyDescent="0.25">
      <c r="A110">
        <v>90</v>
      </c>
      <c r="B110">
        <v>811464</v>
      </c>
      <c r="C110">
        <v>4</v>
      </c>
      <c r="D110">
        <v>22</v>
      </c>
      <c r="E110">
        <v>4.5949999999999998</v>
      </c>
      <c r="F110">
        <v>55</v>
      </c>
      <c r="G110" t="s">
        <v>643</v>
      </c>
      <c r="I110">
        <v>6</v>
      </c>
      <c r="J110">
        <v>21</v>
      </c>
      <c r="L110" t="s">
        <v>805</v>
      </c>
      <c r="M110">
        <v>201450033</v>
      </c>
      <c r="N110">
        <v>5</v>
      </c>
      <c r="O110">
        <v>24</v>
      </c>
      <c r="P110">
        <v>2020</v>
      </c>
      <c r="Q110" t="s">
        <v>652</v>
      </c>
      <c r="R110">
        <v>14</v>
      </c>
      <c r="T110">
        <v>2</v>
      </c>
      <c r="U110">
        <v>0</v>
      </c>
      <c r="V110">
        <v>2</v>
      </c>
      <c r="W110">
        <v>12</v>
      </c>
      <c r="X110">
        <v>10</v>
      </c>
      <c r="Y110">
        <v>10</v>
      </c>
      <c r="Z110">
        <v>1</v>
      </c>
      <c r="AA110">
        <v>1</v>
      </c>
      <c r="AC110">
        <v>1</v>
      </c>
      <c r="AD110">
        <v>98</v>
      </c>
      <c r="AE110" t="s">
        <v>696</v>
      </c>
      <c r="AG110" t="s">
        <v>715</v>
      </c>
      <c r="AH110">
        <v>7</v>
      </c>
      <c r="AI110">
        <v>2</v>
      </c>
      <c r="AJ110">
        <v>2</v>
      </c>
      <c r="AK110">
        <v>1</v>
      </c>
      <c r="AL110">
        <v>21</v>
      </c>
      <c r="AM110">
        <v>86</v>
      </c>
      <c r="AN110" t="s">
        <v>614</v>
      </c>
      <c r="AO110">
        <v>5</v>
      </c>
      <c r="AP110">
        <v>74</v>
      </c>
      <c r="AT110">
        <v>14</v>
      </c>
      <c r="AU110">
        <v>20</v>
      </c>
      <c r="AW110">
        <v>11</v>
      </c>
      <c r="AX110">
        <v>21</v>
      </c>
      <c r="AY110">
        <v>2</v>
      </c>
      <c r="AZ110">
        <v>31</v>
      </c>
      <c r="BA110">
        <v>1</v>
      </c>
      <c r="BB110">
        <v>26</v>
      </c>
      <c r="BC110">
        <v>58</v>
      </c>
      <c r="BD110" t="s">
        <v>614</v>
      </c>
      <c r="BE110">
        <v>5</v>
      </c>
      <c r="BF110">
        <v>1</v>
      </c>
      <c r="BJ110">
        <v>14</v>
      </c>
      <c r="BK110">
        <v>20</v>
      </c>
      <c r="BL110">
        <v>40</v>
      </c>
      <c r="BM110">
        <v>11</v>
      </c>
      <c r="BN110">
        <v>21</v>
      </c>
      <c r="CU110">
        <v>538479.33440000005</v>
      </c>
      <c r="CV110">
        <v>4876813.7492000004</v>
      </c>
      <c r="CW110">
        <v>44.043483739999999</v>
      </c>
      <c r="CX110">
        <v>-92.51970962</v>
      </c>
      <c r="CY110" s="319">
        <v>43975.600694444445</v>
      </c>
      <c r="CZ110" t="s">
        <v>615</v>
      </c>
      <c r="DA110" t="s">
        <v>664</v>
      </c>
      <c r="DB110" t="s">
        <v>665</v>
      </c>
      <c r="DC110" t="s">
        <v>666</v>
      </c>
      <c r="DD110" t="s">
        <v>806</v>
      </c>
    </row>
    <row r="111" spans="1:108" ht="16.5" customHeight="1" x14ac:dyDescent="0.25">
      <c r="A111">
        <v>90</v>
      </c>
      <c r="B111">
        <v>707635</v>
      </c>
      <c r="C111">
        <v>4</v>
      </c>
      <c r="D111">
        <v>22</v>
      </c>
      <c r="E111">
        <v>4.6050000000000004</v>
      </c>
      <c r="F111">
        <v>55</v>
      </c>
      <c r="G111" t="s">
        <v>643</v>
      </c>
      <c r="I111">
        <v>6</v>
      </c>
      <c r="J111">
        <v>21</v>
      </c>
      <c r="L111" t="s">
        <v>807</v>
      </c>
      <c r="M111">
        <v>191230143</v>
      </c>
      <c r="N111">
        <v>5</v>
      </c>
      <c r="O111">
        <v>3</v>
      </c>
      <c r="P111">
        <v>2019</v>
      </c>
      <c r="Q111" t="s">
        <v>638</v>
      </c>
      <c r="R111">
        <v>19</v>
      </c>
      <c r="T111">
        <v>4</v>
      </c>
      <c r="U111">
        <v>0</v>
      </c>
      <c r="V111">
        <v>2</v>
      </c>
      <c r="W111">
        <v>5</v>
      </c>
      <c r="X111">
        <v>10</v>
      </c>
      <c r="Y111">
        <v>3</v>
      </c>
      <c r="Z111">
        <v>1</v>
      </c>
      <c r="AA111">
        <v>1</v>
      </c>
      <c r="AC111">
        <v>1</v>
      </c>
      <c r="AD111">
        <v>98</v>
      </c>
      <c r="AE111" t="s">
        <v>696</v>
      </c>
      <c r="AG111" t="s">
        <v>715</v>
      </c>
      <c r="AH111">
        <v>9</v>
      </c>
      <c r="AI111">
        <v>2</v>
      </c>
      <c r="AJ111">
        <v>2</v>
      </c>
      <c r="AK111">
        <v>1</v>
      </c>
      <c r="AL111">
        <v>24</v>
      </c>
      <c r="AM111">
        <v>49</v>
      </c>
      <c r="AN111" t="s">
        <v>614</v>
      </c>
      <c r="AO111">
        <v>10</v>
      </c>
      <c r="AP111">
        <v>2</v>
      </c>
      <c r="AQ111">
        <v>63</v>
      </c>
      <c r="AT111">
        <v>12</v>
      </c>
      <c r="AU111">
        <v>20</v>
      </c>
      <c r="AV111">
        <v>40</v>
      </c>
      <c r="AW111">
        <v>11</v>
      </c>
      <c r="AX111">
        <v>21</v>
      </c>
      <c r="AY111">
        <v>2</v>
      </c>
      <c r="AZ111">
        <v>2</v>
      </c>
      <c r="BA111">
        <v>2</v>
      </c>
      <c r="BB111">
        <v>21</v>
      </c>
      <c r="BC111">
        <v>26</v>
      </c>
      <c r="BD111" t="s">
        <v>614</v>
      </c>
      <c r="BE111">
        <v>5</v>
      </c>
      <c r="BF111">
        <v>1</v>
      </c>
      <c r="BJ111">
        <v>12</v>
      </c>
      <c r="BK111">
        <v>20</v>
      </c>
      <c r="BL111">
        <v>40</v>
      </c>
      <c r="BM111">
        <v>11</v>
      </c>
      <c r="BN111">
        <v>21</v>
      </c>
      <c r="CU111">
        <v>538475.6642</v>
      </c>
      <c r="CV111">
        <v>4876829.0680999998</v>
      </c>
      <c r="CW111">
        <v>44.043621850000001</v>
      </c>
      <c r="CX111">
        <v>-92.519754320000004</v>
      </c>
      <c r="CY111" s="319">
        <v>43588.798611111109</v>
      </c>
      <c r="CZ111" t="s">
        <v>615</v>
      </c>
      <c r="DA111" t="s">
        <v>664</v>
      </c>
      <c r="DB111" t="s">
        <v>665</v>
      </c>
      <c r="DC111" t="s">
        <v>666</v>
      </c>
      <c r="DD111" t="s">
        <v>808</v>
      </c>
    </row>
    <row r="112" spans="1:108" ht="16.5" customHeight="1" x14ac:dyDescent="0.25">
      <c r="A112">
        <v>90</v>
      </c>
      <c r="B112">
        <v>900038</v>
      </c>
      <c r="C112">
        <v>4</v>
      </c>
      <c r="D112">
        <v>22</v>
      </c>
      <c r="E112">
        <v>4.6040000000000001</v>
      </c>
      <c r="F112">
        <v>55</v>
      </c>
      <c r="G112" t="s">
        <v>643</v>
      </c>
      <c r="I112">
        <v>6</v>
      </c>
      <c r="J112">
        <v>21</v>
      </c>
      <c r="L112">
        <v>21012352</v>
      </c>
      <c r="M112">
        <v>210850203</v>
      </c>
      <c r="N112">
        <v>3</v>
      </c>
      <c r="O112">
        <v>26</v>
      </c>
      <c r="P112">
        <v>2021</v>
      </c>
      <c r="Q112" t="s">
        <v>638</v>
      </c>
      <c r="R112">
        <v>18</v>
      </c>
      <c r="S112" t="s">
        <v>611</v>
      </c>
      <c r="T112">
        <v>5</v>
      </c>
      <c r="U112">
        <v>0</v>
      </c>
      <c r="V112">
        <v>3</v>
      </c>
      <c r="W112">
        <v>12</v>
      </c>
      <c r="X112">
        <v>10</v>
      </c>
      <c r="Y112">
        <v>3</v>
      </c>
      <c r="Z112">
        <v>1</v>
      </c>
      <c r="AA112">
        <v>1</v>
      </c>
      <c r="AC112">
        <v>1</v>
      </c>
      <c r="AD112">
        <v>98</v>
      </c>
      <c r="AE112" t="s">
        <v>696</v>
      </c>
      <c r="AG112" t="s">
        <v>715</v>
      </c>
      <c r="AH112">
        <v>7</v>
      </c>
      <c r="AI112">
        <v>2</v>
      </c>
      <c r="AJ112">
        <v>3</v>
      </c>
      <c r="AK112">
        <v>1</v>
      </c>
      <c r="AL112">
        <v>21</v>
      </c>
      <c r="AM112">
        <v>62</v>
      </c>
      <c r="AN112" t="s">
        <v>614</v>
      </c>
      <c r="AO112">
        <v>9</v>
      </c>
      <c r="AP112">
        <v>90</v>
      </c>
      <c r="AT112">
        <v>14</v>
      </c>
      <c r="AU112">
        <v>20</v>
      </c>
      <c r="AV112">
        <v>50</v>
      </c>
      <c r="AW112">
        <v>11</v>
      </c>
      <c r="AX112">
        <v>21</v>
      </c>
      <c r="AY112">
        <v>2</v>
      </c>
      <c r="AZ112">
        <v>2</v>
      </c>
      <c r="BA112">
        <v>1</v>
      </c>
      <c r="BB112">
        <v>34</v>
      </c>
      <c r="BC112">
        <v>30</v>
      </c>
      <c r="BD112" t="s">
        <v>614</v>
      </c>
      <c r="BE112">
        <v>5</v>
      </c>
      <c r="BF112">
        <v>1</v>
      </c>
      <c r="BJ112">
        <v>14</v>
      </c>
      <c r="BK112">
        <v>20</v>
      </c>
      <c r="BL112">
        <v>50</v>
      </c>
      <c r="BM112">
        <v>11</v>
      </c>
      <c r="BN112">
        <v>21</v>
      </c>
      <c r="BO112">
        <v>2</v>
      </c>
      <c r="BP112">
        <v>2</v>
      </c>
      <c r="BQ112">
        <v>1</v>
      </c>
      <c r="BR112">
        <v>34</v>
      </c>
      <c r="BS112">
        <v>56</v>
      </c>
      <c r="BT112" t="s">
        <v>614</v>
      </c>
      <c r="BU112">
        <v>5</v>
      </c>
      <c r="BV112">
        <v>1</v>
      </c>
      <c r="BZ112">
        <v>14</v>
      </c>
      <c r="CA112">
        <v>20</v>
      </c>
      <c r="CB112">
        <v>50</v>
      </c>
      <c r="CC112">
        <v>11</v>
      </c>
      <c r="CD112">
        <v>21</v>
      </c>
      <c r="CU112">
        <v>538475.87320000003</v>
      </c>
      <c r="CV112">
        <v>4876828.1158999996</v>
      </c>
      <c r="CW112">
        <v>44.043613270000002</v>
      </c>
      <c r="CX112">
        <v>-92.519751780000007</v>
      </c>
      <c r="CY112" s="319">
        <v>44281.761111111111</v>
      </c>
      <c r="CZ112" t="s">
        <v>615</v>
      </c>
      <c r="DA112" t="s">
        <v>664</v>
      </c>
      <c r="DB112" t="s">
        <v>665</v>
      </c>
      <c r="DC112" t="s">
        <v>666</v>
      </c>
      <c r="DD112" t="s">
        <v>809</v>
      </c>
    </row>
    <row r="113" spans="1:108" ht="16.5" customHeight="1" x14ac:dyDescent="0.25">
      <c r="A113">
        <v>90</v>
      </c>
      <c r="B113">
        <v>970355</v>
      </c>
      <c r="C113">
        <v>4</v>
      </c>
      <c r="D113">
        <v>22</v>
      </c>
      <c r="E113">
        <v>4.6059999999999999</v>
      </c>
      <c r="F113">
        <v>55</v>
      </c>
      <c r="G113">
        <v>2396395</v>
      </c>
      <c r="J113">
        <v>21</v>
      </c>
      <c r="L113" t="s">
        <v>810</v>
      </c>
      <c r="M113">
        <v>213030133</v>
      </c>
      <c r="N113">
        <v>10</v>
      </c>
      <c r="O113">
        <v>30</v>
      </c>
      <c r="P113">
        <v>2021</v>
      </c>
      <c r="Q113" t="s">
        <v>655</v>
      </c>
      <c r="R113">
        <v>19</v>
      </c>
      <c r="S113" t="s">
        <v>611</v>
      </c>
      <c r="T113">
        <v>4</v>
      </c>
      <c r="U113">
        <v>0</v>
      </c>
      <c r="V113">
        <v>2</v>
      </c>
      <c r="W113">
        <v>10</v>
      </c>
      <c r="X113">
        <v>10</v>
      </c>
      <c r="Y113">
        <v>3</v>
      </c>
      <c r="Z113">
        <v>4</v>
      </c>
      <c r="AA113">
        <v>1</v>
      </c>
      <c r="AC113">
        <v>1</v>
      </c>
      <c r="AD113">
        <v>98</v>
      </c>
      <c r="AE113" t="s">
        <v>696</v>
      </c>
      <c r="AF113" t="s">
        <v>626</v>
      </c>
      <c r="AG113" t="s">
        <v>715</v>
      </c>
      <c r="AH113">
        <v>5</v>
      </c>
      <c r="AI113">
        <v>2</v>
      </c>
      <c r="AJ113">
        <v>2</v>
      </c>
      <c r="AK113">
        <v>1</v>
      </c>
      <c r="AL113">
        <v>21</v>
      </c>
      <c r="AM113">
        <v>29</v>
      </c>
      <c r="AN113" t="s">
        <v>620</v>
      </c>
      <c r="AO113">
        <v>5</v>
      </c>
      <c r="AP113">
        <v>1</v>
      </c>
      <c r="AT113">
        <v>14</v>
      </c>
      <c r="AU113">
        <v>20</v>
      </c>
      <c r="AV113">
        <v>45</v>
      </c>
      <c r="AW113">
        <v>11</v>
      </c>
      <c r="AX113">
        <v>24</v>
      </c>
      <c r="AY113">
        <v>2</v>
      </c>
      <c r="AZ113">
        <v>3</v>
      </c>
      <c r="BA113">
        <v>1</v>
      </c>
      <c r="BB113">
        <v>23</v>
      </c>
      <c r="BC113">
        <v>38</v>
      </c>
      <c r="BD113" t="s">
        <v>614</v>
      </c>
      <c r="BE113">
        <v>5</v>
      </c>
      <c r="BF113">
        <v>99</v>
      </c>
      <c r="BJ113">
        <v>14</v>
      </c>
      <c r="BK113">
        <v>20</v>
      </c>
      <c r="BL113">
        <v>45</v>
      </c>
      <c r="BM113">
        <v>11</v>
      </c>
      <c r="BN113">
        <v>24</v>
      </c>
      <c r="CU113">
        <v>538475.31430873997</v>
      </c>
      <c r="CV113">
        <v>4876830.3755156202</v>
      </c>
      <c r="CW113">
        <v>44.043625730000002</v>
      </c>
      <c r="CX113">
        <v>-92.519751170000006</v>
      </c>
      <c r="CY113" s="319">
        <v>44499.798611111109</v>
      </c>
      <c r="CZ113" t="s">
        <v>615</v>
      </c>
      <c r="DA113" t="s">
        <v>664</v>
      </c>
      <c r="DB113" t="s">
        <v>665</v>
      </c>
      <c r="DC113" t="s">
        <v>666</v>
      </c>
      <c r="DD113" s="82" t="s">
        <v>811</v>
      </c>
    </row>
    <row r="114" spans="1:108" ht="16.5" customHeight="1" x14ac:dyDescent="0.25">
      <c r="A114">
        <v>90</v>
      </c>
      <c r="B114">
        <v>501012</v>
      </c>
      <c r="C114">
        <v>4</v>
      </c>
      <c r="D114">
        <v>22</v>
      </c>
      <c r="E114">
        <v>4.6059999999999999</v>
      </c>
      <c r="F114">
        <v>55</v>
      </c>
      <c r="G114" t="s">
        <v>643</v>
      </c>
      <c r="I114">
        <v>6</v>
      </c>
      <c r="J114">
        <v>21</v>
      </c>
      <c r="L114">
        <v>17045603</v>
      </c>
      <c r="M114">
        <v>172560150</v>
      </c>
      <c r="N114">
        <v>9</v>
      </c>
      <c r="O114">
        <v>13</v>
      </c>
      <c r="P114">
        <v>2017</v>
      </c>
      <c r="Q114" t="s">
        <v>645</v>
      </c>
      <c r="R114">
        <v>21</v>
      </c>
      <c r="S114" t="s">
        <v>611</v>
      </c>
      <c r="T114">
        <v>5</v>
      </c>
      <c r="U114">
        <v>0</v>
      </c>
      <c r="V114">
        <v>2</v>
      </c>
      <c r="W114">
        <v>5</v>
      </c>
      <c r="X114">
        <v>10</v>
      </c>
      <c r="Y114">
        <v>3</v>
      </c>
      <c r="Z114">
        <v>4</v>
      </c>
      <c r="AA114">
        <v>1</v>
      </c>
      <c r="AC114">
        <v>1</v>
      </c>
      <c r="AD114">
        <v>98</v>
      </c>
      <c r="AE114" t="s">
        <v>696</v>
      </c>
      <c r="AF114" t="s">
        <v>626</v>
      </c>
      <c r="AG114" t="s">
        <v>715</v>
      </c>
      <c r="AH114">
        <v>9</v>
      </c>
      <c r="AI114">
        <v>2</v>
      </c>
      <c r="AJ114">
        <v>5</v>
      </c>
      <c r="AK114">
        <v>2</v>
      </c>
      <c r="AL114">
        <v>24</v>
      </c>
      <c r="AM114">
        <v>19</v>
      </c>
      <c r="AN114" t="s">
        <v>614</v>
      </c>
      <c r="AO114">
        <v>5</v>
      </c>
      <c r="AP114">
        <v>2</v>
      </c>
      <c r="AT114">
        <v>15</v>
      </c>
      <c r="AU114">
        <v>20</v>
      </c>
      <c r="AV114">
        <v>45</v>
      </c>
      <c r="AW114">
        <v>11</v>
      </c>
      <c r="AX114">
        <v>21</v>
      </c>
      <c r="AY114">
        <v>2</v>
      </c>
      <c r="AZ114">
        <v>2</v>
      </c>
      <c r="BA114">
        <v>1</v>
      </c>
      <c r="BB114">
        <v>21</v>
      </c>
      <c r="BC114">
        <v>29</v>
      </c>
      <c r="BD114" t="s">
        <v>620</v>
      </c>
      <c r="BE114">
        <v>5</v>
      </c>
      <c r="BF114">
        <v>1</v>
      </c>
      <c r="BJ114">
        <v>15</v>
      </c>
      <c r="BK114">
        <v>20</v>
      </c>
      <c r="BL114">
        <v>45</v>
      </c>
      <c r="BM114">
        <v>11</v>
      </c>
      <c r="BN114">
        <v>21</v>
      </c>
      <c r="CU114">
        <v>538475.11490000004</v>
      </c>
      <c r="CV114">
        <v>4876831.5711000003</v>
      </c>
      <c r="CW114">
        <v>44.043644409999999</v>
      </c>
      <c r="CX114">
        <v>-92.519760989999995</v>
      </c>
      <c r="CY114" s="319">
        <v>42991.883333333331</v>
      </c>
      <c r="CZ114" t="s">
        <v>615</v>
      </c>
      <c r="DA114" t="s">
        <v>664</v>
      </c>
      <c r="DB114" t="s">
        <v>665</v>
      </c>
      <c r="DC114" t="s">
        <v>666</v>
      </c>
      <c r="DD114" s="82" t="s">
        <v>812</v>
      </c>
    </row>
    <row r="115" spans="1:108" ht="16.5" customHeight="1" x14ac:dyDescent="0.25">
      <c r="A115">
        <v>90</v>
      </c>
      <c r="B115">
        <v>447049</v>
      </c>
      <c r="C115">
        <v>4</v>
      </c>
      <c r="D115">
        <v>22</v>
      </c>
      <c r="E115">
        <v>4.6079999999999997</v>
      </c>
      <c r="F115">
        <v>55</v>
      </c>
      <c r="G115" t="s">
        <v>643</v>
      </c>
      <c r="I115">
        <v>6</v>
      </c>
      <c r="J115">
        <v>21</v>
      </c>
      <c r="L115">
        <v>17018822</v>
      </c>
      <c r="M115">
        <v>171080242</v>
      </c>
      <c r="N115">
        <v>4</v>
      </c>
      <c r="O115">
        <v>18</v>
      </c>
      <c r="P115">
        <v>2017</v>
      </c>
      <c r="Q115" t="s">
        <v>625</v>
      </c>
      <c r="R115">
        <v>14</v>
      </c>
      <c r="T115">
        <v>5</v>
      </c>
      <c r="U115">
        <v>0</v>
      </c>
      <c r="V115">
        <v>2</v>
      </c>
      <c r="W115">
        <v>5</v>
      </c>
      <c r="X115">
        <v>10</v>
      </c>
      <c r="Y115">
        <v>3</v>
      </c>
      <c r="Z115">
        <v>1</v>
      </c>
      <c r="AA115">
        <v>1</v>
      </c>
      <c r="AC115">
        <v>1</v>
      </c>
      <c r="AD115">
        <v>98</v>
      </c>
      <c r="AE115" t="s">
        <v>696</v>
      </c>
      <c r="AG115" t="s">
        <v>713</v>
      </c>
      <c r="AH115">
        <v>10</v>
      </c>
      <c r="AI115">
        <v>2</v>
      </c>
      <c r="AJ115">
        <v>2</v>
      </c>
      <c r="AK115">
        <v>1</v>
      </c>
      <c r="AL115">
        <v>21</v>
      </c>
      <c r="AM115">
        <v>63</v>
      </c>
      <c r="AN115" t="s">
        <v>620</v>
      </c>
      <c r="AO115">
        <v>5</v>
      </c>
      <c r="AP115">
        <v>1</v>
      </c>
      <c r="AT115">
        <v>15</v>
      </c>
      <c r="AU115">
        <v>20</v>
      </c>
      <c r="AV115">
        <v>55</v>
      </c>
      <c r="AW115">
        <v>11</v>
      </c>
      <c r="AX115">
        <v>21</v>
      </c>
      <c r="AY115">
        <v>2</v>
      </c>
      <c r="AZ115">
        <v>5</v>
      </c>
      <c r="BA115">
        <v>3</v>
      </c>
      <c r="BB115">
        <v>21</v>
      </c>
      <c r="BC115">
        <v>32</v>
      </c>
      <c r="BD115" t="s">
        <v>614</v>
      </c>
      <c r="BE115">
        <v>5</v>
      </c>
      <c r="BF115">
        <v>63</v>
      </c>
      <c r="BJ115">
        <v>15</v>
      </c>
      <c r="BK115">
        <v>20</v>
      </c>
      <c r="BL115">
        <v>40</v>
      </c>
      <c r="BM115">
        <v>11</v>
      </c>
      <c r="BN115">
        <v>21</v>
      </c>
      <c r="CU115">
        <v>538451.49410000001</v>
      </c>
      <c r="CV115">
        <v>4876815.2444000002</v>
      </c>
      <c r="CW115">
        <v>44.043498659999997</v>
      </c>
      <c r="CX115">
        <v>-92.520056999999994</v>
      </c>
      <c r="CY115" s="319">
        <v>42843.615277777775</v>
      </c>
      <c r="CZ115" t="s">
        <v>615</v>
      </c>
      <c r="DA115" t="s">
        <v>664</v>
      </c>
      <c r="DB115" t="s">
        <v>665</v>
      </c>
      <c r="DC115" t="s">
        <v>666</v>
      </c>
      <c r="DD115" s="82" t="s">
        <v>813</v>
      </c>
    </row>
    <row r="116" spans="1:108" ht="16.5" customHeight="1" x14ac:dyDescent="0.25">
      <c r="A116">
        <v>90</v>
      </c>
      <c r="B116">
        <v>681420</v>
      </c>
      <c r="C116">
        <v>4</v>
      </c>
      <c r="D116">
        <v>22</v>
      </c>
      <c r="E116">
        <v>4.609</v>
      </c>
      <c r="F116">
        <v>55</v>
      </c>
      <c r="G116" t="s">
        <v>643</v>
      </c>
      <c r="I116">
        <v>6</v>
      </c>
      <c r="J116">
        <v>21</v>
      </c>
      <c r="L116">
        <v>19004802</v>
      </c>
      <c r="M116">
        <v>190310026</v>
      </c>
      <c r="N116">
        <v>1</v>
      </c>
      <c r="O116">
        <v>31</v>
      </c>
      <c r="P116">
        <v>2019</v>
      </c>
      <c r="Q116" t="s">
        <v>619</v>
      </c>
      <c r="R116">
        <v>7</v>
      </c>
      <c r="S116" t="s">
        <v>639</v>
      </c>
      <c r="T116">
        <v>5</v>
      </c>
      <c r="U116">
        <v>0</v>
      </c>
      <c r="V116">
        <v>2</v>
      </c>
      <c r="W116">
        <v>10</v>
      </c>
      <c r="X116">
        <v>10</v>
      </c>
      <c r="Y116">
        <v>3</v>
      </c>
      <c r="Z116">
        <v>1</v>
      </c>
      <c r="AA116">
        <v>1</v>
      </c>
      <c r="AC116">
        <v>1</v>
      </c>
      <c r="AD116">
        <v>98</v>
      </c>
      <c r="AE116" t="s">
        <v>696</v>
      </c>
      <c r="AG116" t="s">
        <v>715</v>
      </c>
      <c r="AH116">
        <v>5</v>
      </c>
      <c r="AI116">
        <v>2</v>
      </c>
      <c r="AJ116">
        <v>2</v>
      </c>
      <c r="AK116">
        <v>4</v>
      </c>
      <c r="AL116">
        <v>24</v>
      </c>
      <c r="AM116">
        <v>26</v>
      </c>
      <c r="AN116" t="s">
        <v>620</v>
      </c>
      <c r="AO116">
        <v>5</v>
      </c>
      <c r="AP116">
        <v>1</v>
      </c>
      <c r="AT116">
        <v>15</v>
      </c>
      <c r="AU116">
        <v>20</v>
      </c>
      <c r="AV116">
        <v>30</v>
      </c>
      <c r="AW116">
        <v>11</v>
      </c>
      <c r="AX116">
        <v>21</v>
      </c>
      <c r="AY116">
        <v>2</v>
      </c>
      <c r="AZ116">
        <v>49</v>
      </c>
      <c r="BA116">
        <v>4</v>
      </c>
      <c r="BB116">
        <v>24</v>
      </c>
      <c r="BC116">
        <v>54</v>
      </c>
      <c r="BD116" t="s">
        <v>614</v>
      </c>
      <c r="BE116">
        <v>5</v>
      </c>
      <c r="BF116">
        <v>68</v>
      </c>
      <c r="BJ116">
        <v>15</v>
      </c>
      <c r="BK116">
        <v>20</v>
      </c>
      <c r="BL116">
        <v>30</v>
      </c>
      <c r="BM116">
        <v>11</v>
      </c>
      <c r="BN116">
        <v>21</v>
      </c>
      <c r="CU116">
        <v>538474.05850000004</v>
      </c>
      <c r="CV116">
        <v>4876836.3846000005</v>
      </c>
      <c r="CW116">
        <v>44.043687800000001</v>
      </c>
      <c r="CX116">
        <v>-92.519773830000005</v>
      </c>
      <c r="CY116" s="319">
        <v>43496.311111111114</v>
      </c>
      <c r="CZ116" t="s">
        <v>615</v>
      </c>
      <c r="DA116" t="s">
        <v>664</v>
      </c>
      <c r="DB116" t="s">
        <v>665</v>
      </c>
      <c r="DC116" t="s">
        <v>666</v>
      </c>
      <c r="DD116" t="s">
        <v>814</v>
      </c>
    </row>
    <row r="117" spans="1:108" ht="16.5" customHeight="1" x14ac:dyDescent="0.25">
      <c r="A117">
        <v>90</v>
      </c>
      <c r="B117">
        <v>650296</v>
      </c>
      <c r="C117">
        <v>4</v>
      </c>
      <c r="D117">
        <v>22</v>
      </c>
      <c r="E117">
        <v>4.617</v>
      </c>
      <c r="F117">
        <v>55</v>
      </c>
      <c r="G117" t="s">
        <v>643</v>
      </c>
      <c r="I117">
        <v>6</v>
      </c>
      <c r="J117">
        <v>21</v>
      </c>
      <c r="L117">
        <v>18049354</v>
      </c>
      <c r="M117">
        <v>182810087</v>
      </c>
      <c r="N117">
        <v>10</v>
      </c>
      <c r="O117">
        <v>8</v>
      </c>
      <c r="P117">
        <v>2018</v>
      </c>
      <c r="Q117" t="s">
        <v>610</v>
      </c>
      <c r="R117">
        <v>11</v>
      </c>
      <c r="S117" t="s">
        <v>673</v>
      </c>
      <c r="T117">
        <v>5</v>
      </c>
      <c r="U117">
        <v>0</v>
      </c>
      <c r="V117">
        <v>2</v>
      </c>
      <c r="W117">
        <v>12</v>
      </c>
      <c r="X117">
        <v>10</v>
      </c>
      <c r="Y117">
        <v>3</v>
      </c>
      <c r="Z117">
        <v>1</v>
      </c>
      <c r="AA117">
        <v>3</v>
      </c>
      <c r="AC117">
        <v>2</v>
      </c>
      <c r="AD117">
        <v>98</v>
      </c>
      <c r="AE117" t="s">
        <v>696</v>
      </c>
      <c r="AF117" t="s">
        <v>626</v>
      </c>
      <c r="AG117" t="s">
        <v>713</v>
      </c>
      <c r="AH117">
        <v>7</v>
      </c>
      <c r="AI117">
        <v>2</v>
      </c>
      <c r="AJ117">
        <v>3</v>
      </c>
      <c r="AK117">
        <v>2</v>
      </c>
      <c r="AL117">
        <v>34</v>
      </c>
      <c r="AM117">
        <v>24</v>
      </c>
      <c r="AN117" t="s">
        <v>614</v>
      </c>
      <c r="AO117">
        <v>5</v>
      </c>
      <c r="AP117">
        <v>90</v>
      </c>
      <c r="AT117">
        <v>14</v>
      </c>
      <c r="AU117">
        <v>20</v>
      </c>
      <c r="AV117">
        <v>55</v>
      </c>
      <c r="AW117">
        <v>11</v>
      </c>
      <c r="AX117">
        <v>21</v>
      </c>
      <c r="AY117">
        <v>2</v>
      </c>
      <c r="AZ117">
        <v>2</v>
      </c>
      <c r="BA117">
        <v>2</v>
      </c>
      <c r="BB117">
        <v>34</v>
      </c>
      <c r="BC117">
        <v>37</v>
      </c>
      <c r="BD117" t="s">
        <v>620</v>
      </c>
      <c r="BE117">
        <v>5</v>
      </c>
      <c r="BF117">
        <v>1</v>
      </c>
      <c r="BJ117">
        <v>14</v>
      </c>
      <c r="BK117">
        <v>20</v>
      </c>
      <c r="BL117">
        <v>55</v>
      </c>
      <c r="BM117">
        <v>11</v>
      </c>
      <c r="BN117">
        <v>21</v>
      </c>
      <c r="CU117">
        <v>538448.17209999997</v>
      </c>
      <c r="CV117">
        <v>4876828.9998000003</v>
      </c>
      <c r="CW117">
        <v>44.043622679999999</v>
      </c>
      <c r="CX117">
        <v>-92.520097469999996</v>
      </c>
      <c r="CY117" s="319">
        <v>43381.489583333336</v>
      </c>
      <c r="CZ117" t="s">
        <v>615</v>
      </c>
      <c r="DA117" t="s">
        <v>664</v>
      </c>
      <c r="DB117" t="s">
        <v>665</v>
      </c>
      <c r="DC117" t="s">
        <v>666</v>
      </c>
      <c r="DD117" t="s">
        <v>815</v>
      </c>
    </row>
    <row r="118" spans="1:108" ht="16.5" customHeight="1" x14ac:dyDescent="0.25">
      <c r="A118">
        <v>90</v>
      </c>
      <c r="B118">
        <v>599565</v>
      </c>
      <c r="C118">
        <v>4</v>
      </c>
      <c r="D118">
        <v>22</v>
      </c>
      <c r="E118">
        <v>4.6189999999999998</v>
      </c>
      <c r="F118">
        <v>55</v>
      </c>
      <c r="G118" t="s">
        <v>643</v>
      </c>
      <c r="I118">
        <v>6</v>
      </c>
      <c r="J118">
        <v>21</v>
      </c>
      <c r="L118">
        <v>18023242</v>
      </c>
      <c r="M118">
        <v>181440217</v>
      </c>
      <c r="N118">
        <v>5</v>
      </c>
      <c r="O118">
        <v>24</v>
      </c>
      <c r="P118">
        <v>2018</v>
      </c>
      <c r="Q118" t="s">
        <v>619</v>
      </c>
      <c r="R118">
        <v>20</v>
      </c>
      <c r="S118">
        <v>98</v>
      </c>
      <c r="T118">
        <v>5</v>
      </c>
      <c r="U118">
        <v>0</v>
      </c>
      <c r="V118">
        <v>2</v>
      </c>
      <c r="W118">
        <v>10</v>
      </c>
      <c r="X118">
        <v>10</v>
      </c>
      <c r="Y118">
        <v>3</v>
      </c>
      <c r="Z118">
        <v>4</v>
      </c>
      <c r="AA118">
        <v>1</v>
      </c>
      <c r="AC118">
        <v>1</v>
      </c>
      <c r="AD118">
        <v>98</v>
      </c>
      <c r="AE118" t="s">
        <v>696</v>
      </c>
      <c r="AF118" t="s">
        <v>626</v>
      </c>
      <c r="AG118" t="s">
        <v>715</v>
      </c>
      <c r="AH118">
        <v>5</v>
      </c>
      <c r="AI118">
        <v>2</v>
      </c>
      <c r="AJ118">
        <v>2</v>
      </c>
      <c r="AK118">
        <v>1</v>
      </c>
      <c r="AL118">
        <v>24</v>
      </c>
      <c r="AM118">
        <v>20</v>
      </c>
      <c r="AN118" t="s">
        <v>614</v>
      </c>
      <c r="AO118">
        <v>5</v>
      </c>
      <c r="AP118">
        <v>1</v>
      </c>
      <c r="AT118">
        <v>14</v>
      </c>
      <c r="AU118">
        <v>20</v>
      </c>
      <c r="AV118">
        <v>55</v>
      </c>
      <c r="AW118">
        <v>11</v>
      </c>
      <c r="AX118">
        <v>21</v>
      </c>
      <c r="AY118">
        <v>2</v>
      </c>
      <c r="AZ118">
        <v>5</v>
      </c>
      <c r="BA118">
        <v>1</v>
      </c>
      <c r="BB118">
        <v>24</v>
      </c>
      <c r="BC118">
        <v>52</v>
      </c>
      <c r="BD118" t="s">
        <v>614</v>
      </c>
      <c r="BE118">
        <v>5</v>
      </c>
      <c r="BF118">
        <v>68</v>
      </c>
      <c r="BJ118">
        <v>14</v>
      </c>
      <c r="BK118">
        <v>20</v>
      </c>
      <c r="BL118">
        <v>55</v>
      </c>
      <c r="BM118">
        <v>11</v>
      </c>
      <c r="BN118">
        <v>21</v>
      </c>
      <c r="CU118">
        <v>538470.82070000004</v>
      </c>
      <c r="CV118">
        <v>4876851.1381000001</v>
      </c>
      <c r="CW118">
        <v>44.043820799999999</v>
      </c>
      <c r="CX118">
        <v>-92.519813170000006</v>
      </c>
      <c r="CY118" s="319">
        <v>43244.874305555553</v>
      </c>
      <c r="CZ118" t="s">
        <v>615</v>
      </c>
      <c r="DA118" t="s">
        <v>664</v>
      </c>
      <c r="DB118" t="s">
        <v>665</v>
      </c>
      <c r="DC118" t="s">
        <v>666</v>
      </c>
      <c r="DD118" s="82" t="s">
        <v>816</v>
      </c>
    </row>
    <row r="119" spans="1:108" ht="16.5" customHeight="1" x14ac:dyDescent="0.25">
      <c r="A119">
        <v>90</v>
      </c>
      <c r="B119">
        <v>428481</v>
      </c>
      <c r="C119">
        <v>4</v>
      </c>
      <c r="D119">
        <v>22</v>
      </c>
      <c r="E119">
        <v>4.62</v>
      </c>
      <c r="F119">
        <v>55</v>
      </c>
      <c r="G119" t="s">
        <v>643</v>
      </c>
      <c r="I119">
        <v>6</v>
      </c>
      <c r="J119">
        <v>21</v>
      </c>
      <c r="L119">
        <v>17012138</v>
      </c>
      <c r="M119">
        <v>170710105</v>
      </c>
      <c r="N119">
        <v>3</v>
      </c>
      <c r="O119">
        <v>12</v>
      </c>
      <c r="P119">
        <v>2017</v>
      </c>
      <c r="Q119" t="s">
        <v>652</v>
      </c>
      <c r="R119">
        <v>15</v>
      </c>
      <c r="T119">
        <v>5</v>
      </c>
      <c r="U119">
        <v>0</v>
      </c>
      <c r="V119">
        <v>3</v>
      </c>
      <c r="W119">
        <v>12</v>
      </c>
      <c r="X119">
        <v>10</v>
      </c>
      <c r="Y119">
        <v>3</v>
      </c>
      <c r="Z119">
        <v>1</v>
      </c>
      <c r="AA119">
        <v>4</v>
      </c>
      <c r="AB119">
        <v>7</v>
      </c>
      <c r="AC119">
        <v>3</v>
      </c>
      <c r="AD119">
        <v>98</v>
      </c>
      <c r="AE119" t="s">
        <v>696</v>
      </c>
      <c r="AG119" t="s">
        <v>713</v>
      </c>
      <c r="AH119">
        <v>7</v>
      </c>
      <c r="AI119">
        <v>2</v>
      </c>
      <c r="AJ119">
        <v>2</v>
      </c>
      <c r="AK119">
        <v>2</v>
      </c>
      <c r="AL119">
        <v>26</v>
      </c>
      <c r="AM119">
        <v>17</v>
      </c>
      <c r="AN119" t="s">
        <v>614</v>
      </c>
      <c r="AO119">
        <v>5</v>
      </c>
      <c r="AP119">
        <v>1</v>
      </c>
      <c r="AT119">
        <v>14</v>
      </c>
      <c r="AU119">
        <v>20</v>
      </c>
      <c r="AV119">
        <v>55</v>
      </c>
      <c r="AW119">
        <v>11</v>
      </c>
      <c r="AX119">
        <v>24</v>
      </c>
      <c r="AY119">
        <v>2</v>
      </c>
      <c r="AZ119">
        <v>3</v>
      </c>
      <c r="BA119">
        <v>2</v>
      </c>
      <c r="BB119">
        <v>34</v>
      </c>
      <c r="BC119">
        <v>54</v>
      </c>
      <c r="BD119" t="s">
        <v>614</v>
      </c>
      <c r="BE119">
        <v>5</v>
      </c>
      <c r="BF119">
        <v>1</v>
      </c>
      <c r="BJ119">
        <v>14</v>
      </c>
      <c r="BK119">
        <v>20</v>
      </c>
      <c r="BL119">
        <v>55</v>
      </c>
      <c r="BM119">
        <v>11</v>
      </c>
      <c r="BN119">
        <v>24</v>
      </c>
      <c r="BO119">
        <v>2</v>
      </c>
      <c r="BP119">
        <v>3</v>
      </c>
      <c r="BQ119">
        <v>2</v>
      </c>
      <c r="BR119">
        <v>34</v>
      </c>
      <c r="BS119">
        <v>44</v>
      </c>
      <c r="BT119" t="s">
        <v>614</v>
      </c>
      <c r="BU119">
        <v>5</v>
      </c>
      <c r="BV119">
        <v>1</v>
      </c>
      <c r="BZ119">
        <v>14</v>
      </c>
      <c r="CA119">
        <v>20</v>
      </c>
      <c r="CB119">
        <v>55</v>
      </c>
      <c r="CC119">
        <v>11</v>
      </c>
      <c r="CD119">
        <v>24</v>
      </c>
      <c r="CU119">
        <v>538447.28650000005</v>
      </c>
      <c r="CV119">
        <v>4876832.8808000004</v>
      </c>
      <c r="CW119">
        <v>44.043657660000001</v>
      </c>
      <c r="CX119">
        <v>-92.520108239999999</v>
      </c>
      <c r="CY119" s="319">
        <v>42806.659722222219</v>
      </c>
      <c r="CZ119" t="s">
        <v>615</v>
      </c>
      <c r="DA119" t="s">
        <v>664</v>
      </c>
      <c r="DB119" t="s">
        <v>665</v>
      </c>
      <c r="DC119" t="s">
        <v>666</v>
      </c>
      <c r="DD119" s="82" t="s">
        <v>817</v>
      </c>
    </row>
    <row r="120" spans="1:108" ht="16.5" customHeight="1" x14ac:dyDescent="0.25">
      <c r="A120">
        <v>90</v>
      </c>
      <c r="B120">
        <v>424160</v>
      </c>
      <c r="C120">
        <v>4</v>
      </c>
      <c r="D120">
        <v>22</v>
      </c>
      <c r="E120">
        <v>4.625</v>
      </c>
      <c r="F120">
        <v>55</v>
      </c>
      <c r="G120" t="s">
        <v>643</v>
      </c>
      <c r="I120">
        <v>6</v>
      </c>
      <c r="J120">
        <v>21</v>
      </c>
      <c r="L120">
        <v>17008493</v>
      </c>
      <c r="M120">
        <v>170510053</v>
      </c>
      <c r="N120">
        <v>2</v>
      </c>
      <c r="O120">
        <v>20</v>
      </c>
      <c r="P120">
        <v>2017</v>
      </c>
      <c r="Q120" t="s">
        <v>610</v>
      </c>
      <c r="R120">
        <v>14</v>
      </c>
      <c r="S120" t="s">
        <v>673</v>
      </c>
      <c r="T120">
        <v>5</v>
      </c>
      <c r="U120">
        <v>0</v>
      </c>
      <c r="V120">
        <v>2</v>
      </c>
      <c r="W120">
        <v>12</v>
      </c>
      <c r="X120">
        <v>10</v>
      </c>
      <c r="Y120">
        <v>3</v>
      </c>
      <c r="Z120">
        <v>1</v>
      </c>
      <c r="AA120">
        <v>3</v>
      </c>
      <c r="AC120">
        <v>2</v>
      </c>
      <c r="AD120">
        <v>98</v>
      </c>
      <c r="AE120" t="s">
        <v>696</v>
      </c>
      <c r="AG120" t="s">
        <v>713</v>
      </c>
      <c r="AH120">
        <v>7</v>
      </c>
      <c r="AI120">
        <v>2</v>
      </c>
      <c r="AJ120">
        <v>2</v>
      </c>
      <c r="AK120">
        <v>2</v>
      </c>
      <c r="AL120">
        <v>34</v>
      </c>
      <c r="AM120">
        <v>37</v>
      </c>
      <c r="AN120" t="s">
        <v>620</v>
      </c>
      <c r="AO120">
        <v>5</v>
      </c>
      <c r="AP120">
        <v>1</v>
      </c>
      <c r="AT120">
        <v>15</v>
      </c>
      <c r="AU120">
        <v>20</v>
      </c>
      <c r="AV120">
        <v>55</v>
      </c>
      <c r="AW120">
        <v>11</v>
      </c>
      <c r="AX120">
        <v>21</v>
      </c>
      <c r="AY120">
        <v>2</v>
      </c>
      <c r="AZ120">
        <v>2</v>
      </c>
      <c r="BA120">
        <v>2</v>
      </c>
      <c r="BB120">
        <v>21</v>
      </c>
      <c r="BC120">
        <v>19</v>
      </c>
      <c r="BD120" t="s">
        <v>620</v>
      </c>
      <c r="BE120">
        <v>5</v>
      </c>
      <c r="BF120">
        <v>1</v>
      </c>
      <c r="BJ120">
        <v>15</v>
      </c>
      <c r="BK120">
        <v>20</v>
      </c>
      <c r="BL120">
        <v>55</v>
      </c>
      <c r="BM120">
        <v>11</v>
      </c>
      <c r="BN120">
        <v>21</v>
      </c>
      <c r="CU120">
        <v>538445.34660000005</v>
      </c>
      <c r="CV120">
        <v>4876841.3821999999</v>
      </c>
      <c r="CW120">
        <v>44.043734299999997</v>
      </c>
      <c r="CX120">
        <v>-92.520131829999997</v>
      </c>
      <c r="CY120" s="319">
        <v>42786.593055555553</v>
      </c>
      <c r="CZ120" t="s">
        <v>615</v>
      </c>
      <c r="DA120" t="s">
        <v>664</v>
      </c>
      <c r="DB120" t="s">
        <v>665</v>
      </c>
      <c r="DC120" t="s">
        <v>666</v>
      </c>
      <c r="DD120" s="82" t="s">
        <v>818</v>
      </c>
    </row>
    <row r="121" spans="1:108" ht="16.5" customHeight="1" x14ac:dyDescent="0.25">
      <c r="A121">
        <v>90</v>
      </c>
      <c r="B121">
        <v>980220</v>
      </c>
      <c r="C121">
        <v>4</v>
      </c>
      <c r="D121">
        <v>22</v>
      </c>
      <c r="E121">
        <v>4.625</v>
      </c>
      <c r="F121">
        <v>55</v>
      </c>
      <c r="G121" t="s">
        <v>643</v>
      </c>
      <c r="I121">
        <v>6</v>
      </c>
      <c r="J121">
        <v>21</v>
      </c>
      <c r="L121" t="s">
        <v>819</v>
      </c>
      <c r="M121">
        <v>213470102</v>
      </c>
      <c r="N121">
        <v>12</v>
      </c>
      <c r="O121">
        <v>13</v>
      </c>
      <c r="P121">
        <v>2021</v>
      </c>
      <c r="Q121" t="s">
        <v>610</v>
      </c>
      <c r="R121">
        <v>14</v>
      </c>
      <c r="T121">
        <v>5</v>
      </c>
      <c r="U121">
        <v>0</v>
      </c>
      <c r="V121">
        <v>2</v>
      </c>
      <c r="W121">
        <v>12</v>
      </c>
      <c r="X121">
        <v>10</v>
      </c>
      <c r="Y121">
        <v>3</v>
      </c>
      <c r="Z121">
        <v>1</v>
      </c>
      <c r="AA121">
        <v>1</v>
      </c>
      <c r="AC121">
        <v>1</v>
      </c>
      <c r="AD121">
        <v>98</v>
      </c>
      <c r="AE121" t="s">
        <v>696</v>
      </c>
      <c r="AF121" t="s">
        <v>820</v>
      </c>
      <c r="AG121" t="s">
        <v>713</v>
      </c>
      <c r="AH121">
        <v>7</v>
      </c>
      <c r="AI121">
        <v>2</v>
      </c>
      <c r="AJ121">
        <v>2</v>
      </c>
      <c r="AK121">
        <v>2</v>
      </c>
      <c r="AL121">
        <v>21</v>
      </c>
      <c r="AM121">
        <v>22</v>
      </c>
      <c r="AN121" t="s">
        <v>620</v>
      </c>
      <c r="AO121">
        <v>5</v>
      </c>
      <c r="AP121">
        <v>1</v>
      </c>
      <c r="AT121">
        <v>15</v>
      </c>
      <c r="AU121">
        <v>20</v>
      </c>
      <c r="AV121">
        <v>55</v>
      </c>
      <c r="AW121">
        <v>11</v>
      </c>
      <c r="AX121">
        <v>21</v>
      </c>
      <c r="AY121">
        <v>2</v>
      </c>
      <c r="AZ121">
        <v>2</v>
      </c>
      <c r="BA121">
        <v>2</v>
      </c>
      <c r="BB121">
        <v>34</v>
      </c>
      <c r="BC121">
        <v>36</v>
      </c>
      <c r="BD121" t="s">
        <v>614</v>
      </c>
      <c r="BE121">
        <v>5</v>
      </c>
      <c r="BF121">
        <v>1</v>
      </c>
      <c r="BJ121">
        <v>15</v>
      </c>
      <c r="BK121">
        <v>20</v>
      </c>
      <c r="BL121">
        <v>55</v>
      </c>
      <c r="BM121">
        <v>11</v>
      </c>
      <c r="BN121">
        <v>21</v>
      </c>
      <c r="CU121">
        <v>538445.34160000004</v>
      </c>
      <c r="CV121">
        <v>4876841.4038000004</v>
      </c>
      <c r="CW121">
        <v>44.043734499999999</v>
      </c>
      <c r="CX121">
        <v>-92.520131890000002</v>
      </c>
      <c r="CY121" s="319">
        <v>44543.617361111108</v>
      </c>
      <c r="CZ121" t="s">
        <v>615</v>
      </c>
      <c r="DA121" t="s">
        <v>664</v>
      </c>
      <c r="DB121" t="s">
        <v>665</v>
      </c>
      <c r="DC121" t="s">
        <v>666</v>
      </c>
      <c r="DD121" t="s">
        <v>821</v>
      </c>
    </row>
    <row r="122" spans="1:108" ht="16.5" customHeight="1" x14ac:dyDescent="0.25">
      <c r="A122">
        <v>90</v>
      </c>
      <c r="B122">
        <v>654604</v>
      </c>
      <c r="C122">
        <v>4</v>
      </c>
      <c r="D122">
        <v>22</v>
      </c>
      <c r="E122">
        <v>4.6269999999999998</v>
      </c>
      <c r="F122">
        <v>55</v>
      </c>
      <c r="G122" t="s">
        <v>643</v>
      </c>
      <c r="I122">
        <v>6</v>
      </c>
      <c r="J122">
        <v>21</v>
      </c>
      <c r="L122" t="s">
        <v>822</v>
      </c>
      <c r="M122">
        <v>182990020</v>
      </c>
      <c r="N122">
        <v>10</v>
      </c>
      <c r="O122">
        <v>26</v>
      </c>
      <c r="P122">
        <v>2018</v>
      </c>
      <c r="Q122" t="s">
        <v>638</v>
      </c>
      <c r="R122">
        <v>8</v>
      </c>
      <c r="S122" t="s">
        <v>673</v>
      </c>
      <c r="T122">
        <v>5</v>
      </c>
      <c r="U122">
        <v>0</v>
      </c>
      <c r="V122">
        <v>2</v>
      </c>
      <c r="W122">
        <v>12</v>
      </c>
      <c r="X122">
        <v>10</v>
      </c>
      <c r="Y122">
        <v>2</v>
      </c>
      <c r="Z122">
        <v>1</v>
      </c>
      <c r="AA122">
        <v>1</v>
      </c>
      <c r="AC122">
        <v>1</v>
      </c>
      <c r="AD122">
        <v>98</v>
      </c>
      <c r="AE122" t="s">
        <v>696</v>
      </c>
      <c r="AG122" t="s">
        <v>713</v>
      </c>
      <c r="AH122">
        <v>7</v>
      </c>
      <c r="AI122">
        <v>2</v>
      </c>
      <c r="AJ122">
        <v>2</v>
      </c>
      <c r="AK122">
        <v>2</v>
      </c>
      <c r="AL122">
        <v>21</v>
      </c>
      <c r="AM122">
        <v>47</v>
      </c>
      <c r="AN122" t="s">
        <v>620</v>
      </c>
      <c r="AO122">
        <v>5</v>
      </c>
      <c r="AP122">
        <v>70</v>
      </c>
      <c r="AQ122">
        <v>90</v>
      </c>
      <c r="AT122">
        <v>15</v>
      </c>
      <c r="AU122">
        <v>9</v>
      </c>
      <c r="AW122">
        <v>11</v>
      </c>
      <c r="AX122">
        <v>21</v>
      </c>
      <c r="AY122">
        <v>2</v>
      </c>
      <c r="AZ122">
        <v>3</v>
      </c>
      <c r="BA122">
        <v>2</v>
      </c>
      <c r="BB122">
        <v>34</v>
      </c>
      <c r="BC122">
        <v>52</v>
      </c>
      <c r="BD122" t="s">
        <v>614</v>
      </c>
      <c r="BE122">
        <v>5</v>
      </c>
      <c r="BF122">
        <v>1</v>
      </c>
      <c r="BJ122">
        <v>15</v>
      </c>
      <c r="BK122">
        <v>9</v>
      </c>
      <c r="BL122">
        <v>55</v>
      </c>
      <c r="BM122">
        <v>11</v>
      </c>
      <c r="BN122">
        <v>21</v>
      </c>
      <c r="CU122">
        <v>538444.67209999997</v>
      </c>
      <c r="CV122">
        <v>4876844.3380000005</v>
      </c>
      <c r="CW122">
        <v>44.043760949999999</v>
      </c>
      <c r="CX122">
        <v>-92.520140040000001</v>
      </c>
      <c r="CY122" s="319">
        <v>43399.352083333331</v>
      </c>
      <c r="CZ122" t="s">
        <v>615</v>
      </c>
      <c r="DA122" t="s">
        <v>664</v>
      </c>
      <c r="DB122" t="s">
        <v>665</v>
      </c>
      <c r="DC122" t="s">
        <v>666</v>
      </c>
      <c r="DD122" s="82" t="s">
        <v>823</v>
      </c>
    </row>
    <row r="123" spans="1:108" ht="16.5" customHeight="1" x14ac:dyDescent="0.25">
      <c r="A123">
        <v>90</v>
      </c>
      <c r="B123">
        <v>629500</v>
      </c>
      <c r="C123">
        <v>4</v>
      </c>
      <c r="D123">
        <v>22</v>
      </c>
      <c r="E123">
        <v>4.633</v>
      </c>
      <c r="F123">
        <v>55</v>
      </c>
      <c r="G123" t="s">
        <v>643</v>
      </c>
      <c r="I123">
        <v>6</v>
      </c>
      <c r="J123">
        <v>21</v>
      </c>
      <c r="L123">
        <v>18040067</v>
      </c>
      <c r="M123">
        <v>182340089</v>
      </c>
      <c r="N123">
        <v>8</v>
      </c>
      <c r="O123">
        <v>22</v>
      </c>
      <c r="P123">
        <v>2018</v>
      </c>
      <c r="Q123" t="s">
        <v>645</v>
      </c>
      <c r="R123">
        <v>15</v>
      </c>
      <c r="S123" t="s">
        <v>673</v>
      </c>
      <c r="T123">
        <v>4</v>
      </c>
      <c r="U123">
        <v>0</v>
      </c>
      <c r="V123">
        <v>2</v>
      </c>
      <c r="W123">
        <v>12</v>
      </c>
      <c r="X123">
        <v>10</v>
      </c>
      <c r="Y123">
        <v>3</v>
      </c>
      <c r="Z123">
        <v>1</v>
      </c>
      <c r="AA123">
        <v>1</v>
      </c>
      <c r="AC123">
        <v>1</v>
      </c>
      <c r="AD123">
        <v>98</v>
      </c>
      <c r="AE123" t="s">
        <v>696</v>
      </c>
      <c r="AG123" t="s">
        <v>713</v>
      </c>
      <c r="AH123">
        <v>7</v>
      </c>
      <c r="AI123">
        <v>2</v>
      </c>
      <c r="AJ123">
        <v>4</v>
      </c>
      <c r="AK123">
        <v>2</v>
      </c>
      <c r="AL123">
        <v>21</v>
      </c>
      <c r="AM123">
        <v>67</v>
      </c>
      <c r="AN123" t="s">
        <v>620</v>
      </c>
      <c r="AO123">
        <v>5</v>
      </c>
      <c r="AP123">
        <v>70</v>
      </c>
      <c r="AT123">
        <v>15</v>
      </c>
      <c r="AU123">
        <v>20</v>
      </c>
      <c r="AW123">
        <v>11</v>
      </c>
      <c r="AX123">
        <v>24</v>
      </c>
      <c r="AY123">
        <v>2</v>
      </c>
      <c r="AZ123">
        <v>2</v>
      </c>
      <c r="BA123">
        <v>2</v>
      </c>
      <c r="BB123">
        <v>26</v>
      </c>
      <c r="BC123">
        <v>20</v>
      </c>
      <c r="BD123" t="s">
        <v>614</v>
      </c>
      <c r="BE123">
        <v>5</v>
      </c>
      <c r="BF123">
        <v>1</v>
      </c>
      <c r="BJ123">
        <v>15</v>
      </c>
      <c r="BK123">
        <v>20</v>
      </c>
      <c r="BL123">
        <v>45</v>
      </c>
      <c r="BM123">
        <v>11</v>
      </c>
      <c r="BN123">
        <v>24</v>
      </c>
      <c r="CU123">
        <v>538442.35789999994</v>
      </c>
      <c r="CV123">
        <v>4876854.4793999996</v>
      </c>
      <c r="CW123">
        <v>44.043852379999997</v>
      </c>
      <c r="CX123">
        <v>-92.520168190000007</v>
      </c>
      <c r="CY123" s="319">
        <v>43334.659722222219</v>
      </c>
      <c r="CZ123" t="s">
        <v>615</v>
      </c>
      <c r="DA123" t="s">
        <v>664</v>
      </c>
      <c r="DB123" t="s">
        <v>665</v>
      </c>
      <c r="DC123" t="s">
        <v>666</v>
      </c>
      <c r="DD123" s="82" t="s">
        <v>824</v>
      </c>
    </row>
    <row r="124" spans="1:108" ht="16.5" customHeight="1" x14ac:dyDescent="0.25">
      <c r="A124">
        <v>90</v>
      </c>
      <c r="B124">
        <v>627722</v>
      </c>
      <c r="C124">
        <v>4</v>
      </c>
      <c r="D124">
        <v>22</v>
      </c>
      <c r="E124">
        <v>4.6390000000000002</v>
      </c>
      <c r="F124">
        <v>55</v>
      </c>
      <c r="G124" t="s">
        <v>643</v>
      </c>
      <c r="I124">
        <v>6</v>
      </c>
      <c r="J124">
        <v>21</v>
      </c>
      <c r="L124">
        <v>18038425</v>
      </c>
      <c r="M124">
        <v>182260131</v>
      </c>
      <c r="N124">
        <v>8</v>
      </c>
      <c r="O124">
        <v>14</v>
      </c>
      <c r="P124">
        <v>2018</v>
      </c>
      <c r="Q124" t="s">
        <v>625</v>
      </c>
      <c r="R124">
        <v>18</v>
      </c>
      <c r="S124" t="s">
        <v>673</v>
      </c>
      <c r="T124">
        <v>5</v>
      </c>
      <c r="U124">
        <v>0</v>
      </c>
      <c r="V124">
        <v>2</v>
      </c>
      <c r="W124">
        <v>12</v>
      </c>
      <c r="X124">
        <v>10</v>
      </c>
      <c r="Y124">
        <v>3</v>
      </c>
      <c r="Z124">
        <v>1</v>
      </c>
      <c r="AA124">
        <v>2</v>
      </c>
      <c r="AC124">
        <v>1</v>
      </c>
      <c r="AD124">
        <v>98</v>
      </c>
      <c r="AE124" t="s">
        <v>696</v>
      </c>
      <c r="AG124" t="s">
        <v>713</v>
      </c>
      <c r="AH124">
        <v>7</v>
      </c>
      <c r="AI124">
        <v>2</v>
      </c>
      <c r="AJ124">
        <v>2</v>
      </c>
      <c r="AK124">
        <v>2</v>
      </c>
      <c r="AL124">
        <v>21</v>
      </c>
      <c r="AM124">
        <v>30</v>
      </c>
      <c r="AN124" t="s">
        <v>614</v>
      </c>
      <c r="AO124">
        <v>5</v>
      </c>
      <c r="AP124">
        <v>70</v>
      </c>
      <c r="AT124">
        <v>15</v>
      </c>
      <c r="AU124">
        <v>20</v>
      </c>
      <c r="AV124">
        <v>45</v>
      </c>
      <c r="AW124">
        <v>11</v>
      </c>
      <c r="AX124">
        <v>24</v>
      </c>
      <c r="AY124">
        <v>2</v>
      </c>
      <c r="AZ124">
        <v>2</v>
      </c>
      <c r="BA124">
        <v>2</v>
      </c>
      <c r="BB124">
        <v>34</v>
      </c>
      <c r="BC124">
        <v>46</v>
      </c>
      <c r="BD124" t="s">
        <v>614</v>
      </c>
      <c r="BE124">
        <v>5</v>
      </c>
      <c r="BF124">
        <v>1</v>
      </c>
      <c r="BJ124">
        <v>15</v>
      </c>
      <c r="BK124">
        <v>20</v>
      </c>
      <c r="BL124">
        <v>45</v>
      </c>
      <c r="BM124">
        <v>11</v>
      </c>
      <c r="BN124">
        <v>24</v>
      </c>
      <c r="CU124">
        <v>538440.40500000003</v>
      </c>
      <c r="CV124">
        <v>4876863.0374999996</v>
      </c>
      <c r="CW124">
        <v>44.04392953</v>
      </c>
      <c r="CX124">
        <v>-92.520191940000004</v>
      </c>
      <c r="CY124" s="319">
        <v>43326.753472222219</v>
      </c>
      <c r="CZ124" t="s">
        <v>615</v>
      </c>
      <c r="DA124" t="s">
        <v>664</v>
      </c>
      <c r="DB124" t="s">
        <v>665</v>
      </c>
      <c r="DC124" t="s">
        <v>666</v>
      </c>
      <c r="DD124" s="82" t="s">
        <v>825</v>
      </c>
    </row>
    <row r="125" spans="1:108" ht="16.5" customHeight="1" x14ac:dyDescent="0.25">
      <c r="A125">
        <v>90</v>
      </c>
      <c r="B125">
        <v>802632</v>
      </c>
      <c r="C125">
        <v>4</v>
      </c>
      <c r="D125">
        <v>22</v>
      </c>
      <c r="E125">
        <v>4.6470000000000002</v>
      </c>
      <c r="F125">
        <v>55</v>
      </c>
      <c r="G125" t="s">
        <v>643</v>
      </c>
      <c r="I125">
        <v>6</v>
      </c>
      <c r="J125">
        <v>21</v>
      </c>
      <c r="L125">
        <v>200011291</v>
      </c>
      <c r="M125">
        <v>200660035</v>
      </c>
      <c r="N125">
        <v>3</v>
      </c>
      <c r="O125">
        <v>6</v>
      </c>
      <c r="P125">
        <v>2020</v>
      </c>
      <c r="Q125" t="s">
        <v>638</v>
      </c>
      <c r="R125">
        <v>11</v>
      </c>
      <c r="S125" t="s">
        <v>673</v>
      </c>
      <c r="T125">
        <v>5</v>
      </c>
      <c r="U125">
        <v>0</v>
      </c>
      <c r="V125">
        <v>2</v>
      </c>
      <c r="W125">
        <v>12</v>
      </c>
      <c r="X125">
        <v>10</v>
      </c>
      <c r="Y125">
        <v>3</v>
      </c>
      <c r="Z125">
        <v>1</v>
      </c>
      <c r="AA125">
        <v>1</v>
      </c>
      <c r="AC125">
        <v>1</v>
      </c>
      <c r="AD125">
        <v>98</v>
      </c>
      <c r="AE125" t="s">
        <v>696</v>
      </c>
      <c r="AG125" t="s">
        <v>713</v>
      </c>
      <c r="AH125">
        <v>7</v>
      </c>
      <c r="AI125">
        <v>2</v>
      </c>
      <c r="AJ125">
        <v>2</v>
      </c>
      <c r="AK125">
        <v>2</v>
      </c>
      <c r="AL125">
        <v>21</v>
      </c>
      <c r="AM125">
        <v>24</v>
      </c>
      <c r="AN125" t="s">
        <v>620</v>
      </c>
      <c r="AO125">
        <v>5</v>
      </c>
      <c r="AP125">
        <v>70</v>
      </c>
      <c r="AT125">
        <v>15</v>
      </c>
      <c r="AU125">
        <v>20</v>
      </c>
      <c r="AV125">
        <v>45</v>
      </c>
      <c r="AW125">
        <v>12</v>
      </c>
      <c r="AX125">
        <v>21</v>
      </c>
      <c r="AY125">
        <v>2</v>
      </c>
      <c r="AZ125">
        <v>2</v>
      </c>
      <c r="BA125">
        <v>2</v>
      </c>
      <c r="BB125">
        <v>21</v>
      </c>
      <c r="BC125">
        <v>38</v>
      </c>
      <c r="BD125" t="s">
        <v>614</v>
      </c>
      <c r="BE125">
        <v>5</v>
      </c>
      <c r="BF125">
        <v>1</v>
      </c>
      <c r="BJ125">
        <v>15</v>
      </c>
      <c r="BK125">
        <v>20</v>
      </c>
      <c r="BL125">
        <v>45</v>
      </c>
      <c r="BM125">
        <v>12</v>
      </c>
      <c r="BN125">
        <v>21</v>
      </c>
      <c r="CU125">
        <v>538437.5845</v>
      </c>
      <c r="CV125">
        <v>4876875.3978000004</v>
      </c>
      <c r="CW125">
        <v>44.044040959999997</v>
      </c>
      <c r="CX125">
        <v>-92.52022624</v>
      </c>
      <c r="CY125" s="319">
        <v>43896.479166666664</v>
      </c>
      <c r="CZ125" t="s">
        <v>615</v>
      </c>
      <c r="DA125" t="s">
        <v>664</v>
      </c>
      <c r="DB125" t="s">
        <v>665</v>
      </c>
      <c r="DC125" t="s">
        <v>666</v>
      </c>
      <c r="DD125" s="82" t="s">
        <v>826</v>
      </c>
    </row>
    <row r="126" spans="1:108" ht="16.5" customHeight="1" x14ac:dyDescent="0.25">
      <c r="A126">
        <v>90</v>
      </c>
      <c r="B126">
        <v>689070</v>
      </c>
      <c r="C126">
        <v>5</v>
      </c>
      <c r="D126">
        <v>122</v>
      </c>
      <c r="E126">
        <v>0.93600000000000005</v>
      </c>
      <c r="F126">
        <v>55</v>
      </c>
      <c r="G126" t="s">
        <v>643</v>
      </c>
      <c r="I126">
        <v>6</v>
      </c>
      <c r="J126">
        <v>21</v>
      </c>
      <c r="L126">
        <v>19008242</v>
      </c>
      <c r="M126">
        <v>190480017</v>
      </c>
      <c r="N126">
        <v>2</v>
      </c>
      <c r="O126">
        <v>17</v>
      </c>
      <c r="P126">
        <v>2019</v>
      </c>
      <c r="Q126" t="s">
        <v>652</v>
      </c>
      <c r="R126">
        <v>10</v>
      </c>
      <c r="S126" t="s">
        <v>673</v>
      </c>
      <c r="T126">
        <v>5</v>
      </c>
      <c r="U126">
        <v>0</v>
      </c>
      <c r="V126">
        <v>2</v>
      </c>
      <c r="W126">
        <v>5</v>
      </c>
      <c r="X126">
        <v>10</v>
      </c>
      <c r="Y126">
        <v>3</v>
      </c>
      <c r="Z126">
        <v>1</v>
      </c>
      <c r="AA126">
        <v>4</v>
      </c>
      <c r="AC126">
        <v>5</v>
      </c>
      <c r="AD126">
        <v>98</v>
      </c>
      <c r="AE126" t="s">
        <v>626</v>
      </c>
      <c r="AG126" t="s">
        <v>827</v>
      </c>
      <c r="AH126">
        <v>10</v>
      </c>
      <c r="AI126">
        <v>2</v>
      </c>
      <c r="AJ126">
        <v>4</v>
      </c>
      <c r="AK126">
        <v>4</v>
      </c>
      <c r="AL126">
        <v>23</v>
      </c>
      <c r="AM126">
        <v>59</v>
      </c>
      <c r="AN126" t="s">
        <v>620</v>
      </c>
      <c r="AO126">
        <v>5</v>
      </c>
      <c r="AP126">
        <v>1</v>
      </c>
      <c r="AT126">
        <v>15</v>
      </c>
      <c r="AU126">
        <v>20</v>
      </c>
      <c r="AV126">
        <v>45</v>
      </c>
      <c r="AW126">
        <v>11</v>
      </c>
      <c r="AX126">
        <v>21</v>
      </c>
      <c r="AY126">
        <v>2</v>
      </c>
      <c r="AZ126">
        <v>2</v>
      </c>
      <c r="BA126">
        <v>4</v>
      </c>
      <c r="BB126">
        <v>34</v>
      </c>
      <c r="BC126">
        <v>61</v>
      </c>
      <c r="BD126" t="s">
        <v>614</v>
      </c>
      <c r="BE126">
        <v>5</v>
      </c>
      <c r="BF126">
        <v>1</v>
      </c>
      <c r="BJ126">
        <v>15</v>
      </c>
      <c r="BK126">
        <v>20</v>
      </c>
      <c r="BL126">
        <v>45</v>
      </c>
      <c r="BM126">
        <v>11</v>
      </c>
      <c r="BN126">
        <v>21</v>
      </c>
      <c r="CU126">
        <v>538442.61529999995</v>
      </c>
      <c r="CV126">
        <v>4876833.4577000001</v>
      </c>
      <c r="CW126">
        <v>44.043663100000003</v>
      </c>
      <c r="CX126">
        <v>-92.520166500000002</v>
      </c>
      <c r="CY126" s="319">
        <v>43513.434027777781</v>
      </c>
      <c r="CZ126" t="s">
        <v>615</v>
      </c>
      <c r="DA126" t="s">
        <v>664</v>
      </c>
      <c r="DB126" t="s">
        <v>665</v>
      </c>
      <c r="DC126" t="s">
        <v>666</v>
      </c>
      <c r="DD126" s="82" t="s">
        <v>828</v>
      </c>
    </row>
    <row r="127" spans="1:108" ht="16.5" customHeight="1" x14ac:dyDescent="0.25">
      <c r="A127">
        <v>90</v>
      </c>
      <c r="B127">
        <v>744710</v>
      </c>
      <c r="C127">
        <v>5</v>
      </c>
      <c r="D127">
        <v>122</v>
      </c>
      <c r="E127">
        <v>0.94799999999999995</v>
      </c>
      <c r="F127">
        <v>55</v>
      </c>
      <c r="G127" t="s">
        <v>643</v>
      </c>
      <c r="I127">
        <v>6</v>
      </c>
      <c r="J127">
        <v>21</v>
      </c>
      <c r="L127">
        <v>19043661</v>
      </c>
      <c r="M127">
        <v>192460097</v>
      </c>
      <c r="N127">
        <v>9</v>
      </c>
      <c r="O127">
        <v>3</v>
      </c>
      <c r="P127">
        <v>2019</v>
      </c>
      <c r="Q127" t="s">
        <v>625</v>
      </c>
      <c r="R127">
        <v>14</v>
      </c>
      <c r="T127">
        <v>5</v>
      </c>
      <c r="U127">
        <v>0</v>
      </c>
      <c r="V127">
        <v>2</v>
      </c>
      <c r="W127">
        <v>10</v>
      </c>
      <c r="X127">
        <v>10</v>
      </c>
      <c r="Y127">
        <v>3</v>
      </c>
      <c r="Z127">
        <v>1</v>
      </c>
      <c r="AA127">
        <v>1</v>
      </c>
      <c r="AC127">
        <v>1</v>
      </c>
      <c r="AD127">
        <v>98</v>
      </c>
      <c r="AE127" t="s">
        <v>626</v>
      </c>
      <c r="AG127" t="s">
        <v>829</v>
      </c>
      <c r="AH127">
        <v>5</v>
      </c>
      <c r="AI127">
        <v>2</v>
      </c>
      <c r="AJ127">
        <v>49</v>
      </c>
      <c r="AK127">
        <v>2</v>
      </c>
      <c r="AL127">
        <v>24</v>
      </c>
      <c r="AM127">
        <v>42</v>
      </c>
      <c r="AN127" t="s">
        <v>614</v>
      </c>
      <c r="AO127">
        <v>5</v>
      </c>
      <c r="AP127">
        <v>10</v>
      </c>
      <c r="AT127">
        <v>13</v>
      </c>
      <c r="AU127">
        <v>20</v>
      </c>
      <c r="AV127">
        <v>40</v>
      </c>
      <c r="AW127">
        <v>11</v>
      </c>
      <c r="AX127">
        <v>21</v>
      </c>
      <c r="AY127">
        <v>2</v>
      </c>
      <c r="AZ127">
        <v>2</v>
      </c>
      <c r="BA127">
        <v>2</v>
      </c>
      <c r="BB127">
        <v>24</v>
      </c>
      <c r="BC127">
        <v>53</v>
      </c>
      <c r="BD127" t="s">
        <v>620</v>
      </c>
      <c r="BE127">
        <v>5</v>
      </c>
      <c r="BF127">
        <v>1</v>
      </c>
      <c r="BJ127">
        <v>13</v>
      </c>
      <c r="BK127">
        <v>20</v>
      </c>
      <c r="BL127">
        <v>40</v>
      </c>
      <c r="BM127">
        <v>11</v>
      </c>
      <c r="BN127">
        <v>21</v>
      </c>
      <c r="CU127">
        <v>538463.73419999995</v>
      </c>
      <c r="CV127">
        <v>4876824.6859999998</v>
      </c>
      <c r="CW127">
        <v>44.04358302</v>
      </c>
      <c r="CX127">
        <v>-92.519903540000001</v>
      </c>
      <c r="CY127" s="319">
        <v>43711.607638888891</v>
      </c>
      <c r="CZ127" t="s">
        <v>615</v>
      </c>
      <c r="DA127" t="s">
        <v>664</v>
      </c>
      <c r="DB127" t="s">
        <v>665</v>
      </c>
      <c r="DC127" t="s">
        <v>666</v>
      </c>
      <c r="DD127" t="s">
        <v>830</v>
      </c>
    </row>
    <row r="128" spans="1:108" ht="16.5" customHeight="1" x14ac:dyDescent="0.25">
      <c r="A128">
        <v>90</v>
      </c>
      <c r="B128">
        <v>816521</v>
      </c>
      <c r="C128">
        <v>5</v>
      </c>
      <c r="D128">
        <v>122</v>
      </c>
      <c r="E128">
        <v>0.95599999999999996</v>
      </c>
      <c r="F128">
        <v>55</v>
      </c>
      <c r="G128" t="s">
        <v>643</v>
      </c>
      <c r="I128">
        <v>6</v>
      </c>
      <c r="J128">
        <v>21</v>
      </c>
      <c r="L128">
        <v>20027694</v>
      </c>
      <c r="M128">
        <v>201780045</v>
      </c>
      <c r="N128">
        <v>6</v>
      </c>
      <c r="O128">
        <v>26</v>
      </c>
      <c r="P128">
        <v>2020</v>
      </c>
      <c r="Q128" t="s">
        <v>638</v>
      </c>
      <c r="R128">
        <v>10</v>
      </c>
      <c r="T128">
        <v>4</v>
      </c>
      <c r="U128">
        <v>0</v>
      </c>
      <c r="V128">
        <v>2</v>
      </c>
      <c r="W128">
        <v>5</v>
      </c>
      <c r="X128">
        <v>10</v>
      </c>
      <c r="Y128">
        <v>3</v>
      </c>
      <c r="Z128">
        <v>1</v>
      </c>
      <c r="AA128">
        <v>3</v>
      </c>
      <c r="AC128">
        <v>2</v>
      </c>
      <c r="AD128">
        <v>98</v>
      </c>
      <c r="AE128" t="s">
        <v>626</v>
      </c>
      <c r="AG128" t="s">
        <v>827</v>
      </c>
      <c r="AH128">
        <v>10</v>
      </c>
      <c r="AI128">
        <v>2</v>
      </c>
      <c r="AJ128">
        <v>2</v>
      </c>
      <c r="AK128">
        <v>4</v>
      </c>
      <c r="AL128">
        <v>21</v>
      </c>
      <c r="AM128">
        <v>67</v>
      </c>
      <c r="AN128" t="s">
        <v>614</v>
      </c>
      <c r="AO128">
        <v>5</v>
      </c>
      <c r="AP128">
        <v>1</v>
      </c>
      <c r="AT128">
        <v>15</v>
      </c>
      <c r="AU128">
        <v>20</v>
      </c>
      <c r="AV128">
        <v>30</v>
      </c>
      <c r="AW128">
        <v>11</v>
      </c>
      <c r="AX128">
        <v>21</v>
      </c>
      <c r="AY128">
        <v>2</v>
      </c>
      <c r="AZ128">
        <v>2</v>
      </c>
      <c r="BA128">
        <v>1</v>
      </c>
      <c r="BB128">
        <v>24</v>
      </c>
      <c r="BC128">
        <v>18</v>
      </c>
      <c r="BD128" t="s">
        <v>614</v>
      </c>
      <c r="BE128">
        <v>5</v>
      </c>
      <c r="BF128">
        <v>63</v>
      </c>
      <c r="BJ128">
        <v>15</v>
      </c>
      <c r="BK128">
        <v>20</v>
      </c>
      <c r="BL128">
        <v>30</v>
      </c>
      <c r="BM128">
        <v>11</v>
      </c>
      <c r="BN128">
        <v>21</v>
      </c>
      <c r="CU128">
        <v>538473.97829999996</v>
      </c>
      <c r="CV128">
        <v>4876835.2198000001</v>
      </c>
      <c r="CW128">
        <v>44.04367732</v>
      </c>
      <c r="CX128">
        <v>-92.519774909999995</v>
      </c>
      <c r="CY128" s="319">
        <v>44008.447222222225</v>
      </c>
      <c r="CZ128" t="s">
        <v>615</v>
      </c>
      <c r="DA128" t="s">
        <v>664</v>
      </c>
      <c r="DB128" t="s">
        <v>665</v>
      </c>
      <c r="DC128" t="s">
        <v>666</v>
      </c>
      <c r="DD128" t="s">
        <v>831</v>
      </c>
    </row>
    <row r="129" spans="1:108" ht="16.5" customHeight="1" x14ac:dyDescent="0.25">
      <c r="A129">
        <v>90</v>
      </c>
      <c r="B129">
        <v>586028</v>
      </c>
      <c r="C129">
        <v>5</v>
      </c>
      <c r="D129">
        <v>122</v>
      </c>
      <c r="E129">
        <v>0.95799999999999996</v>
      </c>
      <c r="F129">
        <v>55</v>
      </c>
      <c r="G129" t="s">
        <v>643</v>
      </c>
      <c r="I129">
        <v>6</v>
      </c>
      <c r="J129">
        <v>21</v>
      </c>
      <c r="L129">
        <v>18013792</v>
      </c>
      <c r="M129">
        <v>180870025</v>
      </c>
      <c r="N129">
        <v>3</v>
      </c>
      <c r="O129">
        <v>28</v>
      </c>
      <c r="P129">
        <v>2018</v>
      </c>
      <c r="Q129" t="s">
        <v>645</v>
      </c>
      <c r="R129">
        <v>6</v>
      </c>
      <c r="S129" t="s">
        <v>646</v>
      </c>
      <c r="T129">
        <v>3</v>
      </c>
      <c r="U129">
        <v>0</v>
      </c>
      <c r="V129">
        <v>2</v>
      </c>
      <c r="W129">
        <v>5</v>
      </c>
      <c r="X129">
        <v>10</v>
      </c>
      <c r="Y129">
        <v>3</v>
      </c>
      <c r="Z129">
        <v>2</v>
      </c>
      <c r="AA129">
        <v>2</v>
      </c>
      <c r="AC129">
        <v>1</v>
      </c>
      <c r="AD129">
        <v>98</v>
      </c>
      <c r="AE129" t="s">
        <v>626</v>
      </c>
      <c r="AG129" t="s">
        <v>829</v>
      </c>
      <c r="AH129">
        <v>10</v>
      </c>
      <c r="AI129">
        <v>2</v>
      </c>
      <c r="AJ129">
        <v>2</v>
      </c>
      <c r="AK129">
        <v>3</v>
      </c>
      <c r="AL129">
        <v>21</v>
      </c>
      <c r="AM129">
        <v>26</v>
      </c>
      <c r="AN129" t="s">
        <v>620</v>
      </c>
      <c r="AO129">
        <v>5</v>
      </c>
      <c r="AP129">
        <v>1</v>
      </c>
      <c r="AT129">
        <v>15</v>
      </c>
      <c r="AU129">
        <v>20</v>
      </c>
      <c r="AV129">
        <v>45</v>
      </c>
      <c r="AW129">
        <v>11</v>
      </c>
      <c r="AX129">
        <v>21</v>
      </c>
      <c r="AY129">
        <v>2</v>
      </c>
      <c r="AZ129">
        <v>4</v>
      </c>
      <c r="BA129">
        <v>1</v>
      </c>
      <c r="BB129">
        <v>21</v>
      </c>
      <c r="BC129">
        <v>52</v>
      </c>
      <c r="BD129" t="s">
        <v>620</v>
      </c>
      <c r="BE129">
        <v>5</v>
      </c>
      <c r="BF129">
        <v>63</v>
      </c>
      <c r="BJ129">
        <v>15</v>
      </c>
      <c r="BK129">
        <v>20</v>
      </c>
      <c r="BL129">
        <v>55</v>
      </c>
      <c r="BM129">
        <v>11</v>
      </c>
      <c r="BN129">
        <v>21</v>
      </c>
      <c r="CU129">
        <v>538480.64199999999</v>
      </c>
      <c r="CV129">
        <v>4876825.2603000002</v>
      </c>
      <c r="CW129">
        <v>44.043587309999999</v>
      </c>
      <c r="CX129">
        <v>-92.519692460000002</v>
      </c>
      <c r="CY129" s="319">
        <v>43187.269444444442</v>
      </c>
      <c r="CZ129" t="s">
        <v>615</v>
      </c>
      <c r="DA129" t="s">
        <v>664</v>
      </c>
      <c r="DB129" t="s">
        <v>665</v>
      </c>
      <c r="DC129" t="s">
        <v>666</v>
      </c>
      <c r="DD129" t="s">
        <v>832</v>
      </c>
    </row>
    <row r="130" spans="1:108" ht="16.5" customHeight="1" x14ac:dyDescent="0.25">
      <c r="A130">
        <v>90</v>
      </c>
      <c r="B130">
        <v>695063</v>
      </c>
      <c r="C130">
        <v>5</v>
      </c>
      <c r="D130">
        <v>122</v>
      </c>
      <c r="E130">
        <v>0.95899999999999996</v>
      </c>
      <c r="F130">
        <v>55</v>
      </c>
      <c r="G130" t="s">
        <v>643</v>
      </c>
      <c r="I130">
        <v>6</v>
      </c>
      <c r="J130">
        <v>21</v>
      </c>
      <c r="L130">
        <v>190011391</v>
      </c>
      <c r="M130">
        <v>190640127</v>
      </c>
      <c r="N130">
        <v>3</v>
      </c>
      <c r="O130">
        <v>5</v>
      </c>
      <c r="P130">
        <v>2019</v>
      </c>
      <c r="Q130" t="s">
        <v>625</v>
      </c>
      <c r="R130">
        <v>11</v>
      </c>
      <c r="S130" t="s">
        <v>639</v>
      </c>
      <c r="T130">
        <v>5</v>
      </c>
      <c r="U130">
        <v>0</v>
      </c>
      <c r="V130">
        <v>3</v>
      </c>
      <c r="W130">
        <v>12</v>
      </c>
      <c r="X130">
        <v>10</v>
      </c>
      <c r="Y130">
        <v>3</v>
      </c>
      <c r="Z130">
        <v>1</v>
      </c>
      <c r="AA130">
        <v>1</v>
      </c>
      <c r="AC130">
        <v>5</v>
      </c>
      <c r="AD130">
        <v>98</v>
      </c>
      <c r="AE130" t="s">
        <v>626</v>
      </c>
      <c r="AG130" t="s">
        <v>827</v>
      </c>
      <c r="AH130">
        <v>7</v>
      </c>
      <c r="AI130">
        <v>2</v>
      </c>
      <c r="AJ130">
        <v>2</v>
      </c>
      <c r="AK130">
        <v>4</v>
      </c>
      <c r="AL130">
        <v>34</v>
      </c>
      <c r="AM130">
        <v>39</v>
      </c>
      <c r="AN130" t="s">
        <v>620</v>
      </c>
      <c r="AO130">
        <v>5</v>
      </c>
      <c r="AP130">
        <v>1</v>
      </c>
      <c r="AT130">
        <v>13</v>
      </c>
      <c r="AU130">
        <v>20</v>
      </c>
      <c r="AV130">
        <v>45</v>
      </c>
      <c r="AW130">
        <v>11</v>
      </c>
      <c r="AX130">
        <v>21</v>
      </c>
      <c r="AY130">
        <v>2</v>
      </c>
      <c r="AZ130">
        <v>4</v>
      </c>
      <c r="BA130">
        <v>4</v>
      </c>
      <c r="BB130">
        <v>26</v>
      </c>
      <c r="BC130">
        <v>60</v>
      </c>
      <c r="BD130" t="s">
        <v>614</v>
      </c>
      <c r="BE130">
        <v>5</v>
      </c>
      <c r="BF130">
        <v>1</v>
      </c>
      <c r="BJ130">
        <v>13</v>
      </c>
      <c r="BK130">
        <v>20</v>
      </c>
      <c r="BL130">
        <v>45</v>
      </c>
      <c r="BM130">
        <v>11</v>
      </c>
      <c r="BN130">
        <v>21</v>
      </c>
      <c r="BO130">
        <v>2</v>
      </c>
      <c r="BP130">
        <v>2</v>
      </c>
      <c r="BQ130">
        <v>4</v>
      </c>
      <c r="BR130">
        <v>26</v>
      </c>
      <c r="BS130">
        <v>41</v>
      </c>
      <c r="BT130" t="s">
        <v>620</v>
      </c>
      <c r="BU130">
        <v>5</v>
      </c>
      <c r="BV130">
        <v>1</v>
      </c>
      <c r="BZ130">
        <v>13</v>
      </c>
      <c r="CA130">
        <v>20</v>
      </c>
      <c r="CB130">
        <v>45</v>
      </c>
      <c r="CC130">
        <v>11</v>
      </c>
      <c r="CD130">
        <v>21</v>
      </c>
      <c r="CU130">
        <v>538479.52720000001</v>
      </c>
      <c r="CV130">
        <v>4876835.3365000002</v>
      </c>
      <c r="CW130">
        <v>44.043678079999999</v>
      </c>
      <c r="CX130">
        <v>-92.519705639999998</v>
      </c>
      <c r="CY130" s="319">
        <v>43529.496527777781</v>
      </c>
      <c r="CZ130" t="s">
        <v>615</v>
      </c>
      <c r="DA130" t="s">
        <v>664</v>
      </c>
      <c r="DB130" t="s">
        <v>665</v>
      </c>
      <c r="DC130" t="s">
        <v>666</v>
      </c>
      <c r="DD130" s="82" t="s">
        <v>833</v>
      </c>
    </row>
    <row r="131" spans="1:108" ht="16.5" customHeight="1" x14ac:dyDescent="0.25">
      <c r="A131">
        <v>90</v>
      </c>
      <c r="B131">
        <v>837928</v>
      </c>
      <c r="C131">
        <v>5</v>
      </c>
      <c r="D131">
        <v>122</v>
      </c>
      <c r="E131">
        <v>0.95899999999999996</v>
      </c>
      <c r="F131">
        <v>55</v>
      </c>
      <c r="G131">
        <v>2396395</v>
      </c>
      <c r="J131">
        <v>21</v>
      </c>
      <c r="L131">
        <v>20038170</v>
      </c>
      <c r="M131">
        <v>202420132</v>
      </c>
      <c r="N131">
        <v>8</v>
      </c>
      <c r="O131">
        <v>29</v>
      </c>
      <c r="P131">
        <v>2020</v>
      </c>
      <c r="Q131" t="s">
        <v>655</v>
      </c>
      <c r="R131">
        <v>12</v>
      </c>
      <c r="S131" t="s">
        <v>611</v>
      </c>
      <c r="T131">
        <v>5</v>
      </c>
      <c r="U131">
        <v>0</v>
      </c>
      <c r="V131">
        <v>2</v>
      </c>
      <c r="W131">
        <v>12</v>
      </c>
      <c r="X131">
        <v>10</v>
      </c>
      <c r="Y131">
        <v>3</v>
      </c>
      <c r="Z131">
        <v>1</v>
      </c>
      <c r="AA131">
        <v>1</v>
      </c>
      <c r="AC131">
        <v>1</v>
      </c>
      <c r="AD131">
        <v>98</v>
      </c>
      <c r="AE131" t="s">
        <v>626</v>
      </c>
      <c r="AG131" t="s">
        <v>829</v>
      </c>
      <c r="AH131">
        <v>7</v>
      </c>
      <c r="AI131">
        <v>2</v>
      </c>
      <c r="AJ131">
        <v>2</v>
      </c>
      <c r="AK131">
        <v>1</v>
      </c>
      <c r="AL131">
        <v>21</v>
      </c>
      <c r="AM131">
        <v>18</v>
      </c>
      <c r="AN131" t="s">
        <v>614</v>
      </c>
      <c r="AO131">
        <v>5</v>
      </c>
      <c r="AP131">
        <v>1</v>
      </c>
      <c r="AT131">
        <v>15</v>
      </c>
      <c r="AU131">
        <v>20</v>
      </c>
      <c r="AV131">
        <v>45</v>
      </c>
      <c r="AW131">
        <v>11</v>
      </c>
      <c r="AX131">
        <v>21</v>
      </c>
      <c r="AY131">
        <v>2</v>
      </c>
      <c r="AZ131">
        <v>2</v>
      </c>
      <c r="BA131">
        <v>1</v>
      </c>
      <c r="BB131">
        <v>34</v>
      </c>
      <c r="BC131">
        <v>45</v>
      </c>
      <c r="BD131" t="s">
        <v>620</v>
      </c>
      <c r="BE131">
        <v>5</v>
      </c>
      <c r="BF131">
        <v>1</v>
      </c>
      <c r="BJ131">
        <v>15</v>
      </c>
      <c r="BK131">
        <v>20</v>
      </c>
      <c r="BL131">
        <v>45</v>
      </c>
      <c r="BM131">
        <v>11</v>
      </c>
      <c r="BN131">
        <v>21</v>
      </c>
      <c r="CU131">
        <v>538482.66255063994</v>
      </c>
      <c r="CV131">
        <v>4876823.4307051497</v>
      </c>
      <c r="CW131">
        <v>44.043562819999998</v>
      </c>
      <c r="CX131">
        <v>-92.519659959999998</v>
      </c>
      <c r="CY131" s="319">
        <v>44072.53125</v>
      </c>
      <c r="CZ131" t="s">
        <v>615</v>
      </c>
      <c r="DA131" t="s">
        <v>664</v>
      </c>
      <c r="DB131" t="s">
        <v>665</v>
      </c>
      <c r="DC131" t="s">
        <v>666</v>
      </c>
      <c r="DD131" t="s">
        <v>834</v>
      </c>
    </row>
    <row r="132" spans="1:108" ht="16.5" customHeight="1" x14ac:dyDescent="0.25">
      <c r="A132">
        <v>90</v>
      </c>
      <c r="B132">
        <v>759301</v>
      </c>
      <c r="C132">
        <v>5</v>
      </c>
      <c r="D132">
        <v>122</v>
      </c>
      <c r="E132">
        <v>0.96</v>
      </c>
      <c r="F132">
        <v>55</v>
      </c>
      <c r="G132" t="s">
        <v>643</v>
      </c>
      <c r="I132">
        <v>6</v>
      </c>
      <c r="J132">
        <v>21</v>
      </c>
      <c r="L132" t="s">
        <v>835</v>
      </c>
      <c r="M132">
        <v>193070030</v>
      </c>
      <c r="N132">
        <v>11</v>
      </c>
      <c r="O132">
        <v>3</v>
      </c>
      <c r="P132">
        <v>2019</v>
      </c>
      <c r="Q132" t="s">
        <v>652</v>
      </c>
      <c r="R132">
        <v>11</v>
      </c>
      <c r="S132" t="s">
        <v>646</v>
      </c>
      <c r="T132">
        <v>5</v>
      </c>
      <c r="U132">
        <v>0</v>
      </c>
      <c r="V132">
        <v>2</v>
      </c>
      <c r="W132">
        <v>5</v>
      </c>
      <c r="X132">
        <v>10</v>
      </c>
      <c r="Y132">
        <v>3</v>
      </c>
      <c r="Z132">
        <v>1</v>
      </c>
      <c r="AA132">
        <v>2</v>
      </c>
      <c r="AB132">
        <v>1</v>
      </c>
      <c r="AC132">
        <v>1</v>
      </c>
      <c r="AD132">
        <v>98</v>
      </c>
      <c r="AE132" t="s">
        <v>626</v>
      </c>
      <c r="AG132" t="s">
        <v>827</v>
      </c>
      <c r="AH132">
        <v>90</v>
      </c>
      <c r="AI132">
        <v>2</v>
      </c>
      <c r="AJ132">
        <v>2</v>
      </c>
      <c r="AK132">
        <v>4</v>
      </c>
      <c r="AL132">
        <v>24</v>
      </c>
      <c r="AM132">
        <v>26</v>
      </c>
      <c r="AN132" t="s">
        <v>614</v>
      </c>
      <c r="AO132">
        <v>5</v>
      </c>
      <c r="AP132">
        <v>10</v>
      </c>
      <c r="AT132">
        <v>15</v>
      </c>
      <c r="AU132">
        <v>20</v>
      </c>
      <c r="AV132">
        <v>30</v>
      </c>
      <c r="AW132">
        <v>11</v>
      </c>
      <c r="AX132">
        <v>21</v>
      </c>
      <c r="AY132">
        <v>2</v>
      </c>
      <c r="AZ132">
        <v>4</v>
      </c>
      <c r="BA132">
        <v>4</v>
      </c>
      <c r="BB132">
        <v>24</v>
      </c>
      <c r="BC132">
        <v>56</v>
      </c>
      <c r="BD132" t="s">
        <v>620</v>
      </c>
      <c r="BE132">
        <v>5</v>
      </c>
      <c r="BF132">
        <v>1</v>
      </c>
      <c r="BJ132">
        <v>15</v>
      </c>
      <c r="BK132">
        <v>20</v>
      </c>
      <c r="BL132">
        <v>30</v>
      </c>
      <c r="BM132">
        <v>11</v>
      </c>
      <c r="BN132">
        <v>21</v>
      </c>
      <c r="CU132">
        <v>538481.18870000006</v>
      </c>
      <c r="CV132">
        <v>4876835.3673999999</v>
      </c>
      <c r="CW132">
        <v>44.043678270000001</v>
      </c>
      <c r="CX132">
        <v>-92.519684900000001</v>
      </c>
      <c r="CY132" s="319">
        <v>43772.46875</v>
      </c>
      <c r="CZ132" t="s">
        <v>615</v>
      </c>
      <c r="DA132" t="s">
        <v>664</v>
      </c>
      <c r="DB132" t="s">
        <v>665</v>
      </c>
      <c r="DC132" t="s">
        <v>666</v>
      </c>
      <c r="DD132" t="s">
        <v>836</v>
      </c>
    </row>
    <row r="133" spans="1:108" ht="16.5" customHeight="1" x14ac:dyDescent="0.25">
      <c r="A133">
        <v>90</v>
      </c>
      <c r="B133">
        <v>933560</v>
      </c>
      <c r="C133">
        <v>5</v>
      </c>
      <c r="D133">
        <v>122</v>
      </c>
      <c r="E133">
        <v>0.96199999999999997</v>
      </c>
      <c r="F133">
        <v>55</v>
      </c>
      <c r="G133" t="s">
        <v>643</v>
      </c>
      <c r="I133">
        <v>6</v>
      </c>
      <c r="J133">
        <v>21</v>
      </c>
      <c r="L133" t="s">
        <v>837</v>
      </c>
      <c r="M133">
        <v>212230046</v>
      </c>
      <c r="N133">
        <v>8</v>
      </c>
      <c r="O133">
        <v>11</v>
      </c>
      <c r="P133">
        <v>2021</v>
      </c>
      <c r="Q133" t="s">
        <v>645</v>
      </c>
      <c r="R133">
        <v>12</v>
      </c>
      <c r="S133" t="s">
        <v>646</v>
      </c>
      <c r="T133">
        <v>5</v>
      </c>
      <c r="U133">
        <v>0</v>
      </c>
      <c r="V133">
        <v>2</v>
      </c>
      <c r="W133">
        <v>12</v>
      </c>
      <c r="X133">
        <v>10</v>
      </c>
      <c r="Y133">
        <v>3</v>
      </c>
      <c r="Z133">
        <v>1</v>
      </c>
      <c r="AA133">
        <v>1</v>
      </c>
      <c r="AC133">
        <v>1</v>
      </c>
      <c r="AD133">
        <v>98</v>
      </c>
      <c r="AE133" t="s">
        <v>626</v>
      </c>
      <c r="AG133" t="s">
        <v>829</v>
      </c>
      <c r="AH133">
        <v>7</v>
      </c>
      <c r="AI133">
        <v>2</v>
      </c>
      <c r="AJ133">
        <v>4</v>
      </c>
      <c r="AK133">
        <v>3</v>
      </c>
      <c r="AL133">
        <v>23</v>
      </c>
      <c r="AM133">
        <v>59</v>
      </c>
      <c r="AN133" t="s">
        <v>620</v>
      </c>
      <c r="AO133">
        <v>5</v>
      </c>
      <c r="AP133">
        <v>1</v>
      </c>
      <c r="AT133">
        <v>15</v>
      </c>
      <c r="AU133">
        <v>20</v>
      </c>
      <c r="AV133">
        <v>30</v>
      </c>
      <c r="AW133">
        <v>11</v>
      </c>
      <c r="AX133">
        <v>21</v>
      </c>
      <c r="AY133">
        <v>2</v>
      </c>
      <c r="AZ133">
        <v>5</v>
      </c>
      <c r="BA133">
        <v>3</v>
      </c>
      <c r="BB133">
        <v>23</v>
      </c>
      <c r="BC133">
        <v>34</v>
      </c>
      <c r="BD133" t="s">
        <v>620</v>
      </c>
      <c r="BE133">
        <v>5</v>
      </c>
      <c r="BF133">
        <v>1</v>
      </c>
      <c r="BJ133">
        <v>15</v>
      </c>
      <c r="BK133">
        <v>20</v>
      </c>
      <c r="BL133">
        <v>30</v>
      </c>
      <c r="BM133">
        <v>11</v>
      </c>
      <c r="BN133">
        <v>21</v>
      </c>
      <c r="CU133">
        <v>538487.02610000002</v>
      </c>
      <c r="CV133">
        <v>4876825.4770999998</v>
      </c>
      <c r="CW133">
        <v>44.043588919999998</v>
      </c>
      <c r="CX133">
        <v>-92.519612760000001</v>
      </c>
      <c r="CY133" s="319">
        <v>44419.517361111109</v>
      </c>
      <c r="CZ133" t="s">
        <v>615</v>
      </c>
      <c r="DA133" t="s">
        <v>664</v>
      </c>
      <c r="DB133" t="s">
        <v>665</v>
      </c>
      <c r="DC133" t="s">
        <v>666</v>
      </c>
      <c r="DD133" s="82" t="s">
        <v>838</v>
      </c>
    </row>
    <row r="134" spans="1:108" ht="16.5" customHeight="1" x14ac:dyDescent="0.25">
      <c r="A134">
        <v>90</v>
      </c>
      <c r="B134">
        <v>423233</v>
      </c>
      <c r="C134">
        <v>5</v>
      </c>
      <c r="D134">
        <v>122</v>
      </c>
      <c r="E134">
        <v>0.97</v>
      </c>
      <c r="F134">
        <v>55</v>
      </c>
      <c r="G134" t="s">
        <v>643</v>
      </c>
      <c r="I134">
        <v>6</v>
      </c>
      <c r="J134">
        <v>21</v>
      </c>
      <c r="L134">
        <v>17007511</v>
      </c>
      <c r="M134">
        <v>170460023</v>
      </c>
      <c r="N134">
        <v>2</v>
      </c>
      <c r="O134">
        <v>15</v>
      </c>
      <c r="P134">
        <v>2017</v>
      </c>
      <c r="Q134" t="s">
        <v>645</v>
      </c>
      <c r="R134">
        <v>8</v>
      </c>
      <c r="S134">
        <v>98</v>
      </c>
      <c r="T134">
        <v>5</v>
      </c>
      <c r="U134">
        <v>0</v>
      </c>
      <c r="V134">
        <v>2</v>
      </c>
      <c r="W134">
        <v>10</v>
      </c>
      <c r="X134">
        <v>10</v>
      </c>
      <c r="Y134">
        <v>3</v>
      </c>
      <c r="Z134">
        <v>1</v>
      </c>
      <c r="AA134">
        <v>1</v>
      </c>
      <c r="AC134">
        <v>1</v>
      </c>
      <c r="AD134">
        <v>98</v>
      </c>
      <c r="AE134" t="s">
        <v>626</v>
      </c>
      <c r="AG134" t="s">
        <v>829</v>
      </c>
      <c r="AH134">
        <v>5</v>
      </c>
      <c r="AI134">
        <v>2</v>
      </c>
      <c r="AJ134">
        <v>90</v>
      </c>
      <c r="AK134">
        <v>4</v>
      </c>
      <c r="AL134">
        <v>24</v>
      </c>
      <c r="AM134">
        <v>43</v>
      </c>
      <c r="AN134" t="s">
        <v>614</v>
      </c>
      <c r="AO134">
        <v>5</v>
      </c>
      <c r="AP134">
        <v>10</v>
      </c>
      <c r="AT134">
        <v>15</v>
      </c>
      <c r="AU134">
        <v>20</v>
      </c>
      <c r="AW134">
        <v>11</v>
      </c>
      <c r="AX134">
        <v>21</v>
      </c>
      <c r="AY134">
        <v>2</v>
      </c>
      <c r="AZ134">
        <v>2</v>
      </c>
      <c r="BA134">
        <v>4</v>
      </c>
      <c r="BB134">
        <v>21</v>
      </c>
      <c r="BC134">
        <v>35</v>
      </c>
      <c r="BD134" t="s">
        <v>614</v>
      </c>
      <c r="BE134">
        <v>5</v>
      </c>
      <c r="BF134">
        <v>1</v>
      </c>
      <c r="BJ134">
        <v>15</v>
      </c>
      <c r="BK134">
        <v>20</v>
      </c>
      <c r="BL134">
        <v>40</v>
      </c>
      <c r="BM134">
        <v>11</v>
      </c>
      <c r="BN134">
        <v>21</v>
      </c>
      <c r="CU134">
        <v>538499.30630000005</v>
      </c>
      <c r="CV134">
        <v>4876825.8941000002</v>
      </c>
      <c r="CW134">
        <v>44.043592029999999</v>
      </c>
      <c r="CX134">
        <v>-92.519459459999993</v>
      </c>
      <c r="CY134" s="319">
        <v>42781.368750000001</v>
      </c>
      <c r="CZ134" t="s">
        <v>615</v>
      </c>
      <c r="DA134" t="s">
        <v>664</v>
      </c>
      <c r="DB134" t="s">
        <v>665</v>
      </c>
      <c r="DC134" t="s">
        <v>666</v>
      </c>
      <c r="DD134" t="s">
        <v>839</v>
      </c>
    </row>
    <row r="135" spans="1:108" ht="16.5" customHeight="1" x14ac:dyDescent="0.25">
      <c r="A135">
        <v>90</v>
      </c>
      <c r="B135">
        <v>694789</v>
      </c>
      <c r="C135">
        <v>5</v>
      </c>
      <c r="D135">
        <v>122</v>
      </c>
      <c r="E135">
        <v>0.97399999999999998</v>
      </c>
      <c r="F135">
        <v>55</v>
      </c>
      <c r="G135" t="s">
        <v>643</v>
      </c>
      <c r="I135">
        <v>6</v>
      </c>
      <c r="J135">
        <v>21</v>
      </c>
      <c r="L135">
        <v>19011252</v>
      </c>
      <c r="M135">
        <v>190630235</v>
      </c>
      <c r="N135">
        <v>3</v>
      </c>
      <c r="O135">
        <v>4</v>
      </c>
      <c r="P135">
        <v>2019</v>
      </c>
      <c r="Q135" t="s">
        <v>610</v>
      </c>
      <c r="R135">
        <v>16</v>
      </c>
      <c r="T135">
        <v>5</v>
      </c>
      <c r="U135">
        <v>0</v>
      </c>
      <c r="V135">
        <v>2</v>
      </c>
      <c r="W135">
        <v>12</v>
      </c>
      <c r="X135">
        <v>10</v>
      </c>
      <c r="Y135">
        <v>3</v>
      </c>
      <c r="Z135">
        <v>1</v>
      </c>
      <c r="AA135">
        <v>1</v>
      </c>
      <c r="AC135">
        <v>5</v>
      </c>
      <c r="AD135">
        <v>98</v>
      </c>
      <c r="AE135" t="s">
        <v>626</v>
      </c>
      <c r="AG135" t="s">
        <v>827</v>
      </c>
      <c r="AH135">
        <v>7</v>
      </c>
      <c r="AI135">
        <v>2</v>
      </c>
      <c r="AJ135">
        <v>4</v>
      </c>
      <c r="AK135">
        <v>4</v>
      </c>
      <c r="AL135">
        <v>34</v>
      </c>
      <c r="AM135">
        <v>25</v>
      </c>
      <c r="AN135" t="s">
        <v>620</v>
      </c>
      <c r="AO135">
        <v>5</v>
      </c>
      <c r="AP135">
        <v>1</v>
      </c>
      <c r="AT135">
        <v>15</v>
      </c>
      <c r="AU135">
        <v>20</v>
      </c>
      <c r="AV135">
        <v>30</v>
      </c>
      <c r="AW135">
        <v>11</v>
      </c>
      <c r="AX135">
        <v>21</v>
      </c>
      <c r="AY135">
        <v>2</v>
      </c>
      <c r="AZ135">
        <v>2</v>
      </c>
      <c r="BA135">
        <v>4</v>
      </c>
      <c r="BB135">
        <v>21</v>
      </c>
      <c r="BC135">
        <v>38</v>
      </c>
      <c r="BD135" t="s">
        <v>620</v>
      </c>
      <c r="BE135">
        <v>5</v>
      </c>
      <c r="BF135">
        <v>75</v>
      </c>
      <c r="BJ135">
        <v>15</v>
      </c>
      <c r="BK135">
        <v>20</v>
      </c>
      <c r="BL135">
        <v>30</v>
      </c>
      <c r="BM135">
        <v>11</v>
      </c>
      <c r="BN135">
        <v>21</v>
      </c>
      <c r="CU135">
        <v>538503.50560000003</v>
      </c>
      <c r="CV135">
        <v>4876835.7829999998</v>
      </c>
      <c r="CW135">
        <v>44.04368084</v>
      </c>
      <c r="CX135">
        <v>-92.519406320000002</v>
      </c>
      <c r="CY135" s="319">
        <v>43528.703472222223</v>
      </c>
      <c r="CZ135" t="s">
        <v>615</v>
      </c>
      <c r="DA135" t="s">
        <v>664</v>
      </c>
      <c r="DB135" t="s">
        <v>665</v>
      </c>
      <c r="DC135" t="s">
        <v>666</v>
      </c>
      <c r="DD135" t="s">
        <v>840</v>
      </c>
    </row>
    <row r="136" spans="1:108" ht="16.5" customHeight="1" x14ac:dyDescent="0.25">
      <c r="A136">
        <v>90</v>
      </c>
      <c r="B136">
        <v>629794</v>
      </c>
      <c r="C136">
        <v>5</v>
      </c>
      <c r="D136">
        <v>122</v>
      </c>
      <c r="E136">
        <v>0.97499999999999998</v>
      </c>
      <c r="F136">
        <v>55</v>
      </c>
      <c r="G136" t="s">
        <v>643</v>
      </c>
      <c r="I136">
        <v>6</v>
      </c>
      <c r="J136">
        <v>21</v>
      </c>
      <c r="L136" t="s">
        <v>841</v>
      </c>
      <c r="M136">
        <v>182350148</v>
      </c>
      <c r="N136">
        <v>8</v>
      </c>
      <c r="O136">
        <v>23</v>
      </c>
      <c r="P136">
        <v>2018</v>
      </c>
      <c r="Q136" t="s">
        <v>619</v>
      </c>
      <c r="R136">
        <v>20</v>
      </c>
      <c r="S136" t="s">
        <v>639</v>
      </c>
      <c r="T136">
        <v>5</v>
      </c>
      <c r="U136">
        <v>0</v>
      </c>
      <c r="V136">
        <v>2</v>
      </c>
      <c r="W136">
        <v>12</v>
      </c>
      <c r="X136">
        <v>10</v>
      </c>
      <c r="Y136">
        <v>3</v>
      </c>
      <c r="Z136">
        <v>4</v>
      </c>
      <c r="AA136">
        <v>1</v>
      </c>
      <c r="AC136">
        <v>1</v>
      </c>
      <c r="AD136">
        <v>98</v>
      </c>
      <c r="AE136" t="s">
        <v>626</v>
      </c>
      <c r="AG136" t="s">
        <v>827</v>
      </c>
      <c r="AH136">
        <v>7</v>
      </c>
      <c r="AI136">
        <v>2</v>
      </c>
      <c r="AJ136">
        <v>4</v>
      </c>
      <c r="AK136">
        <v>4</v>
      </c>
      <c r="AL136">
        <v>26</v>
      </c>
      <c r="AM136">
        <v>36</v>
      </c>
      <c r="AN136" t="s">
        <v>620</v>
      </c>
      <c r="AO136">
        <v>5</v>
      </c>
      <c r="AP136">
        <v>90</v>
      </c>
      <c r="AT136">
        <v>13</v>
      </c>
      <c r="AU136">
        <v>20</v>
      </c>
      <c r="AV136">
        <v>45</v>
      </c>
      <c r="AW136">
        <v>11</v>
      </c>
      <c r="AX136">
        <v>21</v>
      </c>
      <c r="AY136">
        <v>2</v>
      </c>
      <c r="AZ136">
        <v>4</v>
      </c>
      <c r="BA136">
        <v>4</v>
      </c>
      <c r="BB136">
        <v>34</v>
      </c>
      <c r="BC136">
        <v>47</v>
      </c>
      <c r="BD136" t="s">
        <v>614</v>
      </c>
      <c r="BE136">
        <v>5</v>
      </c>
      <c r="BF136">
        <v>1</v>
      </c>
      <c r="BJ136">
        <v>13</v>
      </c>
      <c r="BK136">
        <v>20</v>
      </c>
      <c r="BL136">
        <v>45</v>
      </c>
      <c r="BM136">
        <v>11</v>
      </c>
      <c r="BN136">
        <v>21</v>
      </c>
      <c r="CU136">
        <v>538505.8051</v>
      </c>
      <c r="CV136">
        <v>4876835.8257999998</v>
      </c>
      <c r="CW136">
        <v>44.043681110000001</v>
      </c>
      <c r="CX136">
        <v>-92.51937762</v>
      </c>
      <c r="CY136" s="319">
        <v>43335.871527777781</v>
      </c>
      <c r="CZ136" t="s">
        <v>615</v>
      </c>
      <c r="DA136" t="s">
        <v>664</v>
      </c>
      <c r="DB136" t="s">
        <v>665</v>
      </c>
      <c r="DC136" t="s">
        <v>666</v>
      </c>
      <c r="DD136" s="82" t="s">
        <v>842</v>
      </c>
    </row>
    <row r="137" spans="1:108" ht="16.5" customHeight="1" x14ac:dyDescent="0.25">
      <c r="A137">
        <v>90</v>
      </c>
      <c r="B137">
        <v>695046</v>
      </c>
      <c r="C137">
        <v>5</v>
      </c>
      <c r="D137">
        <v>122</v>
      </c>
      <c r="E137">
        <v>0.97699999999999998</v>
      </c>
      <c r="F137">
        <v>55</v>
      </c>
      <c r="G137" t="s">
        <v>643</v>
      </c>
      <c r="I137">
        <v>6</v>
      </c>
      <c r="J137">
        <v>21</v>
      </c>
      <c r="L137">
        <v>190011384</v>
      </c>
      <c r="M137">
        <v>190640118</v>
      </c>
      <c r="N137">
        <v>3</v>
      </c>
      <c r="O137">
        <v>5</v>
      </c>
      <c r="P137">
        <v>2019</v>
      </c>
      <c r="Q137" t="s">
        <v>625</v>
      </c>
      <c r="R137">
        <v>11</v>
      </c>
      <c r="S137" t="s">
        <v>639</v>
      </c>
      <c r="T137">
        <v>5</v>
      </c>
      <c r="U137">
        <v>0</v>
      </c>
      <c r="V137">
        <v>2</v>
      </c>
      <c r="W137">
        <v>10</v>
      </c>
      <c r="X137">
        <v>10</v>
      </c>
      <c r="Y137">
        <v>3</v>
      </c>
      <c r="Z137">
        <v>1</v>
      </c>
      <c r="AA137">
        <v>1</v>
      </c>
      <c r="AC137">
        <v>5</v>
      </c>
      <c r="AD137">
        <v>98</v>
      </c>
      <c r="AE137" t="s">
        <v>626</v>
      </c>
      <c r="AG137" t="s">
        <v>827</v>
      </c>
      <c r="AH137">
        <v>5</v>
      </c>
      <c r="AI137">
        <v>2</v>
      </c>
      <c r="AJ137">
        <v>4</v>
      </c>
      <c r="AK137">
        <v>4</v>
      </c>
      <c r="AL137">
        <v>26</v>
      </c>
      <c r="AM137">
        <v>36</v>
      </c>
      <c r="AN137" t="s">
        <v>620</v>
      </c>
      <c r="AO137">
        <v>5</v>
      </c>
      <c r="AP137">
        <v>1</v>
      </c>
      <c r="AT137">
        <v>15</v>
      </c>
      <c r="AU137">
        <v>20</v>
      </c>
      <c r="AV137">
        <v>45</v>
      </c>
      <c r="AW137">
        <v>11</v>
      </c>
      <c r="AX137">
        <v>21</v>
      </c>
      <c r="AY137">
        <v>2</v>
      </c>
      <c r="AZ137">
        <v>4</v>
      </c>
      <c r="BA137">
        <v>4</v>
      </c>
      <c r="BB137">
        <v>34</v>
      </c>
      <c r="BC137">
        <v>32</v>
      </c>
      <c r="BD137" t="s">
        <v>620</v>
      </c>
      <c r="BE137">
        <v>5</v>
      </c>
      <c r="BF137">
        <v>1</v>
      </c>
      <c r="BJ137">
        <v>15</v>
      </c>
      <c r="BK137">
        <v>20</v>
      </c>
      <c r="BL137">
        <v>45</v>
      </c>
      <c r="BM137">
        <v>11</v>
      </c>
      <c r="BN137">
        <v>21</v>
      </c>
      <c r="CU137">
        <v>538508.27520000003</v>
      </c>
      <c r="CV137">
        <v>4876835.8717999998</v>
      </c>
      <c r="CW137">
        <v>44.043681390000003</v>
      </c>
      <c r="CX137">
        <v>-92.51934679</v>
      </c>
      <c r="CY137" s="319">
        <v>43529.475694444445</v>
      </c>
      <c r="CZ137" t="s">
        <v>615</v>
      </c>
      <c r="DA137" t="s">
        <v>664</v>
      </c>
      <c r="DB137" t="s">
        <v>665</v>
      </c>
      <c r="DC137" t="s">
        <v>666</v>
      </c>
      <c r="DD137" s="82" t="s">
        <v>843</v>
      </c>
    </row>
    <row r="138" spans="1:108" ht="16.5" customHeight="1" x14ac:dyDescent="0.25">
      <c r="A138">
        <v>90</v>
      </c>
      <c r="B138">
        <v>900542</v>
      </c>
      <c r="C138">
        <v>5</v>
      </c>
      <c r="D138">
        <v>122</v>
      </c>
      <c r="E138">
        <v>0.98399999999999999</v>
      </c>
      <c r="F138">
        <v>55</v>
      </c>
      <c r="G138" t="s">
        <v>643</v>
      </c>
      <c r="I138">
        <v>6</v>
      </c>
      <c r="J138">
        <v>21</v>
      </c>
      <c r="L138">
        <v>21015072</v>
      </c>
      <c r="M138">
        <v>211030106</v>
      </c>
      <c r="N138">
        <v>4</v>
      </c>
      <c r="O138">
        <v>13</v>
      </c>
      <c r="P138">
        <v>2021</v>
      </c>
      <c r="Q138" t="s">
        <v>625</v>
      </c>
      <c r="R138">
        <v>18</v>
      </c>
      <c r="S138">
        <v>98</v>
      </c>
      <c r="T138">
        <v>4</v>
      </c>
      <c r="U138">
        <v>0</v>
      </c>
      <c r="V138">
        <v>1</v>
      </c>
      <c r="X138">
        <v>28</v>
      </c>
      <c r="Y138">
        <v>2</v>
      </c>
      <c r="Z138">
        <v>1</v>
      </c>
      <c r="AA138">
        <v>2</v>
      </c>
      <c r="AC138">
        <v>1</v>
      </c>
      <c r="AD138">
        <v>98</v>
      </c>
      <c r="AE138" t="s">
        <v>626</v>
      </c>
      <c r="AG138" t="s">
        <v>829</v>
      </c>
      <c r="AH138">
        <v>3</v>
      </c>
      <c r="AI138">
        <v>2</v>
      </c>
      <c r="AJ138">
        <v>2</v>
      </c>
      <c r="AK138">
        <v>3</v>
      </c>
      <c r="AL138">
        <v>99</v>
      </c>
      <c r="AM138">
        <v>34</v>
      </c>
      <c r="AN138" t="s">
        <v>614</v>
      </c>
      <c r="AO138">
        <v>10</v>
      </c>
      <c r="AP138">
        <v>90</v>
      </c>
      <c r="AT138">
        <v>15</v>
      </c>
      <c r="AU138">
        <v>98</v>
      </c>
      <c r="AV138">
        <v>30</v>
      </c>
      <c r="AW138">
        <v>11</v>
      </c>
      <c r="AX138">
        <v>21</v>
      </c>
      <c r="CU138">
        <v>538522.35519999999</v>
      </c>
      <c r="CV138">
        <v>4876826.6767999995</v>
      </c>
      <c r="CW138">
        <v>44.043597869999999</v>
      </c>
      <c r="CX138">
        <v>-92.519171709999995</v>
      </c>
      <c r="CY138" s="319">
        <v>44299.75</v>
      </c>
      <c r="CZ138" t="s">
        <v>615</v>
      </c>
      <c r="DA138" t="s">
        <v>664</v>
      </c>
      <c r="DB138" t="s">
        <v>665</v>
      </c>
      <c r="DC138" t="s">
        <v>666</v>
      </c>
      <c r="DD138" t="s">
        <v>844</v>
      </c>
    </row>
    <row r="139" spans="1:108" ht="16.5" customHeight="1" x14ac:dyDescent="0.25">
      <c r="A139">
        <v>100</v>
      </c>
      <c r="B139">
        <v>673646</v>
      </c>
      <c r="C139">
        <v>4</v>
      </c>
      <c r="D139">
        <v>22</v>
      </c>
      <c r="E139">
        <v>4.2140000000000004</v>
      </c>
      <c r="F139">
        <v>55</v>
      </c>
      <c r="G139" t="s">
        <v>643</v>
      </c>
      <c r="I139">
        <v>6</v>
      </c>
      <c r="J139">
        <v>21</v>
      </c>
      <c r="L139" t="s">
        <v>845</v>
      </c>
      <c r="M139">
        <v>190030093</v>
      </c>
      <c r="N139">
        <v>1</v>
      </c>
      <c r="O139">
        <v>3</v>
      </c>
      <c r="P139">
        <v>2019</v>
      </c>
      <c r="Q139" t="s">
        <v>619</v>
      </c>
      <c r="R139">
        <v>13</v>
      </c>
      <c r="S139" t="s">
        <v>673</v>
      </c>
      <c r="T139">
        <v>4</v>
      </c>
      <c r="U139">
        <v>0</v>
      </c>
      <c r="V139">
        <v>3</v>
      </c>
      <c r="W139">
        <v>12</v>
      </c>
      <c r="X139">
        <v>10</v>
      </c>
      <c r="Y139">
        <v>2</v>
      </c>
      <c r="Z139">
        <v>1</v>
      </c>
      <c r="AA139">
        <v>1</v>
      </c>
      <c r="AC139">
        <v>1</v>
      </c>
      <c r="AD139">
        <v>98</v>
      </c>
      <c r="AE139" t="s">
        <v>696</v>
      </c>
      <c r="AG139" t="s">
        <v>713</v>
      </c>
      <c r="AH139">
        <v>7</v>
      </c>
      <c r="AI139">
        <v>2</v>
      </c>
      <c r="AJ139">
        <v>2</v>
      </c>
      <c r="AK139">
        <v>2</v>
      </c>
      <c r="AL139">
        <v>21</v>
      </c>
      <c r="AM139">
        <v>22</v>
      </c>
      <c r="AN139" t="s">
        <v>614</v>
      </c>
      <c r="AO139">
        <v>5</v>
      </c>
      <c r="AP139">
        <v>70</v>
      </c>
      <c r="AQ139">
        <v>90</v>
      </c>
      <c r="AT139">
        <v>15</v>
      </c>
      <c r="AU139">
        <v>9</v>
      </c>
      <c r="AV139">
        <v>45</v>
      </c>
      <c r="AW139">
        <v>11</v>
      </c>
      <c r="AX139">
        <v>21</v>
      </c>
      <c r="AY139">
        <v>2</v>
      </c>
      <c r="AZ139">
        <v>4</v>
      </c>
      <c r="BA139">
        <v>2</v>
      </c>
      <c r="BB139">
        <v>34</v>
      </c>
      <c r="BC139">
        <v>58</v>
      </c>
      <c r="BD139" t="s">
        <v>620</v>
      </c>
      <c r="BE139">
        <v>5</v>
      </c>
      <c r="BF139">
        <v>1</v>
      </c>
      <c r="BJ139">
        <v>15</v>
      </c>
      <c r="BK139">
        <v>9</v>
      </c>
      <c r="BL139">
        <v>45</v>
      </c>
      <c r="BM139">
        <v>11</v>
      </c>
      <c r="BN139">
        <v>21</v>
      </c>
      <c r="BO139">
        <v>2</v>
      </c>
      <c r="BP139">
        <v>5</v>
      </c>
      <c r="BQ139">
        <v>2</v>
      </c>
      <c r="BR139">
        <v>34</v>
      </c>
      <c r="BS139">
        <v>37</v>
      </c>
      <c r="BT139" t="s">
        <v>620</v>
      </c>
      <c r="BU139">
        <v>5</v>
      </c>
      <c r="BV139">
        <v>1</v>
      </c>
      <c r="BZ139">
        <v>15</v>
      </c>
      <c r="CA139">
        <v>9</v>
      </c>
      <c r="CB139">
        <v>45</v>
      </c>
      <c r="CC139">
        <v>11</v>
      </c>
      <c r="CD139">
        <v>21</v>
      </c>
      <c r="CU139">
        <v>538604.09329999995</v>
      </c>
      <c r="CV139">
        <v>4876199.8370000003</v>
      </c>
      <c r="CW139">
        <v>44.037950049999999</v>
      </c>
      <c r="CX139">
        <v>-92.518197229999998</v>
      </c>
      <c r="CY139" s="319">
        <v>43468.575694444444</v>
      </c>
      <c r="CZ139" t="s">
        <v>615</v>
      </c>
      <c r="DA139" t="s">
        <v>664</v>
      </c>
      <c r="DB139" t="s">
        <v>665</v>
      </c>
      <c r="DC139" t="s">
        <v>666</v>
      </c>
      <c r="DD139" t="s">
        <v>846</v>
      </c>
    </row>
    <row r="140" spans="1:108" ht="16.5" customHeight="1" x14ac:dyDescent="0.25">
      <c r="A140">
        <v>100</v>
      </c>
      <c r="B140">
        <v>780095</v>
      </c>
      <c r="C140">
        <v>4</v>
      </c>
      <c r="D140">
        <v>22</v>
      </c>
      <c r="E140">
        <v>4.2220000000000004</v>
      </c>
      <c r="F140">
        <v>55</v>
      </c>
      <c r="G140" t="s">
        <v>643</v>
      </c>
      <c r="I140">
        <v>6</v>
      </c>
      <c r="J140">
        <v>21</v>
      </c>
      <c r="L140">
        <v>20002424</v>
      </c>
      <c r="M140">
        <v>200160106</v>
      </c>
      <c r="N140">
        <v>1</v>
      </c>
      <c r="O140">
        <v>16</v>
      </c>
      <c r="P140">
        <v>2020</v>
      </c>
      <c r="Q140" t="s">
        <v>619</v>
      </c>
      <c r="R140">
        <v>12</v>
      </c>
      <c r="T140">
        <v>3</v>
      </c>
      <c r="U140">
        <v>0</v>
      </c>
      <c r="V140">
        <v>2</v>
      </c>
      <c r="W140">
        <v>12</v>
      </c>
      <c r="X140">
        <v>10</v>
      </c>
      <c r="Y140">
        <v>3</v>
      </c>
      <c r="Z140">
        <v>1</v>
      </c>
      <c r="AA140">
        <v>1</v>
      </c>
      <c r="AC140">
        <v>1</v>
      </c>
      <c r="AD140">
        <v>98</v>
      </c>
      <c r="AE140" t="s">
        <v>696</v>
      </c>
      <c r="AG140" t="s">
        <v>715</v>
      </c>
      <c r="AH140">
        <v>7</v>
      </c>
      <c r="AI140">
        <v>2</v>
      </c>
      <c r="AJ140">
        <v>4</v>
      </c>
      <c r="AK140">
        <v>2</v>
      </c>
      <c r="AL140">
        <v>21</v>
      </c>
      <c r="AM140">
        <v>39</v>
      </c>
      <c r="AN140" t="s">
        <v>614</v>
      </c>
      <c r="AO140">
        <v>5</v>
      </c>
      <c r="AP140">
        <v>4</v>
      </c>
      <c r="AT140">
        <v>15</v>
      </c>
      <c r="AU140">
        <v>20</v>
      </c>
      <c r="AV140">
        <v>45</v>
      </c>
      <c r="AW140">
        <v>11</v>
      </c>
      <c r="AX140">
        <v>21</v>
      </c>
      <c r="AY140">
        <v>2</v>
      </c>
      <c r="AZ140">
        <v>3</v>
      </c>
      <c r="BA140">
        <v>2</v>
      </c>
      <c r="BB140">
        <v>34</v>
      </c>
      <c r="BC140">
        <v>63</v>
      </c>
      <c r="BD140" t="s">
        <v>614</v>
      </c>
      <c r="BE140">
        <v>5</v>
      </c>
      <c r="BF140">
        <v>1</v>
      </c>
      <c r="BJ140">
        <v>15</v>
      </c>
      <c r="BK140">
        <v>20</v>
      </c>
      <c r="BL140">
        <v>45</v>
      </c>
      <c r="BM140">
        <v>11</v>
      </c>
      <c r="BN140">
        <v>21</v>
      </c>
      <c r="CU140">
        <v>538623.63260000001</v>
      </c>
      <c r="CV140">
        <v>4876230.6019000001</v>
      </c>
      <c r="CW140">
        <v>44.038226000000002</v>
      </c>
      <c r="CX140">
        <v>-92.51795113</v>
      </c>
      <c r="CY140" s="319">
        <v>43846.518055555556</v>
      </c>
      <c r="CZ140" t="s">
        <v>615</v>
      </c>
      <c r="DA140" t="s">
        <v>664</v>
      </c>
      <c r="DB140" t="s">
        <v>665</v>
      </c>
      <c r="DC140" t="s">
        <v>666</v>
      </c>
      <c r="DD140" t="s">
        <v>847</v>
      </c>
    </row>
    <row r="141" spans="1:108" ht="16.5" customHeight="1" x14ac:dyDescent="0.25">
      <c r="A141">
        <v>100</v>
      </c>
      <c r="B141">
        <v>449456</v>
      </c>
      <c r="C141">
        <v>4</v>
      </c>
      <c r="D141">
        <v>22</v>
      </c>
      <c r="E141">
        <v>4.2249999999999996</v>
      </c>
      <c r="F141">
        <v>55</v>
      </c>
      <c r="G141" t="s">
        <v>643</v>
      </c>
      <c r="I141">
        <v>6</v>
      </c>
      <c r="J141">
        <v>21</v>
      </c>
      <c r="L141">
        <v>170021530</v>
      </c>
      <c r="M141">
        <v>171230112</v>
      </c>
      <c r="N141">
        <v>5</v>
      </c>
      <c r="O141">
        <v>3</v>
      </c>
      <c r="P141">
        <v>2017</v>
      </c>
      <c r="Q141" t="s">
        <v>645</v>
      </c>
      <c r="R141">
        <v>17</v>
      </c>
      <c r="S141" t="s">
        <v>673</v>
      </c>
      <c r="T141">
        <v>5</v>
      </c>
      <c r="U141">
        <v>0</v>
      </c>
      <c r="V141">
        <v>2</v>
      </c>
      <c r="W141">
        <v>12</v>
      </c>
      <c r="X141">
        <v>10</v>
      </c>
      <c r="Y141">
        <v>2</v>
      </c>
      <c r="Z141">
        <v>1</v>
      </c>
      <c r="AA141">
        <v>1</v>
      </c>
      <c r="AC141">
        <v>1</v>
      </c>
      <c r="AD141">
        <v>98</v>
      </c>
      <c r="AE141" t="s">
        <v>696</v>
      </c>
      <c r="AG141" t="s">
        <v>715</v>
      </c>
      <c r="AH141">
        <v>7</v>
      </c>
      <c r="AI141">
        <v>2</v>
      </c>
      <c r="AJ141">
        <v>4</v>
      </c>
      <c r="AK141">
        <v>2</v>
      </c>
      <c r="AL141">
        <v>21</v>
      </c>
      <c r="AM141">
        <v>24</v>
      </c>
      <c r="AN141" t="s">
        <v>620</v>
      </c>
      <c r="AO141">
        <v>5</v>
      </c>
      <c r="AP141">
        <v>90</v>
      </c>
      <c r="AT141">
        <v>15</v>
      </c>
      <c r="AU141">
        <v>20</v>
      </c>
      <c r="AV141">
        <v>50</v>
      </c>
      <c r="AW141">
        <v>11</v>
      </c>
      <c r="AX141">
        <v>23</v>
      </c>
      <c r="AY141">
        <v>2</v>
      </c>
      <c r="AZ141">
        <v>3</v>
      </c>
      <c r="BA141">
        <v>2</v>
      </c>
      <c r="BB141">
        <v>34</v>
      </c>
      <c r="BC141">
        <v>36</v>
      </c>
      <c r="BD141" t="s">
        <v>614</v>
      </c>
      <c r="BE141">
        <v>5</v>
      </c>
      <c r="BF141">
        <v>1</v>
      </c>
      <c r="BJ141">
        <v>15</v>
      </c>
      <c r="BK141">
        <v>20</v>
      </c>
      <c r="BL141">
        <v>50</v>
      </c>
      <c r="BM141">
        <v>11</v>
      </c>
      <c r="BN141">
        <v>23</v>
      </c>
      <c r="CU141">
        <v>538622.12919999997</v>
      </c>
      <c r="CV141">
        <v>4876236.1639</v>
      </c>
      <c r="CW141">
        <v>44.038276160000002</v>
      </c>
      <c r="CX141">
        <v>-92.517969489999999</v>
      </c>
      <c r="CY141" s="319">
        <v>42858.71875</v>
      </c>
      <c r="CZ141" t="s">
        <v>615</v>
      </c>
      <c r="DA141" t="s">
        <v>664</v>
      </c>
      <c r="DB141" t="s">
        <v>665</v>
      </c>
      <c r="DC141" t="s">
        <v>666</v>
      </c>
      <c r="DD141" s="82" t="s">
        <v>848</v>
      </c>
    </row>
    <row r="142" spans="1:108" ht="16.5" customHeight="1" x14ac:dyDescent="0.25">
      <c r="A142">
        <v>100</v>
      </c>
      <c r="B142">
        <v>472022</v>
      </c>
      <c r="C142">
        <v>4</v>
      </c>
      <c r="D142">
        <v>22</v>
      </c>
      <c r="E142">
        <v>4.2279999999999998</v>
      </c>
      <c r="F142">
        <v>55</v>
      </c>
      <c r="G142" t="s">
        <v>643</v>
      </c>
      <c r="I142">
        <v>6</v>
      </c>
      <c r="J142">
        <v>21</v>
      </c>
      <c r="L142">
        <v>17031282</v>
      </c>
      <c r="M142">
        <v>171740073</v>
      </c>
      <c r="N142">
        <v>6</v>
      </c>
      <c r="O142">
        <v>23</v>
      </c>
      <c r="P142">
        <v>2017</v>
      </c>
      <c r="Q142" t="s">
        <v>638</v>
      </c>
      <c r="R142">
        <v>13</v>
      </c>
      <c r="T142">
        <v>5</v>
      </c>
      <c r="U142">
        <v>0</v>
      </c>
      <c r="V142">
        <v>2</v>
      </c>
      <c r="W142">
        <v>12</v>
      </c>
      <c r="X142">
        <v>10</v>
      </c>
      <c r="Y142">
        <v>3</v>
      </c>
      <c r="Z142">
        <v>1</v>
      </c>
      <c r="AA142">
        <v>1</v>
      </c>
      <c r="AC142">
        <v>1</v>
      </c>
      <c r="AD142">
        <v>98</v>
      </c>
      <c r="AE142" t="s">
        <v>696</v>
      </c>
      <c r="AG142" t="s">
        <v>715</v>
      </c>
      <c r="AH142">
        <v>7</v>
      </c>
      <c r="AI142">
        <v>2</v>
      </c>
      <c r="AJ142">
        <v>2</v>
      </c>
      <c r="AK142">
        <v>1</v>
      </c>
      <c r="AL142">
        <v>21</v>
      </c>
      <c r="AM142">
        <v>53</v>
      </c>
      <c r="AN142" t="s">
        <v>614</v>
      </c>
      <c r="AO142">
        <v>5</v>
      </c>
      <c r="AP142">
        <v>74</v>
      </c>
      <c r="AT142">
        <v>14</v>
      </c>
      <c r="AU142">
        <v>20</v>
      </c>
      <c r="AV142">
        <v>45</v>
      </c>
      <c r="AW142">
        <v>11</v>
      </c>
      <c r="AX142">
        <v>21</v>
      </c>
      <c r="AY142">
        <v>2</v>
      </c>
      <c r="AZ142">
        <v>4</v>
      </c>
      <c r="BA142">
        <v>1</v>
      </c>
      <c r="BB142">
        <v>34</v>
      </c>
      <c r="BC142">
        <v>57</v>
      </c>
      <c r="BD142" t="s">
        <v>620</v>
      </c>
      <c r="BE142">
        <v>5</v>
      </c>
      <c r="BF142">
        <v>1</v>
      </c>
      <c r="BJ142">
        <v>14</v>
      </c>
      <c r="BK142">
        <v>20</v>
      </c>
      <c r="BL142">
        <v>45</v>
      </c>
      <c r="BM142">
        <v>11</v>
      </c>
      <c r="BN142">
        <v>21</v>
      </c>
      <c r="CU142">
        <v>538620.86040000001</v>
      </c>
      <c r="CV142">
        <v>4876240.8583000004</v>
      </c>
      <c r="CW142">
        <v>44.038318490000002</v>
      </c>
      <c r="CX142">
        <v>-92.517984979999994</v>
      </c>
      <c r="CY142" s="319">
        <v>42909.5625</v>
      </c>
      <c r="CZ142" t="s">
        <v>615</v>
      </c>
      <c r="DA142" t="s">
        <v>664</v>
      </c>
      <c r="DB142" t="s">
        <v>665</v>
      </c>
      <c r="DC142" t="s">
        <v>666</v>
      </c>
      <c r="DD142" s="82" t="s">
        <v>849</v>
      </c>
    </row>
    <row r="143" spans="1:108" ht="16.5" customHeight="1" x14ac:dyDescent="0.25">
      <c r="A143">
        <v>100</v>
      </c>
      <c r="B143">
        <v>842795</v>
      </c>
      <c r="C143">
        <v>4</v>
      </c>
      <c r="D143">
        <v>22</v>
      </c>
      <c r="E143">
        <v>4.2309999999999999</v>
      </c>
      <c r="F143">
        <v>55</v>
      </c>
      <c r="G143" t="s">
        <v>643</v>
      </c>
      <c r="I143">
        <v>6</v>
      </c>
      <c r="J143">
        <v>21</v>
      </c>
      <c r="L143">
        <v>20042681</v>
      </c>
      <c r="M143">
        <v>202690081</v>
      </c>
      <c r="N143">
        <v>9</v>
      </c>
      <c r="O143">
        <v>25</v>
      </c>
      <c r="P143">
        <v>2020</v>
      </c>
      <c r="Q143" t="s">
        <v>638</v>
      </c>
      <c r="R143">
        <v>15</v>
      </c>
      <c r="S143" t="s">
        <v>611</v>
      </c>
      <c r="T143">
        <v>4</v>
      </c>
      <c r="U143">
        <v>0</v>
      </c>
      <c r="V143">
        <v>3</v>
      </c>
      <c r="W143">
        <v>5</v>
      </c>
      <c r="X143">
        <v>10</v>
      </c>
      <c r="Y143">
        <v>3</v>
      </c>
      <c r="Z143">
        <v>1</v>
      </c>
      <c r="AA143">
        <v>1</v>
      </c>
      <c r="AC143">
        <v>1</v>
      </c>
      <c r="AD143">
        <v>98</v>
      </c>
      <c r="AE143" t="s">
        <v>696</v>
      </c>
      <c r="AG143" t="s">
        <v>715</v>
      </c>
      <c r="AH143">
        <v>10</v>
      </c>
      <c r="AI143">
        <v>2</v>
      </c>
      <c r="AJ143">
        <v>3</v>
      </c>
      <c r="AK143">
        <v>1</v>
      </c>
      <c r="AL143">
        <v>21</v>
      </c>
      <c r="AM143">
        <v>78</v>
      </c>
      <c r="AN143" t="s">
        <v>614</v>
      </c>
      <c r="AO143">
        <v>5</v>
      </c>
      <c r="AP143">
        <v>1</v>
      </c>
      <c r="AT143">
        <v>15</v>
      </c>
      <c r="AU143">
        <v>20</v>
      </c>
      <c r="AV143">
        <v>45</v>
      </c>
      <c r="AW143">
        <v>11</v>
      </c>
      <c r="AX143">
        <v>21</v>
      </c>
      <c r="AY143">
        <v>2</v>
      </c>
      <c r="AZ143">
        <v>4</v>
      </c>
      <c r="BA143">
        <v>1</v>
      </c>
      <c r="BB143">
        <v>21</v>
      </c>
      <c r="BC143">
        <v>71</v>
      </c>
      <c r="BD143" t="s">
        <v>614</v>
      </c>
      <c r="BE143">
        <v>5</v>
      </c>
      <c r="BF143">
        <v>1</v>
      </c>
      <c r="BJ143">
        <v>15</v>
      </c>
      <c r="BK143">
        <v>20</v>
      </c>
      <c r="BL143">
        <v>45</v>
      </c>
      <c r="BM143">
        <v>11</v>
      </c>
      <c r="BN143">
        <v>21</v>
      </c>
      <c r="BO143">
        <v>2</v>
      </c>
      <c r="BP143">
        <v>4</v>
      </c>
      <c r="BQ143">
        <v>1</v>
      </c>
      <c r="BR143">
        <v>34</v>
      </c>
      <c r="BS143">
        <v>65</v>
      </c>
      <c r="BT143" t="s">
        <v>620</v>
      </c>
      <c r="BU143">
        <v>5</v>
      </c>
      <c r="BV143">
        <v>1</v>
      </c>
      <c r="BZ143">
        <v>15</v>
      </c>
      <c r="CA143">
        <v>20</v>
      </c>
      <c r="CB143">
        <v>45</v>
      </c>
      <c r="CC143">
        <v>11</v>
      </c>
      <c r="CD143">
        <v>21</v>
      </c>
      <c r="CU143">
        <v>538619.75870000001</v>
      </c>
      <c r="CV143">
        <v>4876244.9345000004</v>
      </c>
      <c r="CW143">
        <v>44.038355250000002</v>
      </c>
      <c r="CX143">
        <v>-92.517998430000006</v>
      </c>
      <c r="CY143" s="319">
        <v>44099.634722222225</v>
      </c>
      <c r="CZ143" t="s">
        <v>615</v>
      </c>
      <c r="DA143" t="s">
        <v>664</v>
      </c>
      <c r="DB143" t="s">
        <v>665</v>
      </c>
      <c r="DC143" t="s">
        <v>666</v>
      </c>
      <c r="DD143" t="s">
        <v>850</v>
      </c>
    </row>
    <row r="144" spans="1:108" ht="16.5" customHeight="1" x14ac:dyDescent="0.25">
      <c r="A144">
        <v>100</v>
      </c>
      <c r="B144">
        <v>698345</v>
      </c>
      <c r="C144">
        <v>4</v>
      </c>
      <c r="D144">
        <v>22</v>
      </c>
      <c r="E144">
        <v>4.2309999999999999</v>
      </c>
      <c r="F144">
        <v>55</v>
      </c>
      <c r="G144" t="s">
        <v>643</v>
      </c>
      <c r="I144">
        <v>6</v>
      </c>
      <c r="J144">
        <v>21</v>
      </c>
      <c r="L144">
        <v>19002982</v>
      </c>
      <c r="M144">
        <v>190190301</v>
      </c>
      <c r="N144">
        <v>1</v>
      </c>
      <c r="O144">
        <v>19</v>
      </c>
      <c r="P144">
        <v>2019</v>
      </c>
      <c r="Q144" t="s">
        <v>655</v>
      </c>
      <c r="R144">
        <v>11</v>
      </c>
      <c r="S144" t="s">
        <v>611</v>
      </c>
      <c r="T144">
        <v>5</v>
      </c>
      <c r="U144">
        <v>0</v>
      </c>
      <c r="V144">
        <v>2</v>
      </c>
      <c r="W144">
        <v>5</v>
      </c>
      <c r="X144">
        <v>10</v>
      </c>
      <c r="Y144">
        <v>3</v>
      </c>
      <c r="Z144">
        <v>1</v>
      </c>
      <c r="AA144">
        <v>1</v>
      </c>
      <c r="AC144">
        <v>3</v>
      </c>
      <c r="AD144">
        <v>98</v>
      </c>
      <c r="AE144" t="s">
        <v>696</v>
      </c>
      <c r="AG144" t="s">
        <v>715</v>
      </c>
      <c r="AH144">
        <v>10</v>
      </c>
      <c r="AI144">
        <v>2</v>
      </c>
      <c r="AJ144">
        <v>4</v>
      </c>
      <c r="AK144">
        <v>1</v>
      </c>
      <c r="AL144">
        <v>21</v>
      </c>
      <c r="AM144">
        <v>40</v>
      </c>
      <c r="AN144" t="s">
        <v>620</v>
      </c>
      <c r="AO144">
        <v>5</v>
      </c>
      <c r="AP144">
        <v>1</v>
      </c>
      <c r="AT144">
        <v>14</v>
      </c>
      <c r="AU144">
        <v>20</v>
      </c>
      <c r="AV144">
        <v>40</v>
      </c>
      <c r="AW144">
        <v>11</v>
      </c>
      <c r="AX144">
        <v>21</v>
      </c>
      <c r="AY144">
        <v>2</v>
      </c>
      <c r="AZ144">
        <v>2</v>
      </c>
      <c r="BA144">
        <v>3</v>
      </c>
      <c r="BB144">
        <v>21</v>
      </c>
      <c r="BC144">
        <v>47</v>
      </c>
      <c r="BD144" t="s">
        <v>614</v>
      </c>
      <c r="BE144">
        <v>5</v>
      </c>
      <c r="BF144">
        <v>1</v>
      </c>
      <c r="BJ144">
        <v>14</v>
      </c>
      <c r="BK144">
        <v>20</v>
      </c>
      <c r="BL144">
        <v>45</v>
      </c>
      <c r="BM144">
        <v>11</v>
      </c>
      <c r="BN144">
        <v>21</v>
      </c>
      <c r="CU144">
        <v>538619.55299999996</v>
      </c>
      <c r="CV144">
        <v>4876245.6956000002</v>
      </c>
      <c r="CW144">
        <v>44.038362110000001</v>
      </c>
      <c r="CX144">
        <v>-92.518000939999993</v>
      </c>
      <c r="CY144" s="319">
        <v>43484.486111111109</v>
      </c>
      <c r="CZ144" t="s">
        <v>615</v>
      </c>
      <c r="DA144" t="s">
        <v>664</v>
      </c>
      <c r="DB144" t="s">
        <v>665</v>
      </c>
      <c r="DC144" t="s">
        <v>666</v>
      </c>
      <c r="DD144" t="s">
        <v>851</v>
      </c>
    </row>
    <row r="145" spans="1:108" ht="16.5" customHeight="1" x14ac:dyDescent="0.25">
      <c r="A145">
        <v>100</v>
      </c>
      <c r="B145">
        <v>764121</v>
      </c>
      <c r="C145">
        <v>4</v>
      </c>
      <c r="D145">
        <v>22</v>
      </c>
      <c r="E145">
        <v>4.2320000000000002</v>
      </c>
      <c r="F145">
        <v>55</v>
      </c>
      <c r="G145" t="s">
        <v>643</v>
      </c>
      <c r="I145">
        <v>6</v>
      </c>
      <c r="J145">
        <v>21</v>
      </c>
      <c r="L145" t="s">
        <v>852</v>
      </c>
      <c r="M145">
        <v>193250052</v>
      </c>
      <c r="N145">
        <v>11</v>
      </c>
      <c r="O145">
        <v>21</v>
      </c>
      <c r="P145">
        <v>2019</v>
      </c>
      <c r="Q145" t="s">
        <v>619</v>
      </c>
      <c r="R145">
        <v>9</v>
      </c>
      <c r="S145">
        <v>98</v>
      </c>
      <c r="T145">
        <v>4</v>
      </c>
      <c r="U145">
        <v>0</v>
      </c>
      <c r="V145">
        <v>3</v>
      </c>
      <c r="W145">
        <v>12</v>
      </c>
      <c r="X145">
        <v>10</v>
      </c>
      <c r="Y145">
        <v>3</v>
      </c>
      <c r="Z145">
        <v>1</v>
      </c>
      <c r="AA145">
        <v>2</v>
      </c>
      <c r="AC145">
        <v>2</v>
      </c>
      <c r="AD145">
        <v>98</v>
      </c>
      <c r="AE145" t="s">
        <v>696</v>
      </c>
      <c r="AG145" t="s">
        <v>715</v>
      </c>
      <c r="AH145">
        <v>7</v>
      </c>
      <c r="AI145">
        <v>2</v>
      </c>
      <c r="AJ145">
        <v>2</v>
      </c>
      <c r="AK145">
        <v>1</v>
      </c>
      <c r="AL145">
        <v>21</v>
      </c>
      <c r="AM145">
        <v>27</v>
      </c>
      <c r="AN145" t="s">
        <v>620</v>
      </c>
      <c r="AO145">
        <v>99</v>
      </c>
      <c r="AP145">
        <v>99</v>
      </c>
      <c r="AT145">
        <v>15</v>
      </c>
      <c r="AU145">
        <v>20</v>
      </c>
      <c r="AV145">
        <v>45</v>
      </c>
      <c r="AW145">
        <v>11</v>
      </c>
      <c r="AX145">
        <v>21</v>
      </c>
      <c r="AY145">
        <v>2</v>
      </c>
      <c r="AZ145">
        <v>2</v>
      </c>
      <c r="BA145">
        <v>1</v>
      </c>
      <c r="BB145">
        <v>34</v>
      </c>
      <c r="BC145">
        <v>65</v>
      </c>
      <c r="BD145" t="s">
        <v>614</v>
      </c>
      <c r="BE145">
        <v>5</v>
      </c>
      <c r="BF145">
        <v>1</v>
      </c>
      <c r="BJ145">
        <v>15</v>
      </c>
      <c r="BK145">
        <v>20</v>
      </c>
      <c r="BL145">
        <v>45</v>
      </c>
      <c r="BM145">
        <v>11</v>
      </c>
      <c r="BN145">
        <v>21</v>
      </c>
      <c r="BO145">
        <v>2</v>
      </c>
      <c r="BP145">
        <v>2</v>
      </c>
      <c r="BQ145">
        <v>1</v>
      </c>
      <c r="BR145">
        <v>34</v>
      </c>
      <c r="BS145">
        <v>54</v>
      </c>
      <c r="BT145" t="s">
        <v>620</v>
      </c>
      <c r="BU145">
        <v>5</v>
      </c>
      <c r="BV145">
        <v>1</v>
      </c>
      <c r="BZ145">
        <v>15</v>
      </c>
      <c r="CA145">
        <v>20</v>
      </c>
      <c r="CB145">
        <v>45</v>
      </c>
      <c r="CC145">
        <v>11</v>
      </c>
      <c r="CD145">
        <v>21</v>
      </c>
      <c r="CU145">
        <v>538619.11679999996</v>
      </c>
      <c r="CV145">
        <v>4876247.3093999997</v>
      </c>
      <c r="CW145">
        <v>44.038376659999997</v>
      </c>
      <c r="CX145">
        <v>-92.518006270000001</v>
      </c>
      <c r="CY145" s="319">
        <v>43790.395138888889</v>
      </c>
      <c r="CZ145" t="s">
        <v>615</v>
      </c>
      <c r="DA145" t="s">
        <v>664</v>
      </c>
      <c r="DB145" t="s">
        <v>665</v>
      </c>
      <c r="DC145" t="s">
        <v>666</v>
      </c>
      <c r="DD145" t="s">
        <v>853</v>
      </c>
    </row>
    <row r="146" spans="1:108" ht="16.5" customHeight="1" x14ac:dyDescent="0.25">
      <c r="A146">
        <v>100</v>
      </c>
      <c r="B146">
        <v>813402</v>
      </c>
      <c r="C146">
        <v>4</v>
      </c>
      <c r="D146">
        <v>22</v>
      </c>
      <c r="E146">
        <v>4.2320000000000002</v>
      </c>
      <c r="F146">
        <v>55</v>
      </c>
      <c r="G146" t="s">
        <v>643</v>
      </c>
      <c r="I146">
        <v>6</v>
      </c>
      <c r="J146">
        <v>21</v>
      </c>
      <c r="L146" t="s">
        <v>854</v>
      </c>
      <c r="M146">
        <v>201600027</v>
      </c>
      <c r="N146">
        <v>6</v>
      </c>
      <c r="O146">
        <v>8</v>
      </c>
      <c r="P146">
        <v>2020</v>
      </c>
      <c r="Q146" t="s">
        <v>610</v>
      </c>
      <c r="R146">
        <v>12</v>
      </c>
      <c r="S146" t="s">
        <v>611</v>
      </c>
      <c r="T146">
        <v>4</v>
      </c>
      <c r="U146">
        <v>0</v>
      </c>
      <c r="V146">
        <v>2</v>
      </c>
      <c r="W146">
        <v>12</v>
      </c>
      <c r="X146">
        <v>10</v>
      </c>
      <c r="Y146">
        <v>3</v>
      </c>
      <c r="Z146">
        <v>1</v>
      </c>
      <c r="AA146">
        <v>1</v>
      </c>
      <c r="AC146">
        <v>1</v>
      </c>
      <c r="AD146">
        <v>98</v>
      </c>
      <c r="AE146" t="s">
        <v>696</v>
      </c>
      <c r="AF146" t="s">
        <v>855</v>
      </c>
      <c r="AG146" t="s">
        <v>715</v>
      </c>
      <c r="AH146">
        <v>7</v>
      </c>
      <c r="AI146">
        <v>2</v>
      </c>
      <c r="AJ146">
        <v>2</v>
      </c>
      <c r="AK146">
        <v>1</v>
      </c>
      <c r="AL146">
        <v>34</v>
      </c>
      <c r="AM146">
        <v>72</v>
      </c>
      <c r="AN146" t="s">
        <v>614</v>
      </c>
      <c r="AO146">
        <v>5</v>
      </c>
      <c r="AP146">
        <v>1</v>
      </c>
      <c r="AT146">
        <v>15</v>
      </c>
      <c r="AU146">
        <v>20</v>
      </c>
      <c r="AV146">
        <v>45</v>
      </c>
      <c r="AW146">
        <v>11</v>
      </c>
      <c r="AX146">
        <v>21</v>
      </c>
      <c r="AY146">
        <v>2</v>
      </c>
      <c r="AZ146">
        <v>49</v>
      </c>
      <c r="BA146">
        <v>1</v>
      </c>
      <c r="BB146">
        <v>21</v>
      </c>
      <c r="BC146">
        <v>55</v>
      </c>
      <c r="BD146" t="s">
        <v>614</v>
      </c>
      <c r="BE146">
        <v>5</v>
      </c>
      <c r="BF146">
        <v>4</v>
      </c>
      <c r="BJ146">
        <v>15</v>
      </c>
      <c r="BK146">
        <v>20</v>
      </c>
      <c r="BL146">
        <v>45</v>
      </c>
      <c r="BM146">
        <v>11</v>
      </c>
      <c r="BN146">
        <v>21</v>
      </c>
      <c r="CU146">
        <v>538619.11629999999</v>
      </c>
      <c r="CV146">
        <v>4876247.3110999996</v>
      </c>
      <c r="CW146">
        <v>44.038376679999999</v>
      </c>
      <c r="CX146">
        <v>-92.518006270000001</v>
      </c>
      <c r="CY146" s="319">
        <v>43990.501388888886</v>
      </c>
      <c r="CZ146" t="s">
        <v>615</v>
      </c>
      <c r="DA146" t="s">
        <v>664</v>
      </c>
      <c r="DB146" t="s">
        <v>665</v>
      </c>
      <c r="DC146" t="s">
        <v>666</v>
      </c>
      <c r="DD146" s="82" t="s">
        <v>856</v>
      </c>
    </row>
    <row r="147" spans="1:108" ht="16.5" customHeight="1" x14ac:dyDescent="0.25">
      <c r="A147">
        <v>100</v>
      </c>
      <c r="B147">
        <v>543438</v>
      </c>
      <c r="C147">
        <v>4</v>
      </c>
      <c r="D147">
        <v>22</v>
      </c>
      <c r="E147">
        <v>4.234</v>
      </c>
      <c r="F147">
        <v>55</v>
      </c>
      <c r="G147" t="s">
        <v>643</v>
      </c>
      <c r="I147">
        <v>6</v>
      </c>
      <c r="J147">
        <v>21</v>
      </c>
      <c r="L147">
        <v>180005819</v>
      </c>
      <c r="M147">
        <v>180370024</v>
      </c>
      <c r="N147">
        <v>2</v>
      </c>
      <c r="O147">
        <v>6</v>
      </c>
      <c r="P147">
        <v>2018</v>
      </c>
      <c r="Q147" t="s">
        <v>625</v>
      </c>
      <c r="R147">
        <v>7</v>
      </c>
      <c r="S147" t="s">
        <v>611</v>
      </c>
      <c r="T147">
        <v>5</v>
      </c>
      <c r="U147">
        <v>0</v>
      </c>
      <c r="V147">
        <v>2</v>
      </c>
      <c r="W147">
        <v>5</v>
      </c>
      <c r="X147">
        <v>10</v>
      </c>
      <c r="Y147">
        <v>4</v>
      </c>
      <c r="Z147">
        <v>1</v>
      </c>
      <c r="AA147">
        <v>1</v>
      </c>
      <c r="AC147">
        <v>5</v>
      </c>
      <c r="AD147">
        <v>98</v>
      </c>
      <c r="AE147" t="s">
        <v>696</v>
      </c>
      <c r="AF147" t="s">
        <v>857</v>
      </c>
      <c r="AG147" t="s">
        <v>715</v>
      </c>
      <c r="AH147">
        <v>10</v>
      </c>
      <c r="AI147">
        <v>2</v>
      </c>
      <c r="AJ147">
        <v>2</v>
      </c>
      <c r="AK147">
        <v>2</v>
      </c>
      <c r="AL147">
        <v>26</v>
      </c>
      <c r="AM147">
        <v>61</v>
      </c>
      <c r="AN147" t="s">
        <v>620</v>
      </c>
      <c r="AO147">
        <v>5</v>
      </c>
      <c r="AP147">
        <v>90</v>
      </c>
      <c r="AT147">
        <v>15</v>
      </c>
      <c r="AU147">
        <v>20</v>
      </c>
      <c r="AV147">
        <v>55</v>
      </c>
      <c r="AW147">
        <v>11</v>
      </c>
      <c r="AX147">
        <v>21</v>
      </c>
      <c r="AY147">
        <v>2</v>
      </c>
      <c r="AZ147">
        <v>2</v>
      </c>
      <c r="BA147">
        <v>1</v>
      </c>
      <c r="BB147">
        <v>34</v>
      </c>
      <c r="BC147">
        <v>52</v>
      </c>
      <c r="BD147" t="s">
        <v>614</v>
      </c>
      <c r="BE147">
        <v>5</v>
      </c>
      <c r="BF147">
        <v>1</v>
      </c>
      <c r="BJ147">
        <v>15</v>
      </c>
      <c r="BK147">
        <v>20</v>
      </c>
      <c r="BL147">
        <v>55</v>
      </c>
      <c r="BM147">
        <v>11</v>
      </c>
      <c r="BN147">
        <v>21</v>
      </c>
      <c r="CU147">
        <v>538618.47019999998</v>
      </c>
      <c r="CV147">
        <v>4876249.7016000003</v>
      </c>
      <c r="CW147">
        <v>44.038398229999999</v>
      </c>
      <c r="CX147">
        <v>-92.518014160000007</v>
      </c>
      <c r="CY147" s="319">
        <v>43137.329861111109</v>
      </c>
      <c r="CZ147" t="s">
        <v>615</v>
      </c>
      <c r="DA147" t="s">
        <v>664</v>
      </c>
      <c r="DB147" t="s">
        <v>665</v>
      </c>
      <c r="DC147" t="s">
        <v>666</v>
      </c>
      <c r="DD147" s="82" t="s">
        <v>858</v>
      </c>
    </row>
    <row r="148" spans="1:108" ht="16.5" customHeight="1" x14ac:dyDescent="0.25">
      <c r="A148">
        <v>100</v>
      </c>
      <c r="B148">
        <v>430023</v>
      </c>
      <c r="C148">
        <v>4</v>
      </c>
      <c r="D148">
        <v>22</v>
      </c>
      <c r="E148">
        <v>4.2350000000000003</v>
      </c>
      <c r="F148">
        <v>55</v>
      </c>
      <c r="G148" t="s">
        <v>643</v>
      </c>
      <c r="I148">
        <v>6</v>
      </c>
      <c r="J148">
        <v>21</v>
      </c>
      <c r="L148">
        <v>17013048</v>
      </c>
      <c r="M148">
        <v>170760102</v>
      </c>
      <c r="N148">
        <v>3</v>
      </c>
      <c r="O148">
        <v>17</v>
      </c>
      <c r="P148">
        <v>2017</v>
      </c>
      <c r="Q148" t="s">
        <v>638</v>
      </c>
      <c r="R148">
        <v>14</v>
      </c>
      <c r="S148" t="s">
        <v>611</v>
      </c>
      <c r="T148">
        <v>3</v>
      </c>
      <c r="U148">
        <v>0</v>
      </c>
      <c r="V148">
        <v>2</v>
      </c>
      <c r="W148">
        <v>12</v>
      </c>
      <c r="X148">
        <v>10</v>
      </c>
      <c r="Y148">
        <v>3</v>
      </c>
      <c r="Z148">
        <v>1</v>
      </c>
      <c r="AA148">
        <v>2</v>
      </c>
      <c r="AC148">
        <v>1</v>
      </c>
      <c r="AD148">
        <v>98</v>
      </c>
      <c r="AE148" t="s">
        <v>696</v>
      </c>
      <c r="AG148" t="s">
        <v>715</v>
      </c>
      <c r="AH148">
        <v>7</v>
      </c>
      <c r="AI148">
        <v>2</v>
      </c>
      <c r="AJ148">
        <v>3</v>
      </c>
      <c r="AK148">
        <v>1</v>
      </c>
      <c r="AL148">
        <v>34</v>
      </c>
      <c r="AM148">
        <v>64</v>
      </c>
      <c r="AN148" t="s">
        <v>614</v>
      </c>
      <c r="AO148">
        <v>5</v>
      </c>
      <c r="AP148">
        <v>70</v>
      </c>
      <c r="AT148">
        <v>15</v>
      </c>
      <c r="AU148">
        <v>20</v>
      </c>
      <c r="AV148">
        <v>55</v>
      </c>
      <c r="AW148">
        <v>11</v>
      </c>
      <c r="AX148">
        <v>21</v>
      </c>
      <c r="AY148">
        <v>2</v>
      </c>
      <c r="AZ148">
        <v>4</v>
      </c>
      <c r="BA148">
        <v>1</v>
      </c>
      <c r="BB148">
        <v>21</v>
      </c>
      <c r="BC148">
        <v>23</v>
      </c>
      <c r="BD148" t="s">
        <v>614</v>
      </c>
      <c r="BE148">
        <v>5</v>
      </c>
      <c r="BF148">
        <v>74</v>
      </c>
      <c r="BJ148">
        <v>15</v>
      </c>
      <c r="BK148">
        <v>20</v>
      </c>
      <c r="BL148">
        <v>55</v>
      </c>
      <c r="BM148">
        <v>11</v>
      </c>
      <c r="BN148">
        <v>21</v>
      </c>
      <c r="CU148">
        <v>538618.07330000005</v>
      </c>
      <c r="CV148">
        <v>4876251.1701999996</v>
      </c>
      <c r="CW148">
        <v>44.038411480000001</v>
      </c>
      <c r="CX148">
        <v>-92.518019010000003</v>
      </c>
      <c r="CY148" s="319">
        <v>42811.6</v>
      </c>
      <c r="CZ148" t="s">
        <v>615</v>
      </c>
      <c r="DA148" t="s">
        <v>664</v>
      </c>
      <c r="DB148" t="s">
        <v>665</v>
      </c>
      <c r="DC148" t="s">
        <v>666</v>
      </c>
      <c r="DD148" s="82" t="s">
        <v>859</v>
      </c>
    </row>
    <row r="149" spans="1:108" ht="16.5" customHeight="1" x14ac:dyDescent="0.25">
      <c r="A149">
        <v>100</v>
      </c>
      <c r="B149">
        <v>818578</v>
      </c>
      <c r="C149">
        <v>4</v>
      </c>
      <c r="D149">
        <v>22</v>
      </c>
      <c r="E149">
        <v>4.234</v>
      </c>
      <c r="F149">
        <v>55</v>
      </c>
      <c r="G149" t="s">
        <v>643</v>
      </c>
      <c r="I149">
        <v>6</v>
      </c>
      <c r="J149">
        <v>21</v>
      </c>
      <c r="L149" t="s">
        <v>860</v>
      </c>
      <c r="M149">
        <v>201900083</v>
      </c>
      <c r="N149">
        <v>7</v>
      </c>
      <c r="O149">
        <v>8</v>
      </c>
      <c r="P149">
        <v>2020</v>
      </c>
      <c r="Q149" t="s">
        <v>645</v>
      </c>
      <c r="R149">
        <v>17</v>
      </c>
      <c r="T149">
        <v>3</v>
      </c>
      <c r="U149">
        <v>0</v>
      </c>
      <c r="V149">
        <v>2</v>
      </c>
      <c r="W149">
        <v>13</v>
      </c>
      <c r="X149">
        <v>10</v>
      </c>
      <c r="Y149">
        <v>3</v>
      </c>
      <c r="Z149">
        <v>1</v>
      </c>
      <c r="AA149">
        <v>1</v>
      </c>
      <c r="AC149">
        <v>1</v>
      </c>
      <c r="AD149">
        <v>98</v>
      </c>
      <c r="AE149" t="s">
        <v>696</v>
      </c>
      <c r="AG149" t="s">
        <v>715</v>
      </c>
      <c r="AH149">
        <v>8</v>
      </c>
      <c r="AI149">
        <v>2</v>
      </c>
      <c r="AJ149">
        <v>2</v>
      </c>
      <c r="AK149">
        <v>2</v>
      </c>
      <c r="AL149">
        <v>24</v>
      </c>
      <c r="AM149">
        <v>17</v>
      </c>
      <c r="AN149" t="s">
        <v>614</v>
      </c>
      <c r="AO149">
        <v>5</v>
      </c>
      <c r="AP149">
        <v>90</v>
      </c>
      <c r="AT149">
        <v>15</v>
      </c>
      <c r="AU149">
        <v>20</v>
      </c>
      <c r="AW149">
        <v>11</v>
      </c>
      <c r="AX149">
        <v>23</v>
      </c>
      <c r="AY149">
        <v>2</v>
      </c>
      <c r="AZ149">
        <v>2</v>
      </c>
      <c r="BA149">
        <v>1</v>
      </c>
      <c r="BB149">
        <v>21</v>
      </c>
      <c r="BC149">
        <v>78</v>
      </c>
      <c r="BD149" t="s">
        <v>620</v>
      </c>
      <c r="BE149">
        <v>5</v>
      </c>
      <c r="BF149">
        <v>1</v>
      </c>
      <c r="BJ149">
        <v>15</v>
      </c>
      <c r="BK149">
        <v>20</v>
      </c>
      <c r="BM149">
        <v>11</v>
      </c>
      <c r="BN149">
        <v>21</v>
      </c>
      <c r="CU149">
        <v>538618.26150000002</v>
      </c>
      <c r="CV149">
        <v>4876250.4736000001</v>
      </c>
      <c r="CW149">
        <v>44.038405189999999</v>
      </c>
      <c r="CX149">
        <v>-92.518016709999998</v>
      </c>
      <c r="CY149" s="319">
        <v>44020.713194444441</v>
      </c>
      <c r="CZ149" t="s">
        <v>615</v>
      </c>
      <c r="DA149" t="s">
        <v>664</v>
      </c>
      <c r="DB149" t="s">
        <v>665</v>
      </c>
      <c r="DC149" t="s">
        <v>666</v>
      </c>
      <c r="DD149" s="82" t="s">
        <v>861</v>
      </c>
    </row>
    <row r="150" spans="1:108" ht="16.5" customHeight="1" x14ac:dyDescent="0.25">
      <c r="A150">
        <v>100</v>
      </c>
      <c r="B150">
        <v>489148</v>
      </c>
      <c r="C150">
        <v>4</v>
      </c>
      <c r="D150">
        <v>22</v>
      </c>
      <c r="E150">
        <v>4.2370000000000001</v>
      </c>
      <c r="F150">
        <v>55</v>
      </c>
      <c r="G150" t="s">
        <v>643</v>
      </c>
      <c r="I150">
        <v>6</v>
      </c>
      <c r="J150">
        <v>21</v>
      </c>
      <c r="L150">
        <v>17036633</v>
      </c>
      <c r="M150">
        <v>172050065</v>
      </c>
      <c r="N150">
        <v>7</v>
      </c>
      <c r="O150">
        <v>24</v>
      </c>
      <c r="P150">
        <v>2017</v>
      </c>
      <c r="Q150" t="s">
        <v>610</v>
      </c>
      <c r="R150">
        <v>14</v>
      </c>
      <c r="S150" t="s">
        <v>673</v>
      </c>
      <c r="T150">
        <v>5</v>
      </c>
      <c r="U150">
        <v>0</v>
      </c>
      <c r="V150">
        <v>2</v>
      </c>
      <c r="W150">
        <v>5</v>
      </c>
      <c r="X150">
        <v>10</v>
      </c>
      <c r="Y150">
        <v>3</v>
      </c>
      <c r="Z150">
        <v>1</v>
      </c>
      <c r="AA150">
        <v>1</v>
      </c>
      <c r="AC150">
        <v>1</v>
      </c>
      <c r="AD150">
        <v>98</v>
      </c>
      <c r="AE150" t="s">
        <v>696</v>
      </c>
      <c r="AF150" t="s">
        <v>857</v>
      </c>
      <c r="AG150" t="s">
        <v>713</v>
      </c>
      <c r="AH150">
        <v>9</v>
      </c>
      <c r="AI150">
        <v>2</v>
      </c>
      <c r="AJ150">
        <v>49</v>
      </c>
      <c r="AK150">
        <v>1</v>
      </c>
      <c r="AL150">
        <v>24</v>
      </c>
      <c r="AM150">
        <v>69</v>
      </c>
      <c r="AN150" t="s">
        <v>614</v>
      </c>
      <c r="AO150">
        <v>5</v>
      </c>
      <c r="AP150">
        <v>2</v>
      </c>
      <c r="AT150">
        <v>15</v>
      </c>
      <c r="AU150">
        <v>20</v>
      </c>
      <c r="AV150">
        <v>45</v>
      </c>
      <c r="AW150">
        <v>11</v>
      </c>
      <c r="AX150">
        <v>22</v>
      </c>
      <c r="AY150">
        <v>2</v>
      </c>
      <c r="AZ150">
        <v>2</v>
      </c>
      <c r="BA150">
        <v>2</v>
      </c>
      <c r="BB150">
        <v>21</v>
      </c>
      <c r="BC150">
        <v>31</v>
      </c>
      <c r="BD150" t="s">
        <v>620</v>
      </c>
      <c r="BE150">
        <v>5</v>
      </c>
      <c r="BF150">
        <v>1</v>
      </c>
      <c r="BJ150">
        <v>15</v>
      </c>
      <c r="BK150">
        <v>20</v>
      </c>
      <c r="BL150">
        <v>45</v>
      </c>
      <c r="BM150">
        <v>11</v>
      </c>
      <c r="BN150">
        <v>22</v>
      </c>
      <c r="CU150">
        <v>538595.69779999997</v>
      </c>
      <c r="CV150">
        <v>4876234.8644000003</v>
      </c>
      <c r="CW150">
        <v>44.038265850000002</v>
      </c>
      <c r="CX150">
        <v>-92.518299459999994</v>
      </c>
      <c r="CY150" s="319">
        <v>42940.583333333336</v>
      </c>
      <c r="CZ150" t="s">
        <v>615</v>
      </c>
      <c r="DA150" t="s">
        <v>664</v>
      </c>
      <c r="DB150" t="s">
        <v>665</v>
      </c>
      <c r="DC150" t="s">
        <v>666</v>
      </c>
      <c r="DD150" t="s">
        <v>862</v>
      </c>
    </row>
    <row r="151" spans="1:108" ht="16.5" customHeight="1" x14ac:dyDescent="0.25">
      <c r="A151">
        <v>100</v>
      </c>
      <c r="B151">
        <v>624500</v>
      </c>
      <c r="C151">
        <v>4</v>
      </c>
      <c r="D151">
        <v>22</v>
      </c>
      <c r="E151">
        <v>4.2370000000000001</v>
      </c>
      <c r="F151">
        <v>55</v>
      </c>
      <c r="G151" t="s">
        <v>643</v>
      </c>
      <c r="I151">
        <v>6</v>
      </c>
      <c r="J151">
        <v>21</v>
      </c>
      <c r="L151">
        <v>18103745</v>
      </c>
      <c r="M151">
        <v>182110185</v>
      </c>
      <c r="N151">
        <v>7</v>
      </c>
      <c r="O151">
        <v>30</v>
      </c>
      <c r="P151">
        <v>2018</v>
      </c>
      <c r="Q151" t="s">
        <v>610</v>
      </c>
      <c r="R151">
        <v>12</v>
      </c>
      <c r="T151">
        <v>5</v>
      </c>
      <c r="U151">
        <v>0</v>
      </c>
      <c r="V151">
        <v>2</v>
      </c>
      <c r="W151">
        <v>5</v>
      </c>
      <c r="X151">
        <v>10</v>
      </c>
      <c r="Y151">
        <v>3</v>
      </c>
      <c r="Z151">
        <v>1</v>
      </c>
      <c r="AA151">
        <v>1</v>
      </c>
      <c r="AC151">
        <v>1</v>
      </c>
      <c r="AD151">
        <v>98</v>
      </c>
      <c r="AE151" t="s">
        <v>696</v>
      </c>
      <c r="AF151" t="s">
        <v>855</v>
      </c>
      <c r="AG151" t="s">
        <v>715</v>
      </c>
      <c r="AH151">
        <v>10</v>
      </c>
      <c r="AI151">
        <v>2</v>
      </c>
      <c r="AJ151">
        <v>3</v>
      </c>
      <c r="AK151">
        <v>3</v>
      </c>
      <c r="AL151">
        <v>24</v>
      </c>
      <c r="AM151">
        <v>34</v>
      </c>
      <c r="AN151" t="s">
        <v>614</v>
      </c>
      <c r="AO151">
        <v>5</v>
      </c>
      <c r="AP151">
        <v>2</v>
      </c>
      <c r="AT151">
        <v>14</v>
      </c>
      <c r="AU151">
        <v>20</v>
      </c>
      <c r="AV151">
        <v>45</v>
      </c>
      <c r="AW151">
        <v>11</v>
      </c>
      <c r="AX151">
        <v>22</v>
      </c>
      <c r="AY151">
        <v>2</v>
      </c>
      <c r="AZ151">
        <v>2</v>
      </c>
      <c r="BA151">
        <v>1</v>
      </c>
      <c r="BB151">
        <v>21</v>
      </c>
      <c r="BC151">
        <v>49</v>
      </c>
      <c r="BD151" t="s">
        <v>614</v>
      </c>
      <c r="BE151">
        <v>5</v>
      </c>
      <c r="BF151">
        <v>1</v>
      </c>
      <c r="BJ151">
        <v>14</v>
      </c>
      <c r="BK151">
        <v>20</v>
      </c>
      <c r="BL151">
        <v>45</v>
      </c>
      <c r="BM151">
        <v>11</v>
      </c>
      <c r="BN151">
        <v>22</v>
      </c>
      <c r="CU151">
        <v>538617.09499999997</v>
      </c>
      <c r="CV151">
        <v>4876255.0466</v>
      </c>
      <c r="CW151">
        <v>44.03844643</v>
      </c>
      <c r="CX151">
        <v>-92.518030940000003</v>
      </c>
      <c r="CY151" s="319">
        <v>43311.527777777781</v>
      </c>
      <c r="CZ151" t="s">
        <v>615</v>
      </c>
      <c r="DA151" t="s">
        <v>664</v>
      </c>
      <c r="DB151" t="s">
        <v>757</v>
      </c>
      <c r="DC151" t="s">
        <v>758</v>
      </c>
      <c r="DD151" t="s">
        <v>863</v>
      </c>
    </row>
    <row r="152" spans="1:108" ht="16.5" customHeight="1" x14ac:dyDescent="0.25">
      <c r="A152">
        <v>100</v>
      </c>
      <c r="B152">
        <v>903754</v>
      </c>
      <c r="C152">
        <v>4</v>
      </c>
      <c r="D152">
        <v>22</v>
      </c>
      <c r="E152">
        <v>4.2370000000000001</v>
      </c>
      <c r="F152">
        <v>55</v>
      </c>
      <c r="G152" t="s">
        <v>643</v>
      </c>
      <c r="I152">
        <v>6</v>
      </c>
      <c r="J152">
        <v>21</v>
      </c>
      <c r="L152">
        <v>21017918</v>
      </c>
      <c r="M152">
        <v>211240038</v>
      </c>
      <c r="N152">
        <v>5</v>
      </c>
      <c r="O152">
        <v>4</v>
      </c>
      <c r="P152">
        <v>2021</v>
      </c>
      <c r="Q152" t="s">
        <v>625</v>
      </c>
      <c r="R152">
        <v>10</v>
      </c>
      <c r="S152" t="s">
        <v>611</v>
      </c>
      <c r="T152">
        <v>3</v>
      </c>
      <c r="U152">
        <v>0</v>
      </c>
      <c r="V152">
        <v>2</v>
      </c>
      <c r="W152">
        <v>5</v>
      </c>
      <c r="X152">
        <v>10</v>
      </c>
      <c r="Y152">
        <v>3</v>
      </c>
      <c r="Z152">
        <v>1</v>
      </c>
      <c r="AA152">
        <v>1</v>
      </c>
      <c r="AC152">
        <v>1</v>
      </c>
      <c r="AD152">
        <v>98</v>
      </c>
      <c r="AE152" t="s">
        <v>696</v>
      </c>
      <c r="AG152" t="s">
        <v>715</v>
      </c>
      <c r="AH152">
        <v>9</v>
      </c>
      <c r="AI152">
        <v>2</v>
      </c>
      <c r="AJ152">
        <v>4</v>
      </c>
      <c r="AK152">
        <v>2</v>
      </c>
      <c r="AL152">
        <v>24</v>
      </c>
      <c r="AM152">
        <v>67</v>
      </c>
      <c r="AN152" t="s">
        <v>614</v>
      </c>
      <c r="AO152">
        <v>5</v>
      </c>
      <c r="AP152">
        <v>2</v>
      </c>
      <c r="AT152">
        <v>14</v>
      </c>
      <c r="AU152">
        <v>20</v>
      </c>
      <c r="AV152">
        <v>45</v>
      </c>
      <c r="AW152">
        <v>11</v>
      </c>
      <c r="AX152">
        <v>21</v>
      </c>
      <c r="AY152">
        <v>2</v>
      </c>
      <c r="AZ152">
        <v>4</v>
      </c>
      <c r="BA152">
        <v>1</v>
      </c>
      <c r="BB152">
        <v>21</v>
      </c>
      <c r="BC152">
        <v>27</v>
      </c>
      <c r="BD152" t="s">
        <v>620</v>
      </c>
      <c r="BE152">
        <v>5</v>
      </c>
      <c r="BF152">
        <v>1</v>
      </c>
      <c r="BJ152">
        <v>14</v>
      </c>
      <c r="BK152">
        <v>20</v>
      </c>
      <c r="BL152">
        <v>45</v>
      </c>
      <c r="BM152">
        <v>11</v>
      </c>
      <c r="BN152">
        <v>21</v>
      </c>
      <c r="CU152">
        <v>538617.11829999997</v>
      </c>
      <c r="CV152">
        <v>4876254.9521000003</v>
      </c>
      <c r="CW152">
        <v>44.03844557</v>
      </c>
      <c r="CX152">
        <v>-92.51803065</v>
      </c>
      <c r="CY152" s="319">
        <v>44320.456944444442</v>
      </c>
      <c r="CZ152" t="s">
        <v>615</v>
      </c>
      <c r="DA152" t="s">
        <v>664</v>
      </c>
      <c r="DB152" t="s">
        <v>665</v>
      </c>
      <c r="DC152" t="s">
        <v>666</v>
      </c>
      <c r="DD152" t="s">
        <v>864</v>
      </c>
    </row>
    <row r="153" spans="1:108" ht="16.5" customHeight="1" x14ac:dyDescent="0.25">
      <c r="A153">
        <v>100</v>
      </c>
      <c r="B153">
        <v>529114</v>
      </c>
      <c r="C153">
        <v>4</v>
      </c>
      <c r="D153">
        <v>22</v>
      </c>
      <c r="E153">
        <v>4.2409999999999997</v>
      </c>
      <c r="F153">
        <v>55</v>
      </c>
      <c r="G153" t="s">
        <v>643</v>
      </c>
      <c r="I153">
        <v>6</v>
      </c>
      <c r="J153">
        <v>21</v>
      </c>
      <c r="L153">
        <v>17062427</v>
      </c>
      <c r="M153">
        <v>173620398</v>
      </c>
      <c r="N153">
        <v>12</v>
      </c>
      <c r="O153">
        <v>28</v>
      </c>
      <c r="P153">
        <v>2017</v>
      </c>
      <c r="Q153" t="s">
        <v>619</v>
      </c>
      <c r="R153">
        <v>14</v>
      </c>
      <c r="S153">
        <v>98</v>
      </c>
      <c r="T153">
        <v>4</v>
      </c>
      <c r="U153">
        <v>0</v>
      </c>
      <c r="V153">
        <v>2</v>
      </c>
      <c r="W153">
        <v>13</v>
      </c>
      <c r="X153">
        <v>10</v>
      </c>
      <c r="Y153">
        <v>3</v>
      </c>
      <c r="Z153">
        <v>1</v>
      </c>
      <c r="AA153">
        <v>7</v>
      </c>
      <c r="AC153">
        <v>4</v>
      </c>
      <c r="AD153">
        <v>98</v>
      </c>
      <c r="AE153" t="s">
        <v>696</v>
      </c>
      <c r="AG153" t="s">
        <v>713</v>
      </c>
      <c r="AH153">
        <v>8</v>
      </c>
      <c r="AI153">
        <v>2</v>
      </c>
      <c r="AJ153">
        <v>2</v>
      </c>
      <c r="AK153">
        <v>1</v>
      </c>
      <c r="AL153">
        <v>24</v>
      </c>
      <c r="AM153">
        <v>16</v>
      </c>
      <c r="AN153" t="s">
        <v>620</v>
      </c>
      <c r="AO153">
        <v>5</v>
      </c>
      <c r="AP153">
        <v>2</v>
      </c>
      <c r="AT153">
        <v>12</v>
      </c>
      <c r="AU153">
        <v>20</v>
      </c>
      <c r="AV153">
        <v>45</v>
      </c>
      <c r="AW153">
        <v>11</v>
      </c>
      <c r="AX153">
        <v>21</v>
      </c>
      <c r="AY153">
        <v>2</v>
      </c>
      <c r="AZ153">
        <v>4</v>
      </c>
      <c r="BA153">
        <v>2</v>
      </c>
      <c r="BB153">
        <v>21</v>
      </c>
      <c r="BC153">
        <v>18</v>
      </c>
      <c r="BD153" t="s">
        <v>620</v>
      </c>
      <c r="BE153">
        <v>5</v>
      </c>
      <c r="BF153">
        <v>1</v>
      </c>
      <c r="BJ153">
        <v>12</v>
      </c>
      <c r="BK153">
        <v>20</v>
      </c>
      <c r="BL153">
        <v>45</v>
      </c>
      <c r="BM153">
        <v>11</v>
      </c>
      <c r="BN153">
        <v>21</v>
      </c>
      <c r="CU153">
        <v>538593.93770000001</v>
      </c>
      <c r="CV153">
        <v>4876242.2079999996</v>
      </c>
      <c r="CW153">
        <v>44.038332060000002</v>
      </c>
      <c r="CX153">
        <v>-92.518320889999998</v>
      </c>
      <c r="CY153" s="319">
        <v>43097.597222222219</v>
      </c>
      <c r="CZ153" t="s">
        <v>615</v>
      </c>
      <c r="DA153" t="s">
        <v>664</v>
      </c>
      <c r="DB153" t="s">
        <v>665</v>
      </c>
      <c r="DC153" t="s">
        <v>666</v>
      </c>
      <c r="DD153" s="82" t="s">
        <v>865</v>
      </c>
    </row>
    <row r="154" spans="1:108" ht="16.5" customHeight="1" x14ac:dyDescent="0.25">
      <c r="A154">
        <v>100</v>
      </c>
      <c r="B154">
        <v>411730</v>
      </c>
      <c r="C154">
        <v>4</v>
      </c>
      <c r="D154">
        <v>22</v>
      </c>
      <c r="E154">
        <v>4.2450000000000001</v>
      </c>
      <c r="F154">
        <v>55</v>
      </c>
      <c r="G154" t="s">
        <v>643</v>
      </c>
      <c r="I154">
        <v>6</v>
      </c>
      <c r="J154">
        <v>21</v>
      </c>
      <c r="L154" t="s">
        <v>866</v>
      </c>
      <c r="M154">
        <v>170050190</v>
      </c>
      <c r="N154">
        <v>1</v>
      </c>
      <c r="O154">
        <v>5</v>
      </c>
      <c r="P154">
        <v>2017</v>
      </c>
      <c r="Q154" t="s">
        <v>619</v>
      </c>
      <c r="R154">
        <v>15</v>
      </c>
      <c r="S154" t="s">
        <v>673</v>
      </c>
      <c r="T154">
        <v>5</v>
      </c>
      <c r="U154">
        <v>0</v>
      </c>
      <c r="V154">
        <v>2</v>
      </c>
      <c r="W154">
        <v>12</v>
      </c>
      <c r="X154">
        <v>10</v>
      </c>
      <c r="Y154">
        <v>3</v>
      </c>
      <c r="Z154">
        <v>1</v>
      </c>
      <c r="AA154">
        <v>1</v>
      </c>
      <c r="AC154">
        <v>5</v>
      </c>
      <c r="AD154">
        <v>98</v>
      </c>
      <c r="AE154" t="s">
        <v>696</v>
      </c>
      <c r="AF154" t="s">
        <v>857</v>
      </c>
      <c r="AG154" t="s">
        <v>713</v>
      </c>
      <c r="AH154">
        <v>7</v>
      </c>
      <c r="AI154">
        <v>2</v>
      </c>
      <c r="AJ154">
        <v>4</v>
      </c>
      <c r="AK154">
        <v>2</v>
      </c>
      <c r="AL154">
        <v>26</v>
      </c>
      <c r="AM154">
        <v>48</v>
      </c>
      <c r="AN154" t="s">
        <v>614</v>
      </c>
      <c r="AO154">
        <v>5</v>
      </c>
      <c r="AP154">
        <v>1</v>
      </c>
      <c r="AT154">
        <v>15</v>
      </c>
      <c r="AU154">
        <v>20</v>
      </c>
      <c r="AV154">
        <v>45</v>
      </c>
      <c r="AW154">
        <v>11</v>
      </c>
      <c r="AX154">
        <v>23</v>
      </c>
      <c r="AY154">
        <v>2</v>
      </c>
      <c r="AZ154">
        <v>4</v>
      </c>
      <c r="BA154">
        <v>2</v>
      </c>
      <c r="BB154">
        <v>34</v>
      </c>
      <c r="BC154">
        <v>28</v>
      </c>
      <c r="BD154" t="s">
        <v>620</v>
      </c>
      <c r="BE154">
        <v>5</v>
      </c>
      <c r="BF154">
        <v>1</v>
      </c>
      <c r="BJ154">
        <v>15</v>
      </c>
      <c r="BK154">
        <v>20</v>
      </c>
      <c r="BL154">
        <v>45</v>
      </c>
      <c r="BM154">
        <v>11</v>
      </c>
      <c r="BN154">
        <v>23</v>
      </c>
      <c r="CU154">
        <v>538592.71100000001</v>
      </c>
      <c r="CV154">
        <v>4876247.3187999995</v>
      </c>
      <c r="CW154">
        <v>44.038378139999999</v>
      </c>
      <c r="CX154">
        <v>-92.518335829999998</v>
      </c>
      <c r="CY154" s="319">
        <v>42740.65</v>
      </c>
      <c r="CZ154" t="s">
        <v>615</v>
      </c>
      <c r="DA154" t="s">
        <v>664</v>
      </c>
      <c r="DB154" t="s">
        <v>665</v>
      </c>
      <c r="DC154" t="s">
        <v>666</v>
      </c>
      <c r="DD154" s="82" t="s">
        <v>867</v>
      </c>
    </row>
    <row r="155" spans="1:108" ht="16.5" customHeight="1" x14ac:dyDescent="0.25">
      <c r="A155">
        <v>100</v>
      </c>
      <c r="B155">
        <v>517635</v>
      </c>
      <c r="C155">
        <v>4</v>
      </c>
      <c r="D155">
        <v>22</v>
      </c>
      <c r="E155">
        <v>4.2439999999999998</v>
      </c>
      <c r="F155">
        <v>55</v>
      </c>
      <c r="G155" t="s">
        <v>643</v>
      </c>
      <c r="I155">
        <v>6</v>
      </c>
      <c r="J155">
        <v>21</v>
      </c>
      <c r="L155">
        <v>17054558</v>
      </c>
      <c r="M155">
        <v>173120353</v>
      </c>
      <c r="N155">
        <v>11</v>
      </c>
      <c r="O155">
        <v>8</v>
      </c>
      <c r="P155">
        <v>2017</v>
      </c>
      <c r="Q155" t="s">
        <v>645</v>
      </c>
      <c r="R155">
        <v>16</v>
      </c>
      <c r="S155" t="s">
        <v>673</v>
      </c>
      <c r="T155">
        <v>5</v>
      </c>
      <c r="U155">
        <v>0</v>
      </c>
      <c r="V155">
        <v>2</v>
      </c>
      <c r="W155">
        <v>12</v>
      </c>
      <c r="X155">
        <v>10</v>
      </c>
      <c r="Y155">
        <v>3</v>
      </c>
      <c r="Z155">
        <v>1</v>
      </c>
      <c r="AA155">
        <v>1</v>
      </c>
      <c r="AC155">
        <v>1</v>
      </c>
      <c r="AD155">
        <v>98</v>
      </c>
      <c r="AE155" t="s">
        <v>696</v>
      </c>
      <c r="AF155" t="s">
        <v>857</v>
      </c>
      <c r="AG155" t="s">
        <v>713</v>
      </c>
      <c r="AH155">
        <v>7</v>
      </c>
      <c r="AI155">
        <v>2</v>
      </c>
      <c r="AJ155">
        <v>2</v>
      </c>
      <c r="AK155">
        <v>2</v>
      </c>
      <c r="AL155">
        <v>21</v>
      </c>
      <c r="AM155">
        <v>23</v>
      </c>
      <c r="AN155" t="s">
        <v>614</v>
      </c>
      <c r="AO155">
        <v>5</v>
      </c>
      <c r="AP155">
        <v>74</v>
      </c>
      <c r="AT155">
        <v>15</v>
      </c>
      <c r="AU155">
        <v>20</v>
      </c>
      <c r="AV155">
        <v>45</v>
      </c>
      <c r="AW155">
        <v>11</v>
      </c>
      <c r="AX155">
        <v>21</v>
      </c>
      <c r="AY155">
        <v>2</v>
      </c>
      <c r="AZ155">
        <v>4</v>
      </c>
      <c r="BA155">
        <v>2</v>
      </c>
      <c r="BB155">
        <v>34</v>
      </c>
      <c r="BC155">
        <v>37</v>
      </c>
      <c r="BD155" t="s">
        <v>620</v>
      </c>
      <c r="BE155">
        <v>5</v>
      </c>
      <c r="BF155">
        <v>1</v>
      </c>
      <c r="BJ155">
        <v>15</v>
      </c>
      <c r="BK155">
        <v>20</v>
      </c>
      <c r="BL155">
        <v>45</v>
      </c>
      <c r="BM155">
        <v>11</v>
      </c>
      <c r="BN155">
        <v>21</v>
      </c>
      <c r="CU155">
        <v>538592.85990000004</v>
      </c>
      <c r="CV155">
        <v>4876246.7048000004</v>
      </c>
      <c r="CW155">
        <v>44.038372600000002</v>
      </c>
      <c r="CX155">
        <v>-92.518334010000004</v>
      </c>
      <c r="CY155" s="319">
        <v>43047.697916666664</v>
      </c>
      <c r="CZ155" t="s">
        <v>615</v>
      </c>
      <c r="DA155" t="s">
        <v>664</v>
      </c>
      <c r="DB155" t="s">
        <v>665</v>
      </c>
      <c r="DC155" t="s">
        <v>666</v>
      </c>
      <c r="DD155" t="s">
        <v>868</v>
      </c>
    </row>
    <row r="156" spans="1:108" ht="16.5" customHeight="1" x14ac:dyDescent="0.25">
      <c r="A156">
        <v>100</v>
      </c>
      <c r="B156">
        <v>537089</v>
      </c>
      <c r="C156">
        <v>4</v>
      </c>
      <c r="D156">
        <v>22</v>
      </c>
      <c r="E156">
        <v>4.2439999999999998</v>
      </c>
      <c r="F156">
        <v>55</v>
      </c>
      <c r="G156" t="s">
        <v>643</v>
      </c>
      <c r="I156">
        <v>6</v>
      </c>
      <c r="J156">
        <v>21</v>
      </c>
      <c r="L156">
        <v>18002302</v>
      </c>
      <c r="M156">
        <v>180160063</v>
      </c>
      <c r="N156">
        <v>1</v>
      </c>
      <c r="O156">
        <v>16</v>
      </c>
      <c r="P156">
        <v>2018</v>
      </c>
      <c r="Q156" t="s">
        <v>625</v>
      </c>
      <c r="R156">
        <v>9</v>
      </c>
      <c r="S156">
        <v>98</v>
      </c>
      <c r="T156">
        <v>5</v>
      </c>
      <c r="U156">
        <v>0</v>
      </c>
      <c r="V156">
        <v>2</v>
      </c>
      <c r="W156">
        <v>12</v>
      </c>
      <c r="X156">
        <v>10</v>
      </c>
      <c r="Y156">
        <v>3</v>
      </c>
      <c r="Z156">
        <v>1</v>
      </c>
      <c r="AA156">
        <v>2</v>
      </c>
      <c r="AC156">
        <v>5</v>
      </c>
      <c r="AD156">
        <v>98</v>
      </c>
      <c r="AE156" t="s">
        <v>696</v>
      </c>
      <c r="AF156" t="s">
        <v>857</v>
      </c>
      <c r="AG156" t="s">
        <v>713</v>
      </c>
      <c r="AH156">
        <v>7</v>
      </c>
      <c r="AI156">
        <v>2</v>
      </c>
      <c r="AJ156">
        <v>3</v>
      </c>
      <c r="AK156">
        <v>2</v>
      </c>
      <c r="AL156">
        <v>26</v>
      </c>
      <c r="AM156">
        <v>33</v>
      </c>
      <c r="AN156" t="s">
        <v>614</v>
      </c>
      <c r="AO156">
        <v>5</v>
      </c>
      <c r="AP156">
        <v>1</v>
      </c>
      <c r="AT156">
        <v>14</v>
      </c>
      <c r="AU156">
        <v>20</v>
      </c>
      <c r="AV156">
        <v>45</v>
      </c>
      <c r="AW156">
        <v>11</v>
      </c>
      <c r="AX156">
        <v>21</v>
      </c>
      <c r="AY156">
        <v>2</v>
      </c>
      <c r="AZ156">
        <v>4</v>
      </c>
      <c r="BA156">
        <v>2</v>
      </c>
      <c r="BB156">
        <v>34</v>
      </c>
      <c r="BC156">
        <v>47</v>
      </c>
      <c r="BD156" t="s">
        <v>620</v>
      </c>
      <c r="BE156">
        <v>5</v>
      </c>
      <c r="BF156">
        <v>1</v>
      </c>
      <c r="BJ156">
        <v>14</v>
      </c>
      <c r="BK156">
        <v>20</v>
      </c>
      <c r="BL156">
        <v>45</v>
      </c>
      <c r="BM156">
        <v>11</v>
      </c>
      <c r="BN156">
        <v>21</v>
      </c>
      <c r="CU156">
        <v>538592.79949999996</v>
      </c>
      <c r="CV156">
        <v>4876246.9567999998</v>
      </c>
      <c r="CW156">
        <v>44.038374869999998</v>
      </c>
      <c r="CX156">
        <v>-92.518334749999994</v>
      </c>
      <c r="CY156" s="319">
        <v>43116.378472222219</v>
      </c>
      <c r="CZ156" t="s">
        <v>615</v>
      </c>
      <c r="DA156" t="s">
        <v>664</v>
      </c>
      <c r="DB156" t="s">
        <v>665</v>
      </c>
      <c r="DC156" t="s">
        <v>666</v>
      </c>
      <c r="DD156" t="s">
        <v>869</v>
      </c>
    </row>
    <row r="157" spans="1:108" ht="16.5" customHeight="1" x14ac:dyDescent="0.25">
      <c r="A157">
        <v>100</v>
      </c>
      <c r="B157">
        <v>661782</v>
      </c>
      <c r="C157">
        <v>4</v>
      </c>
      <c r="D157">
        <v>22</v>
      </c>
      <c r="E157">
        <v>4.2450000000000001</v>
      </c>
      <c r="F157">
        <v>55</v>
      </c>
      <c r="G157" t="s">
        <v>643</v>
      </c>
      <c r="I157">
        <v>6</v>
      </c>
      <c r="J157">
        <v>21</v>
      </c>
      <c r="L157">
        <v>18056680</v>
      </c>
      <c r="M157">
        <v>183240107</v>
      </c>
      <c r="N157">
        <v>11</v>
      </c>
      <c r="O157">
        <v>20</v>
      </c>
      <c r="P157">
        <v>2018</v>
      </c>
      <c r="Q157" t="s">
        <v>625</v>
      </c>
      <c r="R157">
        <v>17</v>
      </c>
      <c r="S157" t="s">
        <v>673</v>
      </c>
      <c r="T157">
        <v>5</v>
      </c>
      <c r="U157">
        <v>0</v>
      </c>
      <c r="V157">
        <v>3</v>
      </c>
      <c r="W157">
        <v>12</v>
      </c>
      <c r="X157">
        <v>10</v>
      </c>
      <c r="Y157">
        <v>4</v>
      </c>
      <c r="Z157">
        <v>4</v>
      </c>
      <c r="AA157">
        <v>1</v>
      </c>
      <c r="AC157">
        <v>1</v>
      </c>
      <c r="AD157">
        <v>98</v>
      </c>
      <c r="AE157" t="s">
        <v>696</v>
      </c>
      <c r="AG157" t="s">
        <v>713</v>
      </c>
      <c r="AH157">
        <v>7</v>
      </c>
      <c r="AI157">
        <v>2</v>
      </c>
      <c r="AJ157">
        <v>3</v>
      </c>
      <c r="AK157">
        <v>2</v>
      </c>
      <c r="AL157">
        <v>34</v>
      </c>
      <c r="AM157">
        <v>22</v>
      </c>
      <c r="AN157" t="s">
        <v>614</v>
      </c>
      <c r="AO157">
        <v>5</v>
      </c>
      <c r="AP157">
        <v>1</v>
      </c>
      <c r="AT157">
        <v>15</v>
      </c>
      <c r="AU157">
        <v>20</v>
      </c>
      <c r="AV157">
        <v>45</v>
      </c>
      <c r="AW157">
        <v>11</v>
      </c>
      <c r="AX157">
        <v>21</v>
      </c>
      <c r="AY157">
        <v>2</v>
      </c>
      <c r="AZ157">
        <v>2</v>
      </c>
      <c r="BA157">
        <v>2</v>
      </c>
      <c r="BB157">
        <v>34</v>
      </c>
      <c r="BC157">
        <v>49</v>
      </c>
      <c r="BD157" t="s">
        <v>620</v>
      </c>
      <c r="BE157">
        <v>5</v>
      </c>
      <c r="BF157">
        <v>1</v>
      </c>
      <c r="BJ157">
        <v>15</v>
      </c>
      <c r="BK157">
        <v>20</v>
      </c>
      <c r="BL157">
        <v>45</v>
      </c>
      <c r="BM157">
        <v>11</v>
      </c>
      <c r="BN157">
        <v>21</v>
      </c>
      <c r="BO157">
        <v>2</v>
      </c>
      <c r="BP157">
        <v>2</v>
      </c>
      <c r="BQ157">
        <v>2</v>
      </c>
      <c r="BR157">
        <v>21</v>
      </c>
      <c r="BS157">
        <v>52</v>
      </c>
      <c r="BT157" t="s">
        <v>620</v>
      </c>
      <c r="BU157">
        <v>5</v>
      </c>
      <c r="BV157">
        <v>4</v>
      </c>
      <c r="BZ157">
        <v>15</v>
      </c>
      <c r="CA157">
        <v>20</v>
      </c>
      <c r="CB157">
        <v>45</v>
      </c>
      <c r="CC157">
        <v>11</v>
      </c>
      <c r="CD157">
        <v>21</v>
      </c>
      <c r="CU157">
        <v>538592.62600000005</v>
      </c>
      <c r="CV157">
        <v>4876247.6607999997</v>
      </c>
      <c r="CW157">
        <v>44.038381219999998</v>
      </c>
      <c r="CX157">
        <v>-92.518336860000005</v>
      </c>
      <c r="CY157" s="319">
        <v>43424.719444444447</v>
      </c>
      <c r="CZ157" t="s">
        <v>615</v>
      </c>
      <c r="DA157" t="s">
        <v>664</v>
      </c>
      <c r="DB157" t="s">
        <v>665</v>
      </c>
      <c r="DC157" t="s">
        <v>666</v>
      </c>
      <c r="DD157" s="82" t="s">
        <v>870</v>
      </c>
    </row>
    <row r="158" spans="1:108" ht="16.5" customHeight="1" x14ac:dyDescent="0.25">
      <c r="A158">
        <v>100</v>
      </c>
      <c r="B158">
        <v>763416</v>
      </c>
      <c r="C158">
        <v>4</v>
      </c>
      <c r="D158">
        <v>22</v>
      </c>
      <c r="E158">
        <v>4.2450000000000001</v>
      </c>
      <c r="F158">
        <v>55</v>
      </c>
      <c r="G158" t="s">
        <v>643</v>
      </c>
      <c r="I158">
        <v>6</v>
      </c>
      <c r="J158">
        <v>21</v>
      </c>
      <c r="L158">
        <v>19056707</v>
      </c>
      <c r="M158">
        <v>193220057</v>
      </c>
      <c r="N158">
        <v>11</v>
      </c>
      <c r="O158">
        <v>18</v>
      </c>
      <c r="P158">
        <v>2019</v>
      </c>
      <c r="Q158" t="s">
        <v>610</v>
      </c>
      <c r="R158">
        <v>14</v>
      </c>
      <c r="S158" t="s">
        <v>673</v>
      </c>
      <c r="T158">
        <v>5</v>
      </c>
      <c r="U158">
        <v>0</v>
      </c>
      <c r="V158">
        <v>4</v>
      </c>
      <c r="W158">
        <v>12</v>
      </c>
      <c r="X158">
        <v>10</v>
      </c>
      <c r="Y158">
        <v>3</v>
      </c>
      <c r="Z158">
        <v>1</v>
      </c>
      <c r="AA158">
        <v>2</v>
      </c>
      <c r="AC158">
        <v>1</v>
      </c>
      <c r="AD158">
        <v>98</v>
      </c>
      <c r="AE158" t="s">
        <v>696</v>
      </c>
      <c r="AF158" t="s">
        <v>871</v>
      </c>
      <c r="AG158" t="s">
        <v>713</v>
      </c>
      <c r="AH158">
        <v>7</v>
      </c>
      <c r="AI158">
        <v>2</v>
      </c>
      <c r="AJ158">
        <v>5</v>
      </c>
      <c r="AK158">
        <v>2</v>
      </c>
      <c r="AL158">
        <v>21</v>
      </c>
      <c r="AM158">
        <v>42</v>
      </c>
      <c r="AN158" t="s">
        <v>614</v>
      </c>
      <c r="AO158">
        <v>5</v>
      </c>
      <c r="AP158">
        <v>4</v>
      </c>
      <c r="AT158">
        <v>15</v>
      </c>
      <c r="AU158">
        <v>20</v>
      </c>
      <c r="AV158">
        <v>45</v>
      </c>
      <c r="AW158">
        <v>11</v>
      </c>
      <c r="AX158">
        <v>21</v>
      </c>
      <c r="AY158">
        <v>2</v>
      </c>
      <c r="AZ158">
        <v>4</v>
      </c>
      <c r="BA158">
        <v>2</v>
      </c>
      <c r="BB158">
        <v>34</v>
      </c>
      <c r="BC158">
        <v>39</v>
      </c>
      <c r="BD158" t="s">
        <v>620</v>
      </c>
      <c r="BE158">
        <v>5</v>
      </c>
      <c r="BF158">
        <v>1</v>
      </c>
      <c r="BJ158">
        <v>15</v>
      </c>
      <c r="BK158">
        <v>20</v>
      </c>
      <c r="BL158">
        <v>45</v>
      </c>
      <c r="BM158">
        <v>11</v>
      </c>
      <c r="BN158">
        <v>21</v>
      </c>
      <c r="BO158">
        <v>2</v>
      </c>
      <c r="BP158">
        <v>4</v>
      </c>
      <c r="BQ158">
        <v>2</v>
      </c>
      <c r="BR158">
        <v>34</v>
      </c>
      <c r="BS158">
        <v>58</v>
      </c>
      <c r="BT158" t="s">
        <v>614</v>
      </c>
      <c r="BU158">
        <v>5</v>
      </c>
      <c r="BV158">
        <v>1</v>
      </c>
      <c r="BZ158">
        <v>15</v>
      </c>
      <c r="CA158">
        <v>20</v>
      </c>
      <c r="CB158">
        <v>45</v>
      </c>
      <c r="CC158">
        <v>11</v>
      </c>
      <c r="CD158">
        <v>21</v>
      </c>
      <c r="CE158">
        <v>2</v>
      </c>
      <c r="CF158">
        <v>4</v>
      </c>
      <c r="CG158">
        <v>2</v>
      </c>
      <c r="CH158">
        <v>34</v>
      </c>
      <c r="CI158">
        <v>61</v>
      </c>
      <c r="CJ158" t="s">
        <v>614</v>
      </c>
      <c r="CK158">
        <v>5</v>
      </c>
      <c r="CL158">
        <v>1</v>
      </c>
      <c r="CP158">
        <v>15</v>
      </c>
      <c r="CQ158">
        <v>20</v>
      </c>
      <c r="CR158">
        <v>45</v>
      </c>
      <c r="CS158">
        <v>11</v>
      </c>
      <c r="CT158">
        <v>21</v>
      </c>
      <c r="CU158">
        <v>538592.68389999995</v>
      </c>
      <c r="CV158">
        <v>4876247.4281000001</v>
      </c>
      <c r="CW158">
        <v>44.038379120000002</v>
      </c>
      <c r="CX158">
        <v>-92.518336160000004</v>
      </c>
      <c r="CY158" s="319">
        <v>43787.614583333336</v>
      </c>
      <c r="CZ158" t="s">
        <v>615</v>
      </c>
      <c r="DA158" t="s">
        <v>664</v>
      </c>
      <c r="DB158" t="s">
        <v>665</v>
      </c>
      <c r="DC158" t="s">
        <v>666</v>
      </c>
      <c r="DD158" s="82" t="s">
        <v>872</v>
      </c>
    </row>
    <row r="159" spans="1:108" ht="16.5" customHeight="1" x14ac:dyDescent="0.25">
      <c r="A159">
        <v>100</v>
      </c>
      <c r="B159">
        <v>735647</v>
      </c>
      <c r="C159">
        <v>4</v>
      </c>
      <c r="D159">
        <v>22</v>
      </c>
      <c r="E159">
        <v>4.2469999999999999</v>
      </c>
      <c r="F159">
        <v>55</v>
      </c>
      <c r="G159" t="s">
        <v>643</v>
      </c>
      <c r="I159">
        <v>6</v>
      </c>
      <c r="J159">
        <v>21</v>
      </c>
      <c r="L159" t="s">
        <v>873</v>
      </c>
      <c r="M159">
        <v>192050022</v>
      </c>
      <c r="N159">
        <v>7</v>
      </c>
      <c r="O159">
        <v>24</v>
      </c>
      <c r="P159">
        <v>2019</v>
      </c>
      <c r="Q159" t="s">
        <v>645</v>
      </c>
      <c r="R159">
        <v>8</v>
      </c>
      <c r="S159">
        <v>98</v>
      </c>
      <c r="T159">
        <v>4</v>
      </c>
      <c r="U159">
        <v>0</v>
      </c>
      <c r="V159">
        <v>2</v>
      </c>
      <c r="W159">
        <v>5</v>
      </c>
      <c r="X159">
        <v>10</v>
      </c>
      <c r="Y159">
        <v>3</v>
      </c>
      <c r="Z159">
        <v>1</v>
      </c>
      <c r="AA159">
        <v>1</v>
      </c>
      <c r="AC159">
        <v>1</v>
      </c>
      <c r="AD159">
        <v>98</v>
      </c>
      <c r="AE159" t="s">
        <v>696</v>
      </c>
      <c r="AG159" t="s">
        <v>713</v>
      </c>
      <c r="AH159">
        <v>9</v>
      </c>
      <c r="AI159">
        <v>2</v>
      </c>
      <c r="AJ159">
        <v>2</v>
      </c>
      <c r="AK159">
        <v>1</v>
      </c>
      <c r="AL159">
        <v>24</v>
      </c>
      <c r="AM159">
        <v>52</v>
      </c>
      <c r="AN159" t="s">
        <v>614</v>
      </c>
      <c r="AO159">
        <v>5</v>
      </c>
      <c r="AP159">
        <v>1</v>
      </c>
      <c r="AT159">
        <v>15</v>
      </c>
      <c r="AU159">
        <v>20</v>
      </c>
      <c r="AV159">
        <v>45</v>
      </c>
      <c r="AW159">
        <v>11</v>
      </c>
      <c r="AX159">
        <v>21</v>
      </c>
      <c r="AY159">
        <v>2</v>
      </c>
      <c r="AZ159">
        <v>2</v>
      </c>
      <c r="BA159">
        <v>2</v>
      </c>
      <c r="BB159">
        <v>21</v>
      </c>
      <c r="BC159">
        <v>40</v>
      </c>
      <c r="BD159" t="s">
        <v>620</v>
      </c>
      <c r="BE159">
        <v>5</v>
      </c>
      <c r="BF159">
        <v>1</v>
      </c>
      <c r="BJ159">
        <v>15</v>
      </c>
      <c r="BK159">
        <v>20</v>
      </c>
      <c r="BL159">
        <v>45</v>
      </c>
      <c r="BM159">
        <v>11</v>
      </c>
      <c r="BN159">
        <v>21</v>
      </c>
      <c r="CU159">
        <v>538591.72439999995</v>
      </c>
      <c r="CV159">
        <v>4876251.2865000004</v>
      </c>
      <c r="CW159">
        <v>44.038413910000003</v>
      </c>
      <c r="CX159">
        <v>-92.518347849999998</v>
      </c>
      <c r="CY159" s="319">
        <v>43670.35833333333</v>
      </c>
      <c r="CZ159" t="s">
        <v>615</v>
      </c>
      <c r="DA159" t="s">
        <v>664</v>
      </c>
      <c r="DB159" t="s">
        <v>665</v>
      </c>
      <c r="DC159" t="s">
        <v>666</v>
      </c>
      <c r="DD159" t="s">
        <v>874</v>
      </c>
    </row>
    <row r="160" spans="1:108" ht="16.5" customHeight="1" x14ac:dyDescent="0.25">
      <c r="A160">
        <v>100</v>
      </c>
      <c r="B160">
        <v>426602</v>
      </c>
      <c r="C160">
        <v>4</v>
      </c>
      <c r="D160">
        <v>22</v>
      </c>
      <c r="E160">
        <v>4.2619999999999996</v>
      </c>
      <c r="F160">
        <v>55</v>
      </c>
      <c r="G160" t="s">
        <v>643</v>
      </c>
      <c r="I160">
        <v>6</v>
      </c>
      <c r="J160">
        <v>21</v>
      </c>
      <c r="L160">
        <v>17010232</v>
      </c>
      <c r="M160">
        <v>170600517</v>
      </c>
      <c r="N160">
        <v>3</v>
      </c>
      <c r="O160">
        <v>1</v>
      </c>
      <c r="P160">
        <v>2017</v>
      </c>
      <c r="Q160" t="s">
        <v>645</v>
      </c>
      <c r="R160">
        <v>17</v>
      </c>
      <c r="S160" t="s">
        <v>673</v>
      </c>
      <c r="T160">
        <v>5</v>
      </c>
      <c r="U160">
        <v>0</v>
      </c>
      <c r="V160">
        <v>4</v>
      </c>
      <c r="W160">
        <v>12</v>
      </c>
      <c r="X160">
        <v>10</v>
      </c>
      <c r="Y160">
        <v>3</v>
      </c>
      <c r="Z160">
        <v>1</v>
      </c>
      <c r="AA160">
        <v>1</v>
      </c>
      <c r="AC160">
        <v>1</v>
      </c>
      <c r="AD160">
        <v>98</v>
      </c>
      <c r="AE160" t="s">
        <v>696</v>
      </c>
      <c r="AF160" t="s">
        <v>857</v>
      </c>
      <c r="AG160" t="s">
        <v>713</v>
      </c>
      <c r="AH160">
        <v>7</v>
      </c>
      <c r="AI160">
        <v>1</v>
      </c>
      <c r="AK160">
        <v>2</v>
      </c>
      <c r="AL160">
        <v>21</v>
      </c>
      <c r="AT160">
        <v>15</v>
      </c>
      <c r="AU160">
        <v>20</v>
      </c>
      <c r="AV160">
        <v>45</v>
      </c>
      <c r="AW160">
        <v>11</v>
      </c>
      <c r="AX160">
        <v>23</v>
      </c>
      <c r="AY160">
        <v>2</v>
      </c>
      <c r="AZ160">
        <v>4</v>
      </c>
      <c r="BA160">
        <v>2</v>
      </c>
      <c r="BB160">
        <v>34</v>
      </c>
      <c r="BC160">
        <v>56</v>
      </c>
      <c r="BD160" t="s">
        <v>620</v>
      </c>
      <c r="BE160">
        <v>5</v>
      </c>
      <c r="BF160">
        <v>1</v>
      </c>
      <c r="BJ160">
        <v>15</v>
      </c>
      <c r="BK160">
        <v>20</v>
      </c>
      <c r="BL160">
        <v>45</v>
      </c>
      <c r="BM160">
        <v>11</v>
      </c>
      <c r="BN160">
        <v>23</v>
      </c>
      <c r="BO160">
        <v>2</v>
      </c>
      <c r="BP160">
        <v>4</v>
      </c>
      <c r="BQ160">
        <v>2</v>
      </c>
      <c r="BR160">
        <v>34</v>
      </c>
      <c r="BS160">
        <v>58</v>
      </c>
      <c r="BT160" t="s">
        <v>614</v>
      </c>
      <c r="BU160">
        <v>5</v>
      </c>
      <c r="BV160">
        <v>1</v>
      </c>
      <c r="BZ160">
        <v>15</v>
      </c>
      <c r="CA160">
        <v>20</v>
      </c>
      <c r="CB160">
        <v>45</v>
      </c>
      <c r="CC160">
        <v>11</v>
      </c>
      <c r="CD160">
        <v>23</v>
      </c>
      <c r="CE160">
        <v>2</v>
      </c>
      <c r="CF160">
        <v>2</v>
      </c>
      <c r="CG160">
        <v>2</v>
      </c>
      <c r="CH160">
        <v>34</v>
      </c>
      <c r="CI160">
        <v>46</v>
      </c>
      <c r="CJ160" t="s">
        <v>620</v>
      </c>
      <c r="CK160">
        <v>5</v>
      </c>
      <c r="CL160">
        <v>1</v>
      </c>
      <c r="CP160">
        <v>15</v>
      </c>
      <c r="CQ160">
        <v>20</v>
      </c>
      <c r="CR160">
        <v>45</v>
      </c>
      <c r="CS160">
        <v>11</v>
      </c>
      <c r="CT160">
        <v>23</v>
      </c>
      <c r="CU160">
        <v>538585.80480000004</v>
      </c>
      <c r="CV160">
        <v>4876275.0913000004</v>
      </c>
      <c r="CW160">
        <v>44.038628539999998</v>
      </c>
      <c r="CX160">
        <v>-92.518419989999998</v>
      </c>
      <c r="CY160" s="319">
        <v>42795.716666666667</v>
      </c>
      <c r="CZ160" t="s">
        <v>615</v>
      </c>
      <c r="DA160" t="s">
        <v>664</v>
      </c>
      <c r="DB160" t="s">
        <v>665</v>
      </c>
      <c r="DC160" t="s">
        <v>666</v>
      </c>
      <c r="DD160" t="s">
        <v>875</v>
      </c>
    </row>
    <row r="161" spans="1:108" ht="16.5" customHeight="1" x14ac:dyDescent="0.25">
      <c r="A161">
        <v>100</v>
      </c>
      <c r="B161">
        <v>499229</v>
      </c>
      <c r="C161">
        <v>5</v>
      </c>
      <c r="D161">
        <v>104</v>
      </c>
      <c r="E161">
        <v>2E-3</v>
      </c>
      <c r="F161">
        <v>55</v>
      </c>
      <c r="G161" t="s">
        <v>643</v>
      </c>
      <c r="I161">
        <v>6</v>
      </c>
      <c r="J161">
        <v>21</v>
      </c>
      <c r="L161" t="s">
        <v>876</v>
      </c>
      <c r="M161">
        <v>172490002</v>
      </c>
      <c r="N161">
        <v>9</v>
      </c>
      <c r="O161">
        <v>6</v>
      </c>
      <c r="P161">
        <v>2017</v>
      </c>
      <c r="Q161" t="s">
        <v>645</v>
      </c>
      <c r="R161">
        <v>0</v>
      </c>
      <c r="S161" t="s">
        <v>639</v>
      </c>
      <c r="T161">
        <v>5</v>
      </c>
      <c r="U161">
        <v>0</v>
      </c>
      <c r="V161">
        <v>2</v>
      </c>
      <c r="W161">
        <v>12</v>
      </c>
      <c r="X161">
        <v>10</v>
      </c>
      <c r="Y161">
        <v>3</v>
      </c>
      <c r="Z161">
        <v>4</v>
      </c>
      <c r="AA161">
        <v>1</v>
      </c>
      <c r="AC161">
        <v>99</v>
      </c>
      <c r="AD161">
        <v>98</v>
      </c>
      <c r="AE161" t="s">
        <v>855</v>
      </c>
      <c r="AF161" t="s">
        <v>696</v>
      </c>
      <c r="AG161" t="s">
        <v>877</v>
      </c>
      <c r="AH161">
        <v>7</v>
      </c>
      <c r="AI161">
        <v>2</v>
      </c>
      <c r="AJ161">
        <v>2</v>
      </c>
      <c r="AK161">
        <v>4</v>
      </c>
      <c r="AL161">
        <v>21</v>
      </c>
      <c r="AM161">
        <v>29</v>
      </c>
      <c r="AN161" t="s">
        <v>620</v>
      </c>
      <c r="AO161">
        <v>10</v>
      </c>
      <c r="AP161">
        <v>90</v>
      </c>
      <c r="AT161">
        <v>15</v>
      </c>
      <c r="AU161">
        <v>20</v>
      </c>
      <c r="AV161">
        <v>30</v>
      </c>
      <c r="AW161">
        <v>11</v>
      </c>
      <c r="AX161">
        <v>22</v>
      </c>
      <c r="AY161">
        <v>2</v>
      </c>
      <c r="AZ161">
        <v>2</v>
      </c>
      <c r="BA161">
        <v>4</v>
      </c>
      <c r="BB161">
        <v>34</v>
      </c>
      <c r="BC161">
        <v>47</v>
      </c>
      <c r="BD161" t="s">
        <v>620</v>
      </c>
      <c r="BE161">
        <v>5</v>
      </c>
      <c r="BF161">
        <v>1</v>
      </c>
      <c r="BJ161">
        <v>15</v>
      </c>
      <c r="BK161">
        <v>20</v>
      </c>
      <c r="BL161">
        <v>30</v>
      </c>
      <c r="BM161">
        <v>11</v>
      </c>
      <c r="BN161">
        <v>22</v>
      </c>
      <c r="CU161">
        <v>538620.49679999996</v>
      </c>
      <c r="CV161">
        <v>4876251.8063000003</v>
      </c>
      <c r="CW161">
        <v>44.038417070000001</v>
      </c>
      <c r="CX161">
        <v>-92.517988720000005</v>
      </c>
      <c r="CY161" s="319">
        <v>42984.013888888891</v>
      </c>
      <c r="CZ161" t="s">
        <v>615</v>
      </c>
      <c r="DA161" t="s">
        <v>664</v>
      </c>
      <c r="DB161" t="s">
        <v>665</v>
      </c>
      <c r="DC161" t="s">
        <v>666</v>
      </c>
      <c r="DD161" t="s">
        <v>878</v>
      </c>
    </row>
    <row r="162" spans="1:108" ht="16.5" customHeight="1" x14ac:dyDescent="0.25">
      <c r="A162">
        <v>100</v>
      </c>
      <c r="B162">
        <v>933078</v>
      </c>
      <c r="C162">
        <v>10</v>
      </c>
      <c r="D162">
        <v>457</v>
      </c>
      <c r="E162">
        <v>0.747</v>
      </c>
      <c r="F162">
        <v>55</v>
      </c>
      <c r="G162">
        <v>2396395</v>
      </c>
      <c r="J162">
        <v>21</v>
      </c>
      <c r="L162">
        <v>21033437</v>
      </c>
      <c r="M162">
        <v>212210012</v>
      </c>
      <c r="N162">
        <v>8</v>
      </c>
      <c r="O162">
        <v>9</v>
      </c>
      <c r="P162">
        <v>2021</v>
      </c>
      <c r="Q162" t="s">
        <v>610</v>
      </c>
      <c r="R162">
        <v>6</v>
      </c>
      <c r="S162">
        <v>98</v>
      </c>
      <c r="T162">
        <v>5</v>
      </c>
      <c r="U162">
        <v>0</v>
      </c>
      <c r="V162">
        <v>2</v>
      </c>
      <c r="W162">
        <v>10</v>
      </c>
      <c r="X162">
        <v>10</v>
      </c>
      <c r="Y162">
        <v>3</v>
      </c>
      <c r="Z162">
        <v>1</v>
      </c>
      <c r="AA162">
        <v>1</v>
      </c>
      <c r="AC162">
        <v>1</v>
      </c>
      <c r="AD162">
        <v>98</v>
      </c>
      <c r="AE162" t="s">
        <v>871</v>
      </c>
      <c r="AG162" t="s">
        <v>879</v>
      </c>
      <c r="AH162">
        <v>5</v>
      </c>
      <c r="AI162">
        <v>2</v>
      </c>
      <c r="AJ162">
        <v>2</v>
      </c>
      <c r="AK162">
        <v>3</v>
      </c>
      <c r="AL162">
        <v>23</v>
      </c>
      <c r="AM162">
        <v>31</v>
      </c>
      <c r="AN162" t="s">
        <v>620</v>
      </c>
      <c r="AO162">
        <v>5</v>
      </c>
      <c r="AP162">
        <v>90</v>
      </c>
      <c r="AT162">
        <v>12</v>
      </c>
      <c r="AU162">
        <v>20</v>
      </c>
      <c r="AV162">
        <v>30</v>
      </c>
      <c r="AW162">
        <v>11</v>
      </c>
      <c r="AX162">
        <v>21</v>
      </c>
      <c r="AY162">
        <v>2</v>
      </c>
      <c r="AZ162">
        <v>49</v>
      </c>
      <c r="BA162">
        <v>3</v>
      </c>
      <c r="BB162">
        <v>23</v>
      </c>
      <c r="BC162">
        <v>51</v>
      </c>
      <c r="BD162" t="s">
        <v>614</v>
      </c>
      <c r="BE162">
        <v>5</v>
      </c>
      <c r="BF162">
        <v>1</v>
      </c>
      <c r="BJ162">
        <v>12</v>
      </c>
      <c r="BK162">
        <v>20</v>
      </c>
      <c r="BL162">
        <v>30</v>
      </c>
      <c r="BM162">
        <v>11</v>
      </c>
      <c r="BN162">
        <v>21</v>
      </c>
      <c r="CU162">
        <v>538584.58744395</v>
      </c>
      <c r="CV162">
        <v>4876241.6764215603</v>
      </c>
      <c r="CW162">
        <v>44.038319860000001</v>
      </c>
      <c r="CX162">
        <v>-92.518430210000005</v>
      </c>
      <c r="CY162" s="319">
        <v>44417.285416666666</v>
      </c>
      <c r="CZ162" t="s">
        <v>615</v>
      </c>
      <c r="DA162" t="s">
        <v>664</v>
      </c>
      <c r="DB162" t="s">
        <v>665</v>
      </c>
      <c r="DC162" t="s">
        <v>666</v>
      </c>
      <c r="DD162" s="82" t="s">
        <v>880</v>
      </c>
    </row>
    <row r="163" spans="1:108" ht="16.5" customHeight="1" x14ac:dyDescent="0.25">
      <c r="A163">
        <v>110</v>
      </c>
      <c r="B163">
        <v>517755</v>
      </c>
      <c r="C163">
        <v>4</v>
      </c>
      <c r="D163">
        <v>22</v>
      </c>
      <c r="E163">
        <v>4.1580000000000004</v>
      </c>
      <c r="F163">
        <v>55</v>
      </c>
      <c r="G163" t="s">
        <v>643</v>
      </c>
      <c r="I163">
        <v>6</v>
      </c>
      <c r="J163">
        <v>21</v>
      </c>
      <c r="L163">
        <v>17055794</v>
      </c>
      <c r="M163">
        <v>173200184</v>
      </c>
      <c r="N163">
        <v>11</v>
      </c>
      <c r="O163">
        <v>16</v>
      </c>
      <c r="P163">
        <v>2017</v>
      </c>
      <c r="Q163" t="s">
        <v>619</v>
      </c>
      <c r="R163">
        <v>16</v>
      </c>
      <c r="T163">
        <v>5</v>
      </c>
      <c r="U163">
        <v>0</v>
      </c>
      <c r="V163">
        <v>2</v>
      </c>
      <c r="W163">
        <v>10</v>
      </c>
      <c r="X163">
        <v>10</v>
      </c>
      <c r="Y163">
        <v>3</v>
      </c>
      <c r="Z163">
        <v>4</v>
      </c>
      <c r="AA163">
        <v>1</v>
      </c>
      <c r="AC163">
        <v>1</v>
      </c>
      <c r="AD163">
        <v>98</v>
      </c>
      <c r="AE163" t="s">
        <v>696</v>
      </c>
      <c r="AG163" t="s">
        <v>715</v>
      </c>
      <c r="AH163">
        <v>5</v>
      </c>
      <c r="AI163">
        <v>2</v>
      </c>
      <c r="AJ163">
        <v>2</v>
      </c>
      <c r="AK163">
        <v>1</v>
      </c>
      <c r="AL163">
        <v>28</v>
      </c>
      <c r="AM163">
        <v>75</v>
      </c>
      <c r="AN163" t="s">
        <v>620</v>
      </c>
      <c r="AO163">
        <v>5</v>
      </c>
      <c r="AP163">
        <v>10</v>
      </c>
      <c r="AT163">
        <v>14</v>
      </c>
      <c r="AU163">
        <v>20</v>
      </c>
      <c r="AV163">
        <v>45</v>
      </c>
      <c r="AW163">
        <v>11</v>
      </c>
      <c r="AX163">
        <v>21</v>
      </c>
      <c r="AY163">
        <v>2</v>
      </c>
      <c r="AZ163">
        <v>4</v>
      </c>
      <c r="BA163">
        <v>1</v>
      </c>
      <c r="BB163">
        <v>21</v>
      </c>
      <c r="BC163">
        <v>37</v>
      </c>
      <c r="BD163" t="s">
        <v>620</v>
      </c>
      <c r="BE163">
        <v>5</v>
      </c>
      <c r="BF163">
        <v>4</v>
      </c>
      <c r="BJ163">
        <v>14</v>
      </c>
      <c r="BK163">
        <v>20</v>
      </c>
      <c r="BL163">
        <v>45</v>
      </c>
      <c r="BM163">
        <v>11</v>
      </c>
      <c r="BN163">
        <v>21</v>
      </c>
      <c r="CU163">
        <v>538647.32869999995</v>
      </c>
      <c r="CV163">
        <v>4876130.5421000002</v>
      </c>
      <c r="CW163">
        <v>44.037323899999997</v>
      </c>
      <c r="CX163">
        <v>-92.517662700000002</v>
      </c>
      <c r="CY163" s="319">
        <v>43055.697222222225</v>
      </c>
      <c r="CZ163" t="s">
        <v>615</v>
      </c>
      <c r="DA163" t="s">
        <v>664</v>
      </c>
      <c r="DB163" t="s">
        <v>665</v>
      </c>
      <c r="DC163" t="s">
        <v>666</v>
      </c>
      <c r="DD163" s="82" t="s">
        <v>881</v>
      </c>
    </row>
    <row r="164" spans="1:108" ht="16.5" customHeight="1" x14ac:dyDescent="0.25">
      <c r="A164">
        <v>110</v>
      </c>
      <c r="B164">
        <v>491538</v>
      </c>
      <c r="C164">
        <v>4</v>
      </c>
      <c r="D164">
        <v>22</v>
      </c>
      <c r="E164">
        <v>4.165</v>
      </c>
      <c r="F164">
        <v>55</v>
      </c>
      <c r="G164" t="s">
        <v>643</v>
      </c>
      <c r="I164">
        <v>6</v>
      </c>
      <c r="J164">
        <v>21</v>
      </c>
      <c r="L164">
        <v>17038442</v>
      </c>
      <c r="M164">
        <v>172150171</v>
      </c>
      <c r="N164">
        <v>8</v>
      </c>
      <c r="O164">
        <v>3</v>
      </c>
      <c r="P164">
        <v>2017</v>
      </c>
      <c r="Q164" t="s">
        <v>619</v>
      </c>
      <c r="R164">
        <v>20</v>
      </c>
      <c r="S164" t="s">
        <v>611</v>
      </c>
      <c r="T164">
        <v>4</v>
      </c>
      <c r="U164">
        <v>0</v>
      </c>
      <c r="V164">
        <v>2</v>
      </c>
      <c r="W164">
        <v>5</v>
      </c>
      <c r="X164">
        <v>10</v>
      </c>
      <c r="Y164">
        <v>3</v>
      </c>
      <c r="Z164">
        <v>4</v>
      </c>
      <c r="AA164">
        <v>3</v>
      </c>
      <c r="AC164">
        <v>2</v>
      </c>
      <c r="AD164">
        <v>98</v>
      </c>
      <c r="AE164" t="s">
        <v>696</v>
      </c>
      <c r="AF164" t="s">
        <v>882</v>
      </c>
      <c r="AG164" t="s">
        <v>715</v>
      </c>
      <c r="AH164">
        <v>10</v>
      </c>
      <c r="AI164">
        <v>2</v>
      </c>
      <c r="AJ164">
        <v>4</v>
      </c>
      <c r="AK164">
        <v>1</v>
      </c>
      <c r="AL164">
        <v>21</v>
      </c>
      <c r="AM164">
        <v>18</v>
      </c>
      <c r="AN164" t="s">
        <v>620</v>
      </c>
      <c r="AO164">
        <v>5</v>
      </c>
      <c r="AP164">
        <v>74</v>
      </c>
      <c r="AT164">
        <v>15</v>
      </c>
      <c r="AU164">
        <v>20</v>
      </c>
      <c r="AV164">
        <v>45</v>
      </c>
      <c r="AW164">
        <v>11</v>
      </c>
      <c r="AX164">
        <v>21</v>
      </c>
      <c r="AY164">
        <v>2</v>
      </c>
      <c r="AZ164">
        <v>4</v>
      </c>
      <c r="BA164">
        <v>4</v>
      </c>
      <c r="BB164">
        <v>24</v>
      </c>
      <c r="BC164">
        <v>30</v>
      </c>
      <c r="BD164" t="s">
        <v>620</v>
      </c>
      <c r="BE164">
        <v>5</v>
      </c>
      <c r="BF164">
        <v>1</v>
      </c>
      <c r="BJ164">
        <v>11</v>
      </c>
      <c r="BK164">
        <v>20</v>
      </c>
      <c r="BL164">
        <v>45</v>
      </c>
      <c r="BM164">
        <v>11</v>
      </c>
      <c r="BN164">
        <v>21</v>
      </c>
      <c r="CU164">
        <v>538645.73080000002</v>
      </c>
      <c r="CV164">
        <v>4876141.8901000004</v>
      </c>
      <c r="CW164">
        <v>44.037426160000003</v>
      </c>
      <c r="CX164">
        <v>-92.517681809999999</v>
      </c>
      <c r="CY164" s="319">
        <v>42950.870833333334</v>
      </c>
      <c r="CZ164" t="s">
        <v>615</v>
      </c>
      <c r="DA164" t="s">
        <v>664</v>
      </c>
      <c r="DB164" t="s">
        <v>665</v>
      </c>
      <c r="DC164" t="s">
        <v>666</v>
      </c>
      <c r="DD164" t="s">
        <v>883</v>
      </c>
    </row>
    <row r="165" spans="1:108" ht="16.5" customHeight="1" x14ac:dyDescent="0.25">
      <c r="A165">
        <v>110</v>
      </c>
      <c r="B165">
        <v>944184</v>
      </c>
      <c r="C165">
        <v>4</v>
      </c>
      <c r="D165">
        <v>22</v>
      </c>
      <c r="E165">
        <v>4.1680000000000001</v>
      </c>
      <c r="F165">
        <v>55</v>
      </c>
      <c r="G165" t="s">
        <v>643</v>
      </c>
      <c r="I165">
        <v>6</v>
      </c>
      <c r="J165">
        <v>21</v>
      </c>
      <c r="L165" t="s">
        <v>884</v>
      </c>
      <c r="M165">
        <v>212740087</v>
      </c>
      <c r="N165">
        <v>10</v>
      </c>
      <c r="O165">
        <v>1</v>
      </c>
      <c r="P165">
        <v>2021</v>
      </c>
      <c r="Q165" t="s">
        <v>638</v>
      </c>
      <c r="R165">
        <v>11</v>
      </c>
      <c r="S165">
        <v>98</v>
      </c>
      <c r="T165">
        <v>5</v>
      </c>
      <c r="U165">
        <v>0</v>
      </c>
      <c r="V165">
        <v>2</v>
      </c>
      <c r="W165">
        <v>12</v>
      </c>
      <c r="X165">
        <v>10</v>
      </c>
      <c r="Y165">
        <v>2</v>
      </c>
      <c r="Z165">
        <v>1</v>
      </c>
      <c r="AA165">
        <v>1</v>
      </c>
      <c r="AC165">
        <v>1</v>
      </c>
      <c r="AD165">
        <v>98</v>
      </c>
      <c r="AE165" t="s">
        <v>696</v>
      </c>
      <c r="AF165" t="s">
        <v>885</v>
      </c>
      <c r="AG165" t="s">
        <v>715</v>
      </c>
      <c r="AH165">
        <v>7</v>
      </c>
      <c r="AI165">
        <v>2</v>
      </c>
      <c r="AJ165">
        <v>2</v>
      </c>
      <c r="AK165">
        <v>1</v>
      </c>
      <c r="AL165">
        <v>21</v>
      </c>
      <c r="AM165">
        <v>34</v>
      </c>
      <c r="AN165" t="s">
        <v>614</v>
      </c>
      <c r="AO165">
        <v>5</v>
      </c>
      <c r="AP165">
        <v>1</v>
      </c>
      <c r="AT165">
        <v>15</v>
      </c>
      <c r="AU165">
        <v>9</v>
      </c>
      <c r="AV165">
        <v>45</v>
      </c>
      <c r="AW165">
        <v>11</v>
      </c>
      <c r="AX165">
        <v>21</v>
      </c>
      <c r="AY165">
        <v>2</v>
      </c>
      <c r="AZ165">
        <v>4</v>
      </c>
      <c r="BA165">
        <v>1</v>
      </c>
      <c r="BB165">
        <v>21</v>
      </c>
      <c r="BC165">
        <v>22</v>
      </c>
      <c r="BD165" t="s">
        <v>620</v>
      </c>
      <c r="BE165">
        <v>5</v>
      </c>
      <c r="BF165">
        <v>1</v>
      </c>
      <c r="BJ165">
        <v>15</v>
      </c>
      <c r="BK165">
        <v>9</v>
      </c>
      <c r="BL165">
        <v>45</v>
      </c>
      <c r="BM165">
        <v>11</v>
      </c>
      <c r="BN165">
        <v>21</v>
      </c>
      <c r="CU165">
        <v>538645.09210000001</v>
      </c>
      <c r="CV165">
        <v>4876146.4261999996</v>
      </c>
      <c r="CW165">
        <v>44.037467030000002</v>
      </c>
      <c r="CX165">
        <v>-92.517689450000006</v>
      </c>
      <c r="CY165" s="319">
        <v>44470.461805555555</v>
      </c>
      <c r="CZ165" t="s">
        <v>615</v>
      </c>
      <c r="DA165" t="s">
        <v>664</v>
      </c>
      <c r="DB165" t="s">
        <v>665</v>
      </c>
      <c r="DC165" t="s">
        <v>666</v>
      </c>
      <c r="DD165" t="s">
        <v>886</v>
      </c>
    </row>
    <row r="166" spans="1:108" ht="16.5" customHeight="1" x14ac:dyDescent="0.25">
      <c r="A166">
        <v>110</v>
      </c>
      <c r="B166">
        <v>725007</v>
      </c>
      <c r="C166">
        <v>4</v>
      </c>
      <c r="D166">
        <v>22</v>
      </c>
      <c r="E166">
        <v>4.1719999999999997</v>
      </c>
      <c r="F166">
        <v>55</v>
      </c>
      <c r="G166" t="s">
        <v>643</v>
      </c>
      <c r="I166">
        <v>6</v>
      </c>
      <c r="J166">
        <v>21</v>
      </c>
      <c r="L166" t="s">
        <v>887</v>
      </c>
      <c r="M166">
        <v>191570154</v>
      </c>
      <c r="N166">
        <v>6</v>
      </c>
      <c r="O166">
        <v>6</v>
      </c>
      <c r="P166">
        <v>2019</v>
      </c>
      <c r="Q166" t="s">
        <v>619</v>
      </c>
      <c r="R166">
        <v>21</v>
      </c>
      <c r="S166" t="s">
        <v>611</v>
      </c>
      <c r="T166">
        <v>4</v>
      </c>
      <c r="U166">
        <v>0</v>
      </c>
      <c r="V166">
        <v>2</v>
      </c>
      <c r="W166">
        <v>5</v>
      </c>
      <c r="X166">
        <v>10</v>
      </c>
      <c r="Y166">
        <v>3</v>
      </c>
      <c r="Z166">
        <v>3</v>
      </c>
      <c r="AA166">
        <v>1</v>
      </c>
      <c r="AC166">
        <v>1</v>
      </c>
      <c r="AD166">
        <v>98</v>
      </c>
      <c r="AE166" t="s">
        <v>696</v>
      </c>
      <c r="AG166" t="s">
        <v>715</v>
      </c>
      <c r="AH166">
        <v>10</v>
      </c>
      <c r="AI166">
        <v>2</v>
      </c>
      <c r="AJ166">
        <v>5</v>
      </c>
      <c r="AK166">
        <v>1</v>
      </c>
      <c r="AL166">
        <v>21</v>
      </c>
      <c r="AM166">
        <v>17</v>
      </c>
      <c r="AN166" t="s">
        <v>620</v>
      </c>
      <c r="AO166">
        <v>5</v>
      </c>
      <c r="AP166">
        <v>1</v>
      </c>
      <c r="AT166">
        <v>13</v>
      </c>
      <c r="AU166">
        <v>20</v>
      </c>
      <c r="AV166">
        <v>55</v>
      </c>
      <c r="AW166">
        <v>11</v>
      </c>
      <c r="AX166">
        <v>22</v>
      </c>
      <c r="AY166">
        <v>2</v>
      </c>
      <c r="AZ166">
        <v>4</v>
      </c>
      <c r="BA166">
        <v>3</v>
      </c>
      <c r="BB166">
        <v>24</v>
      </c>
      <c r="BC166">
        <v>16</v>
      </c>
      <c r="BD166" t="s">
        <v>620</v>
      </c>
      <c r="BE166">
        <v>5</v>
      </c>
      <c r="BF166">
        <v>70</v>
      </c>
      <c r="BJ166">
        <v>13</v>
      </c>
      <c r="BK166">
        <v>20</v>
      </c>
      <c r="BL166">
        <v>55</v>
      </c>
      <c r="BM166">
        <v>11</v>
      </c>
      <c r="BN166">
        <v>22</v>
      </c>
      <c r="CU166">
        <v>538644.16929999995</v>
      </c>
      <c r="CV166">
        <v>4876152.9798999997</v>
      </c>
      <c r="CW166">
        <v>44.037526079999999</v>
      </c>
      <c r="CX166">
        <v>-92.517700489999996</v>
      </c>
      <c r="CY166" s="319">
        <v>43622.875</v>
      </c>
      <c r="CZ166" t="s">
        <v>615</v>
      </c>
      <c r="DA166" t="s">
        <v>664</v>
      </c>
      <c r="DB166" t="s">
        <v>665</v>
      </c>
      <c r="DC166" t="s">
        <v>666</v>
      </c>
      <c r="DD166" t="s">
        <v>888</v>
      </c>
    </row>
    <row r="167" spans="1:108" ht="16.5" customHeight="1" x14ac:dyDescent="0.25">
      <c r="A167">
        <v>110</v>
      </c>
      <c r="B167">
        <v>524800</v>
      </c>
      <c r="C167">
        <v>4</v>
      </c>
      <c r="D167">
        <v>22</v>
      </c>
      <c r="E167">
        <v>4.1849999999999996</v>
      </c>
      <c r="F167">
        <v>55</v>
      </c>
      <c r="G167" t="s">
        <v>643</v>
      </c>
      <c r="I167">
        <v>6</v>
      </c>
      <c r="J167">
        <v>21</v>
      </c>
      <c r="L167">
        <v>17060227</v>
      </c>
      <c r="M167">
        <v>173470288</v>
      </c>
      <c r="N167">
        <v>12</v>
      </c>
      <c r="O167">
        <v>13</v>
      </c>
      <c r="P167">
        <v>2017</v>
      </c>
      <c r="Q167" t="s">
        <v>645</v>
      </c>
      <c r="R167">
        <v>17</v>
      </c>
      <c r="S167" t="s">
        <v>673</v>
      </c>
      <c r="T167">
        <v>4</v>
      </c>
      <c r="U167">
        <v>0</v>
      </c>
      <c r="V167">
        <v>3</v>
      </c>
      <c r="W167">
        <v>12</v>
      </c>
      <c r="X167">
        <v>10</v>
      </c>
      <c r="Y167">
        <v>10</v>
      </c>
      <c r="Z167">
        <v>4</v>
      </c>
      <c r="AA167">
        <v>1</v>
      </c>
      <c r="AC167">
        <v>1</v>
      </c>
      <c r="AD167">
        <v>98</v>
      </c>
      <c r="AE167" t="s">
        <v>696</v>
      </c>
      <c r="AG167" t="s">
        <v>713</v>
      </c>
      <c r="AH167">
        <v>7</v>
      </c>
      <c r="AI167">
        <v>2</v>
      </c>
      <c r="AJ167">
        <v>4</v>
      </c>
      <c r="AK167">
        <v>2</v>
      </c>
      <c r="AL167">
        <v>21</v>
      </c>
      <c r="AM167">
        <v>51</v>
      </c>
      <c r="AN167" t="s">
        <v>614</v>
      </c>
      <c r="AO167">
        <v>5</v>
      </c>
      <c r="AP167">
        <v>4</v>
      </c>
      <c r="AQ167">
        <v>75</v>
      </c>
      <c r="AT167">
        <v>15</v>
      </c>
      <c r="AU167">
        <v>20</v>
      </c>
      <c r="AV167">
        <v>45</v>
      </c>
      <c r="AW167">
        <v>11</v>
      </c>
      <c r="AX167">
        <v>21</v>
      </c>
      <c r="AY167">
        <v>2</v>
      </c>
      <c r="AZ167">
        <v>4</v>
      </c>
      <c r="BA167">
        <v>2</v>
      </c>
      <c r="BB167">
        <v>34</v>
      </c>
      <c r="BC167">
        <v>45</v>
      </c>
      <c r="BD167" t="s">
        <v>620</v>
      </c>
      <c r="BE167">
        <v>5</v>
      </c>
      <c r="BF167">
        <v>1</v>
      </c>
      <c r="BJ167">
        <v>15</v>
      </c>
      <c r="BK167">
        <v>20</v>
      </c>
      <c r="BL167">
        <v>45</v>
      </c>
      <c r="BM167">
        <v>11</v>
      </c>
      <c r="BN167">
        <v>21</v>
      </c>
      <c r="BO167">
        <v>2</v>
      </c>
      <c r="BP167">
        <v>4</v>
      </c>
      <c r="BQ167">
        <v>2</v>
      </c>
      <c r="BR167">
        <v>34</v>
      </c>
      <c r="BS167">
        <v>53</v>
      </c>
      <c r="BT167" t="s">
        <v>614</v>
      </c>
      <c r="BU167">
        <v>5</v>
      </c>
      <c r="BV167">
        <v>1</v>
      </c>
      <c r="BZ167">
        <v>15</v>
      </c>
      <c r="CA167">
        <v>20</v>
      </c>
      <c r="CB167">
        <v>45</v>
      </c>
      <c r="CC167">
        <v>11</v>
      </c>
      <c r="CD167">
        <v>21</v>
      </c>
      <c r="CU167">
        <v>538615.19339999999</v>
      </c>
      <c r="CV167">
        <v>4876153.3932999996</v>
      </c>
      <c r="CW167">
        <v>44.03753133</v>
      </c>
      <c r="CX167">
        <v>-92.518062090000001</v>
      </c>
      <c r="CY167" s="319">
        <v>43082.715277777781</v>
      </c>
      <c r="CZ167" t="s">
        <v>615</v>
      </c>
      <c r="DA167" t="s">
        <v>664</v>
      </c>
      <c r="DB167" t="s">
        <v>665</v>
      </c>
      <c r="DC167" t="s">
        <v>666</v>
      </c>
      <c r="DD167" t="s">
        <v>889</v>
      </c>
    </row>
    <row r="168" spans="1:108" ht="16.5" customHeight="1" x14ac:dyDescent="0.25">
      <c r="A168">
        <v>110</v>
      </c>
      <c r="B168">
        <v>532011</v>
      </c>
      <c r="C168">
        <v>4</v>
      </c>
      <c r="D168">
        <v>22</v>
      </c>
      <c r="E168">
        <v>4.1859999999999999</v>
      </c>
      <c r="F168">
        <v>55</v>
      </c>
      <c r="G168" t="s">
        <v>643</v>
      </c>
      <c r="I168">
        <v>6</v>
      </c>
      <c r="J168">
        <v>21</v>
      </c>
      <c r="L168">
        <v>18000349</v>
      </c>
      <c r="M168">
        <v>180030032</v>
      </c>
      <c r="N168">
        <v>1</v>
      </c>
      <c r="O168">
        <v>3</v>
      </c>
      <c r="P168">
        <v>2018</v>
      </c>
      <c r="Q168" t="s">
        <v>645</v>
      </c>
      <c r="R168">
        <v>7</v>
      </c>
      <c r="T168">
        <v>5</v>
      </c>
      <c r="U168">
        <v>0</v>
      </c>
      <c r="V168">
        <v>2</v>
      </c>
      <c r="W168">
        <v>12</v>
      </c>
      <c r="X168">
        <v>10</v>
      </c>
      <c r="Y168">
        <v>2</v>
      </c>
      <c r="Z168">
        <v>1</v>
      </c>
      <c r="AA168">
        <v>7</v>
      </c>
      <c r="AC168">
        <v>5</v>
      </c>
      <c r="AD168">
        <v>98</v>
      </c>
      <c r="AE168" t="s">
        <v>696</v>
      </c>
      <c r="AG168" t="s">
        <v>713</v>
      </c>
      <c r="AH168">
        <v>7</v>
      </c>
      <c r="AI168">
        <v>2</v>
      </c>
      <c r="AJ168">
        <v>2</v>
      </c>
      <c r="AK168">
        <v>2</v>
      </c>
      <c r="AL168">
        <v>21</v>
      </c>
      <c r="AM168">
        <v>20</v>
      </c>
      <c r="AN168" t="s">
        <v>614</v>
      </c>
      <c r="AO168">
        <v>5</v>
      </c>
      <c r="AP168">
        <v>90</v>
      </c>
      <c r="AT168">
        <v>15</v>
      </c>
      <c r="AU168">
        <v>98</v>
      </c>
      <c r="AV168">
        <v>45</v>
      </c>
      <c r="AW168">
        <v>11</v>
      </c>
      <c r="AX168">
        <v>23</v>
      </c>
      <c r="AY168">
        <v>2</v>
      </c>
      <c r="AZ168">
        <v>4</v>
      </c>
      <c r="BA168">
        <v>2</v>
      </c>
      <c r="BB168">
        <v>26</v>
      </c>
      <c r="BC168">
        <v>30</v>
      </c>
      <c r="BD168" t="s">
        <v>614</v>
      </c>
      <c r="BE168">
        <v>5</v>
      </c>
      <c r="BF168">
        <v>1</v>
      </c>
      <c r="BJ168">
        <v>15</v>
      </c>
      <c r="BK168">
        <v>98</v>
      </c>
      <c r="BL168">
        <v>45</v>
      </c>
      <c r="BM168">
        <v>11</v>
      </c>
      <c r="BN168">
        <v>23</v>
      </c>
      <c r="CU168">
        <v>538614.78410000005</v>
      </c>
      <c r="CV168">
        <v>4876155.1222000001</v>
      </c>
      <c r="CW168">
        <v>44.037546919999997</v>
      </c>
      <c r="CX168">
        <v>-92.518067070000001</v>
      </c>
      <c r="CY168" s="319">
        <v>43103.326388888891</v>
      </c>
      <c r="CZ168" t="s">
        <v>615</v>
      </c>
      <c r="DA168" t="s">
        <v>664</v>
      </c>
      <c r="DB168" t="s">
        <v>665</v>
      </c>
      <c r="DC168" t="s">
        <v>666</v>
      </c>
      <c r="DD168" t="s">
        <v>890</v>
      </c>
    </row>
    <row r="169" spans="1:108" ht="16.5" customHeight="1" x14ac:dyDescent="0.25">
      <c r="A169">
        <v>110</v>
      </c>
      <c r="B169">
        <v>864906</v>
      </c>
      <c r="C169">
        <v>4</v>
      </c>
      <c r="D169">
        <v>22</v>
      </c>
      <c r="E169">
        <v>4.1879999999999997</v>
      </c>
      <c r="F169">
        <v>55</v>
      </c>
      <c r="G169" t="s">
        <v>643</v>
      </c>
      <c r="I169">
        <v>6</v>
      </c>
      <c r="J169">
        <v>21</v>
      </c>
      <c r="L169" t="s">
        <v>891</v>
      </c>
      <c r="M169">
        <v>203280019</v>
      </c>
      <c r="N169">
        <v>11</v>
      </c>
      <c r="O169">
        <v>23</v>
      </c>
      <c r="P169">
        <v>2020</v>
      </c>
      <c r="Q169" t="s">
        <v>610</v>
      </c>
      <c r="R169">
        <v>11</v>
      </c>
      <c r="S169" t="s">
        <v>673</v>
      </c>
      <c r="T169">
        <v>5</v>
      </c>
      <c r="U169">
        <v>0</v>
      </c>
      <c r="V169">
        <v>2</v>
      </c>
      <c r="W169">
        <v>5</v>
      </c>
      <c r="X169">
        <v>10</v>
      </c>
      <c r="Y169">
        <v>3</v>
      </c>
      <c r="Z169">
        <v>1</v>
      </c>
      <c r="AA169">
        <v>1</v>
      </c>
      <c r="AC169">
        <v>1</v>
      </c>
      <c r="AD169">
        <v>98</v>
      </c>
      <c r="AE169" t="s">
        <v>696</v>
      </c>
      <c r="AF169" t="s">
        <v>892</v>
      </c>
      <c r="AG169" t="s">
        <v>713</v>
      </c>
      <c r="AH169">
        <v>10</v>
      </c>
      <c r="AI169">
        <v>2</v>
      </c>
      <c r="AJ169">
        <v>5</v>
      </c>
      <c r="AK169">
        <v>4</v>
      </c>
      <c r="AL169">
        <v>24</v>
      </c>
      <c r="AM169">
        <v>47</v>
      </c>
      <c r="AN169" t="s">
        <v>614</v>
      </c>
      <c r="AO169">
        <v>5</v>
      </c>
      <c r="AP169">
        <v>1</v>
      </c>
      <c r="AT169">
        <v>15</v>
      </c>
      <c r="AU169">
        <v>20</v>
      </c>
      <c r="AV169">
        <v>40</v>
      </c>
      <c r="AW169">
        <v>11</v>
      </c>
      <c r="AX169">
        <v>21</v>
      </c>
      <c r="AY169">
        <v>2</v>
      </c>
      <c r="AZ169">
        <v>2</v>
      </c>
      <c r="BA169">
        <v>2</v>
      </c>
      <c r="BB169">
        <v>21</v>
      </c>
      <c r="BC169">
        <v>23</v>
      </c>
      <c r="BD169" t="s">
        <v>614</v>
      </c>
      <c r="BE169">
        <v>5</v>
      </c>
      <c r="BF169">
        <v>63</v>
      </c>
      <c r="BG169">
        <v>74</v>
      </c>
      <c r="BJ169">
        <v>15</v>
      </c>
      <c r="BK169">
        <v>20</v>
      </c>
      <c r="BL169">
        <v>45</v>
      </c>
      <c r="BM169">
        <v>11</v>
      </c>
      <c r="BN169">
        <v>21</v>
      </c>
      <c r="CU169">
        <v>538613.9632</v>
      </c>
      <c r="CV169">
        <v>4876158.5895999996</v>
      </c>
      <c r="CW169">
        <v>44.037578179999997</v>
      </c>
      <c r="CX169">
        <v>-92.518077059999996</v>
      </c>
      <c r="CY169" s="319">
        <v>44158.47152777778</v>
      </c>
      <c r="CZ169" t="s">
        <v>615</v>
      </c>
      <c r="DA169" t="s">
        <v>664</v>
      </c>
      <c r="DB169" t="s">
        <v>665</v>
      </c>
      <c r="DC169" t="s">
        <v>666</v>
      </c>
      <c r="DD169" s="82" t="s">
        <v>893</v>
      </c>
    </row>
    <row r="170" spans="1:108" ht="16.5" customHeight="1" x14ac:dyDescent="0.25">
      <c r="A170">
        <v>110</v>
      </c>
      <c r="B170">
        <v>509372</v>
      </c>
      <c r="C170">
        <v>4</v>
      </c>
      <c r="D170">
        <v>22</v>
      </c>
      <c r="E170">
        <v>4.1879999999999997</v>
      </c>
      <c r="F170">
        <v>55</v>
      </c>
      <c r="G170" t="s">
        <v>643</v>
      </c>
      <c r="I170">
        <v>6</v>
      </c>
      <c r="J170">
        <v>21</v>
      </c>
      <c r="L170">
        <v>17050955</v>
      </c>
      <c r="M170">
        <v>172900063</v>
      </c>
      <c r="N170">
        <v>10</v>
      </c>
      <c r="O170">
        <v>17</v>
      </c>
      <c r="P170">
        <v>2017</v>
      </c>
      <c r="Q170" t="s">
        <v>625</v>
      </c>
      <c r="R170">
        <v>11</v>
      </c>
      <c r="S170" t="s">
        <v>673</v>
      </c>
      <c r="T170">
        <v>5</v>
      </c>
      <c r="U170">
        <v>0</v>
      </c>
      <c r="V170">
        <v>2</v>
      </c>
      <c r="W170">
        <v>5</v>
      </c>
      <c r="X170">
        <v>10</v>
      </c>
      <c r="Y170">
        <v>3</v>
      </c>
      <c r="Z170">
        <v>1</v>
      </c>
      <c r="AA170">
        <v>1</v>
      </c>
      <c r="AC170">
        <v>1</v>
      </c>
      <c r="AD170">
        <v>98</v>
      </c>
      <c r="AE170" t="s">
        <v>696</v>
      </c>
      <c r="AF170" t="s">
        <v>892</v>
      </c>
      <c r="AG170" t="s">
        <v>713</v>
      </c>
      <c r="AH170">
        <v>10</v>
      </c>
      <c r="AI170">
        <v>2</v>
      </c>
      <c r="AJ170">
        <v>4</v>
      </c>
      <c r="AK170">
        <v>2</v>
      </c>
      <c r="AL170">
        <v>21</v>
      </c>
      <c r="AM170">
        <v>91</v>
      </c>
      <c r="AN170" t="s">
        <v>614</v>
      </c>
      <c r="AO170">
        <v>5</v>
      </c>
      <c r="AP170">
        <v>65</v>
      </c>
      <c r="AT170">
        <v>15</v>
      </c>
      <c r="AU170">
        <v>20</v>
      </c>
      <c r="AV170">
        <v>45</v>
      </c>
      <c r="AW170">
        <v>11</v>
      </c>
      <c r="AX170">
        <v>21</v>
      </c>
      <c r="AY170">
        <v>2</v>
      </c>
      <c r="AZ170">
        <v>2</v>
      </c>
      <c r="BA170">
        <v>4</v>
      </c>
      <c r="BB170">
        <v>24</v>
      </c>
      <c r="BC170">
        <v>23</v>
      </c>
      <c r="BD170" t="s">
        <v>620</v>
      </c>
      <c r="BE170">
        <v>5</v>
      </c>
      <c r="BF170">
        <v>1</v>
      </c>
      <c r="BJ170">
        <v>12</v>
      </c>
      <c r="BK170">
        <v>20</v>
      </c>
      <c r="BL170">
        <v>30</v>
      </c>
      <c r="BM170">
        <v>11</v>
      </c>
      <c r="BN170">
        <v>21</v>
      </c>
      <c r="CU170">
        <v>538613.87600000005</v>
      </c>
      <c r="CV170">
        <v>4876158.9579999996</v>
      </c>
      <c r="CW170">
        <v>44.037581500000002</v>
      </c>
      <c r="CX170">
        <v>-92.518078119999998</v>
      </c>
      <c r="CY170" s="319">
        <v>43025.489583333336</v>
      </c>
      <c r="CZ170" t="s">
        <v>615</v>
      </c>
      <c r="DA170" t="s">
        <v>664</v>
      </c>
      <c r="DB170" t="s">
        <v>665</v>
      </c>
      <c r="DC170" t="s">
        <v>666</v>
      </c>
      <c r="DD170" t="s">
        <v>894</v>
      </c>
    </row>
    <row r="171" spans="1:108" ht="16.5" customHeight="1" x14ac:dyDescent="0.25">
      <c r="A171">
        <v>110</v>
      </c>
      <c r="B171">
        <v>970703</v>
      </c>
      <c r="C171">
        <v>4</v>
      </c>
      <c r="D171">
        <v>22</v>
      </c>
      <c r="E171">
        <v>4.1879999999999997</v>
      </c>
      <c r="F171">
        <v>55</v>
      </c>
      <c r="G171" t="s">
        <v>643</v>
      </c>
      <c r="I171">
        <v>6</v>
      </c>
      <c r="J171">
        <v>21</v>
      </c>
      <c r="L171" t="s">
        <v>895</v>
      </c>
      <c r="M171">
        <v>213050086</v>
      </c>
      <c r="N171">
        <v>11</v>
      </c>
      <c r="O171">
        <v>1</v>
      </c>
      <c r="P171">
        <v>2021</v>
      </c>
      <c r="Q171" t="s">
        <v>610</v>
      </c>
      <c r="R171">
        <v>16</v>
      </c>
      <c r="S171">
        <v>98</v>
      </c>
      <c r="T171">
        <v>4</v>
      </c>
      <c r="U171">
        <v>0</v>
      </c>
      <c r="V171">
        <v>2</v>
      </c>
      <c r="W171">
        <v>5</v>
      </c>
      <c r="X171">
        <v>10</v>
      </c>
      <c r="Y171">
        <v>3</v>
      </c>
      <c r="Z171">
        <v>1</v>
      </c>
      <c r="AA171">
        <v>2</v>
      </c>
      <c r="AC171">
        <v>1</v>
      </c>
      <c r="AD171">
        <v>98</v>
      </c>
      <c r="AE171" t="s">
        <v>696</v>
      </c>
      <c r="AG171" t="s">
        <v>713</v>
      </c>
      <c r="AH171">
        <v>10</v>
      </c>
      <c r="AI171">
        <v>2</v>
      </c>
      <c r="AJ171">
        <v>5</v>
      </c>
      <c r="AK171">
        <v>3</v>
      </c>
      <c r="AL171">
        <v>24</v>
      </c>
      <c r="AM171">
        <v>36</v>
      </c>
      <c r="AN171" t="s">
        <v>620</v>
      </c>
      <c r="AO171">
        <v>5</v>
      </c>
      <c r="AP171">
        <v>2</v>
      </c>
      <c r="AT171">
        <v>15</v>
      </c>
      <c r="AU171">
        <v>20</v>
      </c>
      <c r="AV171">
        <v>45</v>
      </c>
      <c r="AW171">
        <v>11</v>
      </c>
      <c r="AX171">
        <v>21</v>
      </c>
      <c r="AY171">
        <v>2</v>
      </c>
      <c r="AZ171">
        <v>2</v>
      </c>
      <c r="BA171">
        <v>2</v>
      </c>
      <c r="BB171">
        <v>21</v>
      </c>
      <c r="BC171">
        <v>23</v>
      </c>
      <c r="BD171" t="s">
        <v>614</v>
      </c>
      <c r="BE171">
        <v>5</v>
      </c>
      <c r="BF171">
        <v>1</v>
      </c>
      <c r="BJ171">
        <v>15</v>
      </c>
      <c r="BK171">
        <v>20</v>
      </c>
      <c r="BL171">
        <v>45</v>
      </c>
      <c r="BM171">
        <v>11</v>
      </c>
      <c r="BN171">
        <v>21</v>
      </c>
      <c r="CU171">
        <v>538613.76780000003</v>
      </c>
      <c r="CV171">
        <v>4876159.4146999996</v>
      </c>
      <c r="CW171">
        <v>44.037585620000002</v>
      </c>
      <c r="CX171">
        <v>-92.518079439999994</v>
      </c>
      <c r="CY171" s="319">
        <v>44501.67291666667</v>
      </c>
      <c r="CZ171" t="s">
        <v>615</v>
      </c>
      <c r="DA171" t="s">
        <v>664</v>
      </c>
      <c r="DB171" t="s">
        <v>665</v>
      </c>
      <c r="DC171" t="s">
        <v>666</v>
      </c>
      <c r="DD171" s="82" t="s">
        <v>896</v>
      </c>
    </row>
    <row r="172" spans="1:108" ht="16.5" customHeight="1" x14ac:dyDescent="0.25">
      <c r="A172">
        <v>110</v>
      </c>
      <c r="B172">
        <v>904006</v>
      </c>
      <c r="C172">
        <v>4</v>
      </c>
      <c r="D172">
        <v>22</v>
      </c>
      <c r="E172">
        <v>4.1890000000000001</v>
      </c>
      <c r="F172">
        <v>55</v>
      </c>
      <c r="G172" t="s">
        <v>643</v>
      </c>
      <c r="I172">
        <v>6</v>
      </c>
      <c r="J172">
        <v>21</v>
      </c>
      <c r="L172">
        <v>21018149</v>
      </c>
      <c r="M172">
        <v>211250075</v>
      </c>
      <c r="N172">
        <v>5</v>
      </c>
      <c r="O172">
        <v>5</v>
      </c>
      <c r="P172">
        <v>2021</v>
      </c>
      <c r="Q172" t="s">
        <v>645</v>
      </c>
      <c r="R172">
        <v>16</v>
      </c>
      <c r="T172">
        <v>5</v>
      </c>
      <c r="U172">
        <v>0</v>
      </c>
      <c r="V172">
        <v>2</v>
      </c>
      <c r="W172">
        <v>5</v>
      </c>
      <c r="X172">
        <v>10</v>
      </c>
      <c r="Y172">
        <v>3</v>
      </c>
      <c r="Z172">
        <v>1</v>
      </c>
      <c r="AA172">
        <v>3</v>
      </c>
      <c r="AC172">
        <v>2</v>
      </c>
      <c r="AD172">
        <v>98</v>
      </c>
      <c r="AE172" t="s">
        <v>696</v>
      </c>
      <c r="AG172" t="s">
        <v>713</v>
      </c>
      <c r="AH172">
        <v>9</v>
      </c>
      <c r="AI172">
        <v>2</v>
      </c>
      <c r="AJ172">
        <v>3</v>
      </c>
      <c r="AK172">
        <v>1</v>
      </c>
      <c r="AL172">
        <v>24</v>
      </c>
      <c r="AM172">
        <v>62</v>
      </c>
      <c r="AN172" t="s">
        <v>620</v>
      </c>
      <c r="AO172">
        <v>5</v>
      </c>
      <c r="AP172">
        <v>2</v>
      </c>
      <c r="AT172">
        <v>13</v>
      </c>
      <c r="AU172">
        <v>20</v>
      </c>
      <c r="AV172">
        <v>50</v>
      </c>
      <c r="AW172">
        <v>11</v>
      </c>
      <c r="AX172">
        <v>21</v>
      </c>
      <c r="AY172">
        <v>2</v>
      </c>
      <c r="AZ172">
        <v>3</v>
      </c>
      <c r="BA172">
        <v>2</v>
      </c>
      <c r="BB172">
        <v>21</v>
      </c>
      <c r="BC172">
        <v>32</v>
      </c>
      <c r="BD172" t="s">
        <v>620</v>
      </c>
      <c r="BE172">
        <v>5</v>
      </c>
      <c r="BF172">
        <v>1</v>
      </c>
      <c r="BJ172">
        <v>13</v>
      </c>
      <c r="BK172">
        <v>20</v>
      </c>
      <c r="BL172">
        <v>50</v>
      </c>
      <c r="BM172">
        <v>11</v>
      </c>
      <c r="BN172">
        <v>21</v>
      </c>
      <c r="CU172">
        <v>538613.52839999995</v>
      </c>
      <c r="CV172">
        <v>4876160.4263000004</v>
      </c>
      <c r="CW172">
        <v>44.037594740000003</v>
      </c>
      <c r="CX172">
        <v>-92.518082359999994</v>
      </c>
      <c r="CY172" s="319">
        <v>44321.70208333333</v>
      </c>
      <c r="CZ172" t="s">
        <v>615</v>
      </c>
      <c r="DA172" t="s">
        <v>664</v>
      </c>
      <c r="DB172" t="s">
        <v>665</v>
      </c>
      <c r="DC172" t="s">
        <v>666</v>
      </c>
      <c r="DD172" s="82" t="s">
        <v>897</v>
      </c>
    </row>
    <row r="173" spans="1:108" ht="16.5" customHeight="1" x14ac:dyDescent="0.25">
      <c r="A173">
        <v>110</v>
      </c>
      <c r="B173">
        <v>931049</v>
      </c>
      <c r="C173">
        <v>4</v>
      </c>
      <c r="D173">
        <v>22</v>
      </c>
      <c r="E173">
        <v>4.1909999999999998</v>
      </c>
      <c r="F173">
        <v>55</v>
      </c>
      <c r="G173" t="s">
        <v>643</v>
      </c>
      <c r="I173">
        <v>6</v>
      </c>
      <c r="J173">
        <v>21</v>
      </c>
      <c r="L173" t="s">
        <v>898</v>
      </c>
      <c r="M173">
        <v>212100025</v>
      </c>
      <c r="N173">
        <v>7</v>
      </c>
      <c r="O173">
        <v>29</v>
      </c>
      <c r="P173">
        <v>2021</v>
      </c>
      <c r="Q173" t="s">
        <v>619</v>
      </c>
      <c r="R173">
        <v>12</v>
      </c>
      <c r="S173">
        <v>98</v>
      </c>
      <c r="T173">
        <v>5</v>
      </c>
      <c r="U173">
        <v>0</v>
      </c>
      <c r="V173">
        <v>2</v>
      </c>
      <c r="W173">
        <v>5</v>
      </c>
      <c r="X173">
        <v>10</v>
      </c>
      <c r="Y173">
        <v>3</v>
      </c>
      <c r="Z173">
        <v>1</v>
      </c>
      <c r="AA173">
        <v>1</v>
      </c>
      <c r="AC173">
        <v>1</v>
      </c>
      <c r="AD173">
        <v>98</v>
      </c>
      <c r="AE173" t="s">
        <v>696</v>
      </c>
      <c r="AG173" t="s">
        <v>713</v>
      </c>
      <c r="AH173">
        <v>9</v>
      </c>
      <c r="AI173">
        <v>2</v>
      </c>
      <c r="AJ173">
        <v>3</v>
      </c>
      <c r="AK173">
        <v>1</v>
      </c>
      <c r="AL173">
        <v>24</v>
      </c>
      <c r="AM173">
        <v>60</v>
      </c>
      <c r="AN173" t="s">
        <v>614</v>
      </c>
      <c r="AO173">
        <v>5</v>
      </c>
      <c r="AP173">
        <v>2</v>
      </c>
      <c r="AT173">
        <v>13</v>
      </c>
      <c r="AU173">
        <v>20</v>
      </c>
      <c r="AV173">
        <v>45</v>
      </c>
      <c r="AW173">
        <v>11</v>
      </c>
      <c r="AX173">
        <v>21</v>
      </c>
      <c r="AY173">
        <v>2</v>
      </c>
      <c r="AZ173">
        <v>2</v>
      </c>
      <c r="BA173">
        <v>2</v>
      </c>
      <c r="BB173">
        <v>21</v>
      </c>
      <c r="BC173">
        <v>80</v>
      </c>
      <c r="BD173" t="s">
        <v>614</v>
      </c>
      <c r="BE173">
        <v>5</v>
      </c>
      <c r="BF173">
        <v>1</v>
      </c>
      <c r="BJ173">
        <v>13</v>
      </c>
      <c r="BK173">
        <v>20</v>
      </c>
      <c r="BL173">
        <v>45</v>
      </c>
      <c r="BM173">
        <v>11</v>
      </c>
      <c r="BN173">
        <v>21</v>
      </c>
      <c r="CU173">
        <v>538612.8872</v>
      </c>
      <c r="CV173">
        <v>4876163.1346000005</v>
      </c>
      <c r="CW173">
        <v>44.037619149999998</v>
      </c>
      <c r="CX173">
        <v>-92.51809016</v>
      </c>
      <c r="CY173" s="319">
        <v>44406.508333333331</v>
      </c>
      <c r="CZ173" t="s">
        <v>615</v>
      </c>
      <c r="DA173" t="s">
        <v>664</v>
      </c>
      <c r="DB173" t="s">
        <v>665</v>
      </c>
      <c r="DC173" t="s">
        <v>666</v>
      </c>
      <c r="DD173" t="s">
        <v>899</v>
      </c>
    </row>
    <row r="174" spans="1:108" ht="16.5" customHeight="1" x14ac:dyDescent="0.25">
      <c r="A174">
        <v>110</v>
      </c>
      <c r="B174">
        <v>446366</v>
      </c>
      <c r="C174">
        <v>4</v>
      </c>
      <c r="D174">
        <v>22</v>
      </c>
      <c r="E174">
        <v>4.1929999999999996</v>
      </c>
      <c r="F174">
        <v>55</v>
      </c>
      <c r="G174" t="s">
        <v>643</v>
      </c>
      <c r="I174">
        <v>6</v>
      </c>
      <c r="J174">
        <v>21</v>
      </c>
      <c r="L174">
        <v>17019058</v>
      </c>
      <c r="M174">
        <v>171090199</v>
      </c>
      <c r="N174">
        <v>4</v>
      </c>
      <c r="O174">
        <v>19</v>
      </c>
      <c r="P174">
        <v>2017</v>
      </c>
      <c r="Q174" t="s">
        <v>645</v>
      </c>
      <c r="R174">
        <v>17</v>
      </c>
      <c r="S174" t="s">
        <v>673</v>
      </c>
      <c r="T174">
        <v>5</v>
      </c>
      <c r="U174">
        <v>0</v>
      </c>
      <c r="V174">
        <v>4</v>
      </c>
      <c r="W174">
        <v>12</v>
      </c>
      <c r="X174">
        <v>10</v>
      </c>
      <c r="Y174">
        <v>3</v>
      </c>
      <c r="Z174">
        <v>1</v>
      </c>
      <c r="AA174">
        <v>3</v>
      </c>
      <c r="AC174">
        <v>2</v>
      </c>
      <c r="AD174">
        <v>98</v>
      </c>
      <c r="AE174" t="s">
        <v>696</v>
      </c>
      <c r="AF174" t="s">
        <v>900</v>
      </c>
      <c r="AG174" t="s">
        <v>713</v>
      </c>
      <c r="AH174">
        <v>7</v>
      </c>
      <c r="AI174">
        <v>2</v>
      </c>
      <c r="AJ174">
        <v>2</v>
      </c>
      <c r="AK174">
        <v>2</v>
      </c>
      <c r="AL174">
        <v>21</v>
      </c>
      <c r="AM174">
        <v>33</v>
      </c>
      <c r="AN174" t="s">
        <v>620</v>
      </c>
      <c r="AO174">
        <v>5</v>
      </c>
      <c r="AP174">
        <v>1</v>
      </c>
      <c r="AT174">
        <v>12</v>
      </c>
      <c r="AU174">
        <v>20</v>
      </c>
      <c r="AV174">
        <v>40</v>
      </c>
      <c r="AW174">
        <v>11</v>
      </c>
      <c r="AX174">
        <v>21</v>
      </c>
      <c r="AY174">
        <v>2</v>
      </c>
      <c r="AZ174">
        <v>4</v>
      </c>
      <c r="BA174">
        <v>2</v>
      </c>
      <c r="BB174">
        <v>34</v>
      </c>
      <c r="BC174">
        <v>37</v>
      </c>
      <c r="BD174" t="s">
        <v>620</v>
      </c>
      <c r="BE174">
        <v>5</v>
      </c>
      <c r="BF174">
        <v>70</v>
      </c>
      <c r="BJ174">
        <v>12</v>
      </c>
      <c r="BK174">
        <v>20</v>
      </c>
      <c r="BL174">
        <v>40</v>
      </c>
      <c r="BM174">
        <v>11</v>
      </c>
      <c r="BN174">
        <v>21</v>
      </c>
      <c r="BO174">
        <v>2</v>
      </c>
      <c r="BP174">
        <v>2</v>
      </c>
      <c r="BQ174">
        <v>2</v>
      </c>
      <c r="BR174">
        <v>34</v>
      </c>
      <c r="BS174">
        <v>62</v>
      </c>
      <c r="BT174" t="s">
        <v>614</v>
      </c>
      <c r="BU174">
        <v>5</v>
      </c>
      <c r="BV174">
        <v>70</v>
      </c>
      <c r="BZ174">
        <v>12</v>
      </c>
      <c r="CA174">
        <v>20</v>
      </c>
      <c r="CB174">
        <v>40</v>
      </c>
      <c r="CC174">
        <v>11</v>
      </c>
      <c r="CD174">
        <v>21</v>
      </c>
      <c r="CE174">
        <v>2</v>
      </c>
      <c r="CF174">
        <v>2</v>
      </c>
      <c r="CG174">
        <v>2</v>
      </c>
      <c r="CH174">
        <v>34</v>
      </c>
      <c r="CI174">
        <v>51</v>
      </c>
      <c r="CJ174" t="s">
        <v>614</v>
      </c>
      <c r="CK174">
        <v>5</v>
      </c>
      <c r="CL174">
        <v>1</v>
      </c>
      <c r="CP174">
        <v>12</v>
      </c>
      <c r="CQ174">
        <v>20</v>
      </c>
      <c r="CR174">
        <v>40</v>
      </c>
      <c r="CS174">
        <v>11</v>
      </c>
      <c r="CT174">
        <v>21</v>
      </c>
      <c r="CU174">
        <v>538612.12609999999</v>
      </c>
      <c r="CV174">
        <v>4876166.3224999998</v>
      </c>
      <c r="CW174">
        <v>44.037647890000002</v>
      </c>
      <c r="CX174">
        <v>-92.518099430000007</v>
      </c>
      <c r="CY174" s="319">
        <v>42844.71875</v>
      </c>
      <c r="CZ174" t="s">
        <v>615</v>
      </c>
      <c r="DA174" t="s">
        <v>664</v>
      </c>
      <c r="DB174" t="s">
        <v>665</v>
      </c>
      <c r="DC174" t="s">
        <v>666</v>
      </c>
      <c r="DD174" s="82" t="s">
        <v>901</v>
      </c>
    </row>
    <row r="175" spans="1:108" ht="16.5" customHeight="1" x14ac:dyDescent="0.25">
      <c r="A175">
        <v>110</v>
      </c>
      <c r="B175">
        <v>458690</v>
      </c>
      <c r="C175">
        <v>4</v>
      </c>
      <c r="D175">
        <v>22</v>
      </c>
      <c r="E175">
        <v>4.1929999999999996</v>
      </c>
      <c r="F175">
        <v>55</v>
      </c>
      <c r="G175" t="s">
        <v>643</v>
      </c>
      <c r="I175">
        <v>6</v>
      </c>
      <c r="J175">
        <v>21</v>
      </c>
      <c r="L175">
        <v>17029049</v>
      </c>
      <c r="M175">
        <v>171610048</v>
      </c>
      <c r="N175">
        <v>6</v>
      </c>
      <c r="O175">
        <v>10</v>
      </c>
      <c r="P175">
        <v>2017</v>
      </c>
      <c r="Q175" t="s">
        <v>655</v>
      </c>
      <c r="R175">
        <v>12</v>
      </c>
      <c r="T175">
        <v>3</v>
      </c>
      <c r="U175">
        <v>0</v>
      </c>
      <c r="V175">
        <v>2</v>
      </c>
      <c r="W175">
        <v>5</v>
      </c>
      <c r="X175">
        <v>10</v>
      </c>
      <c r="Y175">
        <v>4</v>
      </c>
      <c r="Z175">
        <v>1</v>
      </c>
      <c r="AA175">
        <v>1</v>
      </c>
      <c r="AC175">
        <v>1</v>
      </c>
      <c r="AD175">
        <v>98</v>
      </c>
      <c r="AE175" t="s">
        <v>696</v>
      </c>
      <c r="AG175" t="s">
        <v>713</v>
      </c>
      <c r="AH175">
        <v>10</v>
      </c>
      <c r="AI175">
        <v>2</v>
      </c>
      <c r="AJ175">
        <v>4</v>
      </c>
      <c r="AK175">
        <v>4</v>
      </c>
      <c r="AL175">
        <v>24</v>
      </c>
      <c r="AM175">
        <v>57</v>
      </c>
      <c r="AN175" t="s">
        <v>614</v>
      </c>
      <c r="AO175">
        <v>5</v>
      </c>
      <c r="AP175">
        <v>2</v>
      </c>
      <c r="AT175">
        <v>15</v>
      </c>
      <c r="AU175">
        <v>20</v>
      </c>
      <c r="AV175">
        <v>45</v>
      </c>
      <c r="AW175">
        <v>11</v>
      </c>
      <c r="AX175">
        <v>21</v>
      </c>
      <c r="AY175">
        <v>2</v>
      </c>
      <c r="AZ175">
        <v>4</v>
      </c>
      <c r="BA175">
        <v>2</v>
      </c>
      <c r="BB175">
        <v>21</v>
      </c>
      <c r="BC175">
        <v>36</v>
      </c>
      <c r="BD175" t="s">
        <v>620</v>
      </c>
      <c r="BE175">
        <v>5</v>
      </c>
      <c r="BF175">
        <v>70</v>
      </c>
      <c r="BJ175">
        <v>15</v>
      </c>
      <c r="BK175">
        <v>20</v>
      </c>
      <c r="BL175">
        <v>45</v>
      </c>
      <c r="BM175">
        <v>11</v>
      </c>
      <c r="BN175">
        <v>21</v>
      </c>
      <c r="CU175">
        <v>538612.24399999995</v>
      </c>
      <c r="CV175">
        <v>4876165.8306999998</v>
      </c>
      <c r="CW175">
        <v>44.037643459999998</v>
      </c>
      <c r="CX175">
        <v>-92.518097990000001</v>
      </c>
      <c r="CY175" s="319">
        <v>42896.540972222225</v>
      </c>
      <c r="CZ175" t="s">
        <v>615</v>
      </c>
      <c r="DA175" t="s">
        <v>664</v>
      </c>
      <c r="DB175" t="s">
        <v>665</v>
      </c>
      <c r="DC175" t="s">
        <v>666</v>
      </c>
      <c r="DD175" s="82" t="s">
        <v>902</v>
      </c>
    </row>
    <row r="176" spans="1:108" ht="16.5" customHeight="1" x14ac:dyDescent="0.25">
      <c r="A176">
        <v>110</v>
      </c>
      <c r="B176">
        <v>718618</v>
      </c>
      <c r="C176">
        <v>4</v>
      </c>
      <c r="D176">
        <v>22</v>
      </c>
      <c r="E176">
        <v>4.1929999999999996</v>
      </c>
      <c r="F176">
        <v>55</v>
      </c>
      <c r="G176" t="s">
        <v>643</v>
      </c>
      <c r="I176">
        <v>6</v>
      </c>
      <c r="J176">
        <v>21</v>
      </c>
      <c r="L176" t="s">
        <v>903</v>
      </c>
      <c r="M176">
        <v>191280129</v>
      </c>
      <c r="N176">
        <v>5</v>
      </c>
      <c r="O176">
        <v>8</v>
      </c>
      <c r="P176">
        <v>2019</v>
      </c>
      <c r="Q176" t="s">
        <v>645</v>
      </c>
      <c r="R176">
        <v>17</v>
      </c>
      <c r="T176">
        <v>5</v>
      </c>
      <c r="U176">
        <v>0</v>
      </c>
      <c r="V176">
        <v>2</v>
      </c>
      <c r="W176">
        <v>12</v>
      </c>
      <c r="X176">
        <v>10</v>
      </c>
      <c r="Y176">
        <v>4</v>
      </c>
      <c r="Z176">
        <v>1</v>
      </c>
      <c r="AA176">
        <v>3</v>
      </c>
      <c r="AC176">
        <v>2</v>
      </c>
      <c r="AD176">
        <v>98</v>
      </c>
      <c r="AE176" t="s">
        <v>696</v>
      </c>
      <c r="AG176" t="s">
        <v>713</v>
      </c>
      <c r="AH176">
        <v>7</v>
      </c>
      <c r="AI176">
        <v>2</v>
      </c>
      <c r="AJ176">
        <v>2</v>
      </c>
      <c r="AK176">
        <v>2</v>
      </c>
      <c r="AL176">
        <v>21</v>
      </c>
      <c r="AM176">
        <v>18</v>
      </c>
      <c r="AN176" t="s">
        <v>614</v>
      </c>
      <c r="AO176">
        <v>5</v>
      </c>
      <c r="AP176">
        <v>74</v>
      </c>
      <c r="AT176">
        <v>15</v>
      </c>
      <c r="AU176">
        <v>20</v>
      </c>
      <c r="AV176">
        <v>45</v>
      </c>
      <c r="AW176">
        <v>11</v>
      </c>
      <c r="AX176">
        <v>21</v>
      </c>
      <c r="AY176">
        <v>2</v>
      </c>
      <c r="AZ176">
        <v>4</v>
      </c>
      <c r="BA176">
        <v>2</v>
      </c>
      <c r="BB176">
        <v>26</v>
      </c>
      <c r="BC176">
        <v>51</v>
      </c>
      <c r="BD176" t="s">
        <v>614</v>
      </c>
      <c r="BE176">
        <v>5</v>
      </c>
      <c r="BF176">
        <v>1</v>
      </c>
      <c r="BJ176">
        <v>15</v>
      </c>
      <c r="BK176">
        <v>20</v>
      </c>
      <c r="BL176">
        <v>45</v>
      </c>
      <c r="BM176">
        <v>11</v>
      </c>
      <c r="BN176">
        <v>21</v>
      </c>
      <c r="CU176">
        <v>538612.19429999997</v>
      </c>
      <c r="CV176">
        <v>4876166.0382000003</v>
      </c>
      <c r="CW176">
        <v>44.037645329999997</v>
      </c>
      <c r="CX176">
        <v>-92.518098600000002</v>
      </c>
      <c r="CY176" s="319">
        <v>43593.748611111114</v>
      </c>
      <c r="CZ176" t="s">
        <v>615</v>
      </c>
      <c r="DA176" t="s">
        <v>664</v>
      </c>
      <c r="DB176" t="s">
        <v>665</v>
      </c>
      <c r="DC176" t="s">
        <v>666</v>
      </c>
      <c r="DD176" t="s">
        <v>904</v>
      </c>
    </row>
    <row r="177" spans="1:108" ht="16.5" customHeight="1" x14ac:dyDescent="0.25">
      <c r="A177">
        <v>110</v>
      </c>
      <c r="B177">
        <v>863153</v>
      </c>
      <c r="C177">
        <v>4</v>
      </c>
      <c r="D177">
        <v>22</v>
      </c>
      <c r="E177">
        <v>4.1929999999999996</v>
      </c>
      <c r="F177">
        <v>55</v>
      </c>
      <c r="G177" t="s">
        <v>643</v>
      </c>
      <c r="I177">
        <v>6</v>
      </c>
      <c r="J177">
        <v>21</v>
      </c>
      <c r="L177">
        <v>20049666</v>
      </c>
      <c r="M177">
        <v>203170238</v>
      </c>
      <c r="N177">
        <v>11</v>
      </c>
      <c r="O177">
        <v>12</v>
      </c>
      <c r="P177">
        <v>2020</v>
      </c>
      <c r="Q177" t="s">
        <v>619</v>
      </c>
      <c r="R177">
        <v>18</v>
      </c>
      <c r="S177" t="s">
        <v>673</v>
      </c>
      <c r="T177">
        <v>4</v>
      </c>
      <c r="U177">
        <v>0</v>
      </c>
      <c r="V177">
        <v>2</v>
      </c>
      <c r="W177">
        <v>5</v>
      </c>
      <c r="X177">
        <v>10</v>
      </c>
      <c r="Y177">
        <v>10</v>
      </c>
      <c r="Z177">
        <v>4</v>
      </c>
      <c r="AA177">
        <v>4</v>
      </c>
      <c r="AC177">
        <v>5</v>
      </c>
      <c r="AD177">
        <v>98</v>
      </c>
      <c r="AE177" t="s">
        <v>696</v>
      </c>
      <c r="AF177" t="s">
        <v>900</v>
      </c>
      <c r="AG177" t="s">
        <v>713</v>
      </c>
      <c r="AH177">
        <v>10</v>
      </c>
      <c r="AI177">
        <v>2</v>
      </c>
      <c r="AJ177">
        <v>4</v>
      </c>
      <c r="AK177">
        <v>2</v>
      </c>
      <c r="AL177">
        <v>27</v>
      </c>
      <c r="AM177">
        <v>25</v>
      </c>
      <c r="AN177" t="s">
        <v>620</v>
      </c>
      <c r="AO177">
        <v>5</v>
      </c>
      <c r="AP177">
        <v>71</v>
      </c>
      <c r="AT177">
        <v>15</v>
      </c>
      <c r="AU177">
        <v>20</v>
      </c>
      <c r="AV177">
        <v>45</v>
      </c>
      <c r="AW177">
        <v>11</v>
      </c>
      <c r="AX177">
        <v>24</v>
      </c>
      <c r="AY177">
        <v>2</v>
      </c>
      <c r="AZ177">
        <v>4</v>
      </c>
      <c r="BA177">
        <v>2</v>
      </c>
      <c r="BB177">
        <v>26</v>
      </c>
      <c r="BC177">
        <v>42</v>
      </c>
      <c r="BD177" t="s">
        <v>620</v>
      </c>
      <c r="BE177">
        <v>5</v>
      </c>
      <c r="BF177">
        <v>1</v>
      </c>
      <c r="BJ177">
        <v>15</v>
      </c>
      <c r="BK177">
        <v>20</v>
      </c>
      <c r="BL177">
        <v>45</v>
      </c>
      <c r="BM177">
        <v>11</v>
      </c>
      <c r="BN177">
        <v>24</v>
      </c>
      <c r="CU177">
        <v>538611.91339999996</v>
      </c>
      <c r="CV177">
        <v>4876167.2100999998</v>
      </c>
      <c r="CW177">
        <v>44.037655899999997</v>
      </c>
      <c r="CX177">
        <v>-92.518102020000001</v>
      </c>
      <c r="CY177" s="319">
        <v>44147.771527777775</v>
      </c>
      <c r="CZ177" t="s">
        <v>615</v>
      </c>
      <c r="DA177" t="s">
        <v>664</v>
      </c>
      <c r="DB177" t="s">
        <v>665</v>
      </c>
      <c r="DC177" t="s">
        <v>666</v>
      </c>
      <c r="DD177" s="82" t="s">
        <v>905</v>
      </c>
    </row>
    <row r="178" spans="1:108" ht="16.5" customHeight="1" x14ac:dyDescent="0.25">
      <c r="A178">
        <v>110</v>
      </c>
      <c r="B178">
        <v>861592</v>
      </c>
      <c r="C178">
        <v>4</v>
      </c>
      <c r="D178">
        <v>22</v>
      </c>
      <c r="E178">
        <v>4.194</v>
      </c>
      <c r="F178">
        <v>55</v>
      </c>
      <c r="G178" t="s">
        <v>643</v>
      </c>
      <c r="I178">
        <v>6</v>
      </c>
      <c r="J178">
        <v>21</v>
      </c>
      <c r="L178">
        <v>20048841</v>
      </c>
      <c r="M178">
        <v>203110094</v>
      </c>
      <c r="N178">
        <v>11</v>
      </c>
      <c r="O178">
        <v>6</v>
      </c>
      <c r="P178">
        <v>2020</v>
      </c>
      <c r="Q178" t="s">
        <v>638</v>
      </c>
      <c r="R178">
        <v>16</v>
      </c>
      <c r="S178" t="s">
        <v>611</v>
      </c>
      <c r="T178">
        <v>5</v>
      </c>
      <c r="U178">
        <v>0</v>
      </c>
      <c r="V178">
        <v>2</v>
      </c>
      <c r="W178">
        <v>12</v>
      </c>
      <c r="X178">
        <v>10</v>
      </c>
      <c r="Y178">
        <v>2</v>
      </c>
      <c r="Z178">
        <v>1</v>
      </c>
      <c r="AA178">
        <v>1</v>
      </c>
      <c r="AC178">
        <v>1</v>
      </c>
      <c r="AD178">
        <v>98</v>
      </c>
      <c r="AE178" t="s">
        <v>696</v>
      </c>
      <c r="AG178" t="s">
        <v>715</v>
      </c>
      <c r="AH178">
        <v>7</v>
      </c>
      <c r="AI178">
        <v>2</v>
      </c>
      <c r="AJ178">
        <v>3</v>
      </c>
      <c r="AK178">
        <v>1</v>
      </c>
      <c r="AL178">
        <v>34</v>
      </c>
      <c r="AM178">
        <v>59</v>
      </c>
      <c r="AN178" t="s">
        <v>614</v>
      </c>
      <c r="AO178">
        <v>5</v>
      </c>
      <c r="AP178">
        <v>1</v>
      </c>
      <c r="AT178">
        <v>15</v>
      </c>
      <c r="AU178">
        <v>20</v>
      </c>
      <c r="AV178">
        <v>45</v>
      </c>
      <c r="AW178">
        <v>11</v>
      </c>
      <c r="AX178">
        <v>21</v>
      </c>
      <c r="AY178">
        <v>2</v>
      </c>
      <c r="AZ178">
        <v>2</v>
      </c>
      <c r="BA178">
        <v>1</v>
      </c>
      <c r="BB178">
        <v>21</v>
      </c>
      <c r="BC178">
        <v>20</v>
      </c>
      <c r="BD178" t="s">
        <v>614</v>
      </c>
      <c r="BE178">
        <v>5</v>
      </c>
      <c r="BF178">
        <v>74</v>
      </c>
      <c r="BJ178">
        <v>15</v>
      </c>
      <c r="BK178">
        <v>20</v>
      </c>
      <c r="BL178">
        <v>45</v>
      </c>
      <c r="BM178">
        <v>11</v>
      </c>
      <c r="BN178">
        <v>21</v>
      </c>
      <c r="CU178">
        <v>538635.17729999998</v>
      </c>
      <c r="CV178">
        <v>4876187.8888999997</v>
      </c>
      <c r="CW178">
        <v>44.037840850000002</v>
      </c>
      <c r="CX178">
        <v>-92.517810170000004</v>
      </c>
      <c r="CY178" s="319">
        <v>44141.675000000003</v>
      </c>
      <c r="CZ178" t="s">
        <v>615</v>
      </c>
      <c r="DA178" t="s">
        <v>664</v>
      </c>
      <c r="DB178" t="s">
        <v>665</v>
      </c>
      <c r="DC178" t="s">
        <v>666</v>
      </c>
      <c r="DD178" s="82" t="s">
        <v>906</v>
      </c>
    </row>
    <row r="179" spans="1:108" ht="16.5" customHeight="1" x14ac:dyDescent="0.25">
      <c r="A179">
        <v>110</v>
      </c>
      <c r="B179">
        <v>912942</v>
      </c>
      <c r="C179">
        <v>4</v>
      </c>
      <c r="D179">
        <v>22</v>
      </c>
      <c r="E179">
        <v>4.1959999999999997</v>
      </c>
      <c r="F179">
        <v>55</v>
      </c>
      <c r="G179" t="s">
        <v>643</v>
      </c>
      <c r="I179">
        <v>6</v>
      </c>
      <c r="J179">
        <v>21</v>
      </c>
      <c r="L179" t="s">
        <v>907</v>
      </c>
      <c r="M179">
        <v>211690086</v>
      </c>
      <c r="N179">
        <v>6</v>
      </c>
      <c r="O179">
        <v>18</v>
      </c>
      <c r="P179">
        <v>2021</v>
      </c>
      <c r="Q179" t="s">
        <v>638</v>
      </c>
      <c r="R179">
        <v>12</v>
      </c>
      <c r="S179">
        <v>98</v>
      </c>
      <c r="T179">
        <v>5</v>
      </c>
      <c r="U179">
        <v>0</v>
      </c>
      <c r="V179">
        <v>2</v>
      </c>
      <c r="W179">
        <v>12</v>
      </c>
      <c r="X179">
        <v>10</v>
      </c>
      <c r="Y179">
        <v>3</v>
      </c>
      <c r="Z179">
        <v>1</v>
      </c>
      <c r="AA179">
        <v>1</v>
      </c>
      <c r="AC179">
        <v>1</v>
      </c>
      <c r="AD179">
        <v>98</v>
      </c>
      <c r="AE179" t="s">
        <v>696</v>
      </c>
      <c r="AG179" t="s">
        <v>713</v>
      </c>
      <c r="AH179">
        <v>7</v>
      </c>
      <c r="AI179">
        <v>2</v>
      </c>
      <c r="AJ179">
        <v>2</v>
      </c>
      <c r="AK179">
        <v>2</v>
      </c>
      <c r="AL179">
        <v>21</v>
      </c>
      <c r="AM179">
        <v>22</v>
      </c>
      <c r="AN179" t="s">
        <v>614</v>
      </c>
      <c r="AO179">
        <v>5</v>
      </c>
      <c r="AP179">
        <v>4</v>
      </c>
      <c r="AT179">
        <v>15</v>
      </c>
      <c r="AU179">
        <v>20</v>
      </c>
      <c r="AV179">
        <v>45</v>
      </c>
      <c r="AW179">
        <v>11</v>
      </c>
      <c r="AX179">
        <v>21</v>
      </c>
      <c r="AY179">
        <v>2</v>
      </c>
      <c r="AZ179">
        <v>2</v>
      </c>
      <c r="BA179">
        <v>2</v>
      </c>
      <c r="BB179">
        <v>26</v>
      </c>
      <c r="BC179">
        <v>31</v>
      </c>
      <c r="BD179" t="s">
        <v>620</v>
      </c>
      <c r="BE179">
        <v>5</v>
      </c>
      <c r="BF179">
        <v>1</v>
      </c>
      <c r="BJ179">
        <v>15</v>
      </c>
      <c r="BK179">
        <v>20</v>
      </c>
      <c r="BL179">
        <v>45</v>
      </c>
      <c r="BM179">
        <v>11</v>
      </c>
      <c r="BN179">
        <v>21</v>
      </c>
      <c r="CU179">
        <v>538611.02850000001</v>
      </c>
      <c r="CV179">
        <v>4876170.9019999998</v>
      </c>
      <c r="CW179">
        <v>44.037689180000001</v>
      </c>
      <c r="CX179">
        <v>-92.518112790000004</v>
      </c>
      <c r="CY179" s="319">
        <v>44365.539583333331</v>
      </c>
      <c r="CZ179" t="s">
        <v>615</v>
      </c>
      <c r="DA179" t="s">
        <v>664</v>
      </c>
      <c r="DB179" t="s">
        <v>665</v>
      </c>
      <c r="DC179" t="s">
        <v>666</v>
      </c>
      <c r="DD179" s="82" t="s">
        <v>908</v>
      </c>
    </row>
    <row r="180" spans="1:108" ht="16.5" customHeight="1" x14ac:dyDescent="0.25">
      <c r="A180">
        <v>110</v>
      </c>
      <c r="B180">
        <v>863953</v>
      </c>
      <c r="C180">
        <v>4</v>
      </c>
      <c r="D180">
        <v>22</v>
      </c>
      <c r="E180">
        <v>4.2069999999999999</v>
      </c>
      <c r="F180">
        <v>55</v>
      </c>
      <c r="G180" t="s">
        <v>643</v>
      </c>
      <c r="I180">
        <v>6</v>
      </c>
      <c r="J180">
        <v>21</v>
      </c>
      <c r="L180" t="s">
        <v>909</v>
      </c>
      <c r="M180">
        <v>203170357</v>
      </c>
      <c r="N180">
        <v>11</v>
      </c>
      <c r="O180">
        <v>12</v>
      </c>
      <c r="P180">
        <v>2020</v>
      </c>
      <c r="Q180" t="s">
        <v>619</v>
      </c>
      <c r="R180">
        <v>18</v>
      </c>
      <c r="S180" t="s">
        <v>673</v>
      </c>
      <c r="T180">
        <v>4</v>
      </c>
      <c r="U180">
        <v>0</v>
      </c>
      <c r="V180">
        <v>2</v>
      </c>
      <c r="W180">
        <v>10</v>
      </c>
      <c r="X180">
        <v>10</v>
      </c>
      <c r="Y180">
        <v>29</v>
      </c>
      <c r="Z180">
        <v>4</v>
      </c>
      <c r="AA180">
        <v>5</v>
      </c>
      <c r="AC180">
        <v>5</v>
      </c>
      <c r="AD180">
        <v>98</v>
      </c>
      <c r="AE180" t="s">
        <v>696</v>
      </c>
      <c r="AG180" t="s">
        <v>713</v>
      </c>
      <c r="AH180">
        <v>5</v>
      </c>
      <c r="AI180">
        <v>2</v>
      </c>
      <c r="AJ180">
        <v>5</v>
      </c>
      <c r="AK180">
        <v>2</v>
      </c>
      <c r="AL180">
        <v>26</v>
      </c>
      <c r="AM180">
        <v>35</v>
      </c>
      <c r="AN180" t="s">
        <v>614</v>
      </c>
      <c r="AO180">
        <v>5</v>
      </c>
      <c r="AP180">
        <v>1</v>
      </c>
      <c r="AT180">
        <v>15</v>
      </c>
      <c r="AU180">
        <v>20</v>
      </c>
      <c r="AV180">
        <v>45</v>
      </c>
      <c r="AW180">
        <v>11</v>
      </c>
      <c r="AX180">
        <v>21</v>
      </c>
      <c r="AY180">
        <v>2</v>
      </c>
      <c r="AZ180">
        <v>2</v>
      </c>
      <c r="BA180">
        <v>2</v>
      </c>
      <c r="BB180">
        <v>34</v>
      </c>
      <c r="BC180">
        <v>17</v>
      </c>
      <c r="BD180" t="s">
        <v>614</v>
      </c>
      <c r="BE180">
        <v>5</v>
      </c>
      <c r="BF180">
        <v>1</v>
      </c>
      <c r="BJ180">
        <v>15</v>
      </c>
      <c r="BK180">
        <v>20</v>
      </c>
      <c r="BL180">
        <v>45</v>
      </c>
      <c r="BM180">
        <v>11</v>
      </c>
      <c r="BN180">
        <v>21</v>
      </c>
      <c r="CU180">
        <v>538607.00780000002</v>
      </c>
      <c r="CV180">
        <v>4876187.6771999998</v>
      </c>
      <c r="CW180">
        <v>44.037840420000002</v>
      </c>
      <c r="CX180">
        <v>-92.518161750000004</v>
      </c>
      <c r="CY180" s="319">
        <v>44147.758333333331</v>
      </c>
      <c r="CZ180" t="s">
        <v>615</v>
      </c>
      <c r="DA180" t="s">
        <v>664</v>
      </c>
      <c r="DB180" t="s">
        <v>665</v>
      </c>
      <c r="DC180" t="s">
        <v>666</v>
      </c>
      <c r="DD180" s="82" t="s">
        <v>910</v>
      </c>
    </row>
    <row r="181" spans="1:108" ht="16.5" customHeight="1" x14ac:dyDescent="0.25">
      <c r="A181">
        <v>110</v>
      </c>
      <c r="B181">
        <v>700371</v>
      </c>
      <c r="C181">
        <v>4</v>
      </c>
      <c r="D181">
        <v>22</v>
      </c>
      <c r="E181">
        <v>4.2080000000000002</v>
      </c>
      <c r="F181">
        <v>55</v>
      </c>
      <c r="G181" t="s">
        <v>643</v>
      </c>
      <c r="I181">
        <v>6</v>
      </c>
      <c r="J181">
        <v>21</v>
      </c>
      <c r="L181">
        <v>19015109</v>
      </c>
      <c r="M181">
        <v>190860037</v>
      </c>
      <c r="N181">
        <v>3</v>
      </c>
      <c r="O181">
        <v>27</v>
      </c>
      <c r="P181">
        <v>2019</v>
      </c>
      <c r="Q181" t="s">
        <v>645</v>
      </c>
      <c r="R181">
        <v>13</v>
      </c>
      <c r="S181" t="s">
        <v>673</v>
      </c>
      <c r="T181">
        <v>5</v>
      </c>
      <c r="U181">
        <v>0</v>
      </c>
      <c r="V181">
        <v>3</v>
      </c>
      <c r="W181">
        <v>12</v>
      </c>
      <c r="X181">
        <v>10</v>
      </c>
      <c r="Y181">
        <v>10</v>
      </c>
      <c r="Z181">
        <v>1</v>
      </c>
      <c r="AA181">
        <v>1</v>
      </c>
      <c r="AC181">
        <v>1</v>
      </c>
      <c r="AD181">
        <v>98</v>
      </c>
      <c r="AE181" t="s">
        <v>696</v>
      </c>
      <c r="AG181" t="s">
        <v>713</v>
      </c>
      <c r="AH181">
        <v>7</v>
      </c>
      <c r="AI181">
        <v>2</v>
      </c>
      <c r="AJ181">
        <v>5</v>
      </c>
      <c r="AK181">
        <v>2</v>
      </c>
      <c r="AL181">
        <v>34</v>
      </c>
      <c r="AM181">
        <v>47</v>
      </c>
      <c r="AN181" t="s">
        <v>614</v>
      </c>
      <c r="AO181">
        <v>5</v>
      </c>
      <c r="AP181">
        <v>70</v>
      </c>
      <c r="AT181">
        <v>14</v>
      </c>
      <c r="AU181">
        <v>20</v>
      </c>
      <c r="AV181">
        <v>45</v>
      </c>
      <c r="AW181">
        <v>11</v>
      </c>
      <c r="AX181">
        <v>21</v>
      </c>
      <c r="AY181">
        <v>2</v>
      </c>
      <c r="AZ181">
        <v>4</v>
      </c>
      <c r="BA181">
        <v>2</v>
      </c>
      <c r="BB181">
        <v>34</v>
      </c>
      <c r="BC181">
        <v>58</v>
      </c>
      <c r="BD181" t="s">
        <v>620</v>
      </c>
      <c r="BE181">
        <v>5</v>
      </c>
      <c r="BF181">
        <v>1</v>
      </c>
      <c r="BJ181">
        <v>14</v>
      </c>
      <c r="BK181">
        <v>20</v>
      </c>
      <c r="BL181">
        <v>45</v>
      </c>
      <c r="BM181">
        <v>11</v>
      </c>
      <c r="BN181">
        <v>21</v>
      </c>
      <c r="BO181">
        <v>2</v>
      </c>
      <c r="BP181">
        <v>4</v>
      </c>
      <c r="BQ181">
        <v>2</v>
      </c>
      <c r="BR181">
        <v>34</v>
      </c>
      <c r="BS181">
        <v>64</v>
      </c>
      <c r="BT181" t="s">
        <v>620</v>
      </c>
      <c r="BU181">
        <v>5</v>
      </c>
      <c r="BV181">
        <v>1</v>
      </c>
      <c r="BZ181">
        <v>14</v>
      </c>
      <c r="CA181">
        <v>20</v>
      </c>
      <c r="CB181">
        <v>45</v>
      </c>
      <c r="CC181">
        <v>11</v>
      </c>
      <c r="CD181">
        <v>21</v>
      </c>
      <c r="CU181">
        <v>538606.51340000005</v>
      </c>
      <c r="CV181">
        <v>4876189.7396999998</v>
      </c>
      <c r="CW181">
        <v>44.037859019999999</v>
      </c>
      <c r="CX181">
        <v>-92.518167770000005</v>
      </c>
      <c r="CY181" s="319">
        <v>43551.579861111109</v>
      </c>
      <c r="CZ181" t="s">
        <v>615</v>
      </c>
      <c r="DA181" t="s">
        <v>664</v>
      </c>
      <c r="DB181" t="s">
        <v>665</v>
      </c>
      <c r="DC181" t="s">
        <v>666</v>
      </c>
      <c r="DD181" t="s">
        <v>911</v>
      </c>
    </row>
    <row r="182" spans="1:108" ht="16.5" customHeight="1" x14ac:dyDescent="0.25">
      <c r="A182">
        <v>110</v>
      </c>
      <c r="B182">
        <v>705867</v>
      </c>
      <c r="C182">
        <v>22</v>
      </c>
      <c r="D182">
        <v>4322</v>
      </c>
      <c r="E182">
        <v>1E-3</v>
      </c>
      <c r="F182">
        <v>55</v>
      </c>
      <c r="G182" t="s">
        <v>643</v>
      </c>
      <c r="I182">
        <v>6</v>
      </c>
      <c r="J182">
        <v>21</v>
      </c>
      <c r="L182">
        <v>19019821</v>
      </c>
      <c r="M182">
        <v>191140079</v>
      </c>
      <c r="N182">
        <v>4</v>
      </c>
      <c r="O182">
        <v>24</v>
      </c>
      <c r="P182">
        <v>2019</v>
      </c>
      <c r="Q182" t="s">
        <v>645</v>
      </c>
      <c r="R182">
        <v>15</v>
      </c>
      <c r="S182" t="s">
        <v>611</v>
      </c>
      <c r="T182">
        <v>4</v>
      </c>
      <c r="U182">
        <v>0</v>
      </c>
      <c r="V182">
        <v>3</v>
      </c>
      <c r="W182">
        <v>12</v>
      </c>
      <c r="X182">
        <v>10</v>
      </c>
      <c r="Y182">
        <v>3</v>
      </c>
      <c r="Z182">
        <v>1</v>
      </c>
      <c r="AA182">
        <v>1</v>
      </c>
      <c r="AC182">
        <v>1</v>
      </c>
      <c r="AD182">
        <v>98</v>
      </c>
      <c r="AE182" t="s">
        <v>892</v>
      </c>
      <c r="AG182" t="s">
        <v>912</v>
      </c>
      <c r="AH182">
        <v>7</v>
      </c>
      <c r="AI182">
        <v>2</v>
      </c>
      <c r="AJ182">
        <v>3</v>
      </c>
      <c r="AK182">
        <v>1</v>
      </c>
      <c r="AL182">
        <v>21</v>
      </c>
      <c r="AM182">
        <v>17</v>
      </c>
      <c r="AN182" t="s">
        <v>614</v>
      </c>
      <c r="AO182">
        <v>5</v>
      </c>
      <c r="AP182">
        <v>1</v>
      </c>
      <c r="AT182">
        <v>15</v>
      </c>
      <c r="AU182">
        <v>20</v>
      </c>
      <c r="AV182">
        <v>45</v>
      </c>
      <c r="AW182">
        <v>11</v>
      </c>
      <c r="AX182">
        <v>23</v>
      </c>
      <c r="AY182">
        <v>2</v>
      </c>
      <c r="AZ182">
        <v>3</v>
      </c>
      <c r="BA182">
        <v>1</v>
      </c>
      <c r="BB182">
        <v>21</v>
      </c>
      <c r="BC182">
        <v>63</v>
      </c>
      <c r="BD182" t="s">
        <v>614</v>
      </c>
      <c r="BE182">
        <v>5</v>
      </c>
      <c r="BF182">
        <v>70</v>
      </c>
      <c r="BJ182">
        <v>15</v>
      </c>
      <c r="BK182">
        <v>20</v>
      </c>
      <c r="BL182">
        <v>45</v>
      </c>
      <c r="BM182">
        <v>11</v>
      </c>
      <c r="BN182">
        <v>23</v>
      </c>
      <c r="BO182">
        <v>2</v>
      </c>
      <c r="BP182">
        <v>2</v>
      </c>
      <c r="BQ182">
        <v>1</v>
      </c>
      <c r="BR182">
        <v>21</v>
      </c>
      <c r="BS182">
        <v>32</v>
      </c>
      <c r="BT182" t="s">
        <v>614</v>
      </c>
      <c r="BU182">
        <v>5</v>
      </c>
      <c r="BV182">
        <v>1</v>
      </c>
      <c r="BZ182">
        <v>15</v>
      </c>
      <c r="CA182">
        <v>20</v>
      </c>
      <c r="CB182">
        <v>45</v>
      </c>
      <c r="CC182">
        <v>11</v>
      </c>
      <c r="CD182">
        <v>23</v>
      </c>
      <c r="CU182">
        <v>538641.86129999999</v>
      </c>
      <c r="CV182">
        <v>4876156.8613999998</v>
      </c>
      <c r="CW182">
        <v>44.037561150000002</v>
      </c>
      <c r="CX182">
        <v>-92.517729009999996</v>
      </c>
      <c r="CY182" s="319">
        <v>43579.63958333333</v>
      </c>
      <c r="CZ182" t="s">
        <v>615</v>
      </c>
      <c r="DA182" t="s">
        <v>664</v>
      </c>
      <c r="DB182" t="s">
        <v>665</v>
      </c>
      <c r="DC182" t="s">
        <v>666</v>
      </c>
      <c r="DD182" t="s">
        <v>913</v>
      </c>
    </row>
    <row r="183" spans="1:108" ht="16.5" customHeight="1" x14ac:dyDescent="0.25">
      <c r="A183">
        <v>110</v>
      </c>
      <c r="B183">
        <v>809037</v>
      </c>
      <c r="C183">
        <v>22</v>
      </c>
      <c r="D183">
        <v>4322</v>
      </c>
      <c r="E183">
        <v>5.0000000000000001E-3</v>
      </c>
      <c r="F183">
        <v>55</v>
      </c>
      <c r="G183" t="s">
        <v>643</v>
      </c>
      <c r="I183">
        <v>6</v>
      </c>
      <c r="J183">
        <v>21</v>
      </c>
      <c r="L183" t="s">
        <v>914</v>
      </c>
      <c r="M183">
        <v>201230101</v>
      </c>
      <c r="N183">
        <v>5</v>
      </c>
      <c r="O183">
        <v>2</v>
      </c>
      <c r="P183">
        <v>2020</v>
      </c>
      <c r="Q183" t="s">
        <v>655</v>
      </c>
      <c r="R183">
        <v>22</v>
      </c>
      <c r="S183" t="s">
        <v>611</v>
      </c>
      <c r="T183">
        <v>3</v>
      </c>
      <c r="U183">
        <v>0</v>
      </c>
      <c r="V183">
        <v>2</v>
      </c>
      <c r="W183">
        <v>5</v>
      </c>
      <c r="X183">
        <v>10</v>
      </c>
      <c r="Y183">
        <v>26</v>
      </c>
      <c r="Z183">
        <v>4</v>
      </c>
      <c r="AA183">
        <v>1</v>
      </c>
      <c r="AC183">
        <v>1</v>
      </c>
      <c r="AD183">
        <v>98</v>
      </c>
      <c r="AE183" t="s">
        <v>892</v>
      </c>
      <c r="AG183" t="s">
        <v>912</v>
      </c>
      <c r="AH183">
        <v>10</v>
      </c>
      <c r="AI183">
        <v>2</v>
      </c>
      <c r="AJ183">
        <v>2</v>
      </c>
      <c r="AK183">
        <v>4</v>
      </c>
      <c r="AL183">
        <v>24</v>
      </c>
      <c r="AM183">
        <v>23</v>
      </c>
      <c r="AN183" t="s">
        <v>614</v>
      </c>
      <c r="AO183">
        <v>5</v>
      </c>
      <c r="AP183">
        <v>1</v>
      </c>
      <c r="AT183">
        <v>11</v>
      </c>
      <c r="AU183">
        <v>20</v>
      </c>
      <c r="AV183">
        <v>45</v>
      </c>
      <c r="AW183">
        <v>11</v>
      </c>
      <c r="AX183">
        <v>21</v>
      </c>
      <c r="AY183">
        <v>2</v>
      </c>
      <c r="AZ183">
        <v>2</v>
      </c>
      <c r="BA183">
        <v>4</v>
      </c>
      <c r="BB183">
        <v>21</v>
      </c>
      <c r="BC183">
        <v>58</v>
      </c>
      <c r="BD183" t="s">
        <v>620</v>
      </c>
      <c r="BE183">
        <v>5</v>
      </c>
      <c r="BF183">
        <v>63</v>
      </c>
      <c r="BJ183">
        <v>14</v>
      </c>
      <c r="BK183">
        <v>20</v>
      </c>
      <c r="BL183">
        <v>45</v>
      </c>
      <c r="BM183">
        <v>11</v>
      </c>
      <c r="BN183">
        <v>21</v>
      </c>
      <c r="CU183">
        <v>538635.72420000006</v>
      </c>
      <c r="CV183">
        <v>4876158.3957000002</v>
      </c>
      <c r="CW183">
        <v>44.037575289999999</v>
      </c>
      <c r="CX183">
        <v>-92.517805490000001</v>
      </c>
      <c r="CY183" s="319">
        <v>43953.952777777777</v>
      </c>
      <c r="CZ183" t="s">
        <v>615</v>
      </c>
      <c r="DA183" t="s">
        <v>664</v>
      </c>
      <c r="DB183" t="s">
        <v>665</v>
      </c>
      <c r="DC183" t="s">
        <v>666</v>
      </c>
      <c r="DD183" s="82" t="s">
        <v>915</v>
      </c>
    </row>
    <row r="184" spans="1:108" ht="16.5" customHeight="1" x14ac:dyDescent="0.25">
      <c r="A184">
        <v>110</v>
      </c>
      <c r="B184">
        <v>676128</v>
      </c>
      <c r="C184">
        <v>22</v>
      </c>
      <c r="D184">
        <v>5781</v>
      </c>
      <c r="E184">
        <v>0.224</v>
      </c>
      <c r="F184">
        <v>55</v>
      </c>
      <c r="G184" t="s">
        <v>643</v>
      </c>
      <c r="I184">
        <v>6</v>
      </c>
      <c r="J184">
        <v>21</v>
      </c>
      <c r="L184">
        <v>1902270</v>
      </c>
      <c r="M184">
        <v>190150033</v>
      </c>
      <c r="N184">
        <v>1</v>
      </c>
      <c r="O184">
        <v>15</v>
      </c>
      <c r="P184">
        <v>2019</v>
      </c>
      <c r="Q184" t="s">
        <v>625</v>
      </c>
      <c r="R184">
        <v>7</v>
      </c>
      <c r="S184" t="s">
        <v>639</v>
      </c>
      <c r="T184">
        <v>5</v>
      </c>
      <c r="U184">
        <v>0</v>
      </c>
      <c r="V184">
        <v>2</v>
      </c>
      <c r="W184">
        <v>12</v>
      </c>
      <c r="X184">
        <v>10</v>
      </c>
      <c r="Y184">
        <v>3</v>
      </c>
      <c r="Z184">
        <v>1</v>
      </c>
      <c r="AA184">
        <v>2</v>
      </c>
      <c r="AC184">
        <v>2</v>
      </c>
      <c r="AD184">
        <v>98</v>
      </c>
      <c r="AE184" t="s">
        <v>882</v>
      </c>
      <c r="AG184" t="s">
        <v>916</v>
      </c>
      <c r="AH184">
        <v>7</v>
      </c>
      <c r="AI184">
        <v>2</v>
      </c>
      <c r="AJ184">
        <v>2</v>
      </c>
      <c r="AK184">
        <v>4</v>
      </c>
      <c r="AL184">
        <v>21</v>
      </c>
      <c r="AM184">
        <v>36</v>
      </c>
      <c r="AN184" t="s">
        <v>614</v>
      </c>
      <c r="AO184">
        <v>5</v>
      </c>
      <c r="AP184">
        <v>1</v>
      </c>
      <c r="AT184">
        <v>12</v>
      </c>
      <c r="AU184">
        <v>20</v>
      </c>
      <c r="AV184">
        <v>55</v>
      </c>
      <c r="AW184">
        <v>11</v>
      </c>
      <c r="AX184">
        <v>23</v>
      </c>
      <c r="AY184">
        <v>2</v>
      </c>
      <c r="AZ184">
        <v>2</v>
      </c>
      <c r="BA184">
        <v>4</v>
      </c>
      <c r="BB184">
        <v>21</v>
      </c>
      <c r="BC184">
        <v>30</v>
      </c>
      <c r="BD184" t="s">
        <v>614</v>
      </c>
      <c r="BE184">
        <v>5</v>
      </c>
      <c r="BF184">
        <v>90</v>
      </c>
      <c r="BJ184">
        <v>12</v>
      </c>
      <c r="BK184">
        <v>20</v>
      </c>
      <c r="BL184">
        <v>55</v>
      </c>
      <c r="BM184">
        <v>11</v>
      </c>
      <c r="BN184">
        <v>23</v>
      </c>
      <c r="CU184">
        <v>538659.24750000006</v>
      </c>
      <c r="CV184">
        <v>4876157.2561999997</v>
      </c>
      <c r="CW184">
        <v>44.03756379</v>
      </c>
      <c r="CX184">
        <v>-92.517511999999996</v>
      </c>
      <c r="CY184" s="319">
        <v>43480.330555555556</v>
      </c>
      <c r="CZ184" t="s">
        <v>615</v>
      </c>
      <c r="DA184" t="s">
        <v>664</v>
      </c>
      <c r="DB184" t="s">
        <v>665</v>
      </c>
      <c r="DC184" t="s">
        <v>666</v>
      </c>
      <c r="DD184" t="s">
        <v>917</v>
      </c>
    </row>
    <row r="185" spans="1:108" ht="16.5" customHeight="1" x14ac:dyDescent="0.25">
      <c r="A185">
        <v>110</v>
      </c>
      <c r="B185">
        <v>802645</v>
      </c>
      <c r="C185">
        <v>22</v>
      </c>
      <c r="D185">
        <v>5781</v>
      </c>
      <c r="E185">
        <v>0.22600000000000001</v>
      </c>
      <c r="F185">
        <v>55</v>
      </c>
      <c r="G185" t="s">
        <v>643</v>
      </c>
      <c r="I185">
        <v>6</v>
      </c>
      <c r="J185">
        <v>21</v>
      </c>
      <c r="L185" t="s">
        <v>918</v>
      </c>
      <c r="M185">
        <v>200660047</v>
      </c>
      <c r="N185">
        <v>3</v>
      </c>
      <c r="O185">
        <v>6</v>
      </c>
      <c r="P185">
        <v>2020</v>
      </c>
      <c r="Q185" t="s">
        <v>638</v>
      </c>
      <c r="R185">
        <v>12</v>
      </c>
      <c r="S185" t="s">
        <v>639</v>
      </c>
      <c r="T185">
        <v>5</v>
      </c>
      <c r="U185">
        <v>0</v>
      </c>
      <c r="V185">
        <v>2</v>
      </c>
      <c r="W185">
        <v>12</v>
      </c>
      <c r="X185">
        <v>10</v>
      </c>
      <c r="Y185">
        <v>27</v>
      </c>
      <c r="Z185">
        <v>1</v>
      </c>
      <c r="AA185">
        <v>1</v>
      </c>
      <c r="AC185">
        <v>1</v>
      </c>
      <c r="AD185">
        <v>98</v>
      </c>
      <c r="AE185" t="s">
        <v>882</v>
      </c>
      <c r="AG185" t="s">
        <v>916</v>
      </c>
      <c r="AH185">
        <v>7</v>
      </c>
      <c r="AI185">
        <v>2</v>
      </c>
      <c r="AJ185">
        <v>2</v>
      </c>
      <c r="AK185">
        <v>4</v>
      </c>
      <c r="AL185">
        <v>34</v>
      </c>
      <c r="AM185">
        <v>31</v>
      </c>
      <c r="AN185" t="s">
        <v>620</v>
      </c>
      <c r="AO185">
        <v>5</v>
      </c>
      <c r="AP185">
        <v>1</v>
      </c>
      <c r="AT185">
        <v>90</v>
      </c>
      <c r="AU185">
        <v>20</v>
      </c>
      <c r="AV185">
        <v>65</v>
      </c>
      <c r="AW185">
        <v>11</v>
      </c>
      <c r="AX185">
        <v>23</v>
      </c>
      <c r="AY185">
        <v>2</v>
      </c>
      <c r="AZ185">
        <v>3</v>
      </c>
      <c r="BA185">
        <v>4</v>
      </c>
      <c r="BB185">
        <v>21</v>
      </c>
      <c r="BC185">
        <v>70</v>
      </c>
      <c r="BD185" t="s">
        <v>614</v>
      </c>
      <c r="BE185">
        <v>5</v>
      </c>
      <c r="BF185">
        <v>4</v>
      </c>
      <c r="BJ185">
        <v>90</v>
      </c>
      <c r="BK185">
        <v>20</v>
      </c>
      <c r="BL185">
        <v>65</v>
      </c>
      <c r="BM185">
        <v>11</v>
      </c>
      <c r="BN185">
        <v>23</v>
      </c>
      <c r="CU185">
        <v>538655.2892</v>
      </c>
      <c r="CV185">
        <v>4876157.0396999996</v>
      </c>
      <c r="CW185">
        <v>44.037562049999998</v>
      </c>
      <c r="CX185">
        <v>-92.517561420000007</v>
      </c>
      <c r="CY185" s="319">
        <v>43896.529861111114</v>
      </c>
      <c r="CZ185" t="s">
        <v>615</v>
      </c>
      <c r="DA185" t="s">
        <v>664</v>
      </c>
      <c r="DB185" t="s">
        <v>665</v>
      </c>
      <c r="DC185" t="s">
        <v>666</v>
      </c>
      <c r="DD185" s="82" t="s">
        <v>919</v>
      </c>
    </row>
    <row r="186" spans="1:108" ht="16.5" customHeight="1" x14ac:dyDescent="0.25">
      <c r="A186">
        <v>110</v>
      </c>
      <c r="B186">
        <v>727101</v>
      </c>
      <c r="C186">
        <v>22</v>
      </c>
      <c r="D186">
        <v>5781</v>
      </c>
      <c r="E186">
        <v>0.23</v>
      </c>
      <c r="F186">
        <v>55</v>
      </c>
      <c r="G186" t="s">
        <v>643</v>
      </c>
      <c r="I186">
        <v>6</v>
      </c>
      <c r="J186">
        <v>21</v>
      </c>
      <c r="L186" t="s">
        <v>920</v>
      </c>
      <c r="M186">
        <v>191630213</v>
      </c>
      <c r="N186">
        <v>6</v>
      </c>
      <c r="O186">
        <v>12</v>
      </c>
      <c r="P186">
        <v>2019</v>
      </c>
      <c r="Q186" t="s">
        <v>645</v>
      </c>
      <c r="R186">
        <v>10</v>
      </c>
      <c r="S186" t="s">
        <v>639</v>
      </c>
      <c r="T186">
        <v>4</v>
      </c>
      <c r="U186">
        <v>0</v>
      </c>
      <c r="V186">
        <v>2</v>
      </c>
      <c r="W186">
        <v>12</v>
      </c>
      <c r="X186">
        <v>10</v>
      </c>
      <c r="Y186">
        <v>27</v>
      </c>
      <c r="Z186">
        <v>1</v>
      </c>
      <c r="AA186">
        <v>1</v>
      </c>
      <c r="AB186">
        <v>2</v>
      </c>
      <c r="AC186">
        <v>1</v>
      </c>
      <c r="AD186">
        <v>98</v>
      </c>
      <c r="AE186" t="s">
        <v>882</v>
      </c>
      <c r="AG186" t="s">
        <v>916</v>
      </c>
      <c r="AH186">
        <v>7</v>
      </c>
      <c r="AI186">
        <v>2</v>
      </c>
      <c r="AJ186">
        <v>4</v>
      </c>
      <c r="AK186">
        <v>4</v>
      </c>
      <c r="AL186">
        <v>34</v>
      </c>
      <c r="AM186">
        <v>41</v>
      </c>
      <c r="AN186" t="s">
        <v>620</v>
      </c>
      <c r="AO186">
        <v>5</v>
      </c>
      <c r="AP186">
        <v>1</v>
      </c>
      <c r="AT186">
        <v>90</v>
      </c>
      <c r="AU186">
        <v>20</v>
      </c>
      <c r="AV186">
        <v>65</v>
      </c>
      <c r="AW186">
        <v>11</v>
      </c>
      <c r="AX186">
        <v>23</v>
      </c>
      <c r="AY186">
        <v>2</v>
      </c>
      <c r="AZ186">
        <v>49</v>
      </c>
      <c r="BA186">
        <v>4</v>
      </c>
      <c r="BB186">
        <v>21</v>
      </c>
      <c r="BC186">
        <v>43</v>
      </c>
      <c r="BD186" t="s">
        <v>614</v>
      </c>
      <c r="BE186">
        <v>5</v>
      </c>
      <c r="BF186">
        <v>4</v>
      </c>
      <c r="BJ186">
        <v>90</v>
      </c>
      <c r="BK186">
        <v>20</v>
      </c>
      <c r="BL186">
        <v>65</v>
      </c>
      <c r="BM186">
        <v>11</v>
      </c>
      <c r="BN186">
        <v>23</v>
      </c>
      <c r="CU186">
        <v>538649.30469999998</v>
      </c>
      <c r="CV186">
        <v>4876156.7122999998</v>
      </c>
      <c r="CW186">
        <v>44.03755941</v>
      </c>
      <c r="CX186">
        <v>-92.51763613</v>
      </c>
      <c r="CY186" s="319">
        <v>43628.440972222219</v>
      </c>
      <c r="CZ186" t="s">
        <v>615</v>
      </c>
      <c r="DA186" t="s">
        <v>664</v>
      </c>
      <c r="DB186" t="s">
        <v>665</v>
      </c>
      <c r="DC186" t="s">
        <v>666</v>
      </c>
      <c r="DD186" t="s">
        <v>921</v>
      </c>
    </row>
    <row r="187" spans="1:108" ht="16.5" customHeight="1" x14ac:dyDescent="0.25">
      <c r="A187">
        <v>110</v>
      </c>
      <c r="B187">
        <v>581824</v>
      </c>
      <c r="C187">
        <v>22</v>
      </c>
      <c r="D187">
        <v>5781</v>
      </c>
      <c r="E187">
        <v>0.23300000000000001</v>
      </c>
      <c r="F187">
        <v>55</v>
      </c>
      <c r="G187" t="s">
        <v>643</v>
      </c>
      <c r="I187">
        <v>6</v>
      </c>
      <c r="J187">
        <v>21</v>
      </c>
      <c r="L187">
        <v>18010296</v>
      </c>
      <c r="M187">
        <v>180660002</v>
      </c>
      <c r="N187">
        <v>3</v>
      </c>
      <c r="O187">
        <v>6</v>
      </c>
      <c r="P187">
        <v>2018</v>
      </c>
      <c r="Q187" t="s">
        <v>625</v>
      </c>
      <c r="R187">
        <v>21</v>
      </c>
      <c r="S187">
        <v>98</v>
      </c>
      <c r="T187">
        <v>5</v>
      </c>
      <c r="U187">
        <v>0</v>
      </c>
      <c r="V187">
        <v>2</v>
      </c>
      <c r="W187">
        <v>12</v>
      </c>
      <c r="X187">
        <v>10</v>
      </c>
      <c r="Y187">
        <v>27</v>
      </c>
      <c r="Z187">
        <v>4</v>
      </c>
      <c r="AA187">
        <v>1</v>
      </c>
      <c r="AC187">
        <v>1</v>
      </c>
      <c r="AD187">
        <v>98</v>
      </c>
      <c r="AE187" t="s">
        <v>882</v>
      </c>
      <c r="AG187" t="s">
        <v>916</v>
      </c>
      <c r="AH187">
        <v>7</v>
      </c>
      <c r="AI187">
        <v>2</v>
      </c>
      <c r="AJ187">
        <v>2</v>
      </c>
      <c r="AK187">
        <v>4</v>
      </c>
      <c r="AL187">
        <v>34</v>
      </c>
      <c r="AM187">
        <v>30</v>
      </c>
      <c r="AN187" t="s">
        <v>614</v>
      </c>
      <c r="AO187">
        <v>5</v>
      </c>
      <c r="AP187">
        <v>1</v>
      </c>
      <c r="AT187">
        <v>11</v>
      </c>
      <c r="AU187">
        <v>21</v>
      </c>
      <c r="AW187">
        <v>11</v>
      </c>
      <c r="AX187">
        <v>22</v>
      </c>
      <c r="AY187">
        <v>2</v>
      </c>
      <c r="AZ187">
        <v>2</v>
      </c>
      <c r="BA187">
        <v>4</v>
      </c>
      <c r="BB187">
        <v>21</v>
      </c>
      <c r="BC187">
        <v>22</v>
      </c>
      <c r="BD187" t="s">
        <v>614</v>
      </c>
      <c r="BE187">
        <v>5</v>
      </c>
      <c r="BF187">
        <v>74</v>
      </c>
      <c r="BJ187">
        <v>11</v>
      </c>
      <c r="BK187">
        <v>20</v>
      </c>
      <c r="BM187">
        <v>11</v>
      </c>
      <c r="BN187">
        <v>22</v>
      </c>
      <c r="CU187">
        <v>538645.2807</v>
      </c>
      <c r="CV187">
        <v>4876156.4922000002</v>
      </c>
      <c r="CW187">
        <v>44.037557640000003</v>
      </c>
      <c r="CX187">
        <v>-92.517686359999999</v>
      </c>
      <c r="CY187" s="319">
        <v>43165.882638888892</v>
      </c>
      <c r="CZ187" t="s">
        <v>615</v>
      </c>
      <c r="DA187" t="s">
        <v>664</v>
      </c>
      <c r="DB187" t="s">
        <v>665</v>
      </c>
      <c r="DC187" t="s">
        <v>666</v>
      </c>
      <c r="DD187" s="82" t="s">
        <v>922</v>
      </c>
    </row>
    <row r="188" spans="1:108" ht="16.5" customHeight="1" x14ac:dyDescent="0.25">
      <c r="A188">
        <v>120</v>
      </c>
      <c r="B188">
        <v>930747</v>
      </c>
      <c r="C188">
        <v>4</v>
      </c>
      <c r="D188">
        <v>22</v>
      </c>
      <c r="E188">
        <v>4.0369999999999999</v>
      </c>
      <c r="F188">
        <v>55</v>
      </c>
      <c r="G188" t="s">
        <v>643</v>
      </c>
      <c r="I188">
        <v>6</v>
      </c>
      <c r="J188">
        <v>21</v>
      </c>
      <c r="L188" t="s">
        <v>923</v>
      </c>
      <c r="M188">
        <v>212080095</v>
      </c>
      <c r="N188">
        <v>7</v>
      </c>
      <c r="O188">
        <v>27</v>
      </c>
      <c r="P188">
        <v>2021</v>
      </c>
      <c r="Q188" t="s">
        <v>625</v>
      </c>
      <c r="R188">
        <v>16</v>
      </c>
      <c r="S188">
        <v>98</v>
      </c>
      <c r="T188">
        <v>3</v>
      </c>
      <c r="U188">
        <v>0</v>
      </c>
      <c r="V188">
        <v>3</v>
      </c>
      <c r="W188">
        <v>12</v>
      </c>
      <c r="X188">
        <v>10</v>
      </c>
      <c r="Y188">
        <v>2</v>
      </c>
      <c r="Z188">
        <v>1</v>
      </c>
      <c r="AA188">
        <v>1</v>
      </c>
      <c r="AC188">
        <v>1</v>
      </c>
      <c r="AD188">
        <v>98</v>
      </c>
      <c r="AE188" t="s">
        <v>696</v>
      </c>
      <c r="AG188" t="s">
        <v>715</v>
      </c>
      <c r="AH188">
        <v>7</v>
      </c>
      <c r="AI188">
        <v>2</v>
      </c>
      <c r="AJ188">
        <v>2</v>
      </c>
      <c r="AK188">
        <v>1</v>
      </c>
      <c r="AL188">
        <v>21</v>
      </c>
      <c r="AM188">
        <v>20</v>
      </c>
      <c r="AN188" t="s">
        <v>620</v>
      </c>
      <c r="AO188">
        <v>5</v>
      </c>
      <c r="AP188">
        <v>74</v>
      </c>
      <c r="AQ188">
        <v>70</v>
      </c>
      <c r="AT188">
        <v>15</v>
      </c>
      <c r="AU188">
        <v>20</v>
      </c>
      <c r="AV188">
        <v>40</v>
      </c>
      <c r="AW188">
        <v>11</v>
      </c>
      <c r="AX188">
        <v>21</v>
      </c>
      <c r="AY188">
        <v>2</v>
      </c>
      <c r="AZ188">
        <v>2</v>
      </c>
      <c r="BA188">
        <v>1</v>
      </c>
      <c r="BB188">
        <v>34</v>
      </c>
      <c r="BC188">
        <v>29</v>
      </c>
      <c r="BD188" t="s">
        <v>620</v>
      </c>
      <c r="BE188">
        <v>5</v>
      </c>
      <c r="BF188">
        <v>1</v>
      </c>
      <c r="BJ188">
        <v>15</v>
      </c>
      <c r="BK188">
        <v>20</v>
      </c>
      <c r="BL188">
        <v>40</v>
      </c>
      <c r="BM188">
        <v>11</v>
      </c>
      <c r="BN188">
        <v>21</v>
      </c>
      <c r="BO188">
        <v>2</v>
      </c>
      <c r="BP188">
        <v>5</v>
      </c>
      <c r="BQ188">
        <v>1</v>
      </c>
      <c r="BR188">
        <v>34</v>
      </c>
      <c r="BS188">
        <v>19</v>
      </c>
      <c r="BT188" t="s">
        <v>620</v>
      </c>
      <c r="BU188">
        <v>5</v>
      </c>
      <c r="BV188">
        <v>1</v>
      </c>
      <c r="BZ188">
        <v>15</v>
      </c>
      <c r="CA188">
        <v>20</v>
      </c>
      <c r="CB188">
        <v>40</v>
      </c>
      <c r="CC188">
        <v>11</v>
      </c>
      <c r="CD188">
        <v>21</v>
      </c>
      <c r="CU188">
        <v>538689.29799999995</v>
      </c>
      <c r="CV188">
        <v>4875941.4981000004</v>
      </c>
      <c r="CW188">
        <v>44.035619699999998</v>
      </c>
      <c r="CX188">
        <v>-92.517152730000006</v>
      </c>
      <c r="CY188" s="319">
        <v>44404.701388888891</v>
      </c>
      <c r="CZ188" t="s">
        <v>615</v>
      </c>
      <c r="DA188" t="s">
        <v>664</v>
      </c>
      <c r="DB188" t="s">
        <v>665</v>
      </c>
      <c r="DC188" t="s">
        <v>666</v>
      </c>
      <c r="DD188" s="82" t="s">
        <v>924</v>
      </c>
    </row>
    <row r="189" spans="1:108" ht="16.5" customHeight="1" x14ac:dyDescent="0.25">
      <c r="A189">
        <v>120</v>
      </c>
      <c r="B189">
        <v>416352</v>
      </c>
      <c r="C189">
        <v>4</v>
      </c>
      <c r="D189">
        <v>22</v>
      </c>
      <c r="E189">
        <v>4.048</v>
      </c>
      <c r="F189">
        <v>55</v>
      </c>
      <c r="G189" t="s">
        <v>643</v>
      </c>
      <c r="I189">
        <v>6</v>
      </c>
      <c r="J189">
        <v>21</v>
      </c>
      <c r="L189">
        <v>1702732</v>
      </c>
      <c r="M189">
        <v>170180079</v>
      </c>
      <c r="N189">
        <v>1</v>
      </c>
      <c r="O189">
        <v>18</v>
      </c>
      <c r="P189">
        <v>2017</v>
      </c>
      <c r="Q189" t="s">
        <v>645</v>
      </c>
      <c r="R189">
        <v>9</v>
      </c>
      <c r="T189">
        <v>3</v>
      </c>
      <c r="U189">
        <v>0</v>
      </c>
      <c r="V189">
        <v>2</v>
      </c>
      <c r="W189">
        <v>12</v>
      </c>
      <c r="X189">
        <v>10</v>
      </c>
      <c r="Y189">
        <v>3</v>
      </c>
      <c r="Z189">
        <v>1</v>
      </c>
      <c r="AA189">
        <v>1</v>
      </c>
      <c r="AC189">
        <v>5</v>
      </c>
      <c r="AD189">
        <v>98</v>
      </c>
      <c r="AE189" t="s">
        <v>925</v>
      </c>
      <c r="AG189" t="s">
        <v>715</v>
      </c>
      <c r="AH189">
        <v>7</v>
      </c>
      <c r="AI189">
        <v>2</v>
      </c>
      <c r="AJ189">
        <v>4</v>
      </c>
      <c r="AK189">
        <v>1</v>
      </c>
      <c r="AL189">
        <v>34</v>
      </c>
      <c r="AM189">
        <v>50</v>
      </c>
      <c r="AN189" t="s">
        <v>614</v>
      </c>
      <c r="AO189">
        <v>5</v>
      </c>
      <c r="AP189">
        <v>1</v>
      </c>
      <c r="AT189">
        <v>15</v>
      </c>
      <c r="AU189">
        <v>20</v>
      </c>
      <c r="AV189">
        <v>45</v>
      </c>
      <c r="AW189">
        <v>11</v>
      </c>
      <c r="AX189">
        <v>23</v>
      </c>
      <c r="AY189">
        <v>2</v>
      </c>
      <c r="AZ189">
        <v>2</v>
      </c>
      <c r="BA189">
        <v>1</v>
      </c>
      <c r="BB189">
        <v>21</v>
      </c>
      <c r="BC189">
        <v>22</v>
      </c>
      <c r="BD189" t="s">
        <v>620</v>
      </c>
      <c r="BE189">
        <v>5</v>
      </c>
      <c r="BF189">
        <v>90</v>
      </c>
      <c r="BJ189">
        <v>15</v>
      </c>
      <c r="BK189">
        <v>20</v>
      </c>
      <c r="BL189">
        <v>45</v>
      </c>
      <c r="BM189">
        <v>11</v>
      </c>
      <c r="BN189">
        <v>23</v>
      </c>
      <c r="CU189">
        <v>538685.43940000003</v>
      </c>
      <c r="CV189">
        <v>4875958.2501999997</v>
      </c>
      <c r="CW189">
        <v>44.035770730000003</v>
      </c>
      <c r="CX189">
        <v>-92.517199660000003</v>
      </c>
      <c r="CY189" s="319">
        <v>42753.385416666664</v>
      </c>
      <c r="CZ189" t="s">
        <v>615</v>
      </c>
      <c r="DA189" t="s">
        <v>664</v>
      </c>
      <c r="DB189" t="s">
        <v>665</v>
      </c>
      <c r="DC189" t="s">
        <v>666</v>
      </c>
      <c r="DD189" s="82" t="s">
        <v>926</v>
      </c>
    </row>
    <row r="190" spans="1:108" ht="16.5" customHeight="1" x14ac:dyDescent="0.25">
      <c r="A190">
        <v>120</v>
      </c>
      <c r="B190">
        <v>693584</v>
      </c>
      <c r="C190">
        <v>4</v>
      </c>
      <c r="D190">
        <v>22</v>
      </c>
      <c r="E190">
        <v>4.0519999999999996</v>
      </c>
      <c r="F190">
        <v>55</v>
      </c>
      <c r="G190" t="s">
        <v>643</v>
      </c>
      <c r="I190">
        <v>6</v>
      </c>
      <c r="J190">
        <v>21</v>
      </c>
      <c r="L190" t="s">
        <v>927</v>
      </c>
      <c r="M190">
        <v>190600328</v>
      </c>
      <c r="N190">
        <v>3</v>
      </c>
      <c r="O190">
        <v>1</v>
      </c>
      <c r="P190">
        <v>2019</v>
      </c>
      <c r="Q190" t="s">
        <v>638</v>
      </c>
      <c r="R190">
        <v>18</v>
      </c>
      <c r="S190" t="s">
        <v>611</v>
      </c>
      <c r="T190">
        <v>5</v>
      </c>
      <c r="U190">
        <v>0</v>
      </c>
      <c r="V190">
        <v>1</v>
      </c>
      <c r="X190">
        <v>50</v>
      </c>
      <c r="Y190">
        <v>10</v>
      </c>
      <c r="Z190">
        <v>3</v>
      </c>
      <c r="AA190">
        <v>4</v>
      </c>
      <c r="AC190">
        <v>3</v>
      </c>
      <c r="AD190">
        <v>98</v>
      </c>
      <c r="AE190" t="s">
        <v>925</v>
      </c>
      <c r="AG190" t="s">
        <v>715</v>
      </c>
      <c r="AH190">
        <v>3</v>
      </c>
      <c r="AI190">
        <v>2</v>
      </c>
      <c r="AJ190">
        <v>4</v>
      </c>
      <c r="AK190">
        <v>1</v>
      </c>
      <c r="AL190">
        <v>26</v>
      </c>
      <c r="AM190">
        <v>48</v>
      </c>
      <c r="AN190" t="s">
        <v>614</v>
      </c>
      <c r="AO190">
        <v>5</v>
      </c>
      <c r="AP190">
        <v>71</v>
      </c>
      <c r="AT190">
        <v>12</v>
      </c>
      <c r="AU190">
        <v>20</v>
      </c>
      <c r="AV190">
        <v>45</v>
      </c>
      <c r="AW190">
        <v>11</v>
      </c>
      <c r="AX190">
        <v>23</v>
      </c>
      <c r="CU190">
        <v>538683.87009999994</v>
      </c>
      <c r="CV190">
        <v>4875965.0632999996</v>
      </c>
      <c r="CW190">
        <v>44.035832149999997</v>
      </c>
      <c r="CX190">
        <v>-92.517218749999998</v>
      </c>
      <c r="CY190" s="319">
        <v>43525.756944444445</v>
      </c>
      <c r="CZ190" t="s">
        <v>615</v>
      </c>
      <c r="DA190" t="s">
        <v>664</v>
      </c>
      <c r="DB190" t="s">
        <v>665</v>
      </c>
      <c r="DC190" t="s">
        <v>666</v>
      </c>
      <c r="DD190" s="82" t="s">
        <v>928</v>
      </c>
    </row>
    <row r="191" spans="1:108" ht="16.5" customHeight="1" x14ac:dyDescent="0.25">
      <c r="A191">
        <v>120</v>
      </c>
      <c r="B191">
        <v>721199</v>
      </c>
      <c r="C191">
        <v>4</v>
      </c>
      <c r="D191">
        <v>22</v>
      </c>
      <c r="E191">
        <v>4.0620000000000003</v>
      </c>
      <c r="F191">
        <v>55</v>
      </c>
      <c r="G191" t="s">
        <v>643</v>
      </c>
      <c r="I191">
        <v>6</v>
      </c>
      <c r="J191">
        <v>21</v>
      </c>
      <c r="L191">
        <v>19024290</v>
      </c>
      <c r="M191">
        <v>191400103</v>
      </c>
      <c r="N191">
        <v>5</v>
      </c>
      <c r="O191">
        <v>20</v>
      </c>
      <c r="P191">
        <v>2019</v>
      </c>
      <c r="Q191" t="s">
        <v>610</v>
      </c>
      <c r="R191">
        <v>16</v>
      </c>
      <c r="S191">
        <v>98</v>
      </c>
      <c r="T191">
        <v>4</v>
      </c>
      <c r="U191">
        <v>0</v>
      </c>
      <c r="V191">
        <v>2</v>
      </c>
      <c r="W191">
        <v>5</v>
      </c>
      <c r="X191">
        <v>10</v>
      </c>
      <c r="Y191">
        <v>27</v>
      </c>
      <c r="Z191">
        <v>1</v>
      </c>
      <c r="AA191">
        <v>2</v>
      </c>
      <c r="AC191">
        <v>1</v>
      </c>
      <c r="AD191">
        <v>98</v>
      </c>
      <c r="AE191" t="s">
        <v>696</v>
      </c>
      <c r="AF191" t="s">
        <v>929</v>
      </c>
      <c r="AG191" t="s">
        <v>715</v>
      </c>
      <c r="AH191">
        <v>9</v>
      </c>
      <c r="AI191">
        <v>2</v>
      </c>
      <c r="AJ191">
        <v>3</v>
      </c>
      <c r="AK191">
        <v>1</v>
      </c>
      <c r="AL191">
        <v>21</v>
      </c>
      <c r="AM191">
        <v>27</v>
      </c>
      <c r="AN191" t="s">
        <v>614</v>
      </c>
      <c r="AO191">
        <v>5</v>
      </c>
      <c r="AP191">
        <v>70</v>
      </c>
      <c r="AQ191">
        <v>63</v>
      </c>
      <c r="AT191">
        <v>15</v>
      </c>
      <c r="AU191">
        <v>20</v>
      </c>
      <c r="AV191">
        <v>45</v>
      </c>
      <c r="AW191">
        <v>11</v>
      </c>
      <c r="AX191">
        <v>21</v>
      </c>
      <c r="AY191">
        <v>2</v>
      </c>
      <c r="AZ191">
        <v>2</v>
      </c>
      <c r="BA191">
        <v>2</v>
      </c>
      <c r="BB191">
        <v>24</v>
      </c>
      <c r="BC191">
        <v>63</v>
      </c>
      <c r="BD191" t="s">
        <v>614</v>
      </c>
      <c r="BE191">
        <v>5</v>
      </c>
      <c r="BF191">
        <v>1</v>
      </c>
      <c r="BJ191">
        <v>15</v>
      </c>
      <c r="BK191">
        <v>20</v>
      </c>
      <c r="BL191">
        <v>45</v>
      </c>
      <c r="BM191">
        <v>11</v>
      </c>
      <c r="BN191">
        <v>21</v>
      </c>
      <c r="CU191">
        <v>538680.29969999997</v>
      </c>
      <c r="CV191">
        <v>4875980.4267999995</v>
      </c>
      <c r="CW191">
        <v>44.035970659999997</v>
      </c>
      <c r="CX191">
        <v>-92.517262189999997</v>
      </c>
      <c r="CY191" s="319">
        <v>43605.6875</v>
      </c>
      <c r="CZ191" t="s">
        <v>615</v>
      </c>
      <c r="DA191" t="s">
        <v>664</v>
      </c>
      <c r="DB191" t="s">
        <v>665</v>
      </c>
      <c r="DC191" t="s">
        <v>666</v>
      </c>
      <c r="DD191" t="s">
        <v>930</v>
      </c>
    </row>
    <row r="192" spans="1:108" ht="16.5" customHeight="1" x14ac:dyDescent="0.25">
      <c r="A192">
        <v>120</v>
      </c>
      <c r="B192">
        <v>722988</v>
      </c>
      <c r="C192">
        <v>4</v>
      </c>
      <c r="D192">
        <v>22</v>
      </c>
      <c r="E192">
        <v>4.0650000000000004</v>
      </c>
      <c r="F192">
        <v>55</v>
      </c>
      <c r="G192" t="s">
        <v>643</v>
      </c>
      <c r="I192">
        <v>6</v>
      </c>
      <c r="J192">
        <v>21</v>
      </c>
      <c r="L192" t="s">
        <v>931</v>
      </c>
      <c r="M192">
        <v>191490095</v>
      </c>
      <c r="N192">
        <v>5</v>
      </c>
      <c r="O192">
        <v>29</v>
      </c>
      <c r="P192">
        <v>2019</v>
      </c>
      <c r="Q192" t="s">
        <v>645</v>
      </c>
      <c r="R192">
        <v>16</v>
      </c>
      <c r="S192">
        <v>98</v>
      </c>
      <c r="T192">
        <v>5</v>
      </c>
      <c r="U192">
        <v>0</v>
      </c>
      <c r="V192">
        <v>2</v>
      </c>
      <c r="W192">
        <v>10</v>
      </c>
      <c r="X192">
        <v>10</v>
      </c>
      <c r="Y192">
        <v>3</v>
      </c>
      <c r="Z192">
        <v>1</v>
      </c>
      <c r="AA192">
        <v>2</v>
      </c>
      <c r="AC192">
        <v>1</v>
      </c>
      <c r="AD192">
        <v>98</v>
      </c>
      <c r="AE192" t="s">
        <v>696</v>
      </c>
      <c r="AG192" t="s">
        <v>715</v>
      </c>
      <c r="AH192">
        <v>5</v>
      </c>
      <c r="AI192">
        <v>2</v>
      </c>
      <c r="AJ192">
        <v>2</v>
      </c>
      <c r="AK192">
        <v>2</v>
      </c>
      <c r="AL192">
        <v>21</v>
      </c>
      <c r="AM192">
        <v>40</v>
      </c>
      <c r="AN192" t="s">
        <v>614</v>
      </c>
      <c r="AO192">
        <v>5</v>
      </c>
      <c r="AP192">
        <v>1</v>
      </c>
      <c r="AT192">
        <v>15</v>
      </c>
      <c r="AU192">
        <v>20</v>
      </c>
      <c r="AV192">
        <v>45</v>
      </c>
      <c r="AW192">
        <v>11</v>
      </c>
      <c r="AX192">
        <v>21</v>
      </c>
      <c r="AY192">
        <v>2</v>
      </c>
      <c r="AZ192">
        <v>2</v>
      </c>
      <c r="BA192">
        <v>2</v>
      </c>
      <c r="BB192">
        <v>24</v>
      </c>
      <c r="BC192">
        <v>51</v>
      </c>
      <c r="BD192" t="s">
        <v>614</v>
      </c>
      <c r="BE192">
        <v>5</v>
      </c>
      <c r="BF192">
        <v>1</v>
      </c>
      <c r="BJ192">
        <v>15</v>
      </c>
      <c r="BK192">
        <v>20</v>
      </c>
      <c r="BL192">
        <v>45</v>
      </c>
      <c r="BM192">
        <v>11</v>
      </c>
      <c r="BN192">
        <v>21</v>
      </c>
      <c r="CU192">
        <v>538679.08039999998</v>
      </c>
      <c r="CV192">
        <v>4875984.6623999998</v>
      </c>
      <c r="CW192">
        <v>44.036008860000003</v>
      </c>
      <c r="CX192">
        <v>-92.517277089999993</v>
      </c>
      <c r="CY192" s="319">
        <v>43614.706250000003</v>
      </c>
      <c r="CZ192" t="s">
        <v>615</v>
      </c>
      <c r="DA192" t="s">
        <v>664</v>
      </c>
      <c r="DB192" t="s">
        <v>665</v>
      </c>
      <c r="DC192" t="s">
        <v>666</v>
      </c>
      <c r="DD192" s="82" t="s">
        <v>932</v>
      </c>
    </row>
    <row r="193" spans="1:108" ht="16.5" customHeight="1" x14ac:dyDescent="0.25">
      <c r="A193">
        <v>120</v>
      </c>
      <c r="B193">
        <v>528619</v>
      </c>
      <c r="C193">
        <v>4</v>
      </c>
      <c r="D193">
        <v>22</v>
      </c>
      <c r="E193">
        <v>4.0659999999999998</v>
      </c>
      <c r="F193">
        <v>55</v>
      </c>
      <c r="G193" t="s">
        <v>643</v>
      </c>
      <c r="I193">
        <v>6</v>
      </c>
      <c r="J193">
        <v>21</v>
      </c>
      <c r="L193">
        <v>17062286</v>
      </c>
      <c r="M193">
        <v>173610130</v>
      </c>
      <c r="N193">
        <v>12</v>
      </c>
      <c r="O193">
        <v>27</v>
      </c>
      <c r="P193">
        <v>2017</v>
      </c>
      <c r="Q193" t="s">
        <v>645</v>
      </c>
      <c r="R193">
        <v>17</v>
      </c>
      <c r="S193" t="s">
        <v>611</v>
      </c>
      <c r="T193">
        <v>5</v>
      </c>
      <c r="U193">
        <v>0</v>
      </c>
      <c r="V193">
        <v>2</v>
      </c>
      <c r="W193">
        <v>5</v>
      </c>
      <c r="X193">
        <v>10</v>
      </c>
      <c r="Y193">
        <v>3</v>
      </c>
      <c r="Z193">
        <v>4</v>
      </c>
      <c r="AA193">
        <v>1</v>
      </c>
      <c r="AC193">
        <v>5</v>
      </c>
      <c r="AD193">
        <v>98</v>
      </c>
      <c r="AE193" t="s">
        <v>696</v>
      </c>
      <c r="AG193" t="s">
        <v>715</v>
      </c>
      <c r="AH193">
        <v>10</v>
      </c>
      <c r="AI193">
        <v>2</v>
      </c>
      <c r="AJ193">
        <v>2</v>
      </c>
      <c r="AK193">
        <v>3</v>
      </c>
      <c r="AL193">
        <v>24</v>
      </c>
      <c r="AM193">
        <v>23</v>
      </c>
      <c r="AN193" t="s">
        <v>614</v>
      </c>
      <c r="AO193">
        <v>5</v>
      </c>
      <c r="AP193">
        <v>2</v>
      </c>
      <c r="AT193">
        <v>15</v>
      </c>
      <c r="AU193">
        <v>20</v>
      </c>
      <c r="AV193">
        <v>45</v>
      </c>
      <c r="AW193">
        <v>11</v>
      </c>
      <c r="AX193">
        <v>24</v>
      </c>
      <c r="AY193">
        <v>2</v>
      </c>
      <c r="AZ193">
        <v>3</v>
      </c>
      <c r="BA193">
        <v>1</v>
      </c>
      <c r="BB193">
        <v>21</v>
      </c>
      <c r="BC193">
        <v>59</v>
      </c>
      <c r="BD193" t="s">
        <v>614</v>
      </c>
      <c r="BE193">
        <v>5</v>
      </c>
      <c r="BF193">
        <v>1</v>
      </c>
      <c r="BJ193">
        <v>15</v>
      </c>
      <c r="BK193">
        <v>20</v>
      </c>
      <c r="BL193">
        <v>45</v>
      </c>
      <c r="BM193">
        <v>11</v>
      </c>
      <c r="BN193">
        <v>24</v>
      </c>
      <c r="CU193">
        <v>538678.29630000005</v>
      </c>
      <c r="CV193">
        <v>4875987.3860999998</v>
      </c>
      <c r="CW193">
        <v>44.036033420000003</v>
      </c>
      <c r="CX193">
        <v>-92.517286679999998</v>
      </c>
      <c r="CY193" s="319">
        <v>43096.708333333336</v>
      </c>
      <c r="CZ193" t="s">
        <v>615</v>
      </c>
      <c r="DA193" t="s">
        <v>664</v>
      </c>
      <c r="DB193" t="s">
        <v>665</v>
      </c>
      <c r="DC193" t="s">
        <v>666</v>
      </c>
      <c r="DD193" s="82" t="s">
        <v>933</v>
      </c>
    </row>
    <row r="194" spans="1:108" ht="16.5" customHeight="1" x14ac:dyDescent="0.25">
      <c r="A194">
        <v>120</v>
      </c>
      <c r="B194">
        <v>841297</v>
      </c>
      <c r="C194">
        <v>4</v>
      </c>
      <c r="D194">
        <v>22</v>
      </c>
      <c r="E194">
        <v>4.0670000000000002</v>
      </c>
      <c r="F194">
        <v>55</v>
      </c>
      <c r="G194" t="s">
        <v>643</v>
      </c>
      <c r="I194">
        <v>6</v>
      </c>
      <c r="J194">
        <v>21</v>
      </c>
      <c r="L194">
        <v>20041322</v>
      </c>
      <c r="M194">
        <v>202610091</v>
      </c>
      <c r="N194">
        <v>9</v>
      </c>
      <c r="O194">
        <v>17</v>
      </c>
      <c r="P194">
        <v>2020</v>
      </c>
      <c r="Q194" t="s">
        <v>619</v>
      </c>
      <c r="R194">
        <v>15</v>
      </c>
      <c r="S194">
        <v>98</v>
      </c>
      <c r="T194">
        <v>2</v>
      </c>
      <c r="U194">
        <v>0</v>
      </c>
      <c r="V194">
        <v>2</v>
      </c>
      <c r="W194">
        <v>5</v>
      </c>
      <c r="X194">
        <v>10</v>
      </c>
      <c r="Y194">
        <v>10</v>
      </c>
      <c r="Z194">
        <v>1</v>
      </c>
      <c r="AA194">
        <v>1</v>
      </c>
      <c r="AC194">
        <v>1</v>
      </c>
      <c r="AD194">
        <v>98</v>
      </c>
      <c r="AE194" t="s">
        <v>696</v>
      </c>
      <c r="AG194" t="s">
        <v>713</v>
      </c>
      <c r="AH194">
        <v>9</v>
      </c>
      <c r="AI194">
        <v>2</v>
      </c>
      <c r="AJ194">
        <v>2</v>
      </c>
      <c r="AK194">
        <v>1</v>
      </c>
      <c r="AL194">
        <v>25</v>
      </c>
      <c r="AM194">
        <v>21</v>
      </c>
      <c r="AN194" t="s">
        <v>614</v>
      </c>
      <c r="AO194">
        <v>5</v>
      </c>
      <c r="AP194">
        <v>2</v>
      </c>
      <c r="AT194">
        <v>15</v>
      </c>
      <c r="AU194">
        <v>20</v>
      </c>
      <c r="AV194">
        <v>45</v>
      </c>
      <c r="AW194">
        <v>11</v>
      </c>
      <c r="AX194">
        <v>23</v>
      </c>
      <c r="AY194">
        <v>2</v>
      </c>
      <c r="AZ194">
        <v>31</v>
      </c>
      <c r="BA194">
        <v>2</v>
      </c>
      <c r="BB194">
        <v>21</v>
      </c>
      <c r="BC194">
        <v>48</v>
      </c>
      <c r="BD194" t="s">
        <v>614</v>
      </c>
      <c r="BE194">
        <v>99</v>
      </c>
      <c r="BF194">
        <v>1</v>
      </c>
      <c r="BJ194">
        <v>15</v>
      </c>
      <c r="BK194">
        <v>20</v>
      </c>
      <c r="BL194">
        <v>45</v>
      </c>
      <c r="BM194">
        <v>11</v>
      </c>
      <c r="BN194">
        <v>24</v>
      </c>
      <c r="CU194">
        <v>538659.45889999997</v>
      </c>
      <c r="CV194">
        <v>4875969.5174000002</v>
      </c>
      <c r="CW194">
        <v>44.035873539999997</v>
      </c>
      <c r="CX194">
        <v>-92.517523080000004</v>
      </c>
      <c r="CY194" s="319">
        <v>44091.64166666667</v>
      </c>
      <c r="CZ194" t="s">
        <v>615</v>
      </c>
      <c r="DA194" t="s">
        <v>664</v>
      </c>
      <c r="DB194" t="s">
        <v>665</v>
      </c>
      <c r="DC194" t="s">
        <v>666</v>
      </c>
      <c r="DD194" s="82" t="s">
        <v>934</v>
      </c>
    </row>
    <row r="195" spans="1:108" ht="16.5" customHeight="1" x14ac:dyDescent="0.25">
      <c r="A195">
        <v>120</v>
      </c>
      <c r="B195">
        <v>888347</v>
      </c>
      <c r="C195">
        <v>4</v>
      </c>
      <c r="D195">
        <v>22</v>
      </c>
      <c r="E195">
        <v>4.0739999999999998</v>
      </c>
      <c r="F195">
        <v>55</v>
      </c>
      <c r="G195" t="s">
        <v>643</v>
      </c>
      <c r="I195">
        <v>6</v>
      </c>
      <c r="J195">
        <v>21</v>
      </c>
      <c r="L195">
        <v>2102846</v>
      </c>
      <c r="M195">
        <v>210200227</v>
      </c>
      <c r="N195">
        <v>1</v>
      </c>
      <c r="O195">
        <v>20</v>
      </c>
      <c r="P195">
        <v>2021</v>
      </c>
      <c r="Q195" t="s">
        <v>645</v>
      </c>
      <c r="R195">
        <v>17</v>
      </c>
      <c r="T195">
        <v>5</v>
      </c>
      <c r="U195">
        <v>0</v>
      </c>
      <c r="V195">
        <v>2</v>
      </c>
      <c r="W195">
        <v>5</v>
      </c>
      <c r="X195">
        <v>10</v>
      </c>
      <c r="Y195">
        <v>3</v>
      </c>
      <c r="Z195">
        <v>4</v>
      </c>
      <c r="AA195">
        <v>7</v>
      </c>
      <c r="AC195">
        <v>2</v>
      </c>
      <c r="AD195">
        <v>98</v>
      </c>
      <c r="AE195" t="s">
        <v>696</v>
      </c>
      <c r="AF195" t="s">
        <v>929</v>
      </c>
      <c r="AG195" t="s">
        <v>713</v>
      </c>
      <c r="AH195">
        <v>10</v>
      </c>
      <c r="AI195">
        <v>2</v>
      </c>
      <c r="AJ195">
        <v>4</v>
      </c>
      <c r="AK195">
        <v>3</v>
      </c>
      <c r="AL195">
        <v>21</v>
      </c>
      <c r="AM195">
        <v>49</v>
      </c>
      <c r="AN195" t="s">
        <v>614</v>
      </c>
      <c r="AO195">
        <v>5</v>
      </c>
      <c r="AP195">
        <v>1</v>
      </c>
      <c r="AT195">
        <v>11</v>
      </c>
      <c r="AU195">
        <v>20</v>
      </c>
      <c r="AV195">
        <v>65</v>
      </c>
      <c r="AW195">
        <v>12</v>
      </c>
      <c r="AX195">
        <v>22</v>
      </c>
      <c r="AY195">
        <v>2</v>
      </c>
      <c r="AZ195">
        <v>4</v>
      </c>
      <c r="BA195">
        <v>2</v>
      </c>
      <c r="BB195">
        <v>21</v>
      </c>
      <c r="BC195">
        <v>16</v>
      </c>
      <c r="BD195" t="s">
        <v>620</v>
      </c>
      <c r="BE195">
        <v>5</v>
      </c>
      <c r="BF195">
        <v>1</v>
      </c>
      <c r="BJ195">
        <v>15</v>
      </c>
      <c r="BK195">
        <v>20</v>
      </c>
      <c r="BL195">
        <v>45</v>
      </c>
      <c r="BM195">
        <v>11</v>
      </c>
      <c r="BN195">
        <v>24</v>
      </c>
      <c r="CU195">
        <v>538656.96470000001</v>
      </c>
      <c r="CV195">
        <v>4875980.1613999996</v>
      </c>
      <c r="CW195">
        <v>44.0359695</v>
      </c>
      <c r="CX195">
        <v>-92.517553430000007</v>
      </c>
      <c r="CY195" s="319">
        <v>44216.736111111109</v>
      </c>
      <c r="CZ195" t="s">
        <v>615</v>
      </c>
      <c r="DA195" t="s">
        <v>664</v>
      </c>
      <c r="DB195" t="s">
        <v>665</v>
      </c>
      <c r="DC195" t="s">
        <v>666</v>
      </c>
      <c r="DD195" s="82" t="s">
        <v>935</v>
      </c>
    </row>
    <row r="196" spans="1:108" ht="16.5" customHeight="1" x14ac:dyDescent="0.25">
      <c r="A196">
        <v>120</v>
      </c>
      <c r="B196">
        <v>671826</v>
      </c>
      <c r="C196">
        <v>4</v>
      </c>
      <c r="D196">
        <v>22</v>
      </c>
      <c r="E196">
        <v>4.0739999999999998</v>
      </c>
      <c r="F196">
        <v>55</v>
      </c>
      <c r="G196" t="s">
        <v>643</v>
      </c>
      <c r="I196">
        <v>6</v>
      </c>
      <c r="J196">
        <v>21</v>
      </c>
      <c r="L196">
        <v>18063242</v>
      </c>
      <c r="M196">
        <v>183620042</v>
      </c>
      <c r="N196">
        <v>12</v>
      </c>
      <c r="O196">
        <v>28</v>
      </c>
      <c r="P196">
        <v>2018</v>
      </c>
      <c r="Q196" t="s">
        <v>638</v>
      </c>
      <c r="R196">
        <v>7</v>
      </c>
      <c r="S196">
        <v>98</v>
      </c>
      <c r="T196">
        <v>3</v>
      </c>
      <c r="U196">
        <v>0</v>
      </c>
      <c r="V196">
        <v>3</v>
      </c>
      <c r="W196">
        <v>90</v>
      </c>
      <c r="X196">
        <v>10</v>
      </c>
      <c r="Y196">
        <v>3</v>
      </c>
      <c r="Z196">
        <v>4</v>
      </c>
      <c r="AA196">
        <v>2</v>
      </c>
      <c r="AB196">
        <v>4</v>
      </c>
      <c r="AC196">
        <v>5</v>
      </c>
      <c r="AD196">
        <v>98</v>
      </c>
      <c r="AE196" t="s">
        <v>696</v>
      </c>
      <c r="AF196" t="s">
        <v>929</v>
      </c>
      <c r="AG196" t="s">
        <v>713</v>
      </c>
      <c r="AH196">
        <v>90</v>
      </c>
      <c r="AI196">
        <v>2</v>
      </c>
      <c r="AJ196">
        <v>4</v>
      </c>
      <c r="AK196">
        <v>2</v>
      </c>
      <c r="AL196">
        <v>26</v>
      </c>
      <c r="AM196">
        <v>39</v>
      </c>
      <c r="AN196" t="s">
        <v>614</v>
      </c>
      <c r="AO196">
        <v>5</v>
      </c>
      <c r="AP196">
        <v>71</v>
      </c>
      <c r="AT196">
        <v>15</v>
      </c>
      <c r="AU196">
        <v>20</v>
      </c>
      <c r="AV196">
        <v>45</v>
      </c>
      <c r="AW196">
        <v>11</v>
      </c>
      <c r="AX196">
        <v>21</v>
      </c>
      <c r="AY196">
        <v>2</v>
      </c>
      <c r="AZ196">
        <v>4</v>
      </c>
      <c r="BA196">
        <v>2</v>
      </c>
      <c r="BB196">
        <v>34</v>
      </c>
      <c r="BC196">
        <v>57</v>
      </c>
      <c r="BD196" t="s">
        <v>620</v>
      </c>
      <c r="BE196">
        <v>5</v>
      </c>
      <c r="BF196">
        <v>1</v>
      </c>
      <c r="BJ196">
        <v>15</v>
      </c>
      <c r="BK196">
        <v>20</v>
      </c>
      <c r="BL196">
        <v>45</v>
      </c>
      <c r="BM196">
        <v>11</v>
      </c>
      <c r="BN196">
        <v>21</v>
      </c>
      <c r="BO196">
        <v>2</v>
      </c>
      <c r="BP196">
        <v>2</v>
      </c>
      <c r="BQ196">
        <v>2</v>
      </c>
      <c r="BR196">
        <v>21</v>
      </c>
      <c r="BS196">
        <v>64</v>
      </c>
      <c r="BT196" t="s">
        <v>614</v>
      </c>
      <c r="BU196">
        <v>5</v>
      </c>
      <c r="BV196">
        <v>1</v>
      </c>
      <c r="BZ196">
        <v>15</v>
      </c>
      <c r="CA196">
        <v>20</v>
      </c>
      <c r="CB196">
        <v>45</v>
      </c>
      <c r="CC196">
        <v>11</v>
      </c>
      <c r="CD196">
        <v>21</v>
      </c>
      <c r="CU196">
        <v>538656.86399999994</v>
      </c>
      <c r="CV196">
        <v>4875980.591</v>
      </c>
      <c r="CW196">
        <v>44.035973370000001</v>
      </c>
      <c r="CX196">
        <v>-92.517554649999994</v>
      </c>
      <c r="CY196" s="319">
        <v>43462.291666666664</v>
      </c>
      <c r="CZ196" t="s">
        <v>615</v>
      </c>
      <c r="DA196" t="s">
        <v>664</v>
      </c>
      <c r="DB196" t="s">
        <v>665</v>
      </c>
      <c r="DC196" t="s">
        <v>666</v>
      </c>
      <c r="DD196" t="s">
        <v>936</v>
      </c>
    </row>
    <row r="197" spans="1:108" ht="16.5" customHeight="1" x14ac:dyDescent="0.25">
      <c r="A197">
        <v>120</v>
      </c>
      <c r="B197">
        <v>683878</v>
      </c>
      <c r="C197">
        <v>4</v>
      </c>
      <c r="D197">
        <v>22</v>
      </c>
      <c r="E197">
        <v>4.0739999999999998</v>
      </c>
      <c r="F197">
        <v>55</v>
      </c>
      <c r="G197" t="s">
        <v>643</v>
      </c>
      <c r="I197">
        <v>6</v>
      </c>
      <c r="J197">
        <v>21</v>
      </c>
      <c r="L197">
        <v>19004588</v>
      </c>
      <c r="M197">
        <v>190290692</v>
      </c>
      <c r="N197">
        <v>1</v>
      </c>
      <c r="O197">
        <v>29</v>
      </c>
      <c r="P197">
        <v>2019</v>
      </c>
      <c r="Q197" t="s">
        <v>625</v>
      </c>
      <c r="R197">
        <v>18</v>
      </c>
      <c r="T197">
        <v>3</v>
      </c>
      <c r="U197">
        <v>0</v>
      </c>
      <c r="V197">
        <v>2</v>
      </c>
      <c r="W197">
        <v>5</v>
      </c>
      <c r="X197">
        <v>10</v>
      </c>
      <c r="Y197">
        <v>3</v>
      </c>
      <c r="Z197">
        <v>4</v>
      </c>
      <c r="AA197">
        <v>1</v>
      </c>
      <c r="AB197">
        <v>7</v>
      </c>
      <c r="AC197">
        <v>5</v>
      </c>
      <c r="AD197">
        <v>98</v>
      </c>
      <c r="AE197" t="s">
        <v>696</v>
      </c>
      <c r="AG197" t="s">
        <v>713</v>
      </c>
      <c r="AH197">
        <v>10</v>
      </c>
      <c r="AI197">
        <v>2</v>
      </c>
      <c r="AJ197">
        <v>2</v>
      </c>
      <c r="AK197">
        <v>2</v>
      </c>
      <c r="AL197">
        <v>21</v>
      </c>
      <c r="AM197">
        <v>50</v>
      </c>
      <c r="AN197" t="s">
        <v>620</v>
      </c>
      <c r="AO197">
        <v>7</v>
      </c>
      <c r="AP197">
        <v>65</v>
      </c>
      <c r="AQ197">
        <v>74</v>
      </c>
      <c r="AT197">
        <v>14</v>
      </c>
      <c r="AU197">
        <v>20</v>
      </c>
      <c r="AV197">
        <v>45</v>
      </c>
      <c r="AW197">
        <v>11</v>
      </c>
      <c r="AX197">
        <v>21</v>
      </c>
      <c r="AY197">
        <v>2</v>
      </c>
      <c r="AZ197">
        <v>2</v>
      </c>
      <c r="BA197">
        <v>3</v>
      </c>
      <c r="BB197">
        <v>21</v>
      </c>
      <c r="BC197">
        <v>44</v>
      </c>
      <c r="BD197" t="s">
        <v>620</v>
      </c>
      <c r="BE197">
        <v>5</v>
      </c>
      <c r="BF197">
        <v>1</v>
      </c>
      <c r="BJ197">
        <v>14</v>
      </c>
      <c r="BK197">
        <v>20</v>
      </c>
      <c r="BL197">
        <v>45</v>
      </c>
      <c r="BM197">
        <v>11</v>
      </c>
      <c r="BN197">
        <v>21</v>
      </c>
      <c r="CU197">
        <v>538656.86399999994</v>
      </c>
      <c r="CV197">
        <v>4875980.591</v>
      </c>
      <c r="CW197">
        <v>44.035973370000001</v>
      </c>
      <c r="CX197">
        <v>-92.517554649999994</v>
      </c>
      <c r="CY197" s="319">
        <v>43494.78125</v>
      </c>
      <c r="CZ197" t="s">
        <v>615</v>
      </c>
      <c r="DA197" t="s">
        <v>664</v>
      </c>
      <c r="DB197" t="s">
        <v>665</v>
      </c>
      <c r="DC197" t="s">
        <v>666</v>
      </c>
      <c r="DD197" t="s">
        <v>937</v>
      </c>
    </row>
    <row r="198" spans="1:108" ht="16.5" customHeight="1" x14ac:dyDescent="0.25">
      <c r="A198">
        <v>120</v>
      </c>
      <c r="B198">
        <v>730982</v>
      </c>
      <c r="C198">
        <v>4</v>
      </c>
      <c r="D198">
        <v>22</v>
      </c>
      <c r="E198">
        <v>4.0739999999999998</v>
      </c>
      <c r="F198">
        <v>55</v>
      </c>
      <c r="G198" t="s">
        <v>643</v>
      </c>
      <c r="I198">
        <v>6</v>
      </c>
      <c r="J198">
        <v>21</v>
      </c>
      <c r="L198">
        <v>19032398</v>
      </c>
      <c r="M198">
        <v>191830077</v>
      </c>
      <c r="N198">
        <v>7</v>
      </c>
      <c r="O198">
        <v>2</v>
      </c>
      <c r="P198">
        <v>2019</v>
      </c>
      <c r="Q198" t="s">
        <v>625</v>
      </c>
      <c r="R198">
        <v>14</v>
      </c>
      <c r="T198">
        <v>4</v>
      </c>
      <c r="U198">
        <v>0</v>
      </c>
      <c r="V198">
        <v>1</v>
      </c>
      <c r="X198">
        <v>9</v>
      </c>
      <c r="Y198">
        <v>2</v>
      </c>
      <c r="Z198">
        <v>1</v>
      </c>
      <c r="AA198">
        <v>1</v>
      </c>
      <c r="AC198">
        <v>1</v>
      </c>
      <c r="AD198">
        <v>98</v>
      </c>
      <c r="AE198" t="s">
        <v>696</v>
      </c>
      <c r="AG198" t="s">
        <v>713</v>
      </c>
      <c r="AH198">
        <v>2</v>
      </c>
      <c r="AI198">
        <v>2</v>
      </c>
      <c r="AJ198">
        <v>4</v>
      </c>
      <c r="AK198">
        <v>2</v>
      </c>
      <c r="AL198">
        <v>21</v>
      </c>
      <c r="AM198">
        <v>68</v>
      </c>
      <c r="AN198" t="s">
        <v>620</v>
      </c>
      <c r="AO198">
        <v>5</v>
      </c>
      <c r="AP198">
        <v>1</v>
      </c>
      <c r="AT198">
        <v>15</v>
      </c>
      <c r="AU198">
        <v>20</v>
      </c>
      <c r="AV198">
        <v>45</v>
      </c>
      <c r="AW198">
        <v>11</v>
      </c>
      <c r="AX198">
        <v>21</v>
      </c>
      <c r="AY198">
        <v>6</v>
      </c>
      <c r="BC198">
        <v>17</v>
      </c>
      <c r="BD198" t="s">
        <v>614</v>
      </c>
      <c r="BE198">
        <v>5</v>
      </c>
      <c r="BF198">
        <v>5</v>
      </c>
      <c r="BH198">
        <v>30</v>
      </c>
      <c r="BI198">
        <v>2</v>
      </c>
      <c r="CU198">
        <v>538656.86399999994</v>
      </c>
      <c r="CV198">
        <v>4875980.591</v>
      </c>
      <c r="CW198">
        <v>44.035973370000001</v>
      </c>
      <c r="CX198">
        <v>-92.517554649999994</v>
      </c>
      <c r="CY198" s="319">
        <v>43648.620833333334</v>
      </c>
      <c r="CZ198" t="s">
        <v>615</v>
      </c>
      <c r="DA198" t="s">
        <v>664</v>
      </c>
      <c r="DB198" t="s">
        <v>665</v>
      </c>
      <c r="DC198" t="s">
        <v>666</v>
      </c>
      <c r="DD198" t="s">
        <v>938</v>
      </c>
    </row>
    <row r="199" spans="1:108" ht="16.5" customHeight="1" x14ac:dyDescent="0.25">
      <c r="A199">
        <v>120</v>
      </c>
      <c r="B199">
        <v>693211</v>
      </c>
      <c r="C199">
        <v>4</v>
      </c>
      <c r="D199">
        <v>22</v>
      </c>
      <c r="E199">
        <v>4.077</v>
      </c>
      <c r="F199">
        <v>55</v>
      </c>
      <c r="G199" t="s">
        <v>643</v>
      </c>
      <c r="I199">
        <v>6</v>
      </c>
      <c r="J199">
        <v>21</v>
      </c>
      <c r="L199">
        <v>19101281</v>
      </c>
      <c r="M199">
        <v>190590273</v>
      </c>
      <c r="N199">
        <v>2</v>
      </c>
      <c r="O199">
        <v>28</v>
      </c>
      <c r="P199">
        <v>2019</v>
      </c>
      <c r="Q199" t="s">
        <v>619</v>
      </c>
      <c r="R199">
        <v>12</v>
      </c>
      <c r="S199" t="s">
        <v>673</v>
      </c>
      <c r="T199">
        <v>5</v>
      </c>
      <c r="U199">
        <v>0</v>
      </c>
      <c r="V199">
        <v>2</v>
      </c>
      <c r="W199">
        <v>5</v>
      </c>
      <c r="X199">
        <v>10</v>
      </c>
      <c r="Y199">
        <v>26</v>
      </c>
      <c r="Z199">
        <v>1</v>
      </c>
      <c r="AA199">
        <v>1</v>
      </c>
      <c r="AC199">
        <v>2</v>
      </c>
      <c r="AD199">
        <v>98</v>
      </c>
      <c r="AE199" t="s">
        <v>939</v>
      </c>
      <c r="AG199" t="s">
        <v>713</v>
      </c>
      <c r="AH199">
        <v>10</v>
      </c>
      <c r="AI199">
        <v>2</v>
      </c>
      <c r="AJ199">
        <v>2</v>
      </c>
      <c r="AK199">
        <v>3</v>
      </c>
      <c r="AL199">
        <v>33</v>
      </c>
      <c r="AM199">
        <v>20</v>
      </c>
      <c r="AN199" t="s">
        <v>614</v>
      </c>
      <c r="AO199">
        <v>5</v>
      </c>
      <c r="AP199">
        <v>11</v>
      </c>
      <c r="AQ199">
        <v>90</v>
      </c>
      <c r="AT199">
        <v>11</v>
      </c>
      <c r="AU199">
        <v>20</v>
      </c>
      <c r="AV199">
        <v>65</v>
      </c>
      <c r="AW199">
        <v>11</v>
      </c>
      <c r="AX199">
        <v>23</v>
      </c>
      <c r="AY199">
        <v>2</v>
      </c>
      <c r="AZ199">
        <v>2</v>
      </c>
      <c r="BA199">
        <v>2</v>
      </c>
      <c r="BB199">
        <v>21</v>
      </c>
      <c r="BC199">
        <v>48</v>
      </c>
      <c r="BD199" t="s">
        <v>620</v>
      </c>
      <c r="BE199">
        <v>5</v>
      </c>
      <c r="BF199">
        <v>1</v>
      </c>
      <c r="BJ199">
        <v>15</v>
      </c>
      <c r="BK199">
        <v>20</v>
      </c>
      <c r="BL199">
        <v>45</v>
      </c>
      <c r="BM199">
        <v>11</v>
      </c>
      <c r="BN199">
        <v>24</v>
      </c>
      <c r="CU199">
        <v>538655.93550000002</v>
      </c>
      <c r="CV199">
        <v>4875984.3628000002</v>
      </c>
      <c r="CW199">
        <v>44.036007380000001</v>
      </c>
      <c r="CX199">
        <v>-92.517565959999999</v>
      </c>
      <c r="CY199" s="319">
        <v>43524.531944444447</v>
      </c>
      <c r="CZ199" t="s">
        <v>615</v>
      </c>
      <c r="DA199" t="s">
        <v>664</v>
      </c>
      <c r="DB199" t="s">
        <v>757</v>
      </c>
      <c r="DC199" t="s">
        <v>758</v>
      </c>
      <c r="DD199" s="82" t="s">
        <v>940</v>
      </c>
    </row>
    <row r="200" spans="1:108" ht="16.5" customHeight="1" x14ac:dyDescent="0.25">
      <c r="A200">
        <v>120</v>
      </c>
      <c r="B200">
        <v>730057</v>
      </c>
      <c r="C200">
        <v>4</v>
      </c>
      <c r="D200">
        <v>22</v>
      </c>
      <c r="E200">
        <v>4.077</v>
      </c>
      <c r="F200">
        <v>55</v>
      </c>
      <c r="G200" t="s">
        <v>643</v>
      </c>
      <c r="I200">
        <v>6</v>
      </c>
      <c r="J200">
        <v>21</v>
      </c>
      <c r="L200">
        <v>19031725</v>
      </c>
      <c r="M200">
        <v>191790087</v>
      </c>
      <c r="N200">
        <v>6</v>
      </c>
      <c r="O200">
        <v>28</v>
      </c>
      <c r="P200">
        <v>2019</v>
      </c>
      <c r="Q200" t="s">
        <v>638</v>
      </c>
      <c r="R200">
        <v>15</v>
      </c>
      <c r="S200" t="s">
        <v>673</v>
      </c>
      <c r="T200">
        <v>5</v>
      </c>
      <c r="U200">
        <v>0</v>
      </c>
      <c r="V200">
        <v>2</v>
      </c>
      <c r="W200">
        <v>12</v>
      </c>
      <c r="X200">
        <v>10</v>
      </c>
      <c r="Y200">
        <v>25</v>
      </c>
      <c r="Z200">
        <v>1</v>
      </c>
      <c r="AA200">
        <v>2</v>
      </c>
      <c r="AC200">
        <v>1</v>
      </c>
      <c r="AD200">
        <v>98</v>
      </c>
      <c r="AE200" t="s">
        <v>696</v>
      </c>
      <c r="AF200" t="s">
        <v>941</v>
      </c>
      <c r="AG200" t="s">
        <v>713</v>
      </c>
      <c r="AH200">
        <v>7</v>
      </c>
      <c r="AI200">
        <v>2</v>
      </c>
      <c r="AJ200">
        <v>3</v>
      </c>
      <c r="AK200">
        <v>2</v>
      </c>
      <c r="AL200">
        <v>21</v>
      </c>
      <c r="AM200">
        <v>16</v>
      </c>
      <c r="AN200" t="s">
        <v>614</v>
      </c>
      <c r="AO200">
        <v>5</v>
      </c>
      <c r="AP200">
        <v>74</v>
      </c>
      <c r="AT200">
        <v>15</v>
      </c>
      <c r="AU200">
        <v>20</v>
      </c>
      <c r="AV200">
        <v>45</v>
      </c>
      <c r="AW200">
        <v>11</v>
      </c>
      <c r="AX200">
        <v>21</v>
      </c>
      <c r="AY200">
        <v>2</v>
      </c>
      <c r="AZ200">
        <v>3</v>
      </c>
      <c r="BA200">
        <v>2</v>
      </c>
      <c r="BB200">
        <v>34</v>
      </c>
      <c r="BC200">
        <v>28</v>
      </c>
      <c r="BD200" t="s">
        <v>614</v>
      </c>
      <c r="BE200">
        <v>5</v>
      </c>
      <c r="BF200">
        <v>1</v>
      </c>
      <c r="BJ200">
        <v>15</v>
      </c>
      <c r="BK200">
        <v>20</v>
      </c>
      <c r="BL200">
        <v>45</v>
      </c>
      <c r="BM200">
        <v>11</v>
      </c>
      <c r="BN200">
        <v>21</v>
      </c>
      <c r="CU200">
        <v>538655.60849999997</v>
      </c>
      <c r="CV200">
        <v>4875985.6913000001</v>
      </c>
      <c r="CW200">
        <v>44.036019359999997</v>
      </c>
      <c r="CX200">
        <v>-92.517569949999995</v>
      </c>
      <c r="CY200" s="319">
        <v>43644.628472222219</v>
      </c>
      <c r="CZ200" t="s">
        <v>615</v>
      </c>
      <c r="DA200" t="s">
        <v>664</v>
      </c>
      <c r="DB200" t="s">
        <v>665</v>
      </c>
      <c r="DC200" t="s">
        <v>666</v>
      </c>
      <c r="DD200" s="82" t="s">
        <v>942</v>
      </c>
    </row>
    <row r="201" spans="1:108" ht="16.5" customHeight="1" x14ac:dyDescent="0.25">
      <c r="A201">
        <v>120</v>
      </c>
      <c r="B201">
        <v>592017</v>
      </c>
      <c r="C201">
        <v>4</v>
      </c>
      <c r="D201">
        <v>22</v>
      </c>
      <c r="E201">
        <v>4.0860000000000003</v>
      </c>
      <c r="F201">
        <v>55</v>
      </c>
      <c r="G201" t="s">
        <v>643</v>
      </c>
      <c r="I201">
        <v>6</v>
      </c>
      <c r="J201">
        <v>21</v>
      </c>
      <c r="L201">
        <v>18102103</v>
      </c>
      <c r="M201">
        <v>181080064</v>
      </c>
      <c r="N201">
        <v>4</v>
      </c>
      <c r="O201">
        <v>18</v>
      </c>
      <c r="P201">
        <v>2018</v>
      </c>
      <c r="Q201" t="s">
        <v>645</v>
      </c>
      <c r="R201">
        <v>14</v>
      </c>
      <c r="S201" t="s">
        <v>673</v>
      </c>
      <c r="T201">
        <v>5</v>
      </c>
      <c r="U201">
        <v>0</v>
      </c>
      <c r="V201">
        <v>2</v>
      </c>
      <c r="W201">
        <v>12</v>
      </c>
      <c r="X201">
        <v>10</v>
      </c>
      <c r="Y201">
        <v>25</v>
      </c>
      <c r="Z201">
        <v>1</v>
      </c>
      <c r="AA201">
        <v>4</v>
      </c>
      <c r="AC201">
        <v>3</v>
      </c>
      <c r="AD201">
        <v>98</v>
      </c>
      <c r="AE201" t="s">
        <v>696</v>
      </c>
      <c r="AG201" t="s">
        <v>713</v>
      </c>
      <c r="AH201">
        <v>7</v>
      </c>
      <c r="AI201">
        <v>2</v>
      </c>
      <c r="AJ201">
        <v>2</v>
      </c>
      <c r="AK201">
        <v>2</v>
      </c>
      <c r="AL201">
        <v>26</v>
      </c>
      <c r="AM201">
        <v>63</v>
      </c>
      <c r="AN201" t="s">
        <v>620</v>
      </c>
      <c r="AO201">
        <v>5</v>
      </c>
      <c r="AP201">
        <v>90</v>
      </c>
      <c r="AT201">
        <v>12</v>
      </c>
      <c r="AU201">
        <v>20</v>
      </c>
      <c r="AV201">
        <v>45</v>
      </c>
      <c r="AW201">
        <v>11</v>
      </c>
      <c r="AX201">
        <v>24</v>
      </c>
      <c r="AY201">
        <v>2</v>
      </c>
      <c r="AZ201">
        <v>6</v>
      </c>
      <c r="BA201">
        <v>2</v>
      </c>
      <c r="BB201">
        <v>24</v>
      </c>
      <c r="BC201">
        <v>26</v>
      </c>
      <c r="BD201" t="s">
        <v>614</v>
      </c>
      <c r="BE201">
        <v>5</v>
      </c>
      <c r="BF201">
        <v>1</v>
      </c>
      <c r="BJ201">
        <v>12</v>
      </c>
      <c r="BK201">
        <v>20</v>
      </c>
      <c r="BL201">
        <v>45</v>
      </c>
      <c r="BM201">
        <v>11</v>
      </c>
      <c r="BN201">
        <v>24</v>
      </c>
      <c r="CU201">
        <v>538652.39099999995</v>
      </c>
      <c r="CV201">
        <v>4875998.7613000004</v>
      </c>
      <c r="CW201">
        <v>44.036137199999999</v>
      </c>
      <c r="CX201">
        <v>-92.517609149999998</v>
      </c>
      <c r="CY201" s="319">
        <v>43208.609027777777</v>
      </c>
      <c r="CZ201" t="s">
        <v>615</v>
      </c>
      <c r="DA201" t="s">
        <v>664</v>
      </c>
      <c r="DB201" t="s">
        <v>757</v>
      </c>
      <c r="DC201" t="s">
        <v>758</v>
      </c>
      <c r="DD201" s="82" t="s">
        <v>943</v>
      </c>
    </row>
    <row r="202" spans="1:108" ht="16.5" customHeight="1" x14ac:dyDescent="0.25">
      <c r="A202">
        <v>120</v>
      </c>
      <c r="B202">
        <v>915408</v>
      </c>
      <c r="C202">
        <v>4</v>
      </c>
      <c r="D202">
        <v>22</v>
      </c>
      <c r="E202">
        <v>4.0880000000000001</v>
      </c>
      <c r="F202">
        <v>55</v>
      </c>
      <c r="G202" t="s">
        <v>643</v>
      </c>
      <c r="I202">
        <v>6</v>
      </c>
      <c r="J202">
        <v>21</v>
      </c>
      <c r="L202" t="s">
        <v>944</v>
      </c>
      <c r="M202">
        <v>211810101</v>
      </c>
      <c r="N202">
        <v>6</v>
      </c>
      <c r="O202">
        <v>30</v>
      </c>
      <c r="P202">
        <v>2021</v>
      </c>
      <c r="Q202" t="s">
        <v>645</v>
      </c>
      <c r="R202">
        <v>15</v>
      </c>
      <c r="S202" t="s">
        <v>611</v>
      </c>
      <c r="T202">
        <v>5</v>
      </c>
      <c r="U202">
        <v>0</v>
      </c>
      <c r="V202">
        <v>3</v>
      </c>
      <c r="W202">
        <v>12</v>
      </c>
      <c r="X202">
        <v>10</v>
      </c>
      <c r="Y202">
        <v>10</v>
      </c>
      <c r="Z202">
        <v>1</v>
      </c>
      <c r="AA202">
        <v>1</v>
      </c>
      <c r="AC202">
        <v>1</v>
      </c>
      <c r="AD202">
        <v>98</v>
      </c>
      <c r="AE202" t="s">
        <v>696</v>
      </c>
      <c r="AG202" t="s">
        <v>715</v>
      </c>
      <c r="AH202">
        <v>7</v>
      </c>
      <c r="AI202">
        <v>2</v>
      </c>
      <c r="AJ202">
        <v>4</v>
      </c>
      <c r="AK202">
        <v>1</v>
      </c>
      <c r="AL202">
        <v>21</v>
      </c>
      <c r="AM202">
        <v>19</v>
      </c>
      <c r="AN202" t="s">
        <v>614</v>
      </c>
      <c r="AO202">
        <v>5</v>
      </c>
      <c r="AP202">
        <v>1</v>
      </c>
      <c r="AT202">
        <v>15</v>
      </c>
      <c r="AU202">
        <v>20</v>
      </c>
      <c r="AV202">
        <v>40</v>
      </c>
      <c r="AW202">
        <v>11</v>
      </c>
      <c r="AX202">
        <v>21</v>
      </c>
      <c r="AY202">
        <v>2</v>
      </c>
      <c r="AZ202">
        <v>2</v>
      </c>
      <c r="BA202">
        <v>1</v>
      </c>
      <c r="BB202">
        <v>21</v>
      </c>
      <c r="BC202">
        <v>38</v>
      </c>
      <c r="BD202" t="s">
        <v>620</v>
      </c>
      <c r="BE202">
        <v>5</v>
      </c>
      <c r="BF202">
        <v>1</v>
      </c>
      <c r="BJ202">
        <v>15</v>
      </c>
      <c r="BK202">
        <v>20</v>
      </c>
      <c r="BL202">
        <v>40</v>
      </c>
      <c r="BM202">
        <v>11</v>
      </c>
      <c r="BN202">
        <v>21</v>
      </c>
      <c r="BO202">
        <v>2</v>
      </c>
      <c r="BP202">
        <v>4</v>
      </c>
      <c r="BQ202">
        <v>1</v>
      </c>
      <c r="BR202">
        <v>21</v>
      </c>
      <c r="BS202">
        <v>25</v>
      </c>
      <c r="BT202" t="s">
        <v>614</v>
      </c>
      <c r="BU202">
        <v>5</v>
      </c>
      <c r="BV202">
        <v>1</v>
      </c>
      <c r="BZ202">
        <v>15</v>
      </c>
      <c r="CA202">
        <v>20</v>
      </c>
      <c r="CB202">
        <v>30</v>
      </c>
      <c r="CC202">
        <v>11</v>
      </c>
      <c r="CD202">
        <v>21</v>
      </c>
      <c r="CU202">
        <v>538668.70750000002</v>
      </c>
      <c r="CV202">
        <v>4876020.6946</v>
      </c>
      <c r="CW202">
        <v>44.036333810000002</v>
      </c>
      <c r="CX202">
        <v>-92.517403909999999</v>
      </c>
      <c r="CY202" s="319">
        <v>44377.651388888888</v>
      </c>
      <c r="CZ202" t="s">
        <v>615</v>
      </c>
      <c r="DA202" t="s">
        <v>664</v>
      </c>
      <c r="DB202" t="s">
        <v>665</v>
      </c>
      <c r="DC202" t="s">
        <v>666</v>
      </c>
      <c r="DD202" t="s">
        <v>945</v>
      </c>
    </row>
    <row r="203" spans="1:108" ht="16.5" customHeight="1" x14ac:dyDescent="0.25">
      <c r="A203">
        <v>120</v>
      </c>
      <c r="B203">
        <v>971091</v>
      </c>
      <c r="C203">
        <v>4</v>
      </c>
      <c r="D203">
        <v>22</v>
      </c>
      <c r="E203">
        <v>4.0880000000000001</v>
      </c>
      <c r="F203">
        <v>55</v>
      </c>
      <c r="G203" t="s">
        <v>643</v>
      </c>
      <c r="I203">
        <v>6</v>
      </c>
      <c r="J203">
        <v>21</v>
      </c>
      <c r="L203">
        <v>21047648</v>
      </c>
      <c r="M203">
        <v>213070054</v>
      </c>
      <c r="N203">
        <v>11</v>
      </c>
      <c r="O203">
        <v>3</v>
      </c>
      <c r="P203">
        <v>2021</v>
      </c>
      <c r="Q203" t="s">
        <v>645</v>
      </c>
      <c r="R203">
        <v>11</v>
      </c>
      <c r="S203" t="s">
        <v>673</v>
      </c>
      <c r="T203">
        <v>5</v>
      </c>
      <c r="U203">
        <v>0</v>
      </c>
      <c r="V203">
        <v>2</v>
      </c>
      <c r="W203">
        <v>12</v>
      </c>
      <c r="X203">
        <v>10</v>
      </c>
      <c r="Y203">
        <v>10</v>
      </c>
      <c r="Z203">
        <v>1</v>
      </c>
      <c r="AA203">
        <v>1</v>
      </c>
      <c r="AC203">
        <v>1</v>
      </c>
      <c r="AD203">
        <v>98</v>
      </c>
      <c r="AE203" t="s">
        <v>696</v>
      </c>
      <c r="AG203" t="s">
        <v>715</v>
      </c>
      <c r="AH203">
        <v>7</v>
      </c>
      <c r="AI203">
        <v>2</v>
      </c>
      <c r="AJ203">
        <v>2</v>
      </c>
      <c r="AK203">
        <v>2</v>
      </c>
      <c r="AL203">
        <v>21</v>
      </c>
      <c r="AM203">
        <v>68</v>
      </c>
      <c r="AN203" t="s">
        <v>614</v>
      </c>
      <c r="AO203">
        <v>99</v>
      </c>
      <c r="AP203">
        <v>4</v>
      </c>
      <c r="AT203">
        <v>15</v>
      </c>
      <c r="AU203">
        <v>20</v>
      </c>
      <c r="AV203">
        <v>45</v>
      </c>
      <c r="AW203">
        <v>11</v>
      </c>
      <c r="AX203">
        <v>21</v>
      </c>
      <c r="AY203">
        <v>2</v>
      </c>
      <c r="AZ203">
        <v>3</v>
      </c>
      <c r="BA203">
        <v>2</v>
      </c>
      <c r="BB203">
        <v>24</v>
      </c>
      <c r="BC203">
        <v>42</v>
      </c>
      <c r="BD203" t="s">
        <v>614</v>
      </c>
      <c r="BE203">
        <v>5</v>
      </c>
      <c r="BF203">
        <v>1</v>
      </c>
      <c r="BJ203">
        <v>15</v>
      </c>
      <c r="BK203">
        <v>20</v>
      </c>
      <c r="BL203">
        <v>45</v>
      </c>
      <c r="BM203">
        <v>11</v>
      </c>
      <c r="BN203">
        <v>21</v>
      </c>
      <c r="CU203">
        <v>538668.58459999994</v>
      </c>
      <c r="CV203">
        <v>4876021.1213999996</v>
      </c>
      <c r="CW203">
        <v>44.03633765</v>
      </c>
      <c r="CX203">
        <v>-92.517405420000003</v>
      </c>
      <c r="CY203" s="319">
        <v>44503.499305555553</v>
      </c>
      <c r="CZ203" t="s">
        <v>615</v>
      </c>
      <c r="DA203" t="s">
        <v>664</v>
      </c>
      <c r="DB203" t="s">
        <v>665</v>
      </c>
      <c r="DC203" t="s">
        <v>666</v>
      </c>
      <c r="DD203" s="82" t="s">
        <v>946</v>
      </c>
    </row>
    <row r="204" spans="1:108" ht="16.5" customHeight="1" x14ac:dyDescent="0.25">
      <c r="A204">
        <v>120</v>
      </c>
      <c r="B204">
        <v>568154</v>
      </c>
      <c r="C204">
        <v>22</v>
      </c>
      <c r="D204">
        <v>3996</v>
      </c>
      <c r="E204">
        <v>0.27800000000000002</v>
      </c>
      <c r="F204">
        <v>55</v>
      </c>
      <c r="G204" t="s">
        <v>643</v>
      </c>
      <c r="I204">
        <v>6</v>
      </c>
      <c r="J204">
        <v>21</v>
      </c>
      <c r="L204">
        <v>18008193</v>
      </c>
      <c r="M204">
        <v>180520247</v>
      </c>
      <c r="N204">
        <v>2</v>
      </c>
      <c r="O204">
        <v>21</v>
      </c>
      <c r="P204">
        <v>2018</v>
      </c>
      <c r="Q204" t="s">
        <v>645</v>
      </c>
      <c r="R204">
        <v>13</v>
      </c>
      <c r="S204" t="s">
        <v>646</v>
      </c>
      <c r="T204">
        <v>5</v>
      </c>
      <c r="U204">
        <v>0</v>
      </c>
      <c r="V204">
        <v>2</v>
      </c>
      <c r="W204">
        <v>12</v>
      </c>
      <c r="X204">
        <v>10</v>
      </c>
      <c r="Y204">
        <v>2</v>
      </c>
      <c r="Z204">
        <v>1</v>
      </c>
      <c r="AA204">
        <v>1</v>
      </c>
      <c r="AC204">
        <v>1</v>
      </c>
      <c r="AD204">
        <v>98</v>
      </c>
      <c r="AE204" t="s">
        <v>941</v>
      </c>
      <c r="AG204" t="s">
        <v>947</v>
      </c>
      <c r="AH204">
        <v>7</v>
      </c>
      <c r="AI204">
        <v>2</v>
      </c>
      <c r="AJ204">
        <v>3</v>
      </c>
      <c r="AK204">
        <v>3</v>
      </c>
      <c r="AL204">
        <v>21</v>
      </c>
      <c r="AM204">
        <v>58</v>
      </c>
      <c r="AN204" t="s">
        <v>614</v>
      </c>
      <c r="AO204">
        <v>99</v>
      </c>
      <c r="AP204">
        <v>4</v>
      </c>
      <c r="AT204">
        <v>11</v>
      </c>
      <c r="AU204">
        <v>20</v>
      </c>
      <c r="AV204">
        <v>30</v>
      </c>
      <c r="AW204">
        <v>11</v>
      </c>
      <c r="AX204">
        <v>23</v>
      </c>
      <c r="AY204">
        <v>2</v>
      </c>
      <c r="AZ204">
        <v>4</v>
      </c>
      <c r="BA204">
        <v>3</v>
      </c>
      <c r="BB204">
        <v>34</v>
      </c>
      <c r="BC204">
        <v>78</v>
      </c>
      <c r="BD204" t="s">
        <v>614</v>
      </c>
      <c r="BE204">
        <v>5</v>
      </c>
      <c r="BF204">
        <v>1</v>
      </c>
      <c r="BJ204">
        <v>11</v>
      </c>
      <c r="BK204">
        <v>20</v>
      </c>
      <c r="BL204">
        <v>30</v>
      </c>
      <c r="BM204">
        <v>11</v>
      </c>
      <c r="BN204">
        <v>23</v>
      </c>
      <c r="CU204">
        <v>538625.22210000001</v>
      </c>
      <c r="CV204">
        <v>4875985.9966000002</v>
      </c>
      <c r="CW204">
        <v>44.036023710000002</v>
      </c>
      <c r="CX204">
        <v>-92.517949150000007</v>
      </c>
      <c r="CY204" s="319">
        <v>43152.5625</v>
      </c>
      <c r="CZ204" t="s">
        <v>615</v>
      </c>
      <c r="DA204" t="s">
        <v>664</v>
      </c>
      <c r="DB204" t="s">
        <v>665</v>
      </c>
      <c r="DC204" t="s">
        <v>666</v>
      </c>
      <c r="DD204" s="82" t="s">
        <v>948</v>
      </c>
    </row>
    <row r="205" spans="1:108" ht="16.5" customHeight="1" x14ac:dyDescent="0.25">
      <c r="A205">
        <v>120</v>
      </c>
      <c r="B205">
        <v>428583</v>
      </c>
      <c r="C205">
        <v>22</v>
      </c>
      <c r="D205">
        <v>3996</v>
      </c>
      <c r="E205">
        <v>0.28499999999999998</v>
      </c>
      <c r="F205">
        <v>55</v>
      </c>
      <c r="G205" t="s">
        <v>643</v>
      </c>
      <c r="I205">
        <v>6</v>
      </c>
      <c r="J205">
        <v>21</v>
      </c>
      <c r="L205">
        <v>17012165</v>
      </c>
      <c r="M205">
        <v>170710213</v>
      </c>
      <c r="N205">
        <v>3</v>
      </c>
      <c r="O205">
        <v>12</v>
      </c>
      <c r="P205">
        <v>2017</v>
      </c>
      <c r="Q205" t="s">
        <v>652</v>
      </c>
      <c r="R205">
        <v>17</v>
      </c>
      <c r="S205">
        <v>98</v>
      </c>
      <c r="T205">
        <v>5</v>
      </c>
      <c r="U205">
        <v>0</v>
      </c>
      <c r="V205">
        <v>2</v>
      </c>
      <c r="W205">
        <v>12</v>
      </c>
      <c r="X205">
        <v>10</v>
      </c>
      <c r="Y205">
        <v>27</v>
      </c>
      <c r="Z205">
        <v>1</v>
      </c>
      <c r="AA205">
        <v>2</v>
      </c>
      <c r="AB205">
        <v>4</v>
      </c>
      <c r="AC205">
        <v>3</v>
      </c>
      <c r="AD205">
        <v>98</v>
      </c>
      <c r="AE205" t="s">
        <v>941</v>
      </c>
      <c r="AG205" t="s">
        <v>947</v>
      </c>
      <c r="AH205">
        <v>7</v>
      </c>
      <c r="AI205">
        <v>2</v>
      </c>
      <c r="AJ205">
        <v>5</v>
      </c>
      <c r="AK205">
        <v>3</v>
      </c>
      <c r="AL205">
        <v>34</v>
      </c>
      <c r="AM205">
        <v>34</v>
      </c>
      <c r="AN205" t="s">
        <v>614</v>
      </c>
      <c r="AO205">
        <v>5</v>
      </c>
      <c r="AP205">
        <v>1</v>
      </c>
      <c r="AT205">
        <v>11</v>
      </c>
      <c r="AU205">
        <v>20</v>
      </c>
      <c r="AW205">
        <v>12</v>
      </c>
      <c r="AX205">
        <v>23</v>
      </c>
      <c r="AY205">
        <v>2</v>
      </c>
      <c r="AZ205">
        <v>4</v>
      </c>
      <c r="BA205">
        <v>3</v>
      </c>
      <c r="BB205">
        <v>26</v>
      </c>
      <c r="BC205">
        <v>25</v>
      </c>
      <c r="BD205" t="s">
        <v>614</v>
      </c>
      <c r="BE205">
        <v>5</v>
      </c>
      <c r="BF205">
        <v>1</v>
      </c>
      <c r="BJ205">
        <v>11</v>
      </c>
      <c r="BK205">
        <v>20</v>
      </c>
      <c r="BL205">
        <v>60</v>
      </c>
      <c r="BM205">
        <v>12</v>
      </c>
      <c r="BN205">
        <v>23</v>
      </c>
      <c r="CU205">
        <v>538636.77630000003</v>
      </c>
      <c r="CV205">
        <v>4875983.5877</v>
      </c>
      <c r="CW205">
        <v>44.036001409999997</v>
      </c>
      <c r="CX205">
        <v>-92.517805120000006</v>
      </c>
      <c r="CY205" s="319">
        <v>42806.71875</v>
      </c>
      <c r="CZ205" t="s">
        <v>615</v>
      </c>
      <c r="DA205" t="s">
        <v>664</v>
      </c>
      <c r="DB205" t="s">
        <v>665</v>
      </c>
      <c r="DC205" t="s">
        <v>666</v>
      </c>
      <c r="DD205" s="82" t="s">
        <v>949</v>
      </c>
    </row>
    <row r="206" spans="1:108" ht="16.5" customHeight="1" x14ac:dyDescent="0.25">
      <c r="A206">
        <v>120</v>
      </c>
      <c r="B206">
        <v>536342</v>
      </c>
      <c r="C206">
        <v>22</v>
      </c>
      <c r="D206">
        <v>3996</v>
      </c>
      <c r="E206">
        <v>0.28999999999999998</v>
      </c>
      <c r="F206">
        <v>55</v>
      </c>
      <c r="G206" t="s">
        <v>643</v>
      </c>
      <c r="I206">
        <v>6</v>
      </c>
      <c r="J206">
        <v>21</v>
      </c>
      <c r="L206">
        <v>18002140</v>
      </c>
      <c r="M206">
        <v>180150094</v>
      </c>
      <c r="N206">
        <v>1</v>
      </c>
      <c r="O206">
        <v>15</v>
      </c>
      <c r="P206">
        <v>2018</v>
      </c>
      <c r="Q206" t="s">
        <v>610</v>
      </c>
      <c r="R206">
        <v>8</v>
      </c>
      <c r="S206">
        <v>98</v>
      </c>
      <c r="T206">
        <v>5</v>
      </c>
      <c r="U206">
        <v>0</v>
      </c>
      <c r="V206">
        <v>2</v>
      </c>
      <c r="W206">
        <v>5</v>
      </c>
      <c r="X206">
        <v>10</v>
      </c>
      <c r="Y206">
        <v>3</v>
      </c>
      <c r="Z206">
        <v>1</v>
      </c>
      <c r="AA206">
        <v>4</v>
      </c>
      <c r="AC206">
        <v>3</v>
      </c>
      <c r="AD206">
        <v>98</v>
      </c>
      <c r="AE206" t="s">
        <v>941</v>
      </c>
      <c r="AG206" t="s">
        <v>947</v>
      </c>
      <c r="AH206">
        <v>10</v>
      </c>
      <c r="AI206">
        <v>2</v>
      </c>
      <c r="AJ206">
        <v>2</v>
      </c>
      <c r="AK206">
        <v>2</v>
      </c>
      <c r="AL206">
        <v>21</v>
      </c>
      <c r="AM206">
        <v>22</v>
      </c>
      <c r="AN206" t="s">
        <v>614</v>
      </c>
      <c r="AO206">
        <v>5</v>
      </c>
      <c r="AP206">
        <v>1</v>
      </c>
      <c r="AT206">
        <v>15</v>
      </c>
      <c r="AU206">
        <v>20</v>
      </c>
      <c r="AV206">
        <v>45</v>
      </c>
      <c r="AW206">
        <v>11</v>
      </c>
      <c r="AX206">
        <v>21</v>
      </c>
      <c r="AY206">
        <v>2</v>
      </c>
      <c r="AZ206">
        <v>4</v>
      </c>
      <c r="BA206">
        <v>3</v>
      </c>
      <c r="BB206">
        <v>24</v>
      </c>
      <c r="BC206">
        <v>33</v>
      </c>
      <c r="BD206" t="s">
        <v>620</v>
      </c>
      <c r="BE206">
        <v>5</v>
      </c>
      <c r="BF206">
        <v>1</v>
      </c>
      <c r="BJ206">
        <v>15</v>
      </c>
      <c r="BK206">
        <v>20</v>
      </c>
      <c r="BL206">
        <v>55</v>
      </c>
      <c r="BM206">
        <v>11</v>
      </c>
      <c r="BN206">
        <v>21</v>
      </c>
      <c r="CU206">
        <v>538643.99710000004</v>
      </c>
      <c r="CV206">
        <v>4875982.0822000001</v>
      </c>
      <c r="CW206">
        <v>44.035987480000003</v>
      </c>
      <c r="CX206">
        <v>-92.517715120000005</v>
      </c>
      <c r="CY206" s="319">
        <v>43115.363194444442</v>
      </c>
      <c r="CZ206" t="s">
        <v>615</v>
      </c>
      <c r="DA206" t="s">
        <v>664</v>
      </c>
      <c r="DB206" t="s">
        <v>665</v>
      </c>
      <c r="DC206" t="s">
        <v>666</v>
      </c>
      <c r="DD206" s="82" t="s">
        <v>950</v>
      </c>
    </row>
    <row r="207" spans="1:108" ht="16.5" customHeight="1" x14ac:dyDescent="0.25">
      <c r="A207">
        <v>120</v>
      </c>
      <c r="B207">
        <v>907038</v>
      </c>
      <c r="C207">
        <v>22</v>
      </c>
      <c r="D207">
        <v>3996</v>
      </c>
      <c r="E207">
        <v>0.29499999999999998</v>
      </c>
      <c r="F207">
        <v>55</v>
      </c>
      <c r="G207" t="s">
        <v>643</v>
      </c>
      <c r="I207">
        <v>6</v>
      </c>
      <c r="J207">
        <v>21</v>
      </c>
      <c r="L207">
        <v>21020489</v>
      </c>
      <c r="M207">
        <v>211410120</v>
      </c>
      <c r="N207">
        <v>5</v>
      </c>
      <c r="O207">
        <v>21</v>
      </c>
      <c r="P207">
        <v>2021</v>
      </c>
      <c r="Q207" t="s">
        <v>638</v>
      </c>
      <c r="R207">
        <v>17</v>
      </c>
      <c r="S207">
        <v>98</v>
      </c>
      <c r="T207">
        <v>5</v>
      </c>
      <c r="U207">
        <v>0</v>
      </c>
      <c r="V207">
        <v>1</v>
      </c>
      <c r="X207">
        <v>32</v>
      </c>
      <c r="Y207">
        <v>10</v>
      </c>
      <c r="Z207">
        <v>1</v>
      </c>
      <c r="AA207">
        <v>1</v>
      </c>
      <c r="AC207">
        <v>1</v>
      </c>
      <c r="AD207">
        <v>98</v>
      </c>
      <c r="AE207" t="s">
        <v>941</v>
      </c>
      <c r="AG207" t="s">
        <v>947</v>
      </c>
      <c r="AH207">
        <v>3</v>
      </c>
      <c r="AI207">
        <v>2</v>
      </c>
      <c r="AJ207">
        <v>2</v>
      </c>
      <c r="AK207">
        <v>2</v>
      </c>
      <c r="AL207">
        <v>21</v>
      </c>
      <c r="AM207">
        <v>29</v>
      </c>
      <c r="AN207" t="s">
        <v>620</v>
      </c>
      <c r="AO207">
        <v>5</v>
      </c>
      <c r="AP207">
        <v>90</v>
      </c>
      <c r="AT207">
        <v>15</v>
      </c>
      <c r="AU207">
        <v>20</v>
      </c>
      <c r="AV207">
        <v>45</v>
      </c>
      <c r="AW207">
        <v>11</v>
      </c>
      <c r="AX207">
        <v>21</v>
      </c>
      <c r="CU207">
        <v>538652.85589999997</v>
      </c>
      <c r="CV207">
        <v>4875980.8046000004</v>
      </c>
      <c r="CW207">
        <v>44.03597551</v>
      </c>
      <c r="CX207">
        <v>-92.517604660000003</v>
      </c>
      <c r="CY207" s="319">
        <v>44337.717361111114</v>
      </c>
      <c r="CZ207" t="s">
        <v>615</v>
      </c>
      <c r="DA207" t="s">
        <v>664</v>
      </c>
      <c r="DB207" t="s">
        <v>665</v>
      </c>
      <c r="DC207" t="s">
        <v>666</v>
      </c>
      <c r="DD207" s="82" t="s">
        <v>951</v>
      </c>
    </row>
    <row r="208" spans="1:108" ht="16.5" customHeight="1" x14ac:dyDescent="0.25">
      <c r="A208">
        <v>130</v>
      </c>
      <c r="B208">
        <v>730005</v>
      </c>
      <c r="C208">
        <v>4</v>
      </c>
      <c r="D208">
        <v>22</v>
      </c>
      <c r="E208">
        <v>3.948</v>
      </c>
      <c r="F208">
        <v>55</v>
      </c>
      <c r="G208" t="s">
        <v>643</v>
      </c>
      <c r="I208">
        <v>6</v>
      </c>
      <c r="J208">
        <v>21</v>
      </c>
      <c r="L208">
        <v>19031690</v>
      </c>
      <c r="M208">
        <v>191790037</v>
      </c>
      <c r="N208">
        <v>6</v>
      </c>
      <c r="O208">
        <v>28</v>
      </c>
      <c r="P208">
        <v>2019</v>
      </c>
      <c r="Q208" t="s">
        <v>638</v>
      </c>
      <c r="R208">
        <v>11</v>
      </c>
      <c r="S208" t="s">
        <v>611</v>
      </c>
      <c r="T208">
        <v>4</v>
      </c>
      <c r="U208">
        <v>0</v>
      </c>
      <c r="V208">
        <v>2</v>
      </c>
      <c r="W208">
        <v>13</v>
      </c>
      <c r="X208">
        <v>10</v>
      </c>
      <c r="Y208">
        <v>3</v>
      </c>
      <c r="Z208">
        <v>1</v>
      </c>
      <c r="AA208">
        <v>1</v>
      </c>
      <c r="AC208">
        <v>1</v>
      </c>
      <c r="AD208">
        <v>98</v>
      </c>
      <c r="AE208" t="s">
        <v>925</v>
      </c>
      <c r="AG208" t="s">
        <v>715</v>
      </c>
      <c r="AH208">
        <v>8</v>
      </c>
      <c r="AI208">
        <v>2</v>
      </c>
      <c r="AJ208">
        <v>5</v>
      </c>
      <c r="AK208">
        <v>3</v>
      </c>
      <c r="AL208">
        <v>24</v>
      </c>
      <c r="AM208">
        <v>59</v>
      </c>
      <c r="AN208" t="s">
        <v>620</v>
      </c>
      <c r="AO208">
        <v>5</v>
      </c>
      <c r="AP208">
        <v>2</v>
      </c>
      <c r="AT208">
        <v>15</v>
      </c>
      <c r="AU208">
        <v>23</v>
      </c>
      <c r="AV208">
        <v>45</v>
      </c>
      <c r="AW208">
        <v>11</v>
      </c>
      <c r="AX208">
        <v>21</v>
      </c>
      <c r="AY208">
        <v>2</v>
      </c>
      <c r="AZ208">
        <v>2</v>
      </c>
      <c r="BA208">
        <v>4</v>
      </c>
      <c r="BB208">
        <v>21</v>
      </c>
      <c r="BC208">
        <v>79</v>
      </c>
      <c r="BD208" t="s">
        <v>614</v>
      </c>
      <c r="BE208">
        <v>5</v>
      </c>
      <c r="BF208">
        <v>1</v>
      </c>
      <c r="BJ208">
        <v>15</v>
      </c>
      <c r="BK208">
        <v>23</v>
      </c>
      <c r="BL208">
        <v>45</v>
      </c>
      <c r="BM208">
        <v>11</v>
      </c>
      <c r="BN208">
        <v>21</v>
      </c>
      <c r="CU208">
        <v>538721.56720000005</v>
      </c>
      <c r="CV208">
        <v>4875801.4019999998</v>
      </c>
      <c r="CW208">
        <v>44.034356699999996</v>
      </c>
      <c r="CX208">
        <v>-92.516760270000006</v>
      </c>
      <c r="CY208" s="319">
        <v>43644.493055555555</v>
      </c>
      <c r="CZ208" t="s">
        <v>615</v>
      </c>
      <c r="DA208" t="s">
        <v>664</v>
      </c>
      <c r="DB208" t="s">
        <v>665</v>
      </c>
      <c r="DC208" t="s">
        <v>666</v>
      </c>
      <c r="DD208" t="s">
        <v>952</v>
      </c>
    </row>
    <row r="209" spans="1:108" ht="16.5" customHeight="1" x14ac:dyDescent="0.25">
      <c r="A209">
        <v>130</v>
      </c>
      <c r="B209">
        <v>498631</v>
      </c>
      <c r="C209">
        <v>4</v>
      </c>
      <c r="D209">
        <v>22</v>
      </c>
      <c r="E209">
        <v>3.9580000000000002</v>
      </c>
      <c r="F209">
        <v>55</v>
      </c>
      <c r="G209" t="s">
        <v>643</v>
      </c>
      <c r="I209">
        <v>6</v>
      </c>
      <c r="J209">
        <v>21</v>
      </c>
      <c r="L209" t="s">
        <v>953</v>
      </c>
      <c r="M209">
        <v>172400251</v>
      </c>
      <c r="N209">
        <v>8</v>
      </c>
      <c r="O209">
        <v>28</v>
      </c>
      <c r="P209">
        <v>2017</v>
      </c>
      <c r="Q209" t="s">
        <v>610</v>
      </c>
      <c r="R209">
        <v>15</v>
      </c>
      <c r="S209" t="s">
        <v>673</v>
      </c>
      <c r="T209">
        <v>4</v>
      </c>
      <c r="U209">
        <v>0</v>
      </c>
      <c r="V209">
        <v>2</v>
      </c>
      <c r="W209">
        <v>5</v>
      </c>
      <c r="X209">
        <v>10</v>
      </c>
      <c r="Y209">
        <v>3</v>
      </c>
      <c r="Z209">
        <v>1</v>
      </c>
      <c r="AA209">
        <v>2</v>
      </c>
      <c r="AC209">
        <v>1</v>
      </c>
      <c r="AD209">
        <v>98</v>
      </c>
      <c r="AE209" t="s">
        <v>925</v>
      </c>
      <c r="AF209" t="s">
        <v>954</v>
      </c>
      <c r="AG209" t="s">
        <v>713</v>
      </c>
      <c r="AH209">
        <v>10</v>
      </c>
      <c r="AI209">
        <v>2</v>
      </c>
      <c r="AJ209">
        <v>49</v>
      </c>
      <c r="AK209">
        <v>2</v>
      </c>
      <c r="AL209">
        <v>21</v>
      </c>
      <c r="AM209">
        <v>26</v>
      </c>
      <c r="AN209" t="s">
        <v>614</v>
      </c>
      <c r="AO209">
        <v>5</v>
      </c>
      <c r="AP209">
        <v>1</v>
      </c>
      <c r="AT209">
        <v>15</v>
      </c>
      <c r="AU209">
        <v>9</v>
      </c>
      <c r="AV209">
        <v>45</v>
      </c>
      <c r="AW209">
        <v>11</v>
      </c>
      <c r="AX209">
        <v>24</v>
      </c>
      <c r="AY209">
        <v>2</v>
      </c>
      <c r="AZ209">
        <v>4</v>
      </c>
      <c r="BA209">
        <v>3</v>
      </c>
      <c r="BB209">
        <v>24</v>
      </c>
      <c r="BC209">
        <v>55</v>
      </c>
      <c r="BD209" t="s">
        <v>620</v>
      </c>
      <c r="BE209">
        <v>5</v>
      </c>
      <c r="BF209">
        <v>2</v>
      </c>
      <c r="BJ209">
        <v>12</v>
      </c>
      <c r="BK209">
        <v>23</v>
      </c>
      <c r="BL209">
        <v>30</v>
      </c>
      <c r="BM209">
        <v>11</v>
      </c>
      <c r="BN209">
        <v>21</v>
      </c>
      <c r="CU209">
        <v>538699.65300000005</v>
      </c>
      <c r="CV209">
        <v>4875798.0429999996</v>
      </c>
      <c r="CW209">
        <v>44.034327609999998</v>
      </c>
      <c r="CX209">
        <v>-92.517033999999995</v>
      </c>
      <c r="CY209" s="319">
        <v>42975.652777777781</v>
      </c>
      <c r="CZ209" t="s">
        <v>615</v>
      </c>
      <c r="DA209" t="s">
        <v>664</v>
      </c>
      <c r="DB209" t="s">
        <v>665</v>
      </c>
      <c r="DC209" t="s">
        <v>666</v>
      </c>
      <c r="DD209" s="82" t="s">
        <v>955</v>
      </c>
    </row>
    <row r="210" spans="1:108" ht="16.5" customHeight="1" x14ac:dyDescent="0.25">
      <c r="A210">
        <v>130</v>
      </c>
      <c r="B210">
        <v>770748</v>
      </c>
      <c r="C210">
        <v>4</v>
      </c>
      <c r="D210">
        <v>22</v>
      </c>
      <c r="E210">
        <v>3.9580000000000002</v>
      </c>
      <c r="F210">
        <v>55</v>
      </c>
      <c r="G210" t="s">
        <v>643</v>
      </c>
      <c r="I210">
        <v>6</v>
      </c>
      <c r="J210">
        <v>21</v>
      </c>
      <c r="L210">
        <v>19061053</v>
      </c>
      <c r="M210">
        <v>193460305</v>
      </c>
      <c r="N210">
        <v>12</v>
      </c>
      <c r="O210">
        <v>12</v>
      </c>
      <c r="P210">
        <v>2019</v>
      </c>
      <c r="Q210" t="s">
        <v>619</v>
      </c>
      <c r="R210">
        <v>17</v>
      </c>
      <c r="T210">
        <v>5</v>
      </c>
      <c r="U210">
        <v>0</v>
      </c>
      <c r="V210">
        <v>2</v>
      </c>
      <c r="W210">
        <v>5</v>
      </c>
      <c r="X210">
        <v>10</v>
      </c>
      <c r="Y210">
        <v>3</v>
      </c>
      <c r="Z210">
        <v>4</v>
      </c>
      <c r="AA210">
        <v>2</v>
      </c>
      <c r="AC210">
        <v>3</v>
      </c>
      <c r="AD210">
        <v>98</v>
      </c>
      <c r="AE210" t="s">
        <v>696</v>
      </c>
      <c r="AF210" t="s">
        <v>954</v>
      </c>
      <c r="AG210" t="s">
        <v>713</v>
      </c>
      <c r="AH210">
        <v>10</v>
      </c>
      <c r="AI210">
        <v>2</v>
      </c>
      <c r="AJ210">
        <v>5</v>
      </c>
      <c r="AK210">
        <v>3</v>
      </c>
      <c r="AL210">
        <v>21</v>
      </c>
      <c r="AM210">
        <v>17</v>
      </c>
      <c r="AN210" t="s">
        <v>620</v>
      </c>
      <c r="AO210">
        <v>5</v>
      </c>
      <c r="AP210">
        <v>70</v>
      </c>
      <c r="AT210">
        <v>12</v>
      </c>
      <c r="AU210">
        <v>23</v>
      </c>
      <c r="AV210">
        <v>30</v>
      </c>
      <c r="AW210">
        <v>11</v>
      </c>
      <c r="AX210">
        <v>21</v>
      </c>
      <c r="AY210">
        <v>2</v>
      </c>
      <c r="AZ210">
        <v>2</v>
      </c>
      <c r="BA210">
        <v>2</v>
      </c>
      <c r="BB210">
        <v>21</v>
      </c>
      <c r="BC210">
        <v>63</v>
      </c>
      <c r="BD210" t="s">
        <v>620</v>
      </c>
      <c r="BE210">
        <v>5</v>
      </c>
      <c r="BF210">
        <v>1</v>
      </c>
      <c r="BJ210">
        <v>15</v>
      </c>
      <c r="BK210">
        <v>9</v>
      </c>
      <c r="BL210">
        <v>45</v>
      </c>
      <c r="BM210">
        <v>11</v>
      </c>
      <c r="BN210">
        <v>24</v>
      </c>
      <c r="CU210">
        <v>538699.55059999996</v>
      </c>
      <c r="CV210">
        <v>4875798.4469999997</v>
      </c>
      <c r="CW210">
        <v>44.034331260000002</v>
      </c>
      <c r="CX210">
        <v>-92.517035239999998</v>
      </c>
      <c r="CY210" s="319">
        <v>43811.740972222222</v>
      </c>
      <c r="CZ210" t="s">
        <v>615</v>
      </c>
      <c r="DA210" t="s">
        <v>664</v>
      </c>
      <c r="DB210" t="s">
        <v>665</v>
      </c>
      <c r="DC210" t="s">
        <v>666</v>
      </c>
      <c r="DD210" s="82" t="s">
        <v>956</v>
      </c>
    </row>
    <row r="211" spans="1:108" ht="16.5" customHeight="1" x14ac:dyDescent="0.25">
      <c r="A211">
        <v>130</v>
      </c>
      <c r="B211">
        <v>726201</v>
      </c>
      <c r="C211">
        <v>4</v>
      </c>
      <c r="D211">
        <v>22</v>
      </c>
      <c r="E211">
        <v>3.9609999999999999</v>
      </c>
      <c r="F211">
        <v>55</v>
      </c>
      <c r="G211" t="s">
        <v>643</v>
      </c>
      <c r="I211">
        <v>6</v>
      </c>
      <c r="J211">
        <v>21</v>
      </c>
      <c r="L211" t="s">
        <v>957</v>
      </c>
      <c r="M211">
        <v>191620147</v>
      </c>
      <c r="N211">
        <v>6</v>
      </c>
      <c r="O211">
        <v>11</v>
      </c>
      <c r="P211">
        <v>2019</v>
      </c>
      <c r="Q211" t="s">
        <v>625</v>
      </c>
      <c r="R211">
        <v>20</v>
      </c>
      <c r="S211" t="s">
        <v>673</v>
      </c>
      <c r="T211">
        <v>5</v>
      </c>
      <c r="U211">
        <v>0</v>
      </c>
      <c r="V211">
        <v>2</v>
      </c>
      <c r="W211">
        <v>5</v>
      </c>
      <c r="X211">
        <v>10</v>
      </c>
      <c r="Y211">
        <v>4</v>
      </c>
      <c r="Z211">
        <v>3</v>
      </c>
      <c r="AA211">
        <v>3</v>
      </c>
      <c r="AC211">
        <v>2</v>
      </c>
      <c r="AD211">
        <v>98</v>
      </c>
      <c r="AE211" t="s">
        <v>925</v>
      </c>
      <c r="AG211" t="s">
        <v>713</v>
      </c>
      <c r="AH211">
        <v>10</v>
      </c>
      <c r="AI211">
        <v>2</v>
      </c>
      <c r="AJ211">
        <v>4</v>
      </c>
      <c r="AK211">
        <v>3</v>
      </c>
      <c r="AL211">
        <v>24</v>
      </c>
      <c r="AM211">
        <v>57</v>
      </c>
      <c r="AN211" t="s">
        <v>614</v>
      </c>
      <c r="AO211">
        <v>5</v>
      </c>
      <c r="AP211">
        <v>2</v>
      </c>
      <c r="AT211">
        <v>15</v>
      </c>
      <c r="AU211">
        <v>23</v>
      </c>
      <c r="AV211">
        <v>45</v>
      </c>
      <c r="AW211">
        <v>11</v>
      </c>
      <c r="AX211">
        <v>21</v>
      </c>
      <c r="AY211">
        <v>2</v>
      </c>
      <c r="AZ211">
        <v>4</v>
      </c>
      <c r="BA211">
        <v>3</v>
      </c>
      <c r="BB211">
        <v>21</v>
      </c>
      <c r="BC211">
        <v>21</v>
      </c>
      <c r="BD211" t="s">
        <v>614</v>
      </c>
      <c r="BE211">
        <v>5</v>
      </c>
      <c r="BF211">
        <v>1</v>
      </c>
      <c r="BJ211">
        <v>15</v>
      </c>
      <c r="BK211">
        <v>23</v>
      </c>
      <c r="BL211">
        <v>45</v>
      </c>
      <c r="BM211">
        <v>11</v>
      </c>
      <c r="BN211">
        <v>21</v>
      </c>
      <c r="CU211">
        <v>538698.321</v>
      </c>
      <c r="CV211">
        <v>4875803.6739999996</v>
      </c>
      <c r="CW211">
        <v>44.03437838</v>
      </c>
      <c r="CX211">
        <v>-92.517050209999994</v>
      </c>
      <c r="CY211" s="319">
        <v>43627.851388888892</v>
      </c>
      <c r="CZ211" t="s">
        <v>615</v>
      </c>
      <c r="DA211" t="s">
        <v>664</v>
      </c>
      <c r="DB211" t="s">
        <v>665</v>
      </c>
      <c r="DC211" t="s">
        <v>666</v>
      </c>
      <c r="DD211" t="s">
        <v>958</v>
      </c>
    </row>
    <row r="212" spans="1:108" ht="16.5" customHeight="1" x14ac:dyDescent="0.25">
      <c r="A212">
        <v>130</v>
      </c>
      <c r="B212">
        <v>591997</v>
      </c>
      <c r="C212">
        <v>4</v>
      </c>
      <c r="D212">
        <v>22</v>
      </c>
      <c r="E212">
        <v>3.9630000000000001</v>
      </c>
      <c r="F212">
        <v>55</v>
      </c>
      <c r="G212" t="s">
        <v>643</v>
      </c>
      <c r="I212">
        <v>6</v>
      </c>
      <c r="J212">
        <v>21</v>
      </c>
      <c r="L212" t="s">
        <v>959</v>
      </c>
      <c r="M212">
        <v>181080052</v>
      </c>
      <c r="N212">
        <v>4</v>
      </c>
      <c r="O212">
        <v>18</v>
      </c>
      <c r="P212">
        <v>2018</v>
      </c>
      <c r="Q212" t="s">
        <v>645</v>
      </c>
      <c r="R212">
        <v>13</v>
      </c>
      <c r="T212">
        <v>5</v>
      </c>
      <c r="U212">
        <v>0</v>
      </c>
      <c r="V212">
        <v>2</v>
      </c>
      <c r="W212">
        <v>5</v>
      </c>
      <c r="X212">
        <v>10</v>
      </c>
      <c r="Y212">
        <v>4</v>
      </c>
      <c r="Z212">
        <v>1</v>
      </c>
      <c r="AA212">
        <v>4</v>
      </c>
      <c r="AC212">
        <v>2</v>
      </c>
      <c r="AD212">
        <v>98</v>
      </c>
      <c r="AE212" t="s">
        <v>925</v>
      </c>
      <c r="AG212" t="s">
        <v>713</v>
      </c>
      <c r="AH212">
        <v>10</v>
      </c>
      <c r="AI212">
        <v>2</v>
      </c>
      <c r="AJ212">
        <v>2</v>
      </c>
      <c r="AK212">
        <v>3</v>
      </c>
      <c r="AL212">
        <v>24</v>
      </c>
      <c r="AM212">
        <v>49</v>
      </c>
      <c r="AN212" t="s">
        <v>620</v>
      </c>
      <c r="AO212">
        <v>5</v>
      </c>
      <c r="AP212">
        <v>2</v>
      </c>
      <c r="AT212">
        <v>15</v>
      </c>
      <c r="AU212">
        <v>23</v>
      </c>
      <c r="AV212">
        <v>45</v>
      </c>
      <c r="AW212">
        <v>11</v>
      </c>
      <c r="AX212">
        <v>21</v>
      </c>
      <c r="AY212">
        <v>2</v>
      </c>
      <c r="AZ212">
        <v>4</v>
      </c>
      <c r="BA212">
        <v>2</v>
      </c>
      <c r="BB212">
        <v>21</v>
      </c>
      <c r="BC212">
        <v>75</v>
      </c>
      <c r="BD212" t="s">
        <v>614</v>
      </c>
      <c r="BE212">
        <v>5</v>
      </c>
      <c r="BF212">
        <v>1</v>
      </c>
      <c r="BJ212">
        <v>15</v>
      </c>
      <c r="BK212">
        <v>9</v>
      </c>
      <c r="BL212">
        <v>45</v>
      </c>
      <c r="BM212">
        <v>11</v>
      </c>
      <c r="BN212">
        <v>21</v>
      </c>
      <c r="CU212">
        <v>538697.84450000001</v>
      </c>
      <c r="CV212">
        <v>4875805.7070000004</v>
      </c>
      <c r="CW212">
        <v>44.034396710000003</v>
      </c>
      <c r="CX212">
        <v>-92.517055999999997</v>
      </c>
      <c r="CY212" s="319">
        <v>43208.570833333331</v>
      </c>
      <c r="CZ212" t="s">
        <v>615</v>
      </c>
      <c r="DA212" t="s">
        <v>664</v>
      </c>
      <c r="DB212" t="s">
        <v>665</v>
      </c>
      <c r="DC212" t="s">
        <v>666</v>
      </c>
      <c r="DD212" t="s">
        <v>960</v>
      </c>
    </row>
    <row r="213" spans="1:108" ht="16.5" customHeight="1" x14ac:dyDescent="0.25">
      <c r="A213">
        <v>130</v>
      </c>
      <c r="B213">
        <v>475440</v>
      </c>
      <c r="C213">
        <v>4</v>
      </c>
      <c r="D213">
        <v>22</v>
      </c>
      <c r="E213">
        <v>3.9649999999999999</v>
      </c>
      <c r="F213">
        <v>55</v>
      </c>
      <c r="G213" t="s">
        <v>643</v>
      </c>
      <c r="I213">
        <v>6</v>
      </c>
      <c r="J213">
        <v>21</v>
      </c>
      <c r="L213">
        <v>17033698</v>
      </c>
      <c r="M213">
        <v>171890026</v>
      </c>
      <c r="N213">
        <v>7</v>
      </c>
      <c r="O213">
        <v>8</v>
      </c>
      <c r="P213">
        <v>2017</v>
      </c>
      <c r="Q213" t="s">
        <v>655</v>
      </c>
      <c r="R213">
        <v>10</v>
      </c>
      <c r="S213" t="s">
        <v>673</v>
      </c>
      <c r="T213">
        <v>5</v>
      </c>
      <c r="U213">
        <v>0</v>
      </c>
      <c r="V213">
        <v>2</v>
      </c>
      <c r="W213">
        <v>5</v>
      </c>
      <c r="X213">
        <v>10</v>
      </c>
      <c r="Y213">
        <v>3</v>
      </c>
      <c r="Z213">
        <v>1</v>
      </c>
      <c r="AA213">
        <v>1</v>
      </c>
      <c r="AC213">
        <v>1</v>
      </c>
      <c r="AD213">
        <v>98</v>
      </c>
      <c r="AE213" t="s">
        <v>925</v>
      </c>
      <c r="AF213" t="s">
        <v>954</v>
      </c>
      <c r="AG213" t="s">
        <v>713</v>
      </c>
      <c r="AH213">
        <v>10</v>
      </c>
      <c r="AI213">
        <v>2</v>
      </c>
      <c r="AJ213">
        <v>2</v>
      </c>
      <c r="AK213">
        <v>3</v>
      </c>
      <c r="AL213">
        <v>24</v>
      </c>
      <c r="AM213">
        <v>21</v>
      </c>
      <c r="AN213" t="s">
        <v>620</v>
      </c>
      <c r="AO213">
        <v>5</v>
      </c>
      <c r="AP213">
        <v>2</v>
      </c>
      <c r="AT213">
        <v>12</v>
      </c>
      <c r="AU213">
        <v>23</v>
      </c>
      <c r="AV213">
        <v>30</v>
      </c>
      <c r="AW213">
        <v>11</v>
      </c>
      <c r="AX213">
        <v>21</v>
      </c>
      <c r="AY213">
        <v>2</v>
      </c>
      <c r="AZ213">
        <v>2</v>
      </c>
      <c r="BA213">
        <v>2</v>
      </c>
      <c r="BB213">
        <v>21</v>
      </c>
      <c r="BC213">
        <v>18</v>
      </c>
      <c r="BD213" t="s">
        <v>620</v>
      </c>
      <c r="BE213">
        <v>5</v>
      </c>
      <c r="BF213">
        <v>1</v>
      </c>
      <c r="BJ213">
        <v>15</v>
      </c>
      <c r="BK213">
        <v>9</v>
      </c>
      <c r="BL213">
        <v>45</v>
      </c>
      <c r="BM213">
        <v>11</v>
      </c>
      <c r="BN213">
        <v>21</v>
      </c>
      <c r="CU213">
        <v>538696.88300000003</v>
      </c>
      <c r="CV213">
        <v>4875809.8109999998</v>
      </c>
      <c r="CW213">
        <v>44.034433700000001</v>
      </c>
      <c r="CX213">
        <v>-92.517067699999998</v>
      </c>
      <c r="CY213" s="319">
        <v>42924.451388888891</v>
      </c>
      <c r="CZ213" t="s">
        <v>615</v>
      </c>
      <c r="DA213" t="s">
        <v>664</v>
      </c>
      <c r="DB213" t="s">
        <v>665</v>
      </c>
      <c r="DC213" t="s">
        <v>666</v>
      </c>
      <c r="DD213" t="s">
        <v>961</v>
      </c>
    </row>
    <row r="214" spans="1:108" ht="16.5" customHeight="1" x14ac:dyDescent="0.25">
      <c r="A214">
        <v>130</v>
      </c>
      <c r="B214">
        <v>681623</v>
      </c>
      <c r="C214">
        <v>10</v>
      </c>
      <c r="D214">
        <v>838</v>
      </c>
      <c r="E214">
        <v>0.39700000000000002</v>
      </c>
      <c r="F214">
        <v>55</v>
      </c>
      <c r="G214" t="s">
        <v>643</v>
      </c>
      <c r="I214">
        <v>6</v>
      </c>
      <c r="J214">
        <v>21</v>
      </c>
      <c r="L214">
        <v>19004897</v>
      </c>
      <c r="M214">
        <v>190310201</v>
      </c>
      <c r="N214">
        <v>1</v>
      </c>
      <c r="O214">
        <v>31</v>
      </c>
      <c r="P214">
        <v>2019</v>
      </c>
      <c r="Q214" t="s">
        <v>619</v>
      </c>
      <c r="R214">
        <v>15</v>
      </c>
      <c r="S214" t="s">
        <v>673</v>
      </c>
      <c r="T214">
        <v>3</v>
      </c>
      <c r="U214">
        <v>0</v>
      </c>
      <c r="V214">
        <v>2</v>
      </c>
      <c r="W214">
        <v>10</v>
      </c>
      <c r="X214">
        <v>10</v>
      </c>
      <c r="Y214">
        <v>3</v>
      </c>
      <c r="Z214">
        <v>1</v>
      </c>
      <c r="AA214">
        <v>1</v>
      </c>
      <c r="AC214">
        <v>5</v>
      </c>
      <c r="AD214">
        <v>98</v>
      </c>
      <c r="AE214" t="s">
        <v>954</v>
      </c>
      <c r="AG214" t="s">
        <v>962</v>
      </c>
      <c r="AH214">
        <v>5</v>
      </c>
      <c r="AI214">
        <v>2</v>
      </c>
      <c r="AJ214">
        <v>4</v>
      </c>
      <c r="AK214">
        <v>2</v>
      </c>
      <c r="AL214">
        <v>24</v>
      </c>
      <c r="AM214">
        <v>36</v>
      </c>
      <c r="AN214" t="s">
        <v>614</v>
      </c>
      <c r="AO214">
        <v>5</v>
      </c>
      <c r="AP214">
        <v>1</v>
      </c>
      <c r="AT214">
        <v>15</v>
      </c>
      <c r="AU214">
        <v>23</v>
      </c>
      <c r="AW214">
        <v>11</v>
      </c>
      <c r="AX214">
        <v>24</v>
      </c>
      <c r="AY214">
        <v>2</v>
      </c>
      <c r="AZ214">
        <v>2</v>
      </c>
      <c r="BA214">
        <v>3</v>
      </c>
      <c r="BB214">
        <v>34</v>
      </c>
      <c r="BC214">
        <v>39</v>
      </c>
      <c r="BD214" t="s">
        <v>620</v>
      </c>
      <c r="BE214">
        <v>5</v>
      </c>
      <c r="BF214">
        <v>1</v>
      </c>
      <c r="BJ214">
        <v>15</v>
      </c>
      <c r="BK214">
        <v>23</v>
      </c>
      <c r="BM214">
        <v>11</v>
      </c>
      <c r="BN214">
        <v>24</v>
      </c>
      <c r="CU214">
        <v>538693.00260000001</v>
      </c>
      <c r="CV214">
        <v>4875798.43</v>
      </c>
      <c r="CW214">
        <v>44.034331450000003</v>
      </c>
      <c r="CX214">
        <v>-92.517116959999996</v>
      </c>
      <c r="CY214" s="319">
        <v>43496.650694444441</v>
      </c>
      <c r="CZ214" t="s">
        <v>615</v>
      </c>
      <c r="DA214" t="s">
        <v>664</v>
      </c>
      <c r="DB214" t="s">
        <v>665</v>
      </c>
      <c r="DC214" t="s">
        <v>666</v>
      </c>
      <c r="DD214" t="s">
        <v>963</v>
      </c>
    </row>
    <row r="215" spans="1:108" ht="16.5" customHeight="1" x14ac:dyDescent="0.25">
      <c r="A215">
        <v>130</v>
      </c>
      <c r="B215">
        <v>454119</v>
      </c>
      <c r="C215">
        <v>10</v>
      </c>
      <c r="D215">
        <v>838</v>
      </c>
      <c r="E215">
        <v>0.4</v>
      </c>
      <c r="F215">
        <v>55</v>
      </c>
      <c r="G215" t="s">
        <v>643</v>
      </c>
      <c r="I215">
        <v>6</v>
      </c>
      <c r="J215">
        <v>21</v>
      </c>
      <c r="L215">
        <v>17025050</v>
      </c>
      <c r="M215">
        <v>171420107</v>
      </c>
      <c r="N215">
        <v>5</v>
      </c>
      <c r="O215">
        <v>22</v>
      </c>
      <c r="P215">
        <v>2017</v>
      </c>
      <c r="Q215" t="s">
        <v>610</v>
      </c>
      <c r="R215">
        <v>15</v>
      </c>
      <c r="S215" t="s">
        <v>673</v>
      </c>
      <c r="T215">
        <v>3</v>
      </c>
      <c r="U215">
        <v>0</v>
      </c>
      <c r="V215">
        <v>2</v>
      </c>
      <c r="W215">
        <v>5</v>
      </c>
      <c r="X215">
        <v>10</v>
      </c>
      <c r="Y215">
        <v>3</v>
      </c>
      <c r="Z215">
        <v>1</v>
      </c>
      <c r="AA215">
        <v>1</v>
      </c>
      <c r="AC215">
        <v>1</v>
      </c>
      <c r="AD215">
        <v>98</v>
      </c>
      <c r="AE215" t="s">
        <v>954</v>
      </c>
      <c r="AF215" t="s">
        <v>925</v>
      </c>
      <c r="AG215" t="s">
        <v>962</v>
      </c>
      <c r="AH215">
        <v>10</v>
      </c>
      <c r="AI215">
        <v>2</v>
      </c>
      <c r="AJ215">
        <v>2</v>
      </c>
      <c r="AK215">
        <v>3</v>
      </c>
      <c r="AL215">
        <v>24</v>
      </c>
      <c r="AM215">
        <v>24</v>
      </c>
      <c r="AN215" t="s">
        <v>620</v>
      </c>
      <c r="AO215">
        <v>5</v>
      </c>
      <c r="AP215">
        <v>1</v>
      </c>
      <c r="AT215">
        <v>12</v>
      </c>
      <c r="AU215">
        <v>23</v>
      </c>
      <c r="AV215">
        <v>30</v>
      </c>
      <c r="AW215">
        <v>11</v>
      </c>
      <c r="AX215">
        <v>21</v>
      </c>
      <c r="AY215">
        <v>2</v>
      </c>
      <c r="AZ215">
        <v>4</v>
      </c>
      <c r="BA215">
        <v>2</v>
      </c>
      <c r="BB215">
        <v>21</v>
      </c>
      <c r="BC215">
        <v>81</v>
      </c>
      <c r="BD215" t="s">
        <v>620</v>
      </c>
      <c r="BE215">
        <v>5</v>
      </c>
      <c r="BF215">
        <v>1</v>
      </c>
      <c r="BJ215">
        <v>15</v>
      </c>
      <c r="BK215">
        <v>9</v>
      </c>
      <c r="BL215">
        <v>45</v>
      </c>
      <c r="BM215">
        <v>11</v>
      </c>
      <c r="BN215">
        <v>24</v>
      </c>
      <c r="CU215">
        <v>538698.11459999997</v>
      </c>
      <c r="CV215">
        <v>4875798.6409999998</v>
      </c>
      <c r="CW215">
        <v>44.034333080000003</v>
      </c>
      <c r="CX215">
        <v>-92.517053149999995</v>
      </c>
      <c r="CY215" s="319">
        <v>42877.643750000003</v>
      </c>
      <c r="CZ215" t="s">
        <v>615</v>
      </c>
      <c r="DA215" t="s">
        <v>664</v>
      </c>
      <c r="DB215" t="s">
        <v>665</v>
      </c>
      <c r="DC215" t="s">
        <v>666</v>
      </c>
      <c r="DD215" s="82" t="s">
        <v>964</v>
      </c>
    </row>
    <row r="216" spans="1:108" ht="16.5" customHeight="1" x14ac:dyDescent="0.25">
      <c r="A216">
        <v>130</v>
      </c>
      <c r="B216">
        <v>743713</v>
      </c>
      <c r="C216">
        <v>10</v>
      </c>
      <c r="D216">
        <v>838</v>
      </c>
      <c r="E216">
        <v>0.40100000000000002</v>
      </c>
      <c r="F216">
        <v>55</v>
      </c>
      <c r="G216" t="s">
        <v>643</v>
      </c>
      <c r="I216">
        <v>6</v>
      </c>
      <c r="J216">
        <v>21</v>
      </c>
      <c r="L216" t="s">
        <v>965</v>
      </c>
      <c r="M216">
        <v>192410092</v>
      </c>
      <c r="N216">
        <v>8</v>
      </c>
      <c r="O216">
        <v>29</v>
      </c>
      <c r="P216">
        <v>2019</v>
      </c>
      <c r="Q216" t="s">
        <v>619</v>
      </c>
      <c r="R216">
        <v>14</v>
      </c>
      <c r="S216" t="s">
        <v>646</v>
      </c>
      <c r="T216">
        <v>3</v>
      </c>
      <c r="U216">
        <v>0</v>
      </c>
      <c r="V216">
        <v>2</v>
      </c>
      <c r="W216">
        <v>90</v>
      </c>
      <c r="X216">
        <v>10</v>
      </c>
      <c r="Y216">
        <v>3</v>
      </c>
      <c r="Z216">
        <v>1</v>
      </c>
      <c r="AA216">
        <v>1</v>
      </c>
      <c r="AC216">
        <v>1</v>
      </c>
      <c r="AD216">
        <v>98</v>
      </c>
      <c r="AE216" t="s">
        <v>954</v>
      </c>
      <c r="AF216" t="s">
        <v>696</v>
      </c>
      <c r="AG216" t="s">
        <v>962</v>
      </c>
      <c r="AH216">
        <v>90</v>
      </c>
      <c r="AI216">
        <v>2</v>
      </c>
      <c r="AJ216">
        <v>5</v>
      </c>
      <c r="AK216">
        <v>3</v>
      </c>
      <c r="AL216">
        <v>31</v>
      </c>
      <c r="AM216">
        <v>32</v>
      </c>
      <c r="AN216" t="s">
        <v>620</v>
      </c>
      <c r="AO216">
        <v>5</v>
      </c>
      <c r="AP216">
        <v>2</v>
      </c>
      <c r="AT216">
        <v>12</v>
      </c>
      <c r="AU216">
        <v>23</v>
      </c>
      <c r="AV216">
        <v>30</v>
      </c>
      <c r="AW216">
        <v>11</v>
      </c>
      <c r="AX216">
        <v>21</v>
      </c>
      <c r="AY216">
        <v>2</v>
      </c>
      <c r="AZ216">
        <v>2</v>
      </c>
      <c r="BA216">
        <v>2</v>
      </c>
      <c r="BB216">
        <v>21</v>
      </c>
      <c r="BC216">
        <v>16</v>
      </c>
      <c r="BD216" t="s">
        <v>620</v>
      </c>
      <c r="BE216">
        <v>5</v>
      </c>
      <c r="BF216">
        <v>1</v>
      </c>
      <c r="BJ216">
        <v>15</v>
      </c>
      <c r="BK216">
        <v>9</v>
      </c>
      <c r="BL216">
        <v>45</v>
      </c>
      <c r="BM216">
        <v>11</v>
      </c>
      <c r="BN216">
        <v>23</v>
      </c>
      <c r="CU216">
        <v>538698.83259999997</v>
      </c>
      <c r="CV216">
        <v>4875798.6710000001</v>
      </c>
      <c r="CW216">
        <v>44.034333310000001</v>
      </c>
      <c r="CX216">
        <v>-92.517044189999993</v>
      </c>
      <c r="CY216" s="319">
        <v>43706.588888888888</v>
      </c>
      <c r="CZ216" t="s">
        <v>615</v>
      </c>
      <c r="DA216" t="s">
        <v>664</v>
      </c>
      <c r="DB216" t="s">
        <v>665</v>
      </c>
      <c r="DC216" t="s">
        <v>666</v>
      </c>
      <c r="DD216" t="s">
        <v>966</v>
      </c>
    </row>
    <row r="217" spans="1:108" ht="16.5" customHeight="1" x14ac:dyDescent="0.25">
      <c r="A217">
        <v>130</v>
      </c>
      <c r="B217">
        <v>817305</v>
      </c>
      <c r="C217">
        <v>10</v>
      </c>
      <c r="D217">
        <v>838</v>
      </c>
      <c r="E217">
        <v>0.40400000000000003</v>
      </c>
      <c r="F217">
        <v>55</v>
      </c>
      <c r="G217" t="s">
        <v>643</v>
      </c>
      <c r="I217">
        <v>6</v>
      </c>
      <c r="J217">
        <v>21</v>
      </c>
      <c r="L217" t="s">
        <v>967</v>
      </c>
      <c r="M217">
        <v>201820135</v>
      </c>
      <c r="N217">
        <v>6</v>
      </c>
      <c r="O217">
        <v>30</v>
      </c>
      <c r="P217">
        <v>2020</v>
      </c>
      <c r="Q217" t="s">
        <v>625</v>
      </c>
      <c r="R217">
        <v>16</v>
      </c>
      <c r="T217">
        <v>5</v>
      </c>
      <c r="U217">
        <v>0</v>
      </c>
      <c r="V217">
        <v>2</v>
      </c>
      <c r="W217">
        <v>5</v>
      </c>
      <c r="X217">
        <v>10</v>
      </c>
      <c r="Y217">
        <v>3</v>
      </c>
      <c r="Z217">
        <v>1</v>
      </c>
      <c r="AA217">
        <v>1</v>
      </c>
      <c r="AC217">
        <v>1</v>
      </c>
      <c r="AD217">
        <v>98</v>
      </c>
      <c r="AE217" t="s">
        <v>954</v>
      </c>
      <c r="AF217" t="s">
        <v>696</v>
      </c>
      <c r="AG217" t="s">
        <v>962</v>
      </c>
      <c r="AH217">
        <v>10</v>
      </c>
      <c r="AI217">
        <v>2</v>
      </c>
      <c r="AJ217">
        <v>3</v>
      </c>
      <c r="AK217">
        <v>1</v>
      </c>
      <c r="AL217">
        <v>21</v>
      </c>
      <c r="AM217">
        <v>35</v>
      </c>
      <c r="AN217" t="s">
        <v>614</v>
      </c>
      <c r="AO217">
        <v>5</v>
      </c>
      <c r="AP217">
        <v>1</v>
      </c>
      <c r="AT217">
        <v>14</v>
      </c>
      <c r="AU217">
        <v>9</v>
      </c>
      <c r="AV217">
        <v>45</v>
      </c>
      <c r="AW217">
        <v>11</v>
      </c>
      <c r="AX217">
        <v>23</v>
      </c>
      <c r="AY217">
        <v>2</v>
      </c>
      <c r="AZ217">
        <v>2</v>
      </c>
      <c r="BA217">
        <v>3</v>
      </c>
      <c r="BB217">
        <v>31</v>
      </c>
      <c r="BC217">
        <v>23</v>
      </c>
      <c r="BD217" t="s">
        <v>620</v>
      </c>
      <c r="BE217">
        <v>99</v>
      </c>
      <c r="BF217">
        <v>2</v>
      </c>
      <c r="BJ217">
        <v>14</v>
      </c>
      <c r="BK217">
        <v>23</v>
      </c>
      <c r="BL217">
        <v>30</v>
      </c>
      <c r="BM217">
        <v>11</v>
      </c>
      <c r="BN217">
        <v>23</v>
      </c>
      <c r="CU217">
        <v>538704.66799999995</v>
      </c>
      <c r="CV217">
        <v>4875798.6979999999</v>
      </c>
      <c r="CW217">
        <v>44.034333240000002</v>
      </c>
      <c r="CX217">
        <v>-92.516971359999999</v>
      </c>
      <c r="CY217" s="319">
        <v>44012.699305555558</v>
      </c>
      <c r="CZ217" t="s">
        <v>615</v>
      </c>
      <c r="DA217" t="s">
        <v>664</v>
      </c>
      <c r="DB217" t="s">
        <v>665</v>
      </c>
      <c r="DC217" t="s">
        <v>666</v>
      </c>
      <c r="DD217" t="s">
        <v>968</v>
      </c>
    </row>
    <row r="218" spans="1:108" ht="16.5" customHeight="1" x14ac:dyDescent="0.25">
      <c r="A218">
        <v>130</v>
      </c>
      <c r="B218">
        <v>504335</v>
      </c>
      <c r="C218">
        <v>10</v>
      </c>
      <c r="D218">
        <v>838</v>
      </c>
      <c r="E218">
        <v>0.42</v>
      </c>
      <c r="F218">
        <v>55</v>
      </c>
      <c r="G218" t="s">
        <v>643</v>
      </c>
      <c r="I218">
        <v>6</v>
      </c>
      <c r="J218">
        <v>21</v>
      </c>
      <c r="L218">
        <v>17047744</v>
      </c>
      <c r="M218">
        <v>172700069</v>
      </c>
      <c r="N218">
        <v>9</v>
      </c>
      <c r="O218">
        <v>27</v>
      </c>
      <c r="P218">
        <v>2017</v>
      </c>
      <c r="Q218" t="s">
        <v>645</v>
      </c>
      <c r="R218">
        <v>10</v>
      </c>
      <c r="S218" t="s">
        <v>639</v>
      </c>
      <c r="T218">
        <v>5</v>
      </c>
      <c r="U218">
        <v>0</v>
      </c>
      <c r="V218">
        <v>2</v>
      </c>
      <c r="W218">
        <v>12</v>
      </c>
      <c r="X218">
        <v>10</v>
      </c>
      <c r="Y218">
        <v>3</v>
      </c>
      <c r="Z218">
        <v>1</v>
      </c>
      <c r="AA218">
        <v>1</v>
      </c>
      <c r="AC218">
        <v>1</v>
      </c>
      <c r="AD218">
        <v>98</v>
      </c>
      <c r="AE218" t="s">
        <v>954</v>
      </c>
      <c r="AG218" t="s">
        <v>962</v>
      </c>
      <c r="AH218">
        <v>7</v>
      </c>
      <c r="AI218">
        <v>2</v>
      </c>
      <c r="AJ218">
        <v>4</v>
      </c>
      <c r="AK218">
        <v>4</v>
      </c>
      <c r="AL218">
        <v>33</v>
      </c>
      <c r="AM218">
        <v>27</v>
      </c>
      <c r="AN218" t="s">
        <v>614</v>
      </c>
      <c r="AO218">
        <v>5</v>
      </c>
      <c r="AP218">
        <v>11</v>
      </c>
      <c r="AT218">
        <v>12</v>
      </c>
      <c r="AU218">
        <v>23</v>
      </c>
      <c r="AV218">
        <v>30</v>
      </c>
      <c r="AW218">
        <v>11</v>
      </c>
      <c r="AX218">
        <v>21</v>
      </c>
      <c r="AY218">
        <v>2</v>
      </c>
      <c r="AZ218">
        <v>2</v>
      </c>
      <c r="BA218">
        <v>4</v>
      </c>
      <c r="BB218">
        <v>34</v>
      </c>
      <c r="BC218">
        <v>57</v>
      </c>
      <c r="BD218" t="s">
        <v>614</v>
      </c>
      <c r="BE218">
        <v>5</v>
      </c>
      <c r="BF218">
        <v>1</v>
      </c>
      <c r="BJ218">
        <v>12</v>
      </c>
      <c r="BK218">
        <v>23</v>
      </c>
      <c r="BL218">
        <v>30</v>
      </c>
      <c r="BM218">
        <v>11</v>
      </c>
      <c r="BN218">
        <v>21</v>
      </c>
      <c r="CU218">
        <v>538729.43299999996</v>
      </c>
      <c r="CV218">
        <v>4875798.9220000003</v>
      </c>
      <c r="CW218">
        <v>44.034333959999998</v>
      </c>
      <c r="CX218">
        <v>-92.516662289999999</v>
      </c>
      <c r="CY218" s="319">
        <v>43005.455555555556</v>
      </c>
      <c r="CZ218" t="s">
        <v>615</v>
      </c>
      <c r="DA218" t="s">
        <v>664</v>
      </c>
      <c r="DB218" t="s">
        <v>665</v>
      </c>
      <c r="DC218" t="s">
        <v>666</v>
      </c>
      <c r="DD218" t="s">
        <v>969</v>
      </c>
    </row>
    <row r="219" spans="1:108" ht="16.5" customHeight="1" x14ac:dyDescent="0.25">
      <c r="A219">
        <v>140</v>
      </c>
      <c r="B219">
        <v>866477</v>
      </c>
      <c r="C219">
        <v>4</v>
      </c>
      <c r="D219">
        <v>22</v>
      </c>
      <c r="E219">
        <v>3.8159999999999998</v>
      </c>
      <c r="F219">
        <v>55</v>
      </c>
      <c r="G219" t="s">
        <v>643</v>
      </c>
      <c r="I219">
        <v>6</v>
      </c>
      <c r="J219">
        <v>21</v>
      </c>
      <c r="L219">
        <v>20052612</v>
      </c>
      <c r="M219">
        <v>203390022</v>
      </c>
      <c r="N219">
        <v>12</v>
      </c>
      <c r="O219">
        <v>4</v>
      </c>
      <c r="P219">
        <v>2020</v>
      </c>
      <c r="Q219" t="s">
        <v>638</v>
      </c>
      <c r="R219">
        <v>10</v>
      </c>
      <c r="S219" t="s">
        <v>611</v>
      </c>
      <c r="T219">
        <v>3</v>
      </c>
      <c r="U219">
        <v>0</v>
      </c>
      <c r="V219">
        <v>2</v>
      </c>
      <c r="W219">
        <v>12</v>
      </c>
      <c r="X219">
        <v>10</v>
      </c>
      <c r="Y219">
        <v>3</v>
      </c>
      <c r="Z219">
        <v>1</v>
      </c>
      <c r="AA219">
        <v>1</v>
      </c>
      <c r="AC219">
        <v>1</v>
      </c>
      <c r="AD219">
        <v>98</v>
      </c>
      <c r="AE219" t="s">
        <v>696</v>
      </c>
      <c r="AG219" t="s">
        <v>715</v>
      </c>
      <c r="AH219">
        <v>7</v>
      </c>
      <c r="AI219">
        <v>2</v>
      </c>
      <c r="AJ219">
        <v>2</v>
      </c>
      <c r="AK219">
        <v>1</v>
      </c>
      <c r="AL219">
        <v>21</v>
      </c>
      <c r="AM219">
        <v>70</v>
      </c>
      <c r="AN219" t="s">
        <v>620</v>
      </c>
      <c r="AO219">
        <v>5</v>
      </c>
      <c r="AP219">
        <v>74</v>
      </c>
      <c r="AT219">
        <v>15</v>
      </c>
      <c r="AU219">
        <v>20</v>
      </c>
      <c r="AV219">
        <v>50</v>
      </c>
      <c r="AW219">
        <v>11</v>
      </c>
      <c r="AX219">
        <v>21</v>
      </c>
      <c r="AY219">
        <v>3</v>
      </c>
      <c r="AZ219">
        <v>4</v>
      </c>
      <c r="BA219">
        <v>1</v>
      </c>
      <c r="BB219">
        <v>34</v>
      </c>
      <c r="BC219">
        <v>60</v>
      </c>
      <c r="BD219" t="s">
        <v>620</v>
      </c>
      <c r="BE219">
        <v>5</v>
      </c>
      <c r="BF219">
        <v>1</v>
      </c>
      <c r="BJ219">
        <v>15</v>
      </c>
      <c r="BK219">
        <v>20</v>
      </c>
      <c r="BL219">
        <v>50</v>
      </c>
      <c r="BM219">
        <v>11</v>
      </c>
      <c r="BN219">
        <v>21</v>
      </c>
      <c r="CU219">
        <v>538751.64500000002</v>
      </c>
      <c r="CV219">
        <v>4875591.9561999999</v>
      </c>
      <c r="CW219">
        <v>44.03246944</v>
      </c>
      <c r="CX219">
        <v>-92.516400239999996</v>
      </c>
      <c r="CY219" s="319">
        <v>44169.452777777777</v>
      </c>
      <c r="CZ219" t="s">
        <v>615</v>
      </c>
      <c r="DA219" t="s">
        <v>664</v>
      </c>
      <c r="DB219" t="s">
        <v>665</v>
      </c>
      <c r="DC219" t="s">
        <v>666</v>
      </c>
      <c r="DD219" t="s">
        <v>970</v>
      </c>
    </row>
    <row r="220" spans="1:108" ht="16.5" customHeight="1" x14ac:dyDescent="0.25">
      <c r="A220">
        <v>140</v>
      </c>
      <c r="B220">
        <v>901497</v>
      </c>
      <c r="C220">
        <v>4</v>
      </c>
      <c r="D220">
        <v>22</v>
      </c>
      <c r="E220">
        <v>3.8149999999999999</v>
      </c>
      <c r="F220">
        <v>55</v>
      </c>
      <c r="G220" t="s">
        <v>643</v>
      </c>
      <c r="I220">
        <v>6</v>
      </c>
      <c r="J220">
        <v>21</v>
      </c>
      <c r="L220">
        <v>21015858</v>
      </c>
      <c r="M220">
        <v>211090068</v>
      </c>
      <c r="N220">
        <v>4</v>
      </c>
      <c r="O220">
        <v>19</v>
      </c>
      <c r="P220">
        <v>2021</v>
      </c>
      <c r="Q220" t="s">
        <v>610</v>
      </c>
      <c r="R220">
        <v>16</v>
      </c>
      <c r="S220" t="s">
        <v>611</v>
      </c>
      <c r="T220">
        <v>5</v>
      </c>
      <c r="U220">
        <v>0</v>
      </c>
      <c r="V220">
        <v>2</v>
      </c>
      <c r="W220">
        <v>12</v>
      </c>
      <c r="X220">
        <v>10</v>
      </c>
      <c r="Y220">
        <v>2</v>
      </c>
      <c r="Z220">
        <v>1</v>
      </c>
      <c r="AA220">
        <v>1</v>
      </c>
      <c r="AC220">
        <v>1</v>
      </c>
      <c r="AD220">
        <v>98</v>
      </c>
      <c r="AE220" t="s">
        <v>696</v>
      </c>
      <c r="AG220" t="s">
        <v>715</v>
      </c>
      <c r="AH220">
        <v>7</v>
      </c>
      <c r="AI220">
        <v>2</v>
      </c>
      <c r="AJ220">
        <v>4</v>
      </c>
      <c r="AK220">
        <v>1</v>
      </c>
      <c r="AL220">
        <v>21</v>
      </c>
      <c r="AM220">
        <v>25</v>
      </c>
      <c r="AN220" t="s">
        <v>614</v>
      </c>
      <c r="AO220">
        <v>5</v>
      </c>
      <c r="AP220">
        <v>74</v>
      </c>
      <c r="AT220">
        <v>15</v>
      </c>
      <c r="AU220">
        <v>20</v>
      </c>
      <c r="AV220">
        <v>45</v>
      </c>
      <c r="AW220">
        <v>11</v>
      </c>
      <c r="AX220">
        <v>21</v>
      </c>
      <c r="AY220">
        <v>2</v>
      </c>
      <c r="AZ220">
        <v>2</v>
      </c>
      <c r="BA220">
        <v>1</v>
      </c>
      <c r="BB220">
        <v>34</v>
      </c>
      <c r="BC220">
        <v>34</v>
      </c>
      <c r="BD220" t="s">
        <v>620</v>
      </c>
      <c r="BE220">
        <v>5</v>
      </c>
      <c r="BF220">
        <v>1</v>
      </c>
      <c r="BJ220">
        <v>15</v>
      </c>
      <c r="BK220">
        <v>20</v>
      </c>
      <c r="BL220">
        <v>45</v>
      </c>
      <c r="BM220">
        <v>11</v>
      </c>
      <c r="BN220">
        <v>21</v>
      </c>
      <c r="CU220">
        <v>538751.66359999997</v>
      </c>
      <c r="CV220">
        <v>4875591.2443000004</v>
      </c>
      <c r="CW220">
        <v>44.032463030000002</v>
      </c>
      <c r="CX220">
        <v>-92.516400059999995</v>
      </c>
      <c r="CY220" s="319">
        <v>44305.697916666664</v>
      </c>
      <c r="CZ220" t="s">
        <v>615</v>
      </c>
      <c r="DA220" t="s">
        <v>664</v>
      </c>
      <c r="DB220" t="s">
        <v>665</v>
      </c>
      <c r="DC220" t="s">
        <v>666</v>
      </c>
      <c r="DD220" t="s">
        <v>971</v>
      </c>
    </row>
    <row r="221" spans="1:108" ht="16.5" customHeight="1" x14ac:dyDescent="0.25">
      <c r="A221">
        <v>140</v>
      </c>
      <c r="B221">
        <v>603731</v>
      </c>
      <c r="C221">
        <v>4</v>
      </c>
      <c r="D221">
        <v>22</v>
      </c>
      <c r="E221">
        <v>3.819</v>
      </c>
      <c r="F221">
        <v>55</v>
      </c>
      <c r="G221" t="s">
        <v>643</v>
      </c>
      <c r="I221">
        <v>6</v>
      </c>
      <c r="J221">
        <v>21</v>
      </c>
      <c r="L221">
        <v>18026646</v>
      </c>
      <c r="M221">
        <v>181630038</v>
      </c>
      <c r="N221">
        <v>6</v>
      </c>
      <c r="O221">
        <v>12</v>
      </c>
      <c r="P221">
        <v>2018</v>
      </c>
      <c r="Q221" t="s">
        <v>625</v>
      </c>
      <c r="R221">
        <v>10</v>
      </c>
      <c r="S221" t="s">
        <v>611</v>
      </c>
      <c r="T221">
        <v>5</v>
      </c>
      <c r="U221">
        <v>0</v>
      </c>
      <c r="V221">
        <v>3</v>
      </c>
      <c r="W221">
        <v>90</v>
      </c>
      <c r="X221">
        <v>10</v>
      </c>
      <c r="Y221">
        <v>3</v>
      </c>
      <c r="Z221">
        <v>1</v>
      </c>
      <c r="AA221">
        <v>2</v>
      </c>
      <c r="AC221">
        <v>1</v>
      </c>
      <c r="AD221">
        <v>98</v>
      </c>
      <c r="AE221" t="s">
        <v>925</v>
      </c>
      <c r="AG221" t="s">
        <v>715</v>
      </c>
      <c r="AH221">
        <v>90</v>
      </c>
      <c r="AI221">
        <v>2</v>
      </c>
      <c r="AJ221">
        <v>2</v>
      </c>
      <c r="AK221">
        <v>2</v>
      </c>
      <c r="AL221">
        <v>24</v>
      </c>
      <c r="AM221">
        <v>29</v>
      </c>
      <c r="AN221" t="s">
        <v>614</v>
      </c>
      <c r="AO221">
        <v>5</v>
      </c>
      <c r="AP221">
        <v>2</v>
      </c>
      <c r="AT221">
        <v>15</v>
      </c>
      <c r="AU221">
        <v>20</v>
      </c>
      <c r="AV221">
        <v>45</v>
      </c>
      <c r="AW221">
        <v>11</v>
      </c>
      <c r="AX221">
        <v>23</v>
      </c>
      <c r="AY221">
        <v>2</v>
      </c>
      <c r="AZ221">
        <v>2</v>
      </c>
      <c r="BA221">
        <v>1</v>
      </c>
      <c r="BB221">
        <v>21</v>
      </c>
      <c r="BC221">
        <v>38</v>
      </c>
      <c r="BD221" t="s">
        <v>614</v>
      </c>
      <c r="BE221">
        <v>5</v>
      </c>
      <c r="BF221">
        <v>1</v>
      </c>
      <c r="BJ221">
        <v>15</v>
      </c>
      <c r="BK221">
        <v>20</v>
      </c>
      <c r="BL221">
        <v>45</v>
      </c>
      <c r="BM221">
        <v>11</v>
      </c>
      <c r="BN221">
        <v>24</v>
      </c>
      <c r="BO221">
        <v>2</v>
      </c>
      <c r="BP221">
        <v>3</v>
      </c>
      <c r="BQ221">
        <v>4</v>
      </c>
      <c r="BR221">
        <v>34</v>
      </c>
      <c r="BS221">
        <v>72</v>
      </c>
      <c r="BT221" t="s">
        <v>620</v>
      </c>
      <c r="BU221">
        <v>5</v>
      </c>
      <c r="BV221">
        <v>1</v>
      </c>
      <c r="BZ221">
        <v>12</v>
      </c>
      <c r="CA221">
        <v>20</v>
      </c>
      <c r="CB221">
        <v>30</v>
      </c>
      <c r="CC221">
        <v>11</v>
      </c>
      <c r="CD221">
        <v>21</v>
      </c>
      <c r="CU221">
        <v>538751.49109999998</v>
      </c>
      <c r="CV221">
        <v>4875597.8748000003</v>
      </c>
      <c r="CW221">
        <v>44.032522729999997</v>
      </c>
      <c r="CX221">
        <v>-92.516401729999998</v>
      </c>
      <c r="CY221" s="319">
        <v>43263.427083333336</v>
      </c>
      <c r="CZ221" t="s">
        <v>615</v>
      </c>
      <c r="DA221" t="s">
        <v>664</v>
      </c>
      <c r="DB221" t="s">
        <v>665</v>
      </c>
      <c r="DC221" t="s">
        <v>666</v>
      </c>
      <c r="DD221" s="82" t="s">
        <v>972</v>
      </c>
    </row>
    <row r="222" spans="1:108" ht="16.5" customHeight="1" x14ac:dyDescent="0.25">
      <c r="A222">
        <v>140</v>
      </c>
      <c r="B222">
        <v>849727</v>
      </c>
      <c r="C222">
        <v>4</v>
      </c>
      <c r="D222">
        <v>22</v>
      </c>
      <c r="E222">
        <v>3.8290000000000002</v>
      </c>
      <c r="F222">
        <v>55</v>
      </c>
      <c r="G222" t="s">
        <v>643</v>
      </c>
      <c r="I222">
        <v>6</v>
      </c>
      <c r="J222">
        <v>21</v>
      </c>
      <c r="L222" t="s">
        <v>973</v>
      </c>
      <c r="M222">
        <v>203010073</v>
      </c>
      <c r="N222">
        <v>10</v>
      </c>
      <c r="O222">
        <v>27</v>
      </c>
      <c r="P222">
        <v>2020</v>
      </c>
      <c r="Q222" t="s">
        <v>625</v>
      </c>
      <c r="R222">
        <v>14</v>
      </c>
      <c r="S222" t="s">
        <v>673</v>
      </c>
      <c r="T222">
        <v>5</v>
      </c>
      <c r="U222">
        <v>0</v>
      </c>
      <c r="V222">
        <v>2</v>
      </c>
      <c r="W222">
        <v>5</v>
      </c>
      <c r="X222">
        <v>10</v>
      </c>
      <c r="Y222">
        <v>3</v>
      </c>
      <c r="Z222">
        <v>1</v>
      </c>
      <c r="AA222">
        <v>1</v>
      </c>
      <c r="AC222">
        <v>1</v>
      </c>
      <c r="AD222">
        <v>98</v>
      </c>
      <c r="AE222" t="s">
        <v>696</v>
      </c>
      <c r="AG222" t="s">
        <v>713</v>
      </c>
      <c r="AH222">
        <v>10</v>
      </c>
      <c r="AI222">
        <v>2</v>
      </c>
      <c r="AJ222">
        <v>4</v>
      </c>
      <c r="AK222">
        <v>3</v>
      </c>
      <c r="AL222">
        <v>24</v>
      </c>
      <c r="AM222">
        <v>95</v>
      </c>
      <c r="AN222" t="s">
        <v>614</v>
      </c>
      <c r="AO222">
        <v>5</v>
      </c>
      <c r="AP222">
        <v>2</v>
      </c>
      <c r="AT222">
        <v>13</v>
      </c>
      <c r="AU222">
        <v>20</v>
      </c>
      <c r="AV222">
        <v>45</v>
      </c>
      <c r="AW222">
        <v>11</v>
      </c>
      <c r="AX222">
        <v>24</v>
      </c>
      <c r="AY222">
        <v>2</v>
      </c>
      <c r="AZ222">
        <v>2</v>
      </c>
      <c r="BA222">
        <v>3</v>
      </c>
      <c r="BB222">
        <v>21</v>
      </c>
      <c r="BC222">
        <v>68</v>
      </c>
      <c r="BD222" t="s">
        <v>614</v>
      </c>
      <c r="BE222">
        <v>5</v>
      </c>
      <c r="BF222">
        <v>1</v>
      </c>
      <c r="BJ222">
        <v>13</v>
      </c>
      <c r="BK222">
        <v>20</v>
      </c>
      <c r="BL222">
        <v>45</v>
      </c>
      <c r="BM222">
        <v>11</v>
      </c>
      <c r="BN222">
        <v>23</v>
      </c>
      <c r="CU222">
        <v>538733.82550000004</v>
      </c>
      <c r="CV222">
        <v>4875595.0242999997</v>
      </c>
      <c r="CW222">
        <v>44.032497999999997</v>
      </c>
      <c r="CX222">
        <v>-92.516622389999995</v>
      </c>
      <c r="CY222" s="319">
        <v>44131.59652777778</v>
      </c>
      <c r="CZ222" t="s">
        <v>615</v>
      </c>
      <c r="DA222" t="s">
        <v>664</v>
      </c>
      <c r="DB222" t="s">
        <v>665</v>
      </c>
      <c r="DC222" t="s">
        <v>666</v>
      </c>
      <c r="DD222" s="82" t="s">
        <v>974</v>
      </c>
    </row>
    <row r="223" spans="1:108" ht="16.5" customHeight="1" x14ac:dyDescent="0.25">
      <c r="A223">
        <v>140</v>
      </c>
      <c r="B223">
        <v>488985</v>
      </c>
      <c r="C223">
        <v>4</v>
      </c>
      <c r="D223">
        <v>22</v>
      </c>
      <c r="E223">
        <v>3.8330000000000002</v>
      </c>
      <c r="F223">
        <v>55</v>
      </c>
      <c r="G223" t="s">
        <v>643</v>
      </c>
      <c r="I223">
        <v>6</v>
      </c>
      <c r="J223">
        <v>21</v>
      </c>
      <c r="L223">
        <v>17036484</v>
      </c>
      <c r="M223">
        <v>172040088</v>
      </c>
      <c r="N223">
        <v>7</v>
      </c>
      <c r="O223">
        <v>23</v>
      </c>
      <c r="P223">
        <v>2017</v>
      </c>
      <c r="Q223" t="s">
        <v>652</v>
      </c>
      <c r="R223">
        <v>19</v>
      </c>
      <c r="S223" t="s">
        <v>673</v>
      </c>
      <c r="T223">
        <v>5</v>
      </c>
      <c r="U223">
        <v>0</v>
      </c>
      <c r="V223">
        <v>2</v>
      </c>
      <c r="W223">
        <v>10</v>
      </c>
      <c r="X223">
        <v>10</v>
      </c>
      <c r="Y223">
        <v>10</v>
      </c>
      <c r="Z223">
        <v>1</v>
      </c>
      <c r="AA223">
        <v>1</v>
      </c>
      <c r="AC223">
        <v>1</v>
      </c>
      <c r="AD223">
        <v>98</v>
      </c>
      <c r="AE223" t="s">
        <v>925</v>
      </c>
      <c r="AG223" t="s">
        <v>713</v>
      </c>
      <c r="AH223">
        <v>5</v>
      </c>
      <c r="AI223">
        <v>2</v>
      </c>
      <c r="AJ223">
        <v>2</v>
      </c>
      <c r="AK223">
        <v>2</v>
      </c>
      <c r="AL223">
        <v>28</v>
      </c>
      <c r="AM223">
        <v>26</v>
      </c>
      <c r="AN223" t="s">
        <v>620</v>
      </c>
      <c r="AO223">
        <v>5</v>
      </c>
      <c r="AP223">
        <v>1</v>
      </c>
      <c r="AT223">
        <v>14</v>
      </c>
      <c r="AU223">
        <v>98</v>
      </c>
      <c r="AV223">
        <v>45</v>
      </c>
      <c r="AW223">
        <v>11</v>
      </c>
      <c r="AX223">
        <v>23</v>
      </c>
      <c r="AY223">
        <v>2</v>
      </c>
      <c r="AZ223">
        <v>2</v>
      </c>
      <c r="BA223">
        <v>2</v>
      </c>
      <c r="BB223">
        <v>28</v>
      </c>
      <c r="BC223">
        <v>36</v>
      </c>
      <c r="BD223" t="s">
        <v>620</v>
      </c>
      <c r="BE223">
        <v>5</v>
      </c>
      <c r="BF223">
        <v>1</v>
      </c>
      <c r="BJ223">
        <v>14</v>
      </c>
      <c r="BK223">
        <v>98</v>
      </c>
      <c r="BL223">
        <v>45</v>
      </c>
      <c r="BM223">
        <v>11</v>
      </c>
      <c r="BN223">
        <v>23</v>
      </c>
      <c r="CU223">
        <v>538733.6361</v>
      </c>
      <c r="CV223">
        <v>4875600.5872</v>
      </c>
      <c r="CW223">
        <v>44.0325481</v>
      </c>
      <c r="CX223">
        <v>-92.516624350000001</v>
      </c>
      <c r="CY223" s="319">
        <v>42939.819444444445</v>
      </c>
      <c r="CZ223" t="s">
        <v>615</v>
      </c>
      <c r="DA223" t="s">
        <v>664</v>
      </c>
      <c r="DB223" t="s">
        <v>665</v>
      </c>
      <c r="DC223" t="s">
        <v>666</v>
      </c>
      <c r="DD223" t="s">
        <v>975</v>
      </c>
    </row>
    <row r="224" spans="1:108" ht="16.5" customHeight="1" x14ac:dyDescent="0.25">
      <c r="A224">
        <v>140</v>
      </c>
      <c r="B224">
        <v>524079</v>
      </c>
      <c r="C224">
        <v>4</v>
      </c>
      <c r="D224">
        <v>22</v>
      </c>
      <c r="E224">
        <v>3.8359999999999999</v>
      </c>
      <c r="F224">
        <v>55</v>
      </c>
      <c r="G224" t="s">
        <v>643</v>
      </c>
      <c r="I224">
        <v>6</v>
      </c>
      <c r="J224">
        <v>21</v>
      </c>
      <c r="L224" t="s">
        <v>976</v>
      </c>
      <c r="M224">
        <v>173450305</v>
      </c>
      <c r="N224">
        <v>12</v>
      </c>
      <c r="O224">
        <v>11</v>
      </c>
      <c r="P224">
        <v>2017</v>
      </c>
      <c r="Q224" t="s">
        <v>610</v>
      </c>
      <c r="R224">
        <v>17</v>
      </c>
      <c r="T224">
        <v>3</v>
      </c>
      <c r="U224">
        <v>0</v>
      </c>
      <c r="V224">
        <v>2</v>
      </c>
      <c r="W224">
        <v>5</v>
      </c>
      <c r="X224">
        <v>10</v>
      </c>
      <c r="Y224">
        <v>3</v>
      </c>
      <c r="Z224">
        <v>4</v>
      </c>
      <c r="AA224">
        <v>2</v>
      </c>
      <c r="AC224">
        <v>2</v>
      </c>
      <c r="AD224">
        <v>98</v>
      </c>
      <c r="AE224" t="s">
        <v>925</v>
      </c>
      <c r="AG224" t="s">
        <v>713</v>
      </c>
      <c r="AH224">
        <v>10</v>
      </c>
      <c r="AI224">
        <v>2</v>
      </c>
      <c r="AJ224">
        <v>5</v>
      </c>
      <c r="AK224">
        <v>3</v>
      </c>
      <c r="AL224">
        <v>24</v>
      </c>
      <c r="AM224">
        <v>33</v>
      </c>
      <c r="AN224" t="s">
        <v>614</v>
      </c>
      <c r="AO224">
        <v>5</v>
      </c>
      <c r="AP224">
        <v>2</v>
      </c>
      <c r="AT224">
        <v>15</v>
      </c>
      <c r="AU224">
        <v>20</v>
      </c>
      <c r="AV224">
        <v>45</v>
      </c>
      <c r="AW224">
        <v>11</v>
      </c>
      <c r="AX224">
        <v>21</v>
      </c>
      <c r="AY224">
        <v>2</v>
      </c>
      <c r="AZ224">
        <v>4</v>
      </c>
      <c r="BA224">
        <v>1</v>
      </c>
      <c r="BB224">
        <v>21</v>
      </c>
      <c r="BC224">
        <v>60</v>
      </c>
      <c r="BD224" t="s">
        <v>620</v>
      </c>
      <c r="BE224">
        <v>5</v>
      </c>
      <c r="BF224">
        <v>1</v>
      </c>
      <c r="BJ224">
        <v>15</v>
      </c>
      <c r="BK224">
        <v>20</v>
      </c>
      <c r="BL224">
        <v>45</v>
      </c>
      <c r="BM224">
        <v>11</v>
      </c>
      <c r="BN224">
        <v>21</v>
      </c>
      <c r="CU224">
        <v>538732.95869999996</v>
      </c>
      <c r="CV224">
        <v>4875605.8391000004</v>
      </c>
      <c r="CW224">
        <v>44.03259542</v>
      </c>
      <c r="CX224">
        <v>-92.516632419999993</v>
      </c>
      <c r="CY224" s="319">
        <v>43080.727777777778</v>
      </c>
      <c r="CZ224" t="s">
        <v>615</v>
      </c>
      <c r="DA224" t="s">
        <v>664</v>
      </c>
      <c r="DB224" t="s">
        <v>665</v>
      </c>
      <c r="DC224" t="s">
        <v>666</v>
      </c>
      <c r="DD224" t="s">
        <v>977</v>
      </c>
    </row>
    <row r="225" spans="1:108" ht="16.5" customHeight="1" x14ac:dyDescent="0.25">
      <c r="A225">
        <v>140</v>
      </c>
      <c r="B225">
        <v>839761</v>
      </c>
      <c r="C225">
        <v>4</v>
      </c>
      <c r="D225">
        <v>22</v>
      </c>
      <c r="E225">
        <v>3.8370000000000002</v>
      </c>
      <c r="F225">
        <v>55</v>
      </c>
      <c r="G225">
        <v>2396395</v>
      </c>
      <c r="J225">
        <v>21</v>
      </c>
      <c r="L225" t="s">
        <v>978</v>
      </c>
      <c r="M225">
        <v>202530017</v>
      </c>
      <c r="N225">
        <v>9</v>
      </c>
      <c r="O225">
        <v>7</v>
      </c>
      <c r="P225">
        <v>2020</v>
      </c>
      <c r="Q225" t="s">
        <v>610</v>
      </c>
      <c r="R225">
        <v>16</v>
      </c>
      <c r="T225">
        <v>3</v>
      </c>
      <c r="U225">
        <v>0</v>
      </c>
      <c r="V225">
        <v>2</v>
      </c>
      <c r="W225">
        <v>12</v>
      </c>
      <c r="X225">
        <v>10</v>
      </c>
      <c r="Y225">
        <v>3</v>
      </c>
      <c r="Z225">
        <v>1</v>
      </c>
      <c r="AA225">
        <v>2</v>
      </c>
      <c r="AC225">
        <v>1</v>
      </c>
      <c r="AD225">
        <v>98</v>
      </c>
      <c r="AE225" t="s">
        <v>696</v>
      </c>
      <c r="AF225" t="s">
        <v>855</v>
      </c>
      <c r="AG225" t="s">
        <v>713</v>
      </c>
      <c r="AH225">
        <v>7</v>
      </c>
      <c r="AI225">
        <v>2</v>
      </c>
      <c r="AJ225">
        <v>3</v>
      </c>
      <c r="AK225">
        <v>3</v>
      </c>
      <c r="AL225">
        <v>21</v>
      </c>
      <c r="AM225">
        <v>51</v>
      </c>
      <c r="AN225" t="s">
        <v>614</v>
      </c>
      <c r="AO225">
        <v>5</v>
      </c>
      <c r="AP225">
        <v>99</v>
      </c>
      <c r="AT225">
        <v>15</v>
      </c>
      <c r="AU225">
        <v>20</v>
      </c>
      <c r="AV225">
        <v>30</v>
      </c>
      <c r="AW225">
        <v>11</v>
      </c>
      <c r="AX225">
        <v>21</v>
      </c>
      <c r="AY225">
        <v>2</v>
      </c>
      <c r="AZ225">
        <v>4</v>
      </c>
      <c r="BA225">
        <v>3</v>
      </c>
      <c r="BB225">
        <v>24</v>
      </c>
      <c r="BC225">
        <v>39</v>
      </c>
      <c r="BD225" t="s">
        <v>620</v>
      </c>
      <c r="BE225">
        <v>5</v>
      </c>
      <c r="BF225">
        <v>1</v>
      </c>
      <c r="BJ225">
        <v>15</v>
      </c>
      <c r="BK225">
        <v>20</v>
      </c>
      <c r="BL225">
        <v>30</v>
      </c>
      <c r="BM225">
        <v>11</v>
      </c>
      <c r="BN225">
        <v>21</v>
      </c>
      <c r="CU225">
        <v>538729.80388669996</v>
      </c>
      <c r="CV225">
        <v>4875605.8932855697</v>
      </c>
      <c r="CW225">
        <v>44.032588160000003</v>
      </c>
      <c r="CX225">
        <v>-92.516664370000001</v>
      </c>
      <c r="CY225" s="319">
        <v>44081.686805555553</v>
      </c>
      <c r="CZ225" t="s">
        <v>615</v>
      </c>
      <c r="DA225" t="s">
        <v>664</v>
      </c>
      <c r="DB225" t="s">
        <v>665</v>
      </c>
      <c r="DC225" t="s">
        <v>666</v>
      </c>
      <c r="DD225" s="82" t="s">
        <v>979</v>
      </c>
    </row>
    <row r="226" spans="1:108" ht="16.5" customHeight="1" x14ac:dyDescent="0.25">
      <c r="A226">
        <v>140</v>
      </c>
      <c r="B226">
        <v>472921</v>
      </c>
      <c r="C226">
        <v>4</v>
      </c>
      <c r="D226">
        <v>22</v>
      </c>
      <c r="E226">
        <v>3.847</v>
      </c>
      <c r="F226">
        <v>55</v>
      </c>
      <c r="G226" t="s">
        <v>643</v>
      </c>
      <c r="I226">
        <v>6</v>
      </c>
      <c r="J226">
        <v>21</v>
      </c>
      <c r="L226">
        <v>17031856</v>
      </c>
      <c r="M226">
        <v>171780058</v>
      </c>
      <c r="N226">
        <v>6</v>
      </c>
      <c r="O226">
        <v>27</v>
      </c>
      <c r="P226">
        <v>2017</v>
      </c>
      <c r="Q226" t="s">
        <v>625</v>
      </c>
      <c r="R226">
        <v>10</v>
      </c>
      <c r="S226" t="s">
        <v>673</v>
      </c>
      <c r="T226">
        <v>5</v>
      </c>
      <c r="U226">
        <v>0</v>
      </c>
      <c r="V226">
        <v>2</v>
      </c>
      <c r="W226">
        <v>12</v>
      </c>
      <c r="X226">
        <v>10</v>
      </c>
      <c r="Y226">
        <v>3</v>
      </c>
      <c r="Z226">
        <v>1</v>
      </c>
      <c r="AA226">
        <v>1</v>
      </c>
      <c r="AC226">
        <v>1</v>
      </c>
      <c r="AD226">
        <v>98</v>
      </c>
      <c r="AE226" t="s">
        <v>925</v>
      </c>
      <c r="AF226" t="s">
        <v>855</v>
      </c>
      <c r="AG226" t="s">
        <v>713</v>
      </c>
      <c r="AH226">
        <v>7</v>
      </c>
      <c r="AI226">
        <v>2</v>
      </c>
      <c r="AJ226">
        <v>2</v>
      </c>
      <c r="AK226">
        <v>2</v>
      </c>
      <c r="AL226">
        <v>21</v>
      </c>
      <c r="AM226">
        <v>63</v>
      </c>
      <c r="AN226" t="s">
        <v>620</v>
      </c>
      <c r="AO226">
        <v>5</v>
      </c>
      <c r="AP226">
        <v>74</v>
      </c>
      <c r="AT226">
        <v>15</v>
      </c>
      <c r="AU226">
        <v>20</v>
      </c>
      <c r="AV226">
        <v>45</v>
      </c>
      <c r="AW226">
        <v>11</v>
      </c>
      <c r="AX226">
        <v>23</v>
      </c>
      <c r="AY226">
        <v>2</v>
      </c>
      <c r="AZ226">
        <v>2</v>
      </c>
      <c r="BA226">
        <v>2</v>
      </c>
      <c r="BB226">
        <v>34</v>
      </c>
      <c r="BC226">
        <v>60</v>
      </c>
      <c r="BD226" t="s">
        <v>620</v>
      </c>
      <c r="BE226">
        <v>5</v>
      </c>
      <c r="BF226">
        <v>1</v>
      </c>
      <c r="BJ226">
        <v>15</v>
      </c>
      <c r="BK226">
        <v>20</v>
      </c>
      <c r="BL226">
        <v>45</v>
      </c>
      <c r="BM226">
        <v>11</v>
      </c>
      <c r="BN226">
        <v>23</v>
      </c>
      <c r="CU226">
        <v>538730.73789999995</v>
      </c>
      <c r="CV226">
        <v>4875623.0569000002</v>
      </c>
      <c r="CW226">
        <v>44.032750550000003</v>
      </c>
      <c r="CX226">
        <v>-92.516658870000001</v>
      </c>
      <c r="CY226" s="319">
        <v>42913.451388888891</v>
      </c>
      <c r="CZ226" t="s">
        <v>615</v>
      </c>
      <c r="DA226" t="s">
        <v>664</v>
      </c>
      <c r="DB226" t="s">
        <v>665</v>
      </c>
      <c r="DC226" t="s">
        <v>666</v>
      </c>
      <c r="DD226" t="s">
        <v>980</v>
      </c>
    </row>
    <row r="227" spans="1:108" ht="16.5" customHeight="1" x14ac:dyDescent="0.25">
      <c r="A227">
        <v>140</v>
      </c>
      <c r="B227">
        <v>915376</v>
      </c>
      <c r="C227">
        <v>5</v>
      </c>
      <c r="D227">
        <v>174</v>
      </c>
      <c r="E227">
        <v>0.78600000000000003</v>
      </c>
      <c r="F227">
        <v>55</v>
      </c>
      <c r="G227" t="s">
        <v>643</v>
      </c>
      <c r="I227">
        <v>6</v>
      </c>
      <c r="J227">
        <v>21</v>
      </c>
      <c r="L227" t="s">
        <v>981</v>
      </c>
      <c r="M227">
        <v>211810071</v>
      </c>
      <c r="N227">
        <v>6</v>
      </c>
      <c r="O227">
        <v>30</v>
      </c>
      <c r="P227">
        <v>2021</v>
      </c>
      <c r="Q227" t="s">
        <v>645</v>
      </c>
      <c r="R227">
        <v>13</v>
      </c>
      <c r="S227" t="s">
        <v>646</v>
      </c>
      <c r="T227">
        <v>5</v>
      </c>
      <c r="U227">
        <v>0</v>
      </c>
      <c r="V227">
        <v>3</v>
      </c>
      <c r="W227">
        <v>12</v>
      </c>
      <c r="X227">
        <v>10</v>
      </c>
      <c r="Y227">
        <v>10</v>
      </c>
      <c r="Z227">
        <v>1</v>
      </c>
      <c r="AA227">
        <v>1</v>
      </c>
      <c r="AC227">
        <v>1</v>
      </c>
      <c r="AD227">
        <v>98</v>
      </c>
      <c r="AE227" t="s">
        <v>855</v>
      </c>
      <c r="AG227" t="s">
        <v>982</v>
      </c>
      <c r="AH227">
        <v>7</v>
      </c>
      <c r="AI227">
        <v>1</v>
      </c>
      <c r="AJ227">
        <v>4</v>
      </c>
      <c r="AK227">
        <v>3</v>
      </c>
      <c r="AL227">
        <v>21</v>
      </c>
      <c r="AT227">
        <v>12</v>
      </c>
      <c r="AU227">
        <v>20</v>
      </c>
      <c r="AV227">
        <v>30</v>
      </c>
      <c r="AW227">
        <v>11</v>
      </c>
      <c r="AX227">
        <v>21</v>
      </c>
      <c r="AY227">
        <v>2</v>
      </c>
      <c r="AZ227">
        <v>2</v>
      </c>
      <c r="BA227">
        <v>3</v>
      </c>
      <c r="BB227">
        <v>34</v>
      </c>
      <c r="BC227">
        <v>36</v>
      </c>
      <c r="BD227" t="s">
        <v>614</v>
      </c>
      <c r="BE227">
        <v>5</v>
      </c>
      <c r="BF227">
        <v>1</v>
      </c>
      <c r="BJ227">
        <v>12</v>
      </c>
      <c r="BK227">
        <v>20</v>
      </c>
      <c r="BL227">
        <v>30</v>
      </c>
      <c r="BM227">
        <v>11</v>
      </c>
      <c r="BN227">
        <v>21</v>
      </c>
      <c r="BO227">
        <v>2</v>
      </c>
      <c r="BP227">
        <v>4</v>
      </c>
      <c r="BQ227">
        <v>3</v>
      </c>
      <c r="BR227">
        <v>34</v>
      </c>
      <c r="BS227">
        <v>35</v>
      </c>
      <c r="BT227" t="s">
        <v>620</v>
      </c>
      <c r="BU227">
        <v>5</v>
      </c>
      <c r="BV227">
        <v>1</v>
      </c>
      <c r="BZ227">
        <v>12</v>
      </c>
      <c r="CA227">
        <v>20</v>
      </c>
      <c r="CB227">
        <v>30</v>
      </c>
      <c r="CC227">
        <v>11</v>
      </c>
      <c r="CD227">
        <v>21</v>
      </c>
      <c r="CU227">
        <v>538702.23340000003</v>
      </c>
      <c r="CV227">
        <v>4875603.3624999998</v>
      </c>
      <c r="CW227">
        <v>44.032574740000001</v>
      </c>
      <c r="CX227">
        <v>-92.517016029999994</v>
      </c>
      <c r="CY227" s="319">
        <v>44377.576388888891</v>
      </c>
      <c r="CZ227" t="s">
        <v>615</v>
      </c>
      <c r="DA227" t="s">
        <v>664</v>
      </c>
      <c r="DB227" t="s">
        <v>665</v>
      </c>
      <c r="DC227" t="s">
        <v>666</v>
      </c>
      <c r="DD227" s="82" t="s">
        <v>983</v>
      </c>
    </row>
    <row r="228" spans="1:108" ht="16.5" customHeight="1" x14ac:dyDescent="0.25">
      <c r="A228">
        <v>140</v>
      </c>
      <c r="B228">
        <v>526236</v>
      </c>
      <c r="C228">
        <v>5</v>
      </c>
      <c r="D228">
        <v>174</v>
      </c>
      <c r="E228">
        <v>0.78800000000000003</v>
      </c>
      <c r="F228">
        <v>55</v>
      </c>
      <c r="G228" t="s">
        <v>643</v>
      </c>
      <c r="I228">
        <v>6</v>
      </c>
      <c r="J228">
        <v>21</v>
      </c>
      <c r="L228">
        <v>17061073</v>
      </c>
      <c r="M228">
        <v>173520189</v>
      </c>
      <c r="N228">
        <v>12</v>
      </c>
      <c r="O228">
        <v>18</v>
      </c>
      <c r="P228">
        <v>2017</v>
      </c>
      <c r="Q228" t="s">
        <v>610</v>
      </c>
      <c r="R228">
        <v>22</v>
      </c>
      <c r="S228" t="s">
        <v>646</v>
      </c>
      <c r="T228">
        <v>5</v>
      </c>
      <c r="U228">
        <v>0</v>
      </c>
      <c r="V228">
        <v>2</v>
      </c>
      <c r="W228">
        <v>12</v>
      </c>
      <c r="X228">
        <v>10</v>
      </c>
      <c r="Y228">
        <v>3</v>
      </c>
      <c r="Z228">
        <v>4</v>
      </c>
      <c r="AA228">
        <v>1</v>
      </c>
      <c r="AC228">
        <v>2</v>
      </c>
      <c r="AD228">
        <v>98</v>
      </c>
      <c r="AE228" t="s">
        <v>855</v>
      </c>
      <c r="AG228" t="s">
        <v>982</v>
      </c>
      <c r="AH228">
        <v>7</v>
      </c>
      <c r="AI228">
        <v>2</v>
      </c>
      <c r="AJ228">
        <v>2</v>
      </c>
      <c r="AK228">
        <v>3</v>
      </c>
      <c r="AL228">
        <v>21</v>
      </c>
      <c r="AM228">
        <v>19</v>
      </c>
      <c r="AN228" t="s">
        <v>614</v>
      </c>
      <c r="AO228">
        <v>5</v>
      </c>
      <c r="AP228">
        <v>1</v>
      </c>
      <c r="AT228">
        <v>12</v>
      </c>
      <c r="AU228">
        <v>20</v>
      </c>
      <c r="AV228">
        <v>30</v>
      </c>
      <c r="AW228">
        <v>11</v>
      </c>
      <c r="AX228">
        <v>21</v>
      </c>
      <c r="AY228">
        <v>2</v>
      </c>
      <c r="AZ228">
        <v>2</v>
      </c>
      <c r="BA228">
        <v>3</v>
      </c>
      <c r="BB228">
        <v>34</v>
      </c>
      <c r="BC228">
        <v>24</v>
      </c>
      <c r="BD228" t="s">
        <v>620</v>
      </c>
      <c r="BE228">
        <v>5</v>
      </c>
      <c r="BF228">
        <v>1</v>
      </c>
      <c r="BJ228">
        <v>12</v>
      </c>
      <c r="BK228">
        <v>20</v>
      </c>
      <c r="BL228">
        <v>30</v>
      </c>
      <c r="BM228">
        <v>11</v>
      </c>
      <c r="BN228">
        <v>21</v>
      </c>
      <c r="CU228">
        <v>538705.16260000004</v>
      </c>
      <c r="CV228">
        <v>4875603.1653000005</v>
      </c>
      <c r="CW228">
        <v>44.032572809999998</v>
      </c>
      <c r="CX228">
        <v>-92.516979489999997</v>
      </c>
      <c r="CY228" s="319">
        <v>43087.931944444441</v>
      </c>
      <c r="CZ228" t="s">
        <v>615</v>
      </c>
      <c r="DA228" t="s">
        <v>664</v>
      </c>
      <c r="DB228" t="s">
        <v>665</v>
      </c>
      <c r="DC228" t="s">
        <v>666</v>
      </c>
      <c r="DD228" t="s">
        <v>984</v>
      </c>
    </row>
    <row r="229" spans="1:108" ht="16.5" customHeight="1" x14ac:dyDescent="0.25">
      <c r="A229">
        <v>140</v>
      </c>
      <c r="B229">
        <v>528243</v>
      </c>
      <c r="C229">
        <v>5</v>
      </c>
      <c r="D229">
        <v>174</v>
      </c>
      <c r="E229">
        <v>0.80400000000000005</v>
      </c>
      <c r="F229">
        <v>55</v>
      </c>
      <c r="G229" t="s">
        <v>643</v>
      </c>
      <c r="I229">
        <v>6</v>
      </c>
      <c r="J229">
        <v>21</v>
      </c>
      <c r="L229">
        <v>17061971</v>
      </c>
      <c r="M229">
        <v>173580130</v>
      </c>
      <c r="N229">
        <v>12</v>
      </c>
      <c r="O229">
        <v>24</v>
      </c>
      <c r="P229">
        <v>2017</v>
      </c>
      <c r="Q229" t="s">
        <v>652</v>
      </c>
      <c r="R229">
        <v>17</v>
      </c>
      <c r="S229">
        <v>98</v>
      </c>
      <c r="T229">
        <v>4</v>
      </c>
      <c r="U229">
        <v>0</v>
      </c>
      <c r="V229">
        <v>2</v>
      </c>
      <c r="W229">
        <v>5</v>
      </c>
      <c r="X229">
        <v>10</v>
      </c>
      <c r="Y229">
        <v>3</v>
      </c>
      <c r="Z229">
        <v>4</v>
      </c>
      <c r="AA229">
        <v>1</v>
      </c>
      <c r="AC229">
        <v>1</v>
      </c>
      <c r="AD229">
        <v>98</v>
      </c>
      <c r="AE229" t="s">
        <v>855</v>
      </c>
      <c r="AG229" t="s">
        <v>982</v>
      </c>
      <c r="AH229">
        <v>10</v>
      </c>
      <c r="AI229">
        <v>2</v>
      </c>
      <c r="AJ229">
        <v>4</v>
      </c>
      <c r="AK229">
        <v>4</v>
      </c>
      <c r="AL229">
        <v>24</v>
      </c>
      <c r="AM229">
        <v>80</v>
      </c>
      <c r="AN229" t="s">
        <v>614</v>
      </c>
      <c r="AO229">
        <v>5</v>
      </c>
      <c r="AP229">
        <v>2</v>
      </c>
      <c r="AT229">
        <v>15</v>
      </c>
      <c r="AU229">
        <v>20</v>
      </c>
      <c r="AV229">
        <v>45</v>
      </c>
      <c r="AW229">
        <v>11</v>
      </c>
      <c r="AX229">
        <v>21</v>
      </c>
      <c r="AY229">
        <v>2</v>
      </c>
      <c r="AZ229">
        <v>4</v>
      </c>
      <c r="BA229">
        <v>2</v>
      </c>
      <c r="BB229">
        <v>21</v>
      </c>
      <c r="BC229">
        <v>46</v>
      </c>
      <c r="BD229" t="s">
        <v>614</v>
      </c>
      <c r="BE229">
        <v>5</v>
      </c>
      <c r="BF229">
        <v>1</v>
      </c>
      <c r="BJ229">
        <v>15</v>
      </c>
      <c r="BK229">
        <v>20</v>
      </c>
      <c r="BL229">
        <v>45</v>
      </c>
      <c r="BM229">
        <v>11</v>
      </c>
      <c r="BN229">
        <v>21</v>
      </c>
      <c r="CU229">
        <v>538730.61230000004</v>
      </c>
      <c r="CV229">
        <v>4875600.0295000002</v>
      </c>
      <c r="CW229">
        <v>44.032543230000002</v>
      </c>
      <c r="CX229">
        <v>-92.51666213</v>
      </c>
      <c r="CY229" s="319">
        <v>43093.739583333336</v>
      </c>
      <c r="CZ229" t="s">
        <v>615</v>
      </c>
      <c r="DA229" t="s">
        <v>664</v>
      </c>
      <c r="DB229" t="s">
        <v>665</v>
      </c>
      <c r="DC229" t="s">
        <v>666</v>
      </c>
      <c r="DD229" s="82" t="s">
        <v>985</v>
      </c>
    </row>
    <row r="230" spans="1:108" ht="16.5" customHeight="1" x14ac:dyDescent="0.25">
      <c r="A230">
        <v>140</v>
      </c>
      <c r="B230">
        <v>491779</v>
      </c>
      <c r="C230">
        <v>5</v>
      </c>
      <c r="D230">
        <v>174</v>
      </c>
      <c r="E230">
        <v>0.80700000000000005</v>
      </c>
      <c r="F230">
        <v>55</v>
      </c>
      <c r="G230" t="s">
        <v>643</v>
      </c>
      <c r="I230">
        <v>6</v>
      </c>
      <c r="J230">
        <v>21</v>
      </c>
      <c r="L230">
        <v>17038622</v>
      </c>
      <c r="M230">
        <v>172160158</v>
      </c>
      <c r="N230">
        <v>8</v>
      </c>
      <c r="O230">
        <v>4</v>
      </c>
      <c r="P230">
        <v>2017</v>
      </c>
      <c r="Q230" t="s">
        <v>638</v>
      </c>
      <c r="R230">
        <v>21</v>
      </c>
      <c r="T230">
        <v>5</v>
      </c>
      <c r="U230">
        <v>0</v>
      </c>
      <c r="V230">
        <v>2</v>
      </c>
      <c r="W230">
        <v>5</v>
      </c>
      <c r="X230">
        <v>10</v>
      </c>
      <c r="Y230">
        <v>2</v>
      </c>
      <c r="Z230">
        <v>4</v>
      </c>
      <c r="AA230">
        <v>1</v>
      </c>
      <c r="AC230">
        <v>1</v>
      </c>
      <c r="AD230">
        <v>98</v>
      </c>
      <c r="AE230" t="s">
        <v>855</v>
      </c>
      <c r="AG230" t="s">
        <v>982</v>
      </c>
      <c r="AH230">
        <v>10</v>
      </c>
      <c r="AI230">
        <v>2</v>
      </c>
      <c r="AJ230">
        <v>2</v>
      </c>
      <c r="AK230">
        <v>4</v>
      </c>
      <c r="AL230">
        <v>24</v>
      </c>
      <c r="AM230">
        <v>59</v>
      </c>
      <c r="AN230" t="s">
        <v>614</v>
      </c>
      <c r="AO230">
        <v>5</v>
      </c>
      <c r="AP230">
        <v>2</v>
      </c>
      <c r="AT230">
        <v>15</v>
      </c>
      <c r="AU230">
        <v>20</v>
      </c>
      <c r="AV230">
        <v>45</v>
      </c>
      <c r="AW230">
        <v>11</v>
      </c>
      <c r="AX230">
        <v>21</v>
      </c>
      <c r="AY230">
        <v>2</v>
      </c>
      <c r="AZ230">
        <v>2</v>
      </c>
      <c r="BA230">
        <v>4</v>
      </c>
      <c r="BB230">
        <v>21</v>
      </c>
      <c r="BC230">
        <v>20</v>
      </c>
      <c r="BD230" t="s">
        <v>614</v>
      </c>
      <c r="BE230">
        <v>5</v>
      </c>
      <c r="BF230">
        <v>1</v>
      </c>
      <c r="BJ230">
        <v>15</v>
      </c>
      <c r="BK230">
        <v>20</v>
      </c>
      <c r="BL230">
        <v>45</v>
      </c>
      <c r="BM230">
        <v>11</v>
      </c>
      <c r="BN230">
        <v>21</v>
      </c>
      <c r="CU230">
        <v>538735.89240000001</v>
      </c>
      <c r="CV230">
        <v>4875599.4244999997</v>
      </c>
      <c r="CW230">
        <v>44.032537509999997</v>
      </c>
      <c r="CX230">
        <v>-92.516596280000002</v>
      </c>
      <c r="CY230" s="319">
        <v>42951.897916666669</v>
      </c>
      <c r="CZ230" t="s">
        <v>615</v>
      </c>
      <c r="DA230" t="s">
        <v>664</v>
      </c>
      <c r="DB230" t="s">
        <v>665</v>
      </c>
      <c r="DC230" t="s">
        <v>666</v>
      </c>
      <c r="DD230" t="s">
        <v>986</v>
      </c>
    </row>
    <row r="231" spans="1:108" ht="16.5" customHeight="1" x14ac:dyDescent="0.25">
      <c r="A231">
        <v>140</v>
      </c>
      <c r="B231">
        <v>681968</v>
      </c>
      <c r="C231">
        <v>5</v>
      </c>
      <c r="D231">
        <v>174</v>
      </c>
      <c r="E231">
        <v>0.81100000000000005</v>
      </c>
      <c r="F231">
        <v>55</v>
      </c>
      <c r="G231" t="s">
        <v>643</v>
      </c>
      <c r="I231">
        <v>6</v>
      </c>
      <c r="J231">
        <v>21</v>
      </c>
      <c r="L231">
        <v>19005073</v>
      </c>
      <c r="M231">
        <v>190320096</v>
      </c>
      <c r="N231">
        <v>2</v>
      </c>
      <c r="O231">
        <v>1</v>
      </c>
      <c r="P231">
        <v>2019</v>
      </c>
      <c r="Q231" t="s">
        <v>638</v>
      </c>
      <c r="R231">
        <v>12</v>
      </c>
      <c r="S231" t="s">
        <v>673</v>
      </c>
      <c r="T231">
        <v>5</v>
      </c>
      <c r="U231">
        <v>0</v>
      </c>
      <c r="V231">
        <v>2</v>
      </c>
      <c r="W231">
        <v>5</v>
      </c>
      <c r="X231">
        <v>10</v>
      </c>
      <c r="Y231">
        <v>3</v>
      </c>
      <c r="Z231">
        <v>1</v>
      </c>
      <c r="AA231">
        <v>2</v>
      </c>
      <c r="AC231">
        <v>5</v>
      </c>
      <c r="AD231">
        <v>98</v>
      </c>
      <c r="AE231" t="s">
        <v>855</v>
      </c>
      <c r="AG231" t="s">
        <v>982</v>
      </c>
      <c r="AH231">
        <v>10</v>
      </c>
      <c r="AI231">
        <v>2</v>
      </c>
      <c r="AJ231">
        <v>14</v>
      </c>
      <c r="AK231">
        <v>2</v>
      </c>
      <c r="AL231">
        <v>21</v>
      </c>
      <c r="AM231">
        <v>59</v>
      </c>
      <c r="AN231" t="s">
        <v>614</v>
      </c>
      <c r="AO231">
        <v>5</v>
      </c>
      <c r="AP231">
        <v>1</v>
      </c>
      <c r="AT231">
        <v>14</v>
      </c>
      <c r="AU231">
        <v>20</v>
      </c>
      <c r="AV231">
        <v>45</v>
      </c>
      <c r="AW231">
        <v>11</v>
      </c>
      <c r="AX231">
        <v>21</v>
      </c>
      <c r="AY231">
        <v>2</v>
      </c>
      <c r="AZ231">
        <v>4</v>
      </c>
      <c r="BA231">
        <v>3</v>
      </c>
      <c r="BB231">
        <v>26</v>
      </c>
      <c r="BC231">
        <v>31</v>
      </c>
      <c r="BD231" t="s">
        <v>614</v>
      </c>
      <c r="BE231">
        <v>5</v>
      </c>
      <c r="BF231">
        <v>70</v>
      </c>
      <c r="BJ231">
        <v>12</v>
      </c>
      <c r="BK231">
        <v>20</v>
      </c>
      <c r="BL231">
        <v>30</v>
      </c>
      <c r="BM231">
        <v>11</v>
      </c>
      <c r="BN231">
        <v>24</v>
      </c>
      <c r="CU231">
        <v>538741.7818</v>
      </c>
      <c r="CV231">
        <v>4875598.9716999996</v>
      </c>
      <c r="CW231">
        <v>44.032533119999997</v>
      </c>
      <c r="CX231">
        <v>-92.516522820000006</v>
      </c>
      <c r="CY231" s="319">
        <v>43497.510416666664</v>
      </c>
      <c r="CZ231" t="s">
        <v>615</v>
      </c>
      <c r="DA231" t="s">
        <v>664</v>
      </c>
      <c r="DB231" t="s">
        <v>665</v>
      </c>
      <c r="DC231" t="s">
        <v>666</v>
      </c>
      <c r="DD231" s="82" t="s">
        <v>987</v>
      </c>
    </row>
    <row r="232" spans="1:108" ht="16.5" customHeight="1" x14ac:dyDescent="0.25">
      <c r="A232">
        <v>140</v>
      </c>
      <c r="B232">
        <v>628247</v>
      </c>
      <c r="C232">
        <v>5</v>
      </c>
      <c r="D232">
        <v>174</v>
      </c>
      <c r="E232">
        <v>0.81100000000000005</v>
      </c>
      <c r="F232">
        <v>55</v>
      </c>
      <c r="G232" t="s">
        <v>643</v>
      </c>
      <c r="I232">
        <v>6</v>
      </c>
      <c r="J232">
        <v>21</v>
      </c>
      <c r="L232">
        <v>18038833</v>
      </c>
      <c r="M232">
        <v>182280135</v>
      </c>
      <c r="N232">
        <v>8</v>
      </c>
      <c r="O232">
        <v>16</v>
      </c>
      <c r="P232">
        <v>2018</v>
      </c>
      <c r="Q232" t="s">
        <v>619</v>
      </c>
      <c r="R232">
        <v>17</v>
      </c>
      <c r="S232" t="s">
        <v>673</v>
      </c>
      <c r="T232">
        <v>5</v>
      </c>
      <c r="U232">
        <v>0</v>
      </c>
      <c r="V232">
        <v>2</v>
      </c>
      <c r="W232">
        <v>12</v>
      </c>
      <c r="X232">
        <v>10</v>
      </c>
      <c r="Y232">
        <v>3</v>
      </c>
      <c r="Z232">
        <v>1</v>
      </c>
      <c r="AA232">
        <v>3</v>
      </c>
      <c r="AC232">
        <v>2</v>
      </c>
      <c r="AD232">
        <v>98</v>
      </c>
      <c r="AE232" t="s">
        <v>855</v>
      </c>
      <c r="AG232" t="s">
        <v>982</v>
      </c>
      <c r="AH232">
        <v>7</v>
      </c>
      <c r="AI232">
        <v>2</v>
      </c>
      <c r="AJ232">
        <v>5</v>
      </c>
      <c r="AK232">
        <v>2</v>
      </c>
      <c r="AL232">
        <v>21</v>
      </c>
      <c r="AM232">
        <v>27</v>
      </c>
      <c r="AN232" t="s">
        <v>620</v>
      </c>
      <c r="AO232">
        <v>5</v>
      </c>
      <c r="AP232">
        <v>4</v>
      </c>
      <c r="AT232">
        <v>15</v>
      </c>
      <c r="AU232">
        <v>20</v>
      </c>
      <c r="AV232">
        <v>45</v>
      </c>
      <c r="AW232">
        <v>11</v>
      </c>
      <c r="AX232">
        <v>21</v>
      </c>
      <c r="AY232">
        <v>2</v>
      </c>
      <c r="AZ232">
        <v>2</v>
      </c>
      <c r="BA232">
        <v>2</v>
      </c>
      <c r="BB232">
        <v>21</v>
      </c>
      <c r="BC232">
        <v>71</v>
      </c>
      <c r="BD232" t="s">
        <v>620</v>
      </c>
      <c r="BE232">
        <v>5</v>
      </c>
      <c r="BF232">
        <v>1</v>
      </c>
      <c r="BJ232">
        <v>15</v>
      </c>
      <c r="BK232">
        <v>20</v>
      </c>
      <c r="BL232">
        <v>45</v>
      </c>
      <c r="BM232">
        <v>11</v>
      </c>
      <c r="BN232">
        <v>21</v>
      </c>
      <c r="CU232">
        <v>538742.03139999998</v>
      </c>
      <c r="CV232">
        <v>4875598.9524999997</v>
      </c>
      <c r="CW232">
        <v>44.032532940000003</v>
      </c>
      <c r="CX232">
        <v>-92.516519700000003</v>
      </c>
      <c r="CY232" s="319">
        <v>43328.71875</v>
      </c>
      <c r="CZ232" t="s">
        <v>615</v>
      </c>
      <c r="DA232" t="s">
        <v>664</v>
      </c>
      <c r="DB232" t="s">
        <v>665</v>
      </c>
      <c r="DC232" t="s">
        <v>666</v>
      </c>
      <c r="DD232" t="s">
        <v>988</v>
      </c>
    </row>
    <row r="233" spans="1:108" ht="16.5" customHeight="1" x14ac:dyDescent="0.25">
      <c r="A233">
        <v>50</v>
      </c>
      <c r="B233">
        <v>634526</v>
      </c>
      <c r="C233">
        <v>2</v>
      </c>
      <c r="D233">
        <v>14</v>
      </c>
      <c r="E233">
        <v>208.274</v>
      </c>
      <c r="F233">
        <v>55</v>
      </c>
      <c r="H233" t="s">
        <v>623</v>
      </c>
      <c r="I233">
        <v>6</v>
      </c>
      <c r="J233">
        <v>21</v>
      </c>
      <c r="L233" t="s">
        <v>989</v>
      </c>
      <c r="M233">
        <v>182560075</v>
      </c>
      <c r="N233">
        <v>9</v>
      </c>
      <c r="O233">
        <v>13</v>
      </c>
      <c r="P233">
        <v>2018</v>
      </c>
      <c r="Q233" t="s">
        <v>619</v>
      </c>
      <c r="R233">
        <v>8</v>
      </c>
      <c r="S233" t="s">
        <v>646</v>
      </c>
      <c r="T233">
        <v>5</v>
      </c>
      <c r="U233">
        <v>0</v>
      </c>
      <c r="V233">
        <v>2</v>
      </c>
      <c r="W233">
        <v>5</v>
      </c>
      <c r="X233">
        <v>10</v>
      </c>
      <c r="Y233">
        <v>4</v>
      </c>
      <c r="Z233">
        <v>1</v>
      </c>
      <c r="AA233">
        <v>1</v>
      </c>
      <c r="AC233">
        <v>1</v>
      </c>
      <c r="AD233">
        <v>98</v>
      </c>
      <c r="AE233" t="s">
        <v>990</v>
      </c>
      <c r="AG233" t="s">
        <v>991</v>
      </c>
      <c r="AH233">
        <v>10</v>
      </c>
      <c r="AI233">
        <v>2</v>
      </c>
      <c r="AJ233">
        <v>5</v>
      </c>
      <c r="AK233">
        <v>2</v>
      </c>
      <c r="AL233">
        <v>21</v>
      </c>
      <c r="AM233">
        <v>39</v>
      </c>
      <c r="AN233" t="s">
        <v>614</v>
      </c>
      <c r="AO233">
        <v>5</v>
      </c>
      <c r="AP233">
        <v>2</v>
      </c>
      <c r="AT233">
        <v>12</v>
      </c>
      <c r="AU233">
        <v>9</v>
      </c>
      <c r="AW233">
        <v>11</v>
      </c>
      <c r="AX233">
        <v>21</v>
      </c>
      <c r="AY233">
        <v>2</v>
      </c>
      <c r="AZ233">
        <v>2</v>
      </c>
      <c r="BA233">
        <v>3</v>
      </c>
      <c r="BB233">
        <v>21</v>
      </c>
      <c r="BC233">
        <v>32</v>
      </c>
      <c r="BD233" t="s">
        <v>620</v>
      </c>
      <c r="BE233">
        <v>5</v>
      </c>
      <c r="BF233">
        <v>1</v>
      </c>
      <c r="BJ233">
        <v>14</v>
      </c>
      <c r="BK233">
        <v>9</v>
      </c>
      <c r="BL233">
        <v>65</v>
      </c>
      <c r="BM233">
        <v>11</v>
      </c>
      <c r="BN233">
        <v>21</v>
      </c>
      <c r="CU233">
        <v>535835.0368</v>
      </c>
      <c r="CV233">
        <v>4875955.6250999998</v>
      </c>
      <c r="CW233">
        <v>44.03589187</v>
      </c>
      <c r="CX233">
        <v>-92.552772750000003</v>
      </c>
      <c r="CY233" s="319">
        <v>43356.349305555559</v>
      </c>
      <c r="CZ233" t="s">
        <v>615</v>
      </c>
      <c r="DA233" t="s">
        <v>664</v>
      </c>
      <c r="DB233" t="s">
        <v>992</v>
      </c>
      <c r="DC233" t="s">
        <v>758</v>
      </c>
      <c r="DD233" t="s">
        <v>993</v>
      </c>
    </row>
    <row r="234" spans="1:108" ht="16.5" customHeight="1" x14ac:dyDescent="0.25">
      <c r="A234">
        <v>50</v>
      </c>
      <c r="B234">
        <v>940410</v>
      </c>
      <c r="C234">
        <v>2</v>
      </c>
      <c r="D234">
        <v>14</v>
      </c>
      <c r="E234">
        <v>208.27600000000001</v>
      </c>
      <c r="F234">
        <v>55</v>
      </c>
      <c r="H234" t="s">
        <v>623</v>
      </c>
      <c r="I234">
        <v>6</v>
      </c>
      <c r="J234">
        <v>21</v>
      </c>
      <c r="L234">
        <v>21104017</v>
      </c>
      <c r="M234">
        <v>212540198</v>
      </c>
      <c r="N234">
        <v>9</v>
      </c>
      <c r="O234">
        <v>11</v>
      </c>
      <c r="P234">
        <v>2021</v>
      </c>
      <c r="Q234" t="s">
        <v>655</v>
      </c>
      <c r="R234">
        <v>8</v>
      </c>
      <c r="S234" t="s">
        <v>646</v>
      </c>
      <c r="T234">
        <v>3</v>
      </c>
      <c r="U234">
        <v>0</v>
      </c>
      <c r="V234">
        <v>2</v>
      </c>
      <c r="W234">
        <v>5</v>
      </c>
      <c r="X234">
        <v>10</v>
      </c>
      <c r="Y234">
        <v>4</v>
      </c>
      <c r="Z234">
        <v>1</v>
      </c>
      <c r="AA234">
        <v>2</v>
      </c>
      <c r="AC234">
        <v>1</v>
      </c>
      <c r="AD234">
        <v>98</v>
      </c>
      <c r="AE234" t="s">
        <v>990</v>
      </c>
      <c r="AF234" t="s">
        <v>855</v>
      </c>
      <c r="AG234" t="s">
        <v>991</v>
      </c>
      <c r="AH234">
        <v>9</v>
      </c>
      <c r="AI234">
        <v>2</v>
      </c>
      <c r="AJ234">
        <v>2</v>
      </c>
      <c r="AK234">
        <v>4</v>
      </c>
      <c r="AL234">
        <v>24</v>
      </c>
      <c r="AM234">
        <v>82</v>
      </c>
      <c r="AN234" t="s">
        <v>620</v>
      </c>
      <c r="AO234">
        <v>5</v>
      </c>
      <c r="AP234">
        <v>2</v>
      </c>
      <c r="AT234">
        <v>12</v>
      </c>
      <c r="AU234">
        <v>23</v>
      </c>
      <c r="AV234">
        <v>55</v>
      </c>
      <c r="AW234">
        <v>11</v>
      </c>
      <c r="AX234">
        <v>21</v>
      </c>
      <c r="AY234">
        <v>2</v>
      </c>
      <c r="AZ234">
        <v>4</v>
      </c>
      <c r="BA234">
        <v>3</v>
      </c>
      <c r="BB234">
        <v>21</v>
      </c>
      <c r="BC234">
        <v>22</v>
      </c>
      <c r="BD234" t="s">
        <v>620</v>
      </c>
      <c r="BE234">
        <v>5</v>
      </c>
      <c r="BF234">
        <v>75</v>
      </c>
      <c r="BJ234">
        <v>14</v>
      </c>
      <c r="BK234">
        <v>9</v>
      </c>
      <c r="BL234">
        <v>65</v>
      </c>
      <c r="BM234">
        <v>11</v>
      </c>
      <c r="BN234">
        <v>21</v>
      </c>
      <c r="CU234">
        <v>535837.13910000003</v>
      </c>
      <c r="CV234">
        <v>4875957.4960000003</v>
      </c>
      <c r="CW234">
        <v>44.03590861</v>
      </c>
      <c r="CX234">
        <v>-92.552746389999996</v>
      </c>
      <c r="CY234" s="319">
        <v>44450.353472222225</v>
      </c>
      <c r="CZ234" t="s">
        <v>615</v>
      </c>
      <c r="DA234" t="s">
        <v>664</v>
      </c>
      <c r="DB234" t="s">
        <v>757</v>
      </c>
      <c r="DC234" t="s">
        <v>758</v>
      </c>
      <c r="DD234" t="s">
        <v>994</v>
      </c>
    </row>
    <row r="235" spans="1:108" ht="16.5" customHeight="1" x14ac:dyDescent="0.25">
      <c r="A235">
        <v>50</v>
      </c>
      <c r="B235">
        <v>755985</v>
      </c>
      <c r="C235">
        <v>2</v>
      </c>
      <c r="D235">
        <v>14</v>
      </c>
      <c r="E235">
        <v>208.27699999999999</v>
      </c>
      <c r="F235">
        <v>55</v>
      </c>
      <c r="H235" t="s">
        <v>623</v>
      </c>
      <c r="I235">
        <v>6</v>
      </c>
      <c r="J235">
        <v>21</v>
      </c>
      <c r="L235">
        <v>19105072</v>
      </c>
      <c r="M235">
        <v>192940034</v>
      </c>
      <c r="N235">
        <v>10</v>
      </c>
      <c r="O235">
        <v>21</v>
      </c>
      <c r="P235">
        <v>2019</v>
      </c>
      <c r="Q235" t="s">
        <v>610</v>
      </c>
      <c r="R235">
        <v>7</v>
      </c>
      <c r="S235" t="s">
        <v>646</v>
      </c>
      <c r="T235">
        <v>4</v>
      </c>
      <c r="U235">
        <v>0</v>
      </c>
      <c r="V235">
        <v>2</v>
      </c>
      <c r="W235">
        <v>12</v>
      </c>
      <c r="X235">
        <v>10</v>
      </c>
      <c r="Y235">
        <v>10</v>
      </c>
      <c r="Z235">
        <v>1</v>
      </c>
      <c r="AA235">
        <v>3</v>
      </c>
      <c r="AC235">
        <v>2</v>
      </c>
      <c r="AD235">
        <v>98</v>
      </c>
      <c r="AE235" t="s">
        <v>990</v>
      </c>
      <c r="AG235" t="s">
        <v>991</v>
      </c>
      <c r="AH235">
        <v>7</v>
      </c>
      <c r="AI235">
        <v>2</v>
      </c>
      <c r="AJ235">
        <v>4</v>
      </c>
      <c r="AK235">
        <v>3</v>
      </c>
      <c r="AL235">
        <v>26</v>
      </c>
      <c r="AM235">
        <v>20</v>
      </c>
      <c r="AN235" t="s">
        <v>620</v>
      </c>
      <c r="AO235">
        <v>5</v>
      </c>
      <c r="AP235">
        <v>1</v>
      </c>
      <c r="AT235">
        <v>14</v>
      </c>
      <c r="AU235">
        <v>9</v>
      </c>
      <c r="AV235">
        <v>65</v>
      </c>
      <c r="AW235">
        <v>11</v>
      </c>
      <c r="AX235">
        <v>21</v>
      </c>
      <c r="AY235">
        <v>2</v>
      </c>
      <c r="AZ235">
        <v>3</v>
      </c>
      <c r="BA235">
        <v>3</v>
      </c>
      <c r="BB235">
        <v>26</v>
      </c>
      <c r="BC235">
        <v>33</v>
      </c>
      <c r="BD235" t="s">
        <v>614</v>
      </c>
      <c r="BE235">
        <v>5</v>
      </c>
      <c r="BF235">
        <v>90</v>
      </c>
      <c r="BJ235">
        <v>14</v>
      </c>
      <c r="BK235">
        <v>9</v>
      </c>
      <c r="BL235">
        <v>65</v>
      </c>
      <c r="BM235">
        <v>11</v>
      </c>
      <c r="BN235">
        <v>21</v>
      </c>
      <c r="CU235">
        <v>535838.32030000002</v>
      </c>
      <c r="CV235">
        <v>4875958.5471999999</v>
      </c>
      <c r="CW235">
        <v>44.035918019999997</v>
      </c>
      <c r="CX235">
        <v>-92.55273158</v>
      </c>
      <c r="CY235" s="319">
        <v>43759.317361111112</v>
      </c>
      <c r="CZ235" t="s">
        <v>615</v>
      </c>
      <c r="DA235" t="s">
        <v>664</v>
      </c>
      <c r="DB235" t="s">
        <v>757</v>
      </c>
      <c r="DC235" t="s">
        <v>758</v>
      </c>
      <c r="DD235" t="s">
        <v>995</v>
      </c>
    </row>
    <row r="236" spans="1:108" ht="16.5" customHeight="1" x14ac:dyDescent="0.25">
      <c r="A236">
        <v>50</v>
      </c>
      <c r="B236">
        <v>806195</v>
      </c>
      <c r="C236">
        <v>2</v>
      </c>
      <c r="D236">
        <v>14</v>
      </c>
      <c r="E236">
        <v>208.28899999999999</v>
      </c>
      <c r="F236">
        <v>55</v>
      </c>
      <c r="H236" t="s">
        <v>623</v>
      </c>
      <c r="I236">
        <v>6</v>
      </c>
      <c r="J236">
        <v>21</v>
      </c>
      <c r="L236">
        <v>20101585</v>
      </c>
      <c r="M236">
        <v>200940147</v>
      </c>
      <c r="N236">
        <v>4</v>
      </c>
      <c r="O236">
        <v>3</v>
      </c>
      <c r="P236">
        <v>2020</v>
      </c>
      <c r="Q236" t="s">
        <v>638</v>
      </c>
      <c r="R236">
        <v>16</v>
      </c>
      <c r="S236" t="s">
        <v>646</v>
      </c>
      <c r="T236">
        <v>5</v>
      </c>
      <c r="U236">
        <v>0</v>
      </c>
      <c r="V236">
        <v>1</v>
      </c>
      <c r="X236">
        <v>62</v>
      </c>
      <c r="Y236">
        <v>10</v>
      </c>
      <c r="Z236">
        <v>1</v>
      </c>
      <c r="AA236">
        <v>2</v>
      </c>
      <c r="AC236">
        <v>3</v>
      </c>
      <c r="AD236">
        <v>98</v>
      </c>
      <c r="AE236" t="s">
        <v>990</v>
      </c>
      <c r="AG236" t="s">
        <v>996</v>
      </c>
      <c r="AH236">
        <v>3</v>
      </c>
      <c r="AI236">
        <v>2</v>
      </c>
      <c r="AJ236">
        <v>4</v>
      </c>
      <c r="AK236">
        <v>3</v>
      </c>
      <c r="AL236">
        <v>23</v>
      </c>
      <c r="AM236">
        <v>23</v>
      </c>
      <c r="AN236">
        <v>99</v>
      </c>
      <c r="AO236">
        <v>5</v>
      </c>
      <c r="AP236">
        <v>90</v>
      </c>
      <c r="AT236">
        <v>14</v>
      </c>
      <c r="AU236">
        <v>9</v>
      </c>
      <c r="AV236">
        <v>65</v>
      </c>
      <c r="AW236">
        <v>11</v>
      </c>
      <c r="AX236">
        <v>21</v>
      </c>
      <c r="CU236">
        <v>535851.91630000004</v>
      </c>
      <c r="CV236">
        <v>4876002.2757999999</v>
      </c>
      <c r="CW236">
        <v>44.036311050000002</v>
      </c>
      <c r="CX236">
        <v>-92.552558939999997</v>
      </c>
      <c r="CY236" s="319">
        <v>43924.666666666664</v>
      </c>
      <c r="CZ236" t="s">
        <v>615</v>
      </c>
      <c r="DA236" t="s">
        <v>664</v>
      </c>
      <c r="DB236" t="s">
        <v>757</v>
      </c>
      <c r="DC236" t="s">
        <v>758</v>
      </c>
      <c r="DD236" t="s">
        <v>997</v>
      </c>
    </row>
    <row r="237" spans="1:108" ht="16.5" customHeight="1" x14ac:dyDescent="0.25">
      <c r="A237">
        <v>50</v>
      </c>
      <c r="B237">
        <v>631271</v>
      </c>
      <c r="C237">
        <v>2</v>
      </c>
      <c r="D237">
        <v>14</v>
      </c>
      <c r="E237">
        <v>208.298</v>
      </c>
      <c r="F237">
        <v>55</v>
      </c>
      <c r="H237" t="s">
        <v>623</v>
      </c>
      <c r="I237">
        <v>6</v>
      </c>
      <c r="J237">
        <v>21</v>
      </c>
      <c r="L237">
        <v>18103898</v>
      </c>
      <c r="M237">
        <v>182210286</v>
      </c>
      <c r="N237">
        <v>8</v>
      </c>
      <c r="O237">
        <v>9</v>
      </c>
      <c r="P237">
        <v>2018</v>
      </c>
      <c r="Q237" t="s">
        <v>619</v>
      </c>
      <c r="R237">
        <v>7</v>
      </c>
      <c r="S237" t="s">
        <v>646</v>
      </c>
      <c r="T237">
        <v>3</v>
      </c>
      <c r="U237">
        <v>0</v>
      </c>
      <c r="V237">
        <v>4</v>
      </c>
      <c r="W237">
        <v>12</v>
      </c>
      <c r="X237">
        <v>10</v>
      </c>
      <c r="Y237">
        <v>10</v>
      </c>
      <c r="Z237">
        <v>1</v>
      </c>
      <c r="AA237">
        <v>1</v>
      </c>
      <c r="AC237">
        <v>1</v>
      </c>
      <c r="AD237">
        <v>98</v>
      </c>
      <c r="AE237" t="s">
        <v>990</v>
      </c>
      <c r="AG237" t="s">
        <v>991</v>
      </c>
      <c r="AH237">
        <v>7</v>
      </c>
      <c r="AI237">
        <v>2</v>
      </c>
      <c r="AJ237">
        <v>4</v>
      </c>
      <c r="AK237">
        <v>3</v>
      </c>
      <c r="AL237">
        <v>21</v>
      </c>
      <c r="AM237">
        <v>37</v>
      </c>
      <c r="AN237" t="s">
        <v>620</v>
      </c>
      <c r="AO237">
        <v>5</v>
      </c>
      <c r="AP237">
        <v>1</v>
      </c>
      <c r="AT237">
        <v>14</v>
      </c>
      <c r="AU237">
        <v>23</v>
      </c>
      <c r="AV237">
        <v>65</v>
      </c>
      <c r="AW237">
        <v>11</v>
      </c>
      <c r="AX237">
        <v>21</v>
      </c>
      <c r="AY237">
        <v>2</v>
      </c>
      <c r="AZ237">
        <v>3</v>
      </c>
      <c r="BA237">
        <v>3</v>
      </c>
      <c r="BB237">
        <v>21</v>
      </c>
      <c r="BC237">
        <v>50</v>
      </c>
      <c r="BD237" t="s">
        <v>614</v>
      </c>
      <c r="BE237">
        <v>5</v>
      </c>
      <c r="BF237">
        <v>1</v>
      </c>
      <c r="BJ237">
        <v>14</v>
      </c>
      <c r="BK237">
        <v>23</v>
      </c>
      <c r="BL237">
        <v>65</v>
      </c>
      <c r="BM237">
        <v>11</v>
      </c>
      <c r="BN237">
        <v>21</v>
      </c>
      <c r="BO237">
        <v>2</v>
      </c>
      <c r="BP237">
        <v>3</v>
      </c>
      <c r="BQ237">
        <v>3</v>
      </c>
      <c r="BR237">
        <v>21</v>
      </c>
      <c r="BS237">
        <v>28</v>
      </c>
      <c r="BT237" t="s">
        <v>614</v>
      </c>
      <c r="BU237">
        <v>5</v>
      </c>
      <c r="BV237">
        <v>1</v>
      </c>
      <c r="BZ237">
        <v>14</v>
      </c>
      <c r="CA237">
        <v>23</v>
      </c>
      <c r="CB237">
        <v>65</v>
      </c>
      <c r="CC237">
        <v>11</v>
      </c>
      <c r="CD237">
        <v>21</v>
      </c>
      <c r="CE237">
        <v>2</v>
      </c>
      <c r="CF237">
        <v>2</v>
      </c>
      <c r="CG237">
        <v>3</v>
      </c>
      <c r="CH237">
        <v>21</v>
      </c>
      <c r="CI237">
        <v>21</v>
      </c>
      <c r="CJ237" t="s">
        <v>614</v>
      </c>
      <c r="CK237">
        <v>5</v>
      </c>
      <c r="CL237">
        <v>1</v>
      </c>
      <c r="CP237">
        <v>14</v>
      </c>
      <c r="CQ237">
        <v>23</v>
      </c>
      <c r="CR237">
        <v>65</v>
      </c>
      <c r="CS237">
        <v>11</v>
      </c>
      <c r="CT237">
        <v>21</v>
      </c>
      <c r="CU237">
        <v>535864.1298</v>
      </c>
      <c r="CV237">
        <v>4875980.8139000004</v>
      </c>
      <c r="CW237">
        <v>44.036117230000002</v>
      </c>
      <c r="CX237">
        <v>-92.552407970000004</v>
      </c>
      <c r="CY237" s="319">
        <v>43321.302777777775</v>
      </c>
      <c r="CZ237" t="s">
        <v>615</v>
      </c>
      <c r="DA237" t="s">
        <v>664</v>
      </c>
      <c r="DB237" t="s">
        <v>757</v>
      </c>
      <c r="DC237" t="s">
        <v>758</v>
      </c>
      <c r="DD237" t="s">
        <v>998</v>
      </c>
    </row>
    <row r="238" spans="1:108" ht="16.5" customHeight="1" x14ac:dyDescent="0.25">
      <c r="A238">
        <v>50</v>
      </c>
      <c r="B238">
        <v>944517</v>
      </c>
      <c r="C238">
        <v>2</v>
      </c>
      <c r="D238">
        <v>14</v>
      </c>
      <c r="E238">
        <v>208.32499999999999</v>
      </c>
      <c r="F238">
        <v>55</v>
      </c>
      <c r="H238" t="s">
        <v>623</v>
      </c>
      <c r="I238">
        <v>6</v>
      </c>
      <c r="J238">
        <v>21</v>
      </c>
      <c r="L238">
        <v>21104318</v>
      </c>
      <c r="M238">
        <v>212740197</v>
      </c>
      <c r="N238">
        <v>10</v>
      </c>
      <c r="O238">
        <v>1</v>
      </c>
      <c r="P238">
        <v>2021</v>
      </c>
      <c r="Q238" t="s">
        <v>638</v>
      </c>
      <c r="R238">
        <v>14</v>
      </c>
      <c r="S238" t="s">
        <v>646</v>
      </c>
      <c r="T238">
        <v>4</v>
      </c>
      <c r="U238">
        <v>0</v>
      </c>
      <c r="V238">
        <v>3</v>
      </c>
      <c r="W238">
        <v>12</v>
      </c>
      <c r="X238">
        <v>10</v>
      </c>
      <c r="Y238">
        <v>3</v>
      </c>
      <c r="Z238">
        <v>1</v>
      </c>
      <c r="AA238">
        <v>1</v>
      </c>
      <c r="AC238">
        <v>1</v>
      </c>
      <c r="AD238">
        <v>98</v>
      </c>
      <c r="AE238" t="s">
        <v>990</v>
      </c>
      <c r="AG238" t="s">
        <v>991</v>
      </c>
      <c r="AH238">
        <v>7</v>
      </c>
      <c r="AI238">
        <v>2</v>
      </c>
      <c r="AJ238">
        <v>2</v>
      </c>
      <c r="AK238">
        <v>3</v>
      </c>
      <c r="AL238">
        <v>90</v>
      </c>
      <c r="AM238">
        <v>34</v>
      </c>
      <c r="AN238" t="s">
        <v>614</v>
      </c>
      <c r="AO238">
        <v>5</v>
      </c>
      <c r="AP238">
        <v>10</v>
      </c>
      <c r="AT238">
        <v>14</v>
      </c>
      <c r="AU238">
        <v>23</v>
      </c>
      <c r="AV238">
        <v>65</v>
      </c>
      <c r="AW238">
        <v>11</v>
      </c>
      <c r="AX238">
        <v>21</v>
      </c>
      <c r="AY238">
        <v>2</v>
      </c>
      <c r="AZ238">
        <v>2</v>
      </c>
      <c r="BA238">
        <v>3</v>
      </c>
      <c r="BB238">
        <v>21</v>
      </c>
      <c r="BC238">
        <v>18</v>
      </c>
      <c r="BD238" t="s">
        <v>614</v>
      </c>
      <c r="BE238">
        <v>5</v>
      </c>
      <c r="BF238">
        <v>4</v>
      </c>
      <c r="BJ238">
        <v>14</v>
      </c>
      <c r="BK238">
        <v>23</v>
      </c>
      <c r="BL238">
        <v>65</v>
      </c>
      <c r="BM238">
        <v>11</v>
      </c>
      <c r="BN238">
        <v>21</v>
      </c>
      <c r="BO238">
        <v>2</v>
      </c>
      <c r="BP238">
        <v>4</v>
      </c>
      <c r="BQ238">
        <v>3</v>
      </c>
      <c r="BR238">
        <v>27</v>
      </c>
      <c r="BS238">
        <v>74</v>
      </c>
      <c r="BT238" t="s">
        <v>620</v>
      </c>
      <c r="BU238">
        <v>5</v>
      </c>
      <c r="BV238">
        <v>1</v>
      </c>
      <c r="BZ238">
        <v>14</v>
      </c>
      <c r="CA238">
        <v>23</v>
      </c>
      <c r="CB238">
        <v>65</v>
      </c>
      <c r="CC238">
        <v>11</v>
      </c>
      <c r="CD238">
        <v>21</v>
      </c>
      <c r="CU238">
        <v>535897.52910000004</v>
      </c>
      <c r="CV238">
        <v>4876008.4544000002</v>
      </c>
      <c r="CW238">
        <v>44.036364450000001</v>
      </c>
      <c r="CX238">
        <v>-92.551989270000007</v>
      </c>
      <c r="CY238" s="319">
        <v>44470.609027777777</v>
      </c>
      <c r="CZ238" t="s">
        <v>615</v>
      </c>
      <c r="DA238" t="s">
        <v>664</v>
      </c>
      <c r="DB238" t="s">
        <v>757</v>
      </c>
      <c r="DC238" t="s">
        <v>758</v>
      </c>
      <c r="DD238" s="82" t="s">
        <v>999</v>
      </c>
    </row>
    <row r="239" spans="1:108" ht="16.5" customHeight="1" x14ac:dyDescent="0.25">
      <c r="A239">
        <v>50</v>
      </c>
      <c r="B239">
        <v>976041</v>
      </c>
      <c r="C239">
        <v>2</v>
      </c>
      <c r="D239">
        <v>14</v>
      </c>
      <c r="E239">
        <v>208.941</v>
      </c>
      <c r="F239">
        <v>55</v>
      </c>
      <c r="H239">
        <v>663760</v>
      </c>
      <c r="J239">
        <v>21</v>
      </c>
      <c r="L239">
        <v>21105205</v>
      </c>
      <c r="M239">
        <v>213300107</v>
      </c>
      <c r="N239">
        <v>11</v>
      </c>
      <c r="O239">
        <v>26</v>
      </c>
      <c r="P239">
        <v>2021</v>
      </c>
      <c r="Q239" t="s">
        <v>638</v>
      </c>
      <c r="R239">
        <v>16</v>
      </c>
      <c r="S239" t="s">
        <v>646</v>
      </c>
      <c r="T239">
        <v>5</v>
      </c>
      <c r="U239">
        <v>0</v>
      </c>
      <c r="V239">
        <v>2</v>
      </c>
      <c r="W239">
        <v>5</v>
      </c>
      <c r="X239">
        <v>10</v>
      </c>
      <c r="Y239">
        <v>10</v>
      </c>
      <c r="Z239">
        <v>6</v>
      </c>
      <c r="AA239">
        <v>1</v>
      </c>
      <c r="AC239">
        <v>1</v>
      </c>
      <c r="AD239">
        <v>98</v>
      </c>
      <c r="AE239" t="s">
        <v>990</v>
      </c>
      <c r="AG239" t="s">
        <v>996</v>
      </c>
      <c r="AH239">
        <v>10</v>
      </c>
      <c r="AI239">
        <v>2</v>
      </c>
      <c r="AJ239">
        <v>2</v>
      </c>
      <c r="AK239">
        <v>1</v>
      </c>
      <c r="AL239">
        <v>21</v>
      </c>
      <c r="AM239">
        <v>62</v>
      </c>
      <c r="AN239" t="s">
        <v>620</v>
      </c>
      <c r="AO239">
        <v>5</v>
      </c>
      <c r="AP239">
        <v>2</v>
      </c>
      <c r="AT239">
        <v>12</v>
      </c>
      <c r="AU239">
        <v>23</v>
      </c>
      <c r="AV239">
        <v>30</v>
      </c>
      <c r="AW239">
        <v>11</v>
      </c>
      <c r="AX239">
        <v>21</v>
      </c>
      <c r="AY239">
        <v>2</v>
      </c>
      <c r="AZ239">
        <v>3</v>
      </c>
      <c r="BA239">
        <v>3</v>
      </c>
      <c r="BB239">
        <v>21</v>
      </c>
      <c r="BC239">
        <v>30</v>
      </c>
      <c r="BD239" t="s">
        <v>620</v>
      </c>
      <c r="BE239">
        <v>5</v>
      </c>
      <c r="BF239">
        <v>1</v>
      </c>
      <c r="BJ239">
        <v>15</v>
      </c>
      <c r="BK239">
        <v>9</v>
      </c>
      <c r="BL239">
        <v>65</v>
      </c>
      <c r="BM239">
        <v>11</v>
      </c>
      <c r="BN239">
        <v>21</v>
      </c>
      <c r="CU239">
        <v>535843.71348743001</v>
      </c>
      <c r="CV239">
        <v>4876001.9558039103</v>
      </c>
      <c r="CW239">
        <v>44.036300670000003</v>
      </c>
      <c r="CX239">
        <v>-92.552653910000004</v>
      </c>
      <c r="CY239" s="319">
        <v>44526.68472222222</v>
      </c>
      <c r="CZ239" t="s">
        <v>615</v>
      </c>
      <c r="DA239" t="s">
        <v>664</v>
      </c>
      <c r="DB239" t="s">
        <v>757</v>
      </c>
      <c r="DC239" t="s">
        <v>758</v>
      </c>
      <c r="DD239" s="82" t="s">
        <v>1000</v>
      </c>
    </row>
    <row r="240" spans="1:108" ht="16.5" customHeight="1" x14ac:dyDescent="0.25">
      <c r="A240">
        <v>50</v>
      </c>
      <c r="B240">
        <v>730909</v>
      </c>
      <c r="C240">
        <v>8</v>
      </c>
      <c r="D240">
        <v>226</v>
      </c>
      <c r="E240">
        <v>4.1000000000000002E-2</v>
      </c>
      <c r="F240">
        <v>55</v>
      </c>
      <c r="H240" t="s">
        <v>623</v>
      </c>
      <c r="I240">
        <v>6</v>
      </c>
      <c r="J240">
        <v>21</v>
      </c>
      <c r="L240">
        <v>19103211</v>
      </c>
      <c r="M240">
        <v>191820232</v>
      </c>
      <c r="N240">
        <v>7</v>
      </c>
      <c r="O240">
        <v>1</v>
      </c>
      <c r="P240">
        <v>2019</v>
      </c>
      <c r="Q240" t="s">
        <v>610</v>
      </c>
      <c r="R240">
        <v>12</v>
      </c>
      <c r="S240">
        <v>98</v>
      </c>
      <c r="T240">
        <v>5</v>
      </c>
      <c r="U240">
        <v>0</v>
      </c>
      <c r="V240">
        <v>2</v>
      </c>
      <c r="W240">
        <v>12</v>
      </c>
      <c r="X240">
        <v>10</v>
      </c>
      <c r="Y240">
        <v>4</v>
      </c>
      <c r="Z240">
        <v>1</v>
      </c>
      <c r="AA240">
        <v>2</v>
      </c>
      <c r="AC240">
        <v>1</v>
      </c>
      <c r="AD240">
        <v>98</v>
      </c>
      <c r="AE240" t="s">
        <v>855</v>
      </c>
      <c r="AF240" t="s">
        <v>990</v>
      </c>
      <c r="AG240" t="s">
        <v>1001</v>
      </c>
      <c r="AH240">
        <v>7</v>
      </c>
      <c r="AI240">
        <v>2</v>
      </c>
      <c r="AJ240">
        <v>4</v>
      </c>
      <c r="AK240">
        <v>4</v>
      </c>
      <c r="AL240">
        <v>21</v>
      </c>
      <c r="AM240">
        <v>72</v>
      </c>
      <c r="AN240" t="s">
        <v>614</v>
      </c>
      <c r="AO240">
        <v>5</v>
      </c>
      <c r="AP240">
        <v>90</v>
      </c>
      <c r="AT240">
        <v>12</v>
      </c>
      <c r="AU240">
        <v>23</v>
      </c>
      <c r="AV240">
        <v>55</v>
      </c>
      <c r="AW240">
        <v>13</v>
      </c>
      <c r="AX240">
        <v>21</v>
      </c>
      <c r="AY240">
        <v>2</v>
      </c>
      <c r="AZ240">
        <v>2</v>
      </c>
      <c r="BA240">
        <v>4</v>
      </c>
      <c r="BB240">
        <v>34</v>
      </c>
      <c r="BC240">
        <v>24</v>
      </c>
      <c r="BD240" t="s">
        <v>620</v>
      </c>
      <c r="BE240">
        <v>5</v>
      </c>
      <c r="BF240">
        <v>1</v>
      </c>
      <c r="BJ240">
        <v>12</v>
      </c>
      <c r="BK240">
        <v>23</v>
      </c>
      <c r="BL240">
        <v>55</v>
      </c>
      <c r="BM240">
        <v>13</v>
      </c>
      <c r="BN240">
        <v>21</v>
      </c>
      <c r="CU240">
        <v>535884.80799999996</v>
      </c>
      <c r="CV240">
        <v>4875945.0625999998</v>
      </c>
      <c r="CW240">
        <v>44.035794340000002</v>
      </c>
      <c r="CX240">
        <v>-92.552152329999998</v>
      </c>
      <c r="CY240" s="319">
        <v>43647.53125</v>
      </c>
      <c r="CZ240" t="s">
        <v>615</v>
      </c>
      <c r="DA240" t="s">
        <v>664</v>
      </c>
      <c r="DB240" t="s">
        <v>757</v>
      </c>
      <c r="DC240" t="s">
        <v>758</v>
      </c>
      <c r="DD240" t="s">
        <v>1002</v>
      </c>
    </row>
    <row r="241" spans="1:108" ht="16.5" customHeight="1" x14ac:dyDescent="0.25">
      <c r="A241">
        <v>30</v>
      </c>
      <c r="B241">
        <v>526836</v>
      </c>
      <c r="C241">
        <v>2</v>
      </c>
      <c r="D241">
        <v>14</v>
      </c>
      <c r="E241">
        <v>207.88499999999999</v>
      </c>
      <c r="F241">
        <v>55</v>
      </c>
      <c r="H241" t="s">
        <v>608</v>
      </c>
      <c r="I241">
        <v>6</v>
      </c>
      <c r="J241">
        <v>21</v>
      </c>
      <c r="L241">
        <v>17105932</v>
      </c>
      <c r="M241">
        <v>173530259</v>
      </c>
      <c r="N241">
        <v>12</v>
      </c>
      <c r="O241">
        <v>19</v>
      </c>
      <c r="P241">
        <v>2017</v>
      </c>
      <c r="Q241" t="s">
        <v>625</v>
      </c>
      <c r="R241">
        <v>17</v>
      </c>
      <c r="S241" t="s">
        <v>639</v>
      </c>
      <c r="T241">
        <v>5</v>
      </c>
      <c r="U241">
        <v>0</v>
      </c>
      <c r="V241">
        <v>2</v>
      </c>
      <c r="W241">
        <v>12</v>
      </c>
      <c r="X241">
        <v>10</v>
      </c>
      <c r="Y241">
        <v>3</v>
      </c>
      <c r="Z241">
        <v>6</v>
      </c>
      <c r="AA241">
        <v>1</v>
      </c>
      <c r="AC241">
        <v>1</v>
      </c>
      <c r="AD241">
        <v>98</v>
      </c>
      <c r="AE241" t="s">
        <v>990</v>
      </c>
      <c r="AG241" t="s">
        <v>996</v>
      </c>
      <c r="AH241">
        <v>7</v>
      </c>
      <c r="AI241">
        <v>2</v>
      </c>
      <c r="AJ241">
        <v>4</v>
      </c>
      <c r="AK241">
        <v>4</v>
      </c>
      <c r="AL241">
        <v>21</v>
      </c>
      <c r="AM241">
        <v>33</v>
      </c>
      <c r="AN241" t="s">
        <v>620</v>
      </c>
      <c r="AO241">
        <v>5</v>
      </c>
      <c r="AP241">
        <v>1</v>
      </c>
      <c r="AT241">
        <v>14</v>
      </c>
      <c r="AU241">
        <v>23</v>
      </c>
      <c r="AV241">
        <v>65</v>
      </c>
      <c r="AW241">
        <v>11</v>
      </c>
      <c r="AX241">
        <v>21</v>
      </c>
      <c r="AY241">
        <v>2</v>
      </c>
      <c r="AZ241">
        <v>2</v>
      </c>
      <c r="BA241">
        <v>4</v>
      </c>
      <c r="BB241">
        <v>26</v>
      </c>
      <c r="BC241">
        <v>21</v>
      </c>
      <c r="BD241" t="s">
        <v>620</v>
      </c>
      <c r="BE241">
        <v>5</v>
      </c>
      <c r="BF241">
        <v>74</v>
      </c>
      <c r="BJ241">
        <v>14</v>
      </c>
      <c r="BK241">
        <v>23</v>
      </c>
      <c r="BL241">
        <v>65</v>
      </c>
      <c r="BM241">
        <v>11</v>
      </c>
      <c r="BN241">
        <v>21</v>
      </c>
      <c r="CU241">
        <v>535355.7868</v>
      </c>
      <c r="CV241">
        <v>4875581.25</v>
      </c>
      <c r="CW241">
        <v>44.032544559999998</v>
      </c>
      <c r="CX241">
        <v>-92.558778810000007</v>
      </c>
      <c r="CY241" s="319">
        <v>43088.731944444444</v>
      </c>
      <c r="CZ241" t="s">
        <v>615</v>
      </c>
      <c r="DA241" t="s">
        <v>664</v>
      </c>
      <c r="DB241" t="s">
        <v>757</v>
      </c>
      <c r="DC241" t="s">
        <v>758</v>
      </c>
      <c r="DD241" t="s">
        <v>1003</v>
      </c>
    </row>
    <row r="242" spans="1:108" ht="16.5" customHeight="1" x14ac:dyDescent="0.25">
      <c r="A242">
        <v>30</v>
      </c>
      <c r="B242">
        <v>893455</v>
      </c>
      <c r="C242">
        <v>2</v>
      </c>
      <c r="D242">
        <v>14</v>
      </c>
      <c r="E242">
        <v>207.90100000000001</v>
      </c>
      <c r="F242">
        <v>55</v>
      </c>
      <c r="H242" t="s">
        <v>608</v>
      </c>
      <c r="I242">
        <v>6</v>
      </c>
      <c r="J242">
        <v>21</v>
      </c>
      <c r="L242">
        <v>21101016</v>
      </c>
      <c r="M242">
        <v>210570152</v>
      </c>
      <c r="N242">
        <v>2</v>
      </c>
      <c r="O242">
        <v>26</v>
      </c>
      <c r="P242">
        <v>2021</v>
      </c>
      <c r="Q242" t="s">
        <v>638</v>
      </c>
      <c r="R242">
        <v>13</v>
      </c>
      <c r="S242" t="s">
        <v>639</v>
      </c>
      <c r="T242">
        <v>5</v>
      </c>
      <c r="U242">
        <v>0</v>
      </c>
      <c r="V242">
        <v>4</v>
      </c>
      <c r="W242">
        <v>5</v>
      </c>
      <c r="X242">
        <v>10</v>
      </c>
      <c r="Y242">
        <v>3</v>
      </c>
      <c r="Z242">
        <v>1</v>
      </c>
      <c r="AA242">
        <v>1</v>
      </c>
      <c r="AC242">
        <v>1</v>
      </c>
      <c r="AD242">
        <v>98</v>
      </c>
      <c r="AE242" t="s">
        <v>990</v>
      </c>
      <c r="AG242" t="s">
        <v>996</v>
      </c>
      <c r="AH242">
        <v>10</v>
      </c>
      <c r="AI242">
        <v>2</v>
      </c>
      <c r="AJ242">
        <v>4</v>
      </c>
      <c r="AK242">
        <v>2</v>
      </c>
      <c r="AL242">
        <v>21</v>
      </c>
      <c r="AM242">
        <v>56</v>
      </c>
      <c r="AN242" t="s">
        <v>614</v>
      </c>
      <c r="AO242">
        <v>5</v>
      </c>
      <c r="AP242">
        <v>2</v>
      </c>
      <c r="AT242">
        <v>12</v>
      </c>
      <c r="AU242">
        <v>23</v>
      </c>
      <c r="AV242">
        <v>55</v>
      </c>
      <c r="AW242">
        <v>11</v>
      </c>
      <c r="AX242">
        <v>21</v>
      </c>
      <c r="AY242">
        <v>2</v>
      </c>
      <c r="AZ242">
        <v>4</v>
      </c>
      <c r="BA242">
        <v>4</v>
      </c>
      <c r="BB242">
        <v>21</v>
      </c>
      <c r="BC242">
        <v>52</v>
      </c>
      <c r="BD242" t="s">
        <v>620</v>
      </c>
      <c r="BE242">
        <v>5</v>
      </c>
      <c r="BF242">
        <v>1</v>
      </c>
      <c r="BJ242">
        <v>14</v>
      </c>
      <c r="BK242">
        <v>9</v>
      </c>
      <c r="BL242">
        <v>65</v>
      </c>
      <c r="BM242">
        <v>11</v>
      </c>
      <c r="BN242">
        <v>21</v>
      </c>
      <c r="BO242">
        <v>2</v>
      </c>
      <c r="BP242">
        <v>2</v>
      </c>
      <c r="BQ242">
        <v>3</v>
      </c>
      <c r="BR242">
        <v>21</v>
      </c>
      <c r="BS242">
        <v>16</v>
      </c>
      <c r="BT242" t="s">
        <v>620</v>
      </c>
      <c r="BU242">
        <v>5</v>
      </c>
      <c r="BV242">
        <v>1</v>
      </c>
      <c r="BZ242">
        <v>14</v>
      </c>
      <c r="CA242">
        <v>9</v>
      </c>
      <c r="CB242">
        <v>65</v>
      </c>
      <c r="CC242">
        <v>11</v>
      </c>
      <c r="CD242">
        <v>21</v>
      </c>
      <c r="CE242">
        <v>2</v>
      </c>
      <c r="CF242">
        <v>5</v>
      </c>
      <c r="CG242">
        <v>3</v>
      </c>
      <c r="CH242">
        <v>21</v>
      </c>
      <c r="CI242">
        <v>70</v>
      </c>
      <c r="CJ242" t="s">
        <v>614</v>
      </c>
      <c r="CK242">
        <v>5</v>
      </c>
      <c r="CL242">
        <v>1</v>
      </c>
      <c r="CP242">
        <v>14</v>
      </c>
      <c r="CQ242">
        <v>9</v>
      </c>
      <c r="CR242">
        <v>65</v>
      </c>
      <c r="CS242">
        <v>11</v>
      </c>
      <c r="CT242">
        <v>21</v>
      </c>
      <c r="CU242">
        <v>535375.06559999997</v>
      </c>
      <c r="CV242">
        <v>4875597.5212000003</v>
      </c>
      <c r="CW242">
        <v>44.032690119999998</v>
      </c>
      <c r="CX242">
        <v>-92.558537130000005</v>
      </c>
      <c r="CY242" s="319">
        <v>44253.57916666667</v>
      </c>
      <c r="CZ242" t="s">
        <v>615</v>
      </c>
      <c r="DA242" t="s">
        <v>664</v>
      </c>
      <c r="DB242" t="s">
        <v>757</v>
      </c>
      <c r="DC242" t="s">
        <v>758</v>
      </c>
      <c r="DD242" t="s">
        <v>1004</v>
      </c>
    </row>
    <row r="243" spans="1:108" ht="16.5" customHeight="1" x14ac:dyDescent="0.25">
      <c r="A243">
        <v>30</v>
      </c>
      <c r="B243">
        <v>432365</v>
      </c>
      <c r="C243">
        <v>2</v>
      </c>
      <c r="D243">
        <v>14</v>
      </c>
      <c r="E243">
        <v>207.90100000000001</v>
      </c>
      <c r="F243">
        <v>55</v>
      </c>
      <c r="H243" t="s">
        <v>608</v>
      </c>
      <c r="I243">
        <v>6</v>
      </c>
      <c r="J243">
        <v>21</v>
      </c>
      <c r="L243">
        <v>17101469</v>
      </c>
      <c r="M243">
        <v>170830207</v>
      </c>
      <c r="N243">
        <v>3</v>
      </c>
      <c r="O243">
        <v>24</v>
      </c>
      <c r="P243">
        <v>2017</v>
      </c>
      <c r="Q243" t="s">
        <v>638</v>
      </c>
      <c r="R243">
        <v>14</v>
      </c>
      <c r="S243" t="s">
        <v>639</v>
      </c>
      <c r="T243">
        <v>5</v>
      </c>
      <c r="U243">
        <v>0</v>
      </c>
      <c r="V243">
        <v>2</v>
      </c>
      <c r="W243">
        <v>10</v>
      </c>
      <c r="X243">
        <v>10</v>
      </c>
      <c r="Y243">
        <v>3</v>
      </c>
      <c r="Z243">
        <v>1</v>
      </c>
      <c r="AA243">
        <v>1</v>
      </c>
      <c r="AC243">
        <v>1</v>
      </c>
      <c r="AD243">
        <v>98</v>
      </c>
      <c r="AE243" t="s">
        <v>990</v>
      </c>
      <c r="AG243" t="s">
        <v>996</v>
      </c>
      <c r="AH243">
        <v>5</v>
      </c>
      <c r="AI243">
        <v>2</v>
      </c>
      <c r="AJ243">
        <v>2</v>
      </c>
      <c r="AK243">
        <v>4</v>
      </c>
      <c r="AL243">
        <v>21</v>
      </c>
      <c r="AM243">
        <v>35</v>
      </c>
      <c r="AN243" t="s">
        <v>620</v>
      </c>
      <c r="AO243">
        <v>5</v>
      </c>
      <c r="AP243">
        <v>71</v>
      </c>
      <c r="AT243">
        <v>14</v>
      </c>
      <c r="AU243">
        <v>9</v>
      </c>
      <c r="AV243">
        <v>65</v>
      </c>
      <c r="AW243">
        <v>11</v>
      </c>
      <c r="AX243">
        <v>21</v>
      </c>
      <c r="AY243">
        <v>2</v>
      </c>
      <c r="AZ243">
        <v>2</v>
      </c>
      <c r="BA243">
        <v>4</v>
      </c>
      <c r="BB243">
        <v>21</v>
      </c>
      <c r="BC243">
        <v>26</v>
      </c>
      <c r="BD243" t="s">
        <v>620</v>
      </c>
      <c r="BE243">
        <v>5</v>
      </c>
      <c r="BF243">
        <v>1</v>
      </c>
      <c r="BJ243">
        <v>14</v>
      </c>
      <c r="BK243">
        <v>9</v>
      </c>
      <c r="BL243">
        <v>65</v>
      </c>
      <c r="BM243">
        <v>11</v>
      </c>
      <c r="BN243">
        <v>21</v>
      </c>
      <c r="CU243">
        <v>535375.83689999999</v>
      </c>
      <c r="CV243">
        <v>4875598.1722999997</v>
      </c>
      <c r="CW243">
        <v>44.032695949999997</v>
      </c>
      <c r="CX243">
        <v>-92.558527459999993</v>
      </c>
      <c r="CY243" s="319">
        <v>42818.597222222219</v>
      </c>
      <c r="CZ243" t="s">
        <v>615</v>
      </c>
      <c r="DA243" t="s">
        <v>664</v>
      </c>
      <c r="DB243" t="s">
        <v>757</v>
      </c>
      <c r="DC243" t="s">
        <v>758</v>
      </c>
      <c r="DD243" s="82" t="s">
        <v>1005</v>
      </c>
    </row>
    <row r="244" spans="1:108" ht="16.5" customHeight="1" x14ac:dyDescent="0.25">
      <c r="A244">
        <v>30</v>
      </c>
      <c r="B244">
        <v>817445</v>
      </c>
      <c r="C244">
        <v>2</v>
      </c>
      <c r="D244">
        <v>14</v>
      </c>
      <c r="E244">
        <v>207.90100000000001</v>
      </c>
      <c r="F244">
        <v>55</v>
      </c>
      <c r="H244" t="s">
        <v>608</v>
      </c>
      <c r="I244">
        <v>6</v>
      </c>
      <c r="J244">
        <v>21</v>
      </c>
      <c r="L244">
        <v>20102874</v>
      </c>
      <c r="M244">
        <v>201830103</v>
      </c>
      <c r="N244">
        <v>7</v>
      </c>
      <c r="O244">
        <v>1</v>
      </c>
      <c r="P244">
        <v>2020</v>
      </c>
      <c r="Q244" t="s">
        <v>645</v>
      </c>
      <c r="R244">
        <v>17</v>
      </c>
      <c r="S244" t="s">
        <v>673</v>
      </c>
      <c r="T244">
        <v>4</v>
      </c>
      <c r="U244">
        <v>0</v>
      </c>
      <c r="V244">
        <v>2</v>
      </c>
      <c r="W244">
        <v>5</v>
      </c>
      <c r="X244">
        <v>10</v>
      </c>
      <c r="Y244">
        <v>3</v>
      </c>
      <c r="Z244">
        <v>1</v>
      </c>
      <c r="AA244">
        <v>1</v>
      </c>
      <c r="AC244">
        <v>1</v>
      </c>
      <c r="AD244">
        <v>98</v>
      </c>
      <c r="AE244" t="s">
        <v>990</v>
      </c>
      <c r="AG244" t="s">
        <v>996</v>
      </c>
      <c r="AH244">
        <v>10</v>
      </c>
      <c r="AI244">
        <v>2</v>
      </c>
      <c r="AJ244">
        <v>2</v>
      </c>
      <c r="AK244">
        <v>2</v>
      </c>
      <c r="AL244">
        <v>21</v>
      </c>
      <c r="AM244">
        <v>20</v>
      </c>
      <c r="AN244" t="s">
        <v>614</v>
      </c>
      <c r="AO244">
        <v>5</v>
      </c>
      <c r="AP244">
        <v>2</v>
      </c>
      <c r="AT244">
        <v>14</v>
      </c>
      <c r="AU244">
        <v>23</v>
      </c>
      <c r="AV244">
        <v>55</v>
      </c>
      <c r="AW244">
        <v>11</v>
      </c>
      <c r="AX244">
        <v>21</v>
      </c>
      <c r="AY244">
        <v>2</v>
      </c>
      <c r="AZ244">
        <v>4</v>
      </c>
      <c r="BA244">
        <v>4</v>
      </c>
      <c r="BB244">
        <v>21</v>
      </c>
      <c r="BC244">
        <v>22</v>
      </c>
      <c r="BD244" t="s">
        <v>620</v>
      </c>
      <c r="BE244">
        <v>9</v>
      </c>
      <c r="BF244">
        <v>1</v>
      </c>
      <c r="BJ244">
        <v>14</v>
      </c>
      <c r="BK244">
        <v>9</v>
      </c>
      <c r="BL244">
        <v>65</v>
      </c>
      <c r="BM244">
        <v>11</v>
      </c>
      <c r="BN244">
        <v>21</v>
      </c>
      <c r="CU244">
        <v>535375.83689999999</v>
      </c>
      <c r="CV244">
        <v>4875598.1722999997</v>
      </c>
      <c r="CW244">
        <v>44.032695949999997</v>
      </c>
      <c r="CX244">
        <v>-92.558527459999993</v>
      </c>
      <c r="CY244" s="319">
        <v>44013.713194444441</v>
      </c>
      <c r="CZ244" t="s">
        <v>615</v>
      </c>
      <c r="DA244" t="s">
        <v>664</v>
      </c>
      <c r="DB244" t="s">
        <v>757</v>
      </c>
      <c r="DC244" t="s">
        <v>758</v>
      </c>
      <c r="DD244" t="s">
        <v>1006</v>
      </c>
    </row>
    <row r="245" spans="1:108" ht="16.5" customHeight="1" x14ac:dyDescent="0.25">
      <c r="A245">
        <v>30</v>
      </c>
      <c r="B245">
        <v>772718</v>
      </c>
      <c r="C245">
        <v>2</v>
      </c>
      <c r="D245">
        <v>14</v>
      </c>
      <c r="E245">
        <v>207.90299999999999</v>
      </c>
      <c r="F245">
        <v>55</v>
      </c>
      <c r="H245" t="s">
        <v>608</v>
      </c>
      <c r="I245">
        <v>6</v>
      </c>
      <c r="J245">
        <v>21</v>
      </c>
      <c r="L245">
        <v>19106143</v>
      </c>
      <c r="M245">
        <v>193520190</v>
      </c>
      <c r="N245">
        <v>12</v>
      </c>
      <c r="O245">
        <v>18</v>
      </c>
      <c r="P245">
        <v>2019</v>
      </c>
      <c r="Q245" t="s">
        <v>645</v>
      </c>
      <c r="R245">
        <v>16</v>
      </c>
      <c r="S245" t="s">
        <v>639</v>
      </c>
      <c r="T245">
        <v>5</v>
      </c>
      <c r="U245">
        <v>0</v>
      </c>
      <c r="V245">
        <v>2</v>
      </c>
      <c r="W245">
        <v>5</v>
      </c>
      <c r="X245">
        <v>10</v>
      </c>
      <c r="Y245">
        <v>10</v>
      </c>
      <c r="Z245">
        <v>3</v>
      </c>
      <c r="AA245">
        <v>1</v>
      </c>
      <c r="AC245">
        <v>1</v>
      </c>
      <c r="AD245">
        <v>98</v>
      </c>
      <c r="AE245" t="s">
        <v>990</v>
      </c>
      <c r="AG245" t="s">
        <v>996</v>
      </c>
      <c r="AH245">
        <v>10</v>
      </c>
      <c r="AI245">
        <v>2</v>
      </c>
      <c r="AJ245">
        <v>2</v>
      </c>
      <c r="AK245">
        <v>2</v>
      </c>
      <c r="AL245">
        <v>21</v>
      </c>
      <c r="AM245">
        <v>84</v>
      </c>
      <c r="AN245" t="s">
        <v>614</v>
      </c>
      <c r="AO245">
        <v>5</v>
      </c>
      <c r="AP245">
        <v>2</v>
      </c>
      <c r="AT245">
        <v>15</v>
      </c>
      <c r="AU245">
        <v>23</v>
      </c>
      <c r="AV245">
        <v>65</v>
      </c>
      <c r="AW245">
        <v>11</v>
      </c>
      <c r="AX245">
        <v>21</v>
      </c>
      <c r="AY245">
        <v>2</v>
      </c>
      <c r="AZ245">
        <v>2</v>
      </c>
      <c r="BA245">
        <v>4</v>
      </c>
      <c r="BB245">
        <v>21</v>
      </c>
      <c r="BC245">
        <v>31</v>
      </c>
      <c r="BD245" t="s">
        <v>620</v>
      </c>
      <c r="BE245">
        <v>5</v>
      </c>
      <c r="BF245">
        <v>1</v>
      </c>
      <c r="BJ245">
        <v>15</v>
      </c>
      <c r="BK245">
        <v>9</v>
      </c>
      <c r="BL245">
        <v>65</v>
      </c>
      <c r="BM245">
        <v>11</v>
      </c>
      <c r="BN245">
        <v>21</v>
      </c>
      <c r="CU245">
        <v>535377.53780000005</v>
      </c>
      <c r="CV245">
        <v>4875599.6078000003</v>
      </c>
      <c r="CW245">
        <v>44.032708790000001</v>
      </c>
      <c r="CX245">
        <v>-92.558506140000006</v>
      </c>
      <c r="CY245" s="319">
        <v>43817.699305555558</v>
      </c>
      <c r="CZ245" t="s">
        <v>615</v>
      </c>
      <c r="DA245" t="s">
        <v>664</v>
      </c>
      <c r="DB245" t="s">
        <v>757</v>
      </c>
      <c r="DC245" t="s">
        <v>758</v>
      </c>
      <c r="DD245" s="82" t="s">
        <v>1007</v>
      </c>
    </row>
    <row r="246" spans="1:108" ht="16.5" customHeight="1" x14ac:dyDescent="0.25">
      <c r="A246">
        <v>30</v>
      </c>
      <c r="B246">
        <v>768293</v>
      </c>
      <c r="C246">
        <v>2</v>
      </c>
      <c r="D246">
        <v>14</v>
      </c>
      <c r="E246">
        <v>207.90600000000001</v>
      </c>
      <c r="F246">
        <v>55</v>
      </c>
      <c r="H246" t="s">
        <v>608</v>
      </c>
      <c r="I246">
        <v>6</v>
      </c>
      <c r="J246">
        <v>21</v>
      </c>
      <c r="L246">
        <v>19105836</v>
      </c>
      <c r="M246">
        <v>193380247</v>
      </c>
      <c r="N246">
        <v>12</v>
      </c>
      <c r="O246">
        <v>4</v>
      </c>
      <c r="P246">
        <v>2019</v>
      </c>
      <c r="Q246" t="s">
        <v>645</v>
      </c>
      <c r="R246">
        <v>9</v>
      </c>
      <c r="S246" t="s">
        <v>639</v>
      </c>
      <c r="T246">
        <v>3</v>
      </c>
      <c r="U246">
        <v>0</v>
      </c>
      <c r="V246">
        <v>2</v>
      </c>
      <c r="W246">
        <v>5</v>
      </c>
      <c r="X246">
        <v>10</v>
      </c>
      <c r="Y246">
        <v>3</v>
      </c>
      <c r="Z246">
        <v>1</v>
      </c>
      <c r="AA246">
        <v>1</v>
      </c>
      <c r="AC246">
        <v>1</v>
      </c>
      <c r="AD246">
        <v>98</v>
      </c>
      <c r="AE246" t="s">
        <v>990</v>
      </c>
      <c r="AG246" t="s">
        <v>991</v>
      </c>
      <c r="AH246">
        <v>10</v>
      </c>
      <c r="AI246">
        <v>2</v>
      </c>
      <c r="AJ246">
        <v>4</v>
      </c>
      <c r="AK246">
        <v>4</v>
      </c>
      <c r="AL246">
        <v>26</v>
      </c>
      <c r="AM246">
        <v>23</v>
      </c>
      <c r="AN246" t="s">
        <v>620</v>
      </c>
      <c r="AO246">
        <v>5</v>
      </c>
      <c r="AP246">
        <v>1</v>
      </c>
      <c r="AT246">
        <v>14</v>
      </c>
      <c r="AU246">
        <v>9</v>
      </c>
      <c r="AV246">
        <v>65</v>
      </c>
      <c r="AW246">
        <v>11</v>
      </c>
      <c r="AX246">
        <v>21</v>
      </c>
      <c r="AY246">
        <v>2</v>
      </c>
      <c r="AZ246">
        <v>4</v>
      </c>
      <c r="BA246">
        <v>2</v>
      </c>
      <c r="BB246">
        <v>21</v>
      </c>
      <c r="BC246">
        <v>62</v>
      </c>
      <c r="BD246" t="s">
        <v>620</v>
      </c>
      <c r="BE246">
        <v>5</v>
      </c>
      <c r="BF246">
        <v>2</v>
      </c>
      <c r="BJ246">
        <v>14</v>
      </c>
      <c r="BK246">
        <v>23</v>
      </c>
      <c r="BL246">
        <v>55</v>
      </c>
      <c r="BM246">
        <v>11</v>
      </c>
      <c r="BN246">
        <v>21</v>
      </c>
      <c r="CU246">
        <v>535382.95319999999</v>
      </c>
      <c r="CV246">
        <v>4875573.0465000002</v>
      </c>
      <c r="CW246">
        <v>44.032469390000003</v>
      </c>
      <c r="CX246">
        <v>-92.558440340000004</v>
      </c>
      <c r="CY246" s="319">
        <v>43803.387499999997</v>
      </c>
      <c r="CZ246" t="s">
        <v>615</v>
      </c>
      <c r="DA246" t="s">
        <v>664</v>
      </c>
      <c r="DB246" t="s">
        <v>757</v>
      </c>
      <c r="DC246" t="s">
        <v>758</v>
      </c>
      <c r="DD246" t="s">
        <v>1008</v>
      </c>
    </row>
    <row r="247" spans="1:108" ht="16.5" customHeight="1" x14ac:dyDescent="0.25">
      <c r="A247">
        <v>30</v>
      </c>
      <c r="B247">
        <v>971187</v>
      </c>
      <c r="C247">
        <v>2</v>
      </c>
      <c r="D247">
        <v>14</v>
      </c>
      <c r="E247">
        <v>207.91</v>
      </c>
      <c r="F247">
        <v>55</v>
      </c>
      <c r="H247" t="s">
        <v>608</v>
      </c>
      <c r="I247">
        <v>6</v>
      </c>
      <c r="J247">
        <v>21</v>
      </c>
      <c r="L247">
        <v>21104829</v>
      </c>
      <c r="M247">
        <v>213070114</v>
      </c>
      <c r="N247">
        <v>11</v>
      </c>
      <c r="O247">
        <v>3</v>
      </c>
      <c r="P247">
        <v>2021</v>
      </c>
      <c r="Q247" t="s">
        <v>645</v>
      </c>
      <c r="R247">
        <v>16</v>
      </c>
      <c r="S247" t="s">
        <v>646</v>
      </c>
      <c r="T247">
        <v>5</v>
      </c>
      <c r="U247">
        <v>0</v>
      </c>
      <c r="V247">
        <v>2</v>
      </c>
      <c r="W247">
        <v>5</v>
      </c>
      <c r="X247">
        <v>10</v>
      </c>
      <c r="Y247">
        <v>3</v>
      </c>
      <c r="Z247">
        <v>1</v>
      </c>
      <c r="AA247">
        <v>1</v>
      </c>
      <c r="AC247">
        <v>1</v>
      </c>
      <c r="AD247">
        <v>98</v>
      </c>
      <c r="AE247" t="s">
        <v>990</v>
      </c>
      <c r="AF247" t="s">
        <v>612</v>
      </c>
      <c r="AG247" t="s">
        <v>996</v>
      </c>
      <c r="AH247">
        <v>10</v>
      </c>
      <c r="AI247">
        <v>2</v>
      </c>
      <c r="AJ247">
        <v>3</v>
      </c>
      <c r="AK247">
        <v>2</v>
      </c>
      <c r="AL247">
        <v>31</v>
      </c>
      <c r="AM247">
        <v>60</v>
      </c>
      <c r="AN247" t="s">
        <v>614</v>
      </c>
      <c r="AO247">
        <v>5</v>
      </c>
      <c r="AP247">
        <v>2</v>
      </c>
      <c r="AT247">
        <v>14</v>
      </c>
      <c r="AU247">
        <v>23</v>
      </c>
      <c r="AV247">
        <v>55</v>
      </c>
      <c r="AW247">
        <v>11</v>
      </c>
      <c r="AX247">
        <v>21</v>
      </c>
      <c r="AY247">
        <v>2</v>
      </c>
      <c r="AZ247">
        <v>2</v>
      </c>
      <c r="BA247">
        <v>2</v>
      </c>
      <c r="BB247">
        <v>21</v>
      </c>
      <c r="BC247">
        <v>23</v>
      </c>
      <c r="BD247" t="s">
        <v>614</v>
      </c>
      <c r="BE247">
        <v>5</v>
      </c>
      <c r="BF247">
        <v>99</v>
      </c>
      <c r="BJ247">
        <v>14</v>
      </c>
      <c r="BK247">
        <v>23</v>
      </c>
      <c r="BL247">
        <v>65</v>
      </c>
      <c r="BM247">
        <v>11</v>
      </c>
      <c r="BN247">
        <v>21</v>
      </c>
      <c r="CU247">
        <v>535386.24300000002</v>
      </c>
      <c r="CV247">
        <v>4875606.9550000001</v>
      </c>
      <c r="CW247">
        <v>44.032774519999997</v>
      </c>
      <c r="CX247">
        <v>-92.558397020000001</v>
      </c>
      <c r="CY247" s="319">
        <v>44503.70416666667</v>
      </c>
      <c r="CZ247" t="s">
        <v>615</v>
      </c>
      <c r="DA247" t="s">
        <v>664</v>
      </c>
      <c r="DB247" t="s">
        <v>757</v>
      </c>
      <c r="DC247" t="s">
        <v>758</v>
      </c>
      <c r="DD247" s="82" t="s">
        <v>1009</v>
      </c>
    </row>
    <row r="248" spans="1:108" ht="16.5" customHeight="1" x14ac:dyDescent="0.25">
      <c r="A248">
        <v>30</v>
      </c>
      <c r="B248">
        <v>513165</v>
      </c>
      <c r="C248">
        <v>2</v>
      </c>
      <c r="D248">
        <v>14</v>
      </c>
      <c r="E248">
        <v>207.91200000000001</v>
      </c>
      <c r="F248">
        <v>55</v>
      </c>
      <c r="H248" t="s">
        <v>608</v>
      </c>
      <c r="I248">
        <v>6</v>
      </c>
      <c r="J248">
        <v>21</v>
      </c>
      <c r="L248">
        <v>17104837</v>
      </c>
      <c r="M248">
        <v>173020166</v>
      </c>
      <c r="N248">
        <v>10</v>
      </c>
      <c r="O248">
        <v>29</v>
      </c>
      <c r="P248">
        <v>2017</v>
      </c>
      <c r="Q248" t="s">
        <v>652</v>
      </c>
      <c r="R248">
        <v>15</v>
      </c>
      <c r="S248" t="s">
        <v>639</v>
      </c>
      <c r="T248">
        <v>3</v>
      </c>
      <c r="U248">
        <v>0</v>
      </c>
      <c r="V248">
        <v>2</v>
      </c>
      <c r="W248">
        <v>5</v>
      </c>
      <c r="X248">
        <v>10</v>
      </c>
      <c r="Y248">
        <v>3</v>
      </c>
      <c r="Z248">
        <v>1</v>
      </c>
      <c r="AA248">
        <v>3</v>
      </c>
      <c r="AC248">
        <v>2</v>
      </c>
      <c r="AD248">
        <v>98</v>
      </c>
      <c r="AE248" t="s">
        <v>990</v>
      </c>
      <c r="AG248" t="s">
        <v>996</v>
      </c>
      <c r="AH248">
        <v>10</v>
      </c>
      <c r="AI248">
        <v>2</v>
      </c>
      <c r="AJ248">
        <v>4</v>
      </c>
      <c r="AK248">
        <v>2</v>
      </c>
      <c r="AL248">
        <v>21</v>
      </c>
      <c r="AM248">
        <v>78</v>
      </c>
      <c r="AN248" t="s">
        <v>614</v>
      </c>
      <c r="AO248">
        <v>5</v>
      </c>
      <c r="AP248">
        <v>2</v>
      </c>
      <c r="AT248">
        <v>12</v>
      </c>
      <c r="AU248">
        <v>23</v>
      </c>
      <c r="AV248">
        <v>55</v>
      </c>
      <c r="AW248">
        <v>11</v>
      </c>
      <c r="AX248">
        <v>21</v>
      </c>
      <c r="AY248">
        <v>2</v>
      </c>
      <c r="AZ248">
        <v>2</v>
      </c>
      <c r="BA248">
        <v>4</v>
      </c>
      <c r="BB248">
        <v>21</v>
      </c>
      <c r="BC248">
        <v>19</v>
      </c>
      <c r="BD248" t="s">
        <v>620</v>
      </c>
      <c r="BE248">
        <v>5</v>
      </c>
      <c r="BF248">
        <v>1</v>
      </c>
      <c r="BJ248">
        <v>14</v>
      </c>
      <c r="BK248">
        <v>9</v>
      </c>
      <c r="BL248">
        <v>65</v>
      </c>
      <c r="BM248">
        <v>11</v>
      </c>
      <c r="BN248">
        <v>21</v>
      </c>
      <c r="CU248">
        <v>535389.12789999996</v>
      </c>
      <c r="CV248">
        <v>4875609.3897000002</v>
      </c>
      <c r="CW248">
        <v>44.032796300000001</v>
      </c>
      <c r="CX248">
        <v>-92.55836085</v>
      </c>
      <c r="CY248" s="319">
        <v>43037.638888888891</v>
      </c>
      <c r="CZ248" t="s">
        <v>615</v>
      </c>
      <c r="DA248" t="s">
        <v>664</v>
      </c>
      <c r="DB248" t="s">
        <v>757</v>
      </c>
      <c r="DC248" t="s">
        <v>758</v>
      </c>
      <c r="DD248" s="82" t="s">
        <v>1010</v>
      </c>
    </row>
    <row r="249" spans="1:108" ht="16.5" customHeight="1" x14ac:dyDescent="0.25">
      <c r="A249">
        <v>30</v>
      </c>
      <c r="B249">
        <v>607006</v>
      </c>
      <c r="C249">
        <v>2</v>
      </c>
      <c r="D249">
        <v>14</v>
      </c>
      <c r="E249">
        <v>207.91200000000001</v>
      </c>
      <c r="F249">
        <v>55</v>
      </c>
      <c r="H249" t="s">
        <v>608</v>
      </c>
      <c r="I249">
        <v>6</v>
      </c>
      <c r="J249">
        <v>21</v>
      </c>
      <c r="L249">
        <v>18103161</v>
      </c>
      <c r="M249">
        <v>181730249</v>
      </c>
      <c r="N249">
        <v>6</v>
      </c>
      <c r="O249">
        <v>22</v>
      </c>
      <c r="P249">
        <v>2018</v>
      </c>
      <c r="Q249" t="s">
        <v>638</v>
      </c>
      <c r="R249">
        <v>16</v>
      </c>
      <c r="S249" t="s">
        <v>639</v>
      </c>
      <c r="T249">
        <v>3</v>
      </c>
      <c r="U249">
        <v>0</v>
      </c>
      <c r="V249">
        <v>2</v>
      </c>
      <c r="W249">
        <v>12</v>
      </c>
      <c r="X249">
        <v>10</v>
      </c>
      <c r="Y249">
        <v>3</v>
      </c>
      <c r="Z249">
        <v>1</v>
      </c>
      <c r="AA249">
        <v>1</v>
      </c>
      <c r="AC249">
        <v>1</v>
      </c>
      <c r="AD249">
        <v>98</v>
      </c>
      <c r="AE249" t="s">
        <v>990</v>
      </c>
      <c r="AG249" t="s">
        <v>996</v>
      </c>
      <c r="AH249">
        <v>7</v>
      </c>
      <c r="AI249">
        <v>2</v>
      </c>
      <c r="AJ249">
        <v>2</v>
      </c>
      <c r="AK249">
        <v>4</v>
      </c>
      <c r="AL249">
        <v>21</v>
      </c>
      <c r="AM249">
        <v>22</v>
      </c>
      <c r="AN249" t="s">
        <v>620</v>
      </c>
      <c r="AO249">
        <v>5</v>
      </c>
      <c r="AP249">
        <v>1</v>
      </c>
      <c r="AT249">
        <v>14</v>
      </c>
      <c r="AU249">
        <v>9</v>
      </c>
      <c r="AV249">
        <v>65</v>
      </c>
      <c r="AW249">
        <v>11</v>
      </c>
      <c r="AX249">
        <v>21</v>
      </c>
      <c r="AY249">
        <v>2</v>
      </c>
      <c r="AZ249">
        <v>4</v>
      </c>
      <c r="BA249">
        <v>2</v>
      </c>
      <c r="BB249">
        <v>34</v>
      </c>
      <c r="BC249">
        <v>64</v>
      </c>
      <c r="BD249" t="s">
        <v>614</v>
      </c>
      <c r="BE249">
        <v>5</v>
      </c>
      <c r="BF249">
        <v>2</v>
      </c>
      <c r="BJ249">
        <v>12</v>
      </c>
      <c r="BK249">
        <v>9</v>
      </c>
      <c r="BL249">
        <v>55</v>
      </c>
      <c r="BM249">
        <v>11</v>
      </c>
      <c r="BN249">
        <v>21</v>
      </c>
      <c r="CU249">
        <v>535389.12780000002</v>
      </c>
      <c r="CV249">
        <v>4875609.3897000002</v>
      </c>
      <c r="CW249">
        <v>44.032796300000001</v>
      </c>
      <c r="CX249">
        <v>-92.55836085</v>
      </c>
      <c r="CY249" s="319">
        <v>43273.697916666664</v>
      </c>
      <c r="CZ249" t="s">
        <v>615</v>
      </c>
      <c r="DA249" t="s">
        <v>664</v>
      </c>
      <c r="DB249" t="s">
        <v>757</v>
      </c>
      <c r="DC249" t="s">
        <v>758</v>
      </c>
      <c r="DD249" s="82" t="s">
        <v>1011</v>
      </c>
    </row>
    <row r="250" spans="1:108" ht="16.5" customHeight="1" x14ac:dyDescent="0.25">
      <c r="A250">
        <v>30</v>
      </c>
      <c r="B250">
        <v>730538</v>
      </c>
      <c r="C250">
        <v>2</v>
      </c>
      <c r="D250">
        <v>14</v>
      </c>
      <c r="E250">
        <v>207.91200000000001</v>
      </c>
      <c r="F250">
        <v>55</v>
      </c>
      <c r="H250" t="s">
        <v>608</v>
      </c>
      <c r="I250">
        <v>6</v>
      </c>
      <c r="J250">
        <v>21</v>
      </c>
      <c r="L250">
        <v>19103028</v>
      </c>
      <c r="M250">
        <v>191710329</v>
      </c>
      <c r="N250">
        <v>6</v>
      </c>
      <c r="O250">
        <v>20</v>
      </c>
      <c r="P250">
        <v>2019</v>
      </c>
      <c r="Q250" t="s">
        <v>619</v>
      </c>
      <c r="R250">
        <v>15</v>
      </c>
      <c r="S250" t="s">
        <v>639</v>
      </c>
      <c r="T250">
        <v>4</v>
      </c>
      <c r="U250">
        <v>0</v>
      </c>
      <c r="V250">
        <v>2</v>
      </c>
      <c r="W250">
        <v>5</v>
      </c>
      <c r="X250">
        <v>10</v>
      </c>
      <c r="Y250">
        <v>3</v>
      </c>
      <c r="Z250">
        <v>1</v>
      </c>
      <c r="AA250">
        <v>1</v>
      </c>
      <c r="AC250">
        <v>1</v>
      </c>
      <c r="AD250">
        <v>98</v>
      </c>
      <c r="AE250" t="s">
        <v>990</v>
      </c>
      <c r="AG250" t="s">
        <v>996</v>
      </c>
      <c r="AH250">
        <v>10</v>
      </c>
      <c r="AI250">
        <v>2</v>
      </c>
      <c r="AJ250">
        <v>3</v>
      </c>
      <c r="AK250">
        <v>2</v>
      </c>
      <c r="AL250">
        <v>21</v>
      </c>
      <c r="AM250">
        <v>43</v>
      </c>
      <c r="AN250" t="s">
        <v>614</v>
      </c>
      <c r="AO250">
        <v>5</v>
      </c>
      <c r="AP250">
        <v>2</v>
      </c>
      <c r="AT250">
        <v>12</v>
      </c>
      <c r="AU250">
        <v>23</v>
      </c>
      <c r="AV250">
        <v>55</v>
      </c>
      <c r="AW250">
        <v>11</v>
      </c>
      <c r="AX250">
        <v>21</v>
      </c>
      <c r="AY250">
        <v>2</v>
      </c>
      <c r="AZ250">
        <v>3</v>
      </c>
      <c r="BA250">
        <v>4</v>
      </c>
      <c r="BB250">
        <v>21</v>
      </c>
      <c r="BC250">
        <v>62</v>
      </c>
      <c r="BD250" t="s">
        <v>614</v>
      </c>
      <c r="BE250">
        <v>5</v>
      </c>
      <c r="BF250">
        <v>1</v>
      </c>
      <c r="BJ250">
        <v>14</v>
      </c>
      <c r="BK250">
        <v>9</v>
      </c>
      <c r="BL250">
        <v>65</v>
      </c>
      <c r="BM250">
        <v>11</v>
      </c>
      <c r="BN250">
        <v>21</v>
      </c>
      <c r="CU250">
        <v>535389.12789999996</v>
      </c>
      <c r="CV250">
        <v>4875609.3897000002</v>
      </c>
      <c r="CW250">
        <v>44.032796300000001</v>
      </c>
      <c r="CX250">
        <v>-92.55836085</v>
      </c>
      <c r="CY250" s="319">
        <v>43636.644444444442</v>
      </c>
      <c r="CZ250" t="s">
        <v>615</v>
      </c>
      <c r="DA250" t="s">
        <v>664</v>
      </c>
      <c r="DB250" t="s">
        <v>757</v>
      </c>
      <c r="DC250" t="s">
        <v>758</v>
      </c>
      <c r="DD250" t="s">
        <v>1012</v>
      </c>
    </row>
    <row r="251" spans="1:108" ht="16.5" customHeight="1" x14ac:dyDescent="0.25">
      <c r="A251">
        <v>30</v>
      </c>
      <c r="B251">
        <v>538374</v>
      </c>
      <c r="C251">
        <v>2</v>
      </c>
      <c r="D251">
        <v>14</v>
      </c>
      <c r="E251">
        <v>207.91399999999999</v>
      </c>
      <c r="F251">
        <v>55</v>
      </c>
      <c r="H251" t="s">
        <v>623</v>
      </c>
      <c r="I251">
        <v>6</v>
      </c>
      <c r="J251">
        <v>21</v>
      </c>
      <c r="L251">
        <v>18100415</v>
      </c>
      <c r="M251">
        <v>180180205</v>
      </c>
      <c r="N251">
        <v>1</v>
      </c>
      <c r="O251">
        <v>18</v>
      </c>
      <c r="P251">
        <v>2018</v>
      </c>
      <c r="Q251" t="s">
        <v>619</v>
      </c>
      <c r="R251">
        <v>6</v>
      </c>
      <c r="S251" t="s">
        <v>646</v>
      </c>
      <c r="T251">
        <v>5</v>
      </c>
      <c r="U251">
        <v>0</v>
      </c>
      <c r="V251">
        <v>2</v>
      </c>
      <c r="W251">
        <v>12</v>
      </c>
      <c r="X251">
        <v>10</v>
      </c>
      <c r="Y251">
        <v>10</v>
      </c>
      <c r="Z251">
        <v>6</v>
      </c>
      <c r="AA251">
        <v>2</v>
      </c>
      <c r="AC251">
        <v>3</v>
      </c>
      <c r="AD251">
        <v>98</v>
      </c>
      <c r="AE251" t="s">
        <v>1013</v>
      </c>
      <c r="AG251" t="s">
        <v>991</v>
      </c>
      <c r="AH251">
        <v>7</v>
      </c>
      <c r="AI251">
        <v>2</v>
      </c>
      <c r="AJ251">
        <v>2</v>
      </c>
      <c r="AK251">
        <v>3</v>
      </c>
      <c r="AL251">
        <v>21</v>
      </c>
      <c r="AM251">
        <v>28</v>
      </c>
      <c r="AN251" t="s">
        <v>620</v>
      </c>
      <c r="AO251">
        <v>5</v>
      </c>
      <c r="AP251">
        <v>90</v>
      </c>
      <c r="AT251">
        <v>14</v>
      </c>
      <c r="AU251">
        <v>9</v>
      </c>
      <c r="AV251">
        <v>65</v>
      </c>
      <c r="AW251">
        <v>11</v>
      </c>
      <c r="AX251">
        <v>21</v>
      </c>
      <c r="AY251">
        <v>2</v>
      </c>
      <c r="AZ251">
        <v>49</v>
      </c>
      <c r="BA251">
        <v>3</v>
      </c>
      <c r="BB251">
        <v>21</v>
      </c>
      <c r="BC251">
        <v>48</v>
      </c>
      <c r="BD251" t="s">
        <v>614</v>
      </c>
      <c r="BE251">
        <v>5</v>
      </c>
      <c r="BF251">
        <v>1</v>
      </c>
      <c r="BJ251">
        <v>14</v>
      </c>
      <c r="BK251">
        <v>9</v>
      </c>
      <c r="BL251">
        <v>65</v>
      </c>
      <c r="BM251">
        <v>11</v>
      </c>
      <c r="BN251">
        <v>21</v>
      </c>
      <c r="CU251">
        <v>535393.125</v>
      </c>
      <c r="CV251">
        <v>4875582</v>
      </c>
      <c r="CW251">
        <v>44.032549510000003</v>
      </c>
      <c r="CX251">
        <v>-92.558312799999996</v>
      </c>
      <c r="CY251" s="319">
        <v>43118.265972222223</v>
      </c>
      <c r="CZ251" t="s">
        <v>615</v>
      </c>
      <c r="DA251" t="s">
        <v>664</v>
      </c>
      <c r="DB251" t="s">
        <v>757</v>
      </c>
      <c r="DC251" t="s">
        <v>758</v>
      </c>
      <c r="DD251" s="82" t="s">
        <v>1014</v>
      </c>
    </row>
    <row r="252" spans="1:108" ht="16.5" customHeight="1" x14ac:dyDescent="0.25">
      <c r="A252">
        <v>30</v>
      </c>
      <c r="B252">
        <v>810796</v>
      </c>
      <c r="C252">
        <v>2</v>
      </c>
      <c r="D252">
        <v>14</v>
      </c>
      <c r="E252">
        <v>207.916</v>
      </c>
      <c r="F252">
        <v>55</v>
      </c>
      <c r="H252" t="s">
        <v>623</v>
      </c>
      <c r="I252">
        <v>6</v>
      </c>
      <c r="J252">
        <v>21</v>
      </c>
      <c r="L252">
        <v>20102274</v>
      </c>
      <c r="M252">
        <v>201360187</v>
      </c>
      <c r="N252">
        <v>5</v>
      </c>
      <c r="O252">
        <v>15</v>
      </c>
      <c r="P252">
        <v>2020</v>
      </c>
      <c r="Q252" t="s">
        <v>638</v>
      </c>
      <c r="R252">
        <v>16</v>
      </c>
      <c r="S252" t="s">
        <v>646</v>
      </c>
      <c r="T252">
        <v>4</v>
      </c>
      <c r="U252">
        <v>0</v>
      </c>
      <c r="V252">
        <v>2</v>
      </c>
      <c r="W252">
        <v>5</v>
      </c>
      <c r="X252">
        <v>10</v>
      </c>
      <c r="Y252">
        <v>3</v>
      </c>
      <c r="Z252">
        <v>1</v>
      </c>
      <c r="AA252">
        <v>1</v>
      </c>
      <c r="AC252">
        <v>1</v>
      </c>
      <c r="AD252">
        <v>98</v>
      </c>
      <c r="AE252" t="s">
        <v>990</v>
      </c>
      <c r="AG252" t="s">
        <v>991</v>
      </c>
      <c r="AH252">
        <v>10</v>
      </c>
      <c r="AI252">
        <v>2</v>
      </c>
      <c r="AJ252">
        <v>4</v>
      </c>
      <c r="AK252">
        <v>3</v>
      </c>
      <c r="AL252">
        <v>28</v>
      </c>
      <c r="AM252">
        <v>18</v>
      </c>
      <c r="AN252" t="s">
        <v>614</v>
      </c>
      <c r="AO252">
        <v>5</v>
      </c>
      <c r="AP252">
        <v>1</v>
      </c>
      <c r="AT252">
        <v>14</v>
      </c>
      <c r="AU252">
        <v>9</v>
      </c>
      <c r="AV252">
        <v>65</v>
      </c>
      <c r="AW252">
        <v>11</v>
      </c>
      <c r="AX252">
        <v>21</v>
      </c>
      <c r="AY252">
        <v>2</v>
      </c>
      <c r="AZ252">
        <v>2</v>
      </c>
      <c r="BA252">
        <v>1</v>
      </c>
      <c r="BB252">
        <v>21</v>
      </c>
      <c r="BC252">
        <v>49</v>
      </c>
      <c r="BD252" t="s">
        <v>620</v>
      </c>
      <c r="BE252">
        <v>5</v>
      </c>
      <c r="BF252">
        <v>2</v>
      </c>
      <c r="BJ252">
        <v>12</v>
      </c>
      <c r="BK252">
        <v>23</v>
      </c>
      <c r="BL252">
        <v>55</v>
      </c>
      <c r="BM252">
        <v>11</v>
      </c>
      <c r="BN252">
        <v>21</v>
      </c>
      <c r="CU252">
        <v>535394.86970000004</v>
      </c>
      <c r="CV252">
        <v>4875583.4385000002</v>
      </c>
      <c r="CW252">
        <v>44.032562380000002</v>
      </c>
      <c r="CX252">
        <v>-92.558290929999998</v>
      </c>
      <c r="CY252" s="319">
        <v>43966.7</v>
      </c>
      <c r="CZ252" t="s">
        <v>615</v>
      </c>
      <c r="DA252" t="s">
        <v>664</v>
      </c>
      <c r="DB252" t="s">
        <v>757</v>
      </c>
      <c r="DC252" t="s">
        <v>758</v>
      </c>
      <c r="DD252" t="s">
        <v>1015</v>
      </c>
    </row>
    <row r="253" spans="1:108" ht="16.5" customHeight="1" x14ac:dyDescent="0.25">
      <c r="A253">
        <v>30</v>
      </c>
      <c r="B253">
        <v>726385</v>
      </c>
      <c r="C253">
        <v>2</v>
      </c>
      <c r="D253">
        <v>14</v>
      </c>
      <c r="E253">
        <v>207.916</v>
      </c>
      <c r="F253">
        <v>55</v>
      </c>
      <c r="H253" t="s">
        <v>623</v>
      </c>
      <c r="I253">
        <v>6</v>
      </c>
      <c r="J253">
        <v>21</v>
      </c>
      <c r="L253">
        <v>19102899</v>
      </c>
      <c r="M253">
        <v>191630108</v>
      </c>
      <c r="N253">
        <v>6</v>
      </c>
      <c r="O253">
        <v>12</v>
      </c>
      <c r="P253">
        <v>2019</v>
      </c>
      <c r="Q253" t="s">
        <v>645</v>
      </c>
      <c r="R253">
        <v>16</v>
      </c>
      <c r="S253" t="s">
        <v>639</v>
      </c>
      <c r="T253">
        <v>5</v>
      </c>
      <c r="U253">
        <v>0</v>
      </c>
      <c r="V253">
        <v>2</v>
      </c>
      <c r="W253">
        <v>5</v>
      </c>
      <c r="X253">
        <v>10</v>
      </c>
      <c r="Y253">
        <v>3</v>
      </c>
      <c r="Z253">
        <v>1</v>
      </c>
      <c r="AA253">
        <v>1</v>
      </c>
      <c r="AC253">
        <v>1</v>
      </c>
      <c r="AD253">
        <v>98</v>
      </c>
      <c r="AE253" t="s">
        <v>990</v>
      </c>
      <c r="AG253" t="s">
        <v>996</v>
      </c>
      <c r="AH253">
        <v>10</v>
      </c>
      <c r="AI253">
        <v>2</v>
      </c>
      <c r="AJ253">
        <v>3</v>
      </c>
      <c r="AK253">
        <v>2</v>
      </c>
      <c r="AL253">
        <v>34</v>
      </c>
      <c r="AM253">
        <v>72</v>
      </c>
      <c r="AN253" t="s">
        <v>614</v>
      </c>
      <c r="AO253">
        <v>5</v>
      </c>
      <c r="AP253">
        <v>90</v>
      </c>
      <c r="AT253">
        <v>12</v>
      </c>
      <c r="AU253">
        <v>23</v>
      </c>
      <c r="AV253">
        <v>55</v>
      </c>
      <c r="AW253">
        <v>11</v>
      </c>
      <c r="AX253">
        <v>21</v>
      </c>
      <c r="AY253">
        <v>2</v>
      </c>
      <c r="AZ253">
        <v>4</v>
      </c>
      <c r="BA253">
        <v>4</v>
      </c>
      <c r="BB253">
        <v>21</v>
      </c>
      <c r="BC253">
        <v>54</v>
      </c>
      <c r="BD253" t="s">
        <v>620</v>
      </c>
      <c r="BE253">
        <v>5</v>
      </c>
      <c r="BF253">
        <v>1</v>
      </c>
      <c r="BJ253">
        <v>14</v>
      </c>
      <c r="BK253">
        <v>9</v>
      </c>
      <c r="BL253">
        <v>65</v>
      </c>
      <c r="BM253">
        <v>11</v>
      </c>
      <c r="BN253">
        <v>21</v>
      </c>
      <c r="CU253">
        <v>535394.08479999995</v>
      </c>
      <c r="CV253">
        <v>4875613.5608000001</v>
      </c>
      <c r="CW253">
        <v>44.032833609999997</v>
      </c>
      <c r="CX253">
        <v>-92.558298710000003</v>
      </c>
      <c r="CY253" s="319">
        <v>43628.693055555559</v>
      </c>
      <c r="CZ253" t="s">
        <v>615</v>
      </c>
      <c r="DA253" t="s">
        <v>664</v>
      </c>
      <c r="DB253" t="s">
        <v>757</v>
      </c>
      <c r="DC253" t="s">
        <v>758</v>
      </c>
      <c r="DD253" s="82" t="s">
        <v>1016</v>
      </c>
    </row>
    <row r="254" spans="1:108" ht="16.5" customHeight="1" x14ac:dyDescent="0.25">
      <c r="A254">
        <v>30</v>
      </c>
      <c r="B254">
        <v>754730</v>
      </c>
      <c r="C254">
        <v>2</v>
      </c>
      <c r="D254">
        <v>14</v>
      </c>
      <c r="E254">
        <v>207.916</v>
      </c>
      <c r="F254">
        <v>55</v>
      </c>
      <c r="H254" t="s">
        <v>623</v>
      </c>
      <c r="I254">
        <v>6</v>
      </c>
      <c r="J254">
        <v>21</v>
      </c>
      <c r="L254">
        <v>19104954</v>
      </c>
      <c r="M254">
        <v>192870175</v>
      </c>
      <c r="N254">
        <v>10</v>
      </c>
      <c r="O254">
        <v>14</v>
      </c>
      <c r="P254">
        <v>2019</v>
      </c>
      <c r="Q254" t="s">
        <v>610</v>
      </c>
      <c r="R254">
        <v>16</v>
      </c>
      <c r="S254" t="s">
        <v>673</v>
      </c>
      <c r="T254">
        <v>5</v>
      </c>
      <c r="U254">
        <v>0</v>
      </c>
      <c r="V254">
        <v>2</v>
      </c>
      <c r="W254">
        <v>5</v>
      </c>
      <c r="X254">
        <v>10</v>
      </c>
      <c r="Y254">
        <v>3</v>
      </c>
      <c r="Z254">
        <v>1</v>
      </c>
      <c r="AA254">
        <v>1</v>
      </c>
      <c r="AC254">
        <v>1</v>
      </c>
      <c r="AD254">
        <v>98</v>
      </c>
      <c r="AE254" t="s">
        <v>990</v>
      </c>
      <c r="AG254" t="s">
        <v>996</v>
      </c>
      <c r="AH254">
        <v>10</v>
      </c>
      <c r="AI254">
        <v>2</v>
      </c>
      <c r="AJ254">
        <v>51</v>
      </c>
      <c r="AK254">
        <v>2</v>
      </c>
      <c r="AL254">
        <v>21</v>
      </c>
      <c r="AM254">
        <v>21</v>
      </c>
      <c r="AN254" t="s">
        <v>620</v>
      </c>
      <c r="AO254">
        <v>5</v>
      </c>
      <c r="AP254">
        <v>2</v>
      </c>
      <c r="AT254">
        <v>12</v>
      </c>
      <c r="AU254">
        <v>23</v>
      </c>
      <c r="AV254">
        <v>55</v>
      </c>
      <c r="AW254">
        <v>11</v>
      </c>
      <c r="AX254">
        <v>21</v>
      </c>
      <c r="AY254">
        <v>2</v>
      </c>
      <c r="AZ254">
        <v>3</v>
      </c>
      <c r="BA254">
        <v>4</v>
      </c>
      <c r="BB254">
        <v>21</v>
      </c>
      <c r="BC254">
        <v>55</v>
      </c>
      <c r="BD254" t="s">
        <v>614</v>
      </c>
      <c r="BE254">
        <v>5</v>
      </c>
      <c r="BF254">
        <v>1</v>
      </c>
      <c r="BJ254">
        <v>12</v>
      </c>
      <c r="BK254">
        <v>9</v>
      </c>
      <c r="BL254">
        <v>65</v>
      </c>
      <c r="BM254">
        <v>11</v>
      </c>
      <c r="BN254">
        <v>21</v>
      </c>
      <c r="CU254">
        <v>535394.08479999995</v>
      </c>
      <c r="CV254">
        <v>4875613.5608000001</v>
      </c>
      <c r="CW254">
        <v>44.032833609999997</v>
      </c>
      <c r="CX254">
        <v>-92.558298710000003</v>
      </c>
      <c r="CY254" s="319">
        <v>43752.6875</v>
      </c>
      <c r="CZ254" t="s">
        <v>615</v>
      </c>
      <c r="DA254" t="s">
        <v>664</v>
      </c>
      <c r="DB254" t="s">
        <v>757</v>
      </c>
      <c r="DC254" t="s">
        <v>758</v>
      </c>
      <c r="DD254" s="82" t="s">
        <v>1017</v>
      </c>
    </row>
    <row r="255" spans="1:108" ht="16.5" customHeight="1" x14ac:dyDescent="0.25">
      <c r="A255">
        <v>30</v>
      </c>
      <c r="B255">
        <v>584986</v>
      </c>
      <c r="C255">
        <v>2</v>
      </c>
      <c r="D255">
        <v>14</v>
      </c>
      <c r="E255">
        <v>207.91800000000001</v>
      </c>
      <c r="F255">
        <v>55</v>
      </c>
      <c r="H255" t="s">
        <v>623</v>
      </c>
      <c r="I255">
        <v>6</v>
      </c>
      <c r="J255">
        <v>21</v>
      </c>
      <c r="L255">
        <v>18101573</v>
      </c>
      <c r="M255">
        <v>180810060</v>
      </c>
      <c r="N255">
        <v>3</v>
      </c>
      <c r="O255">
        <v>22</v>
      </c>
      <c r="P255">
        <v>2018</v>
      </c>
      <c r="Q255" t="s">
        <v>619</v>
      </c>
      <c r="R255">
        <v>13</v>
      </c>
      <c r="S255" t="s">
        <v>646</v>
      </c>
      <c r="T255">
        <v>5</v>
      </c>
      <c r="U255">
        <v>0</v>
      </c>
      <c r="V255">
        <v>2</v>
      </c>
      <c r="W255">
        <v>5</v>
      </c>
      <c r="X255">
        <v>10</v>
      </c>
      <c r="Y255">
        <v>3</v>
      </c>
      <c r="Z255">
        <v>1</v>
      </c>
      <c r="AA255">
        <v>1</v>
      </c>
      <c r="AC255">
        <v>1</v>
      </c>
      <c r="AD255">
        <v>98</v>
      </c>
      <c r="AE255" t="s">
        <v>1018</v>
      </c>
      <c r="AF255" t="s">
        <v>612</v>
      </c>
      <c r="AG255" t="s">
        <v>996</v>
      </c>
      <c r="AH255">
        <v>10</v>
      </c>
      <c r="AI255">
        <v>2</v>
      </c>
      <c r="AJ255">
        <v>2</v>
      </c>
      <c r="AK255">
        <v>1</v>
      </c>
      <c r="AL255">
        <v>21</v>
      </c>
      <c r="AM255">
        <v>72</v>
      </c>
      <c r="AN255" t="s">
        <v>620</v>
      </c>
      <c r="AO255">
        <v>5</v>
      </c>
      <c r="AP255">
        <v>2</v>
      </c>
      <c r="AT255">
        <v>12</v>
      </c>
      <c r="AU255">
        <v>23</v>
      </c>
      <c r="AV255">
        <v>55</v>
      </c>
      <c r="AW255">
        <v>11</v>
      </c>
      <c r="AX255">
        <v>21</v>
      </c>
      <c r="AY255">
        <v>2</v>
      </c>
      <c r="AZ255">
        <v>2</v>
      </c>
      <c r="BA255">
        <v>3</v>
      </c>
      <c r="BB255">
        <v>21</v>
      </c>
      <c r="BC255">
        <v>54</v>
      </c>
      <c r="BD255" t="s">
        <v>614</v>
      </c>
      <c r="BE255">
        <v>5</v>
      </c>
      <c r="BF255">
        <v>1</v>
      </c>
      <c r="BJ255">
        <v>14</v>
      </c>
      <c r="BK255">
        <v>9</v>
      </c>
      <c r="BL255">
        <v>65</v>
      </c>
      <c r="BM255">
        <v>11</v>
      </c>
      <c r="BN255">
        <v>21</v>
      </c>
      <c r="CU255">
        <v>535396.16709999996</v>
      </c>
      <c r="CV255">
        <v>4875615.2977</v>
      </c>
      <c r="CW255">
        <v>44.032849149999997</v>
      </c>
      <c r="CX255">
        <v>-92.558272610000003</v>
      </c>
      <c r="CY255" s="319">
        <v>43181.576388888891</v>
      </c>
      <c r="CZ255" t="s">
        <v>615</v>
      </c>
      <c r="DA255" t="s">
        <v>664</v>
      </c>
      <c r="DB255" t="s">
        <v>757</v>
      </c>
      <c r="DC255" t="s">
        <v>758</v>
      </c>
      <c r="DD255" t="s">
        <v>1019</v>
      </c>
    </row>
    <row r="256" spans="1:108" ht="16.5" customHeight="1" x14ac:dyDescent="0.25">
      <c r="A256">
        <v>30</v>
      </c>
      <c r="B256">
        <v>755183</v>
      </c>
      <c r="C256">
        <v>2</v>
      </c>
      <c r="D256">
        <v>14</v>
      </c>
      <c r="E256">
        <v>207.92099999999999</v>
      </c>
      <c r="F256">
        <v>55</v>
      </c>
      <c r="H256" t="s">
        <v>623</v>
      </c>
      <c r="I256">
        <v>6</v>
      </c>
      <c r="J256">
        <v>21</v>
      </c>
      <c r="L256">
        <v>19104983</v>
      </c>
      <c r="M256">
        <v>192890198</v>
      </c>
      <c r="N256">
        <v>10</v>
      </c>
      <c r="O256">
        <v>16</v>
      </c>
      <c r="P256">
        <v>2019</v>
      </c>
      <c r="Q256" t="s">
        <v>645</v>
      </c>
      <c r="R256">
        <v>16</v>
      </c>
      <c r="S256" t="s">
        <v>639</v>
      </c>
      <c r="T256">
        <v>5</v>
      </c>
      <c r="U256">
        <v>0</v>
      </c>
      <c r="V256">
        <v>2</v>
      </c>
      <c r="W256">
        <v>12</v>
      </c>
      <c r="X256">
        <v>10</v>
      </c>
      <c r="Y256">
        <v>3</v>
      </c>
      <c r="Z256">
        <v>1</v>
      </c>
      <c r="AA256">
        <v>1</v>
      </c>
      <c r="AC256">
        <v>1</v>
      </c>
      <c r="AD256">
        <v>98</v>
      </c>
      <c r="AE256" t="s">
        <v>990</v>
      </c>
      <c r="AG256" t="s">
        <v>991</v>
      </c>
      <c r="AH256">
        <v>7</v>
      </c>
      <c r="AI256">
        <v>2</v>
      </c>
      <c r="AJ256">
        <v>3</v>
      </c>
      <c r="AK256">
        <v>4</v>
      </c>
      <c r="AL256">
        <v>24</v>
      </c>
      <c r="AM256">
        <v>37</v>
      </c>
      <c r="AN256" t="s">
        <v>614</v>
      </c>
      <c r="AO256">
        <v>5</v>
      </c>
      <c r="AP256">
        <v>2</v>
      </c>
      <c r="AT256">
        <v>14</v>
      </c>
      <c r="AU256">
        <v>23</v>
      </c>
      <c r="AV256">
        <v>65</v>
      </c>
      <c r="AW256">
        <v>11</v>
      </c>
      <c r="AX256">
        <v>21</v>
      </c>
      <c r="AY256">
        <v>2</v>
      </c>
      <c r="AZ256">
        <v>2</v>
      </c>
      <c r="BA256">
        <v>4</v>
      </c>
      <c r="BB256">
        <v>21</v>
      </c>
      <c r="BC256">
        <v>88</v>
      </c>
      <c r="BD256" t="s">
        <v>620</v>
      </c>
      <c r="BE256">
        <v>5</v>
      </c>
      <c r="BF256">
        <v>1</v>
      </c>
      <c r="BJ256">
        <v>14</v>
      </c>
      <c r="BK256">
        <v>23</v>
      </c>
      <c r="BL256">
        <v>65</v>
      </c>
      <c r="BM256">
        <v>11</v>
      </c>
      <c r="BN256">
        <v>21</v>
      </c>
      <c r="CU256">
        <v>535401.76679999998</v>
      </c>
      <c r="CV256">
        <v>4875589.1249000002</v>
      </c>
      <c r="CW256">
        <v>44.032613240000003</v>
      </c>
      <c r="CX256">
        <v>-92.558204480000001</v>
      </c>
      <c r="CY256" s="319">
        <v>43754.688194444447</v>
      </c>
      <c r="CZ256" t="s">
        <v>615</v>
      </c>
      <c r="DA256" t="s">
        <v>664</v>
      </c>
      <c r="DB256" t="s">
        <v>757</v>
      </c>
      <c r="DC256" t="s">
        <v>758</v>
      </c>
      <c r="DD256" t="s">
        <v>1020</v>
      </c>
    </row>
    <row r="257" spans="1:108" ht="16.5" customHeight="1" x14ac:dyDescent="0.25">
      <c r="A257">
        <v>30</v>
      </c>
      <c r="B257">
        <v>759316</v>
      </c>
      <c r="C257">
        <v>2</v>
      </c>
      <c r="D257">
        <v>14</v>
      </c>
      <c r="E257">
        <v>207.922</v>
      </c>
      <c r="F257">
        <v>55</v>
      </c>
      <c r="H257" t="s">
        <v>623</v>
      </c>
      <c r="I257">
        <v>6</v>
      </c>
      <c r="J257">
        <v>21</v>
      </c>
      <c r="L257">
        <v>19105256</v>
      </c>
      <c r="M257">
        <v>193050275</v>
      </c>
      <c r="N257">
        <v>11</v>
      </c>
      <c r="O257">
        <v>1</v>
      </c>
      <c r="P257">
        <v>2019</v>
      </c>
      <c r="Q257" t="s">
        <v>638</v>
      </c>
      <c r="R257">
        <v>7</v>
      </c>
      <c r="S257" t="s">
        <v>639</v>
      </c>
      <c r="T257">
        <v>5</v>
      </c>
      <c r="U257">
        <v>0</v>
      </c>
      <c r="V257">
        <v>3</v>
      </c>
      <c r="W257">
        <v>5</v>
      </c>
      <c r="X257">
        <v>10</v>
      </c>
      <c r="Y257">
        <v>3</v>
      </c>
      <c r="Z257">
        <v>1</v>
      </c>
      <c r="AA257">
        <v>2</v>
      </c>
      <c r="AC257">
        <v>1</v>
      </c>
      <c r="AD257">
        <v>98</v>
      </c>
      <c r="AE257" t="s">
        <v>990</v>
      </c>
      <c r="AF257" t="s">
        <v>1021</v>
      </c>
      <c r="AG257" t="s">
        <v>996</v>
      </c>
      <c r="AH257">
        <v>10</v>
      </c>
      <c r="AI257">
        <v>2</v>
      </c>
      <c r="AJ257">
        <v>4</v>
      </c>
      <c r="AK257">
        <v>2</v>
      </c>
      <c r="AL257">
        <v>21</v>
      </c>
      <c r="AM257">
        <v>83</v>
      </c>
      <c r="AN257" t="s">
        <v>614</v>
      </c>
      <c r="AO257">
        <v>5</v>
      </c>
      <c r="AP257">
        <v>2</v>
      </c>
      <c r="AT257">
        <v>12</v>
      </c>
      <c r="AU257">
        <v>23</v>
      </c>
      <c r="AV257">
        <v>55</v>
      </c>
      <c r="AW257">
        <v>11</v>
      </c>
      <c r="AX257">
        <v>21</v>
      </c>
      <c r="AY257">
        <v>2</v>
      </c>
      <c r="AZ257">
        <v>2</v>
      </c>
      <c r="BA257">
        <v>4</v>
      </c>
      <c r="BB257">
        <v>21</v>
      </c>
      <c r="BC257">
        <v>55</v>
      </c>
      <c r="BD257" t="s">
        <v>614</v>
      </c>
      <c r="BE257">
        <v>5</v>
      </c>
      <c r="BF257">
        <v>1</v>
      </c>
      <c r="BJ257">
        <v>14</v>
      </c>
      <c r="BK257">
        <v>9</v>
      </c>
      <c r="BL257">
        <v>65</v>
      </c>
      <c r="BM257">
        <v>11</v>
      </c>
      <c r="BN257">
        <v>21</v>
      </c>
      <c r="BO257">
        <v>2</v>
      </c>
      <c r="BP257">
        <v>4</v>
      </c>
      <c r="BQ257">
        <v>4</v>
      </c>
      <c r="BR257">
        <v>21</v>
      </c>
      <c r="BS257">
        <v>60</v>
      </c>
      <c r="BT257" t="s">
        <v>614</v>
      </c>
      <c r="BU257">
        <v>5</v>
      </c>
      <c r="BV257">
        <v>1</v>
      </c>
      <c r="BZ257">
        <v>14</v>
      </c>
      <c r="CA257">
        <v>9</v>
      </c>
      <c r="CB257">
        <v>65</v>
      </c>
      <c r="CC257">
        <v>11</v>
      </c>
      <c r="CD257">
        <v>21</v>
      </c>
      <c r="CU257">
        <v>535401.16</v>
      </c>
      <c r="CV257">
        <v>4875619.4622999998</v>
      </c>
      <c r="CW257">
        <v>44.032886400000002</v>
      </c>
      <c r="CX257">
        <v>-92.558210020000004</v>
      </c>
      <c r="CY257" s="319">
        <v>43770.310416666667</v>
      </c>
      <c r="CZ257" t="s">
        <v>615</v>
      </c>
      <c r="DA257" t="s">
        <v>664</v>
      </c>
      <c r="DB257" t="s">
        <v>757</v>
      </c>
      <c r="DC257" t="s">
        <v>758</v>
      </c>
      <c r="DD257" t="s">
        <v>1022</v>
      </c>
    </row>
    <row r="258" spans="1:108" ht="16.5" customHeight="1" x14ac:dyDescent="0.25">
      <c r="A258">
        <v>30</v>
      </c>
      <c r="B258">
        <v>588742</v>
      </c>
      <c r="C258">
        <v>2</v>
      </c>
      <c r="D258">
        <v>14</v>
      </c>
      <c r="E258">
        <v>207.92400000000001</v>
      </c>
      <c r="F258">
        <v>55</v>
      </c>
      <c r="H258" t="s">
        <v>623</v>
      </c>
      <c r="I258">
        <v>6</v>
      </c>
      <c r="J258">
        <v>21</v>
      </c>
      <c r="L258">
        <v>18101396</v>
      </c>
      <c r="M258">
        <v>180710221</v>
      </c>
      <c r="N258">
        <v>3</v>
      </c>
      <c r="O258">
        <v>12</v>
      </c>
      <c r="P258">
        <v>2018</v>
      </c>
      <c r="Q258" t="s">
        <v>610</v>
      </c>
      <c r="R258">
        <v>21</v>
      </c>
      <c r="S258" t="s">
        <v>639</v>
      </c>
      <c r="T258">
        <v>5</v>
      </c>
      <c r="U258">
        <v>0</v>
      </c>
      <c r="V258">
        <v>1</v>
      </c>
      <c r="X258">
        <v>61</v>
      </c>
      <c r="Y258">
        <v>3</v>
      </c>
      <c r="Z258">
        <v>4</v>
      </c>
      <c r="AA258">
        <v>1</v>
      </c>
      <c r="AC258">
        <v>1</v>
      </c>
      <c r="AD258">
        <v>98</v>
      </c>
      <c r="AE258" t="s">
        <v>990</v>
      </c>
      <c r="AG258" t="s">
        <v>996</v>
      </c>
      <c r="AH258">
        <v>3</v>
      </c>
      <c r="AI258">
        <v>2</v>
      </c>
      <c r="AJ258">
        <v>2</v>
      </c>
      <c r="AK258">
        <v>4</v>
      </c>
      <c r="AL258">
        <v>21</v>
      </c>
      <c r="AM258">
        <v>28</v>
      </c>
      <c r="AN258" t="s">
        <v>620</v>
      </c>
      <c r="AO258">
        <v>5</v>
      </c>
      <c r="AP258">
        <v>99</v>
      </c>
      <c r="AT258">
        <v>12</v>
      </c>
      <c r="AU258">
        <v>9</v>
      </c>
      <c r="AV258">
        <v>65</v>
      </c>
      <c r="AW258">
        <v>11</v>
      </c>
      <c r="AX258">
        <v>21</v>
      </c>
      <c r="CU258">
        <v>535403.24230000004</v>
      </c>
      <c r="CV258">
        <v>4875621.1991999997</v>
      </c>
      <c r="CW258">
        <v>44.032901940000002</v>
      </c>
      <c r="CX258">
        <v>-92.558183920000005</v>
      </c>
      <c r="CY258" s="319">
        <v>43171.904166666667</v>
      </c>
      <c r="CZ258" t="s">
        <v>615</v>
      </c>
      <c r="DA258" t="s">
        <v>664</v>
      </c>
      <c r="DB258" t="s">
        <v>757</v>
      </c>
      <c r="DC258" t="s">
        <v>758</v>
      </c>
      <c r="DD258" t="s">
        <v>1023</v>
      </c>
    </row>
    <row r="259" spans="1:108" ht="16.5" customHeight="1" x14ac:dyDescent="0.25">
      <c r="A259">
        <v>30</v>
      </c>
      <c r="B259">
        <v>705863</v>
      </c>
      <c r="C259">
        <v>2</v>
      </c>
      <c r="D259">
        <v>14</v>
      </c>
      <c r="E259">
        <v>207.92500000000001</v>
      </c>
      <c r="F259">
        <v>55</v>
      </c>
      <c r="H259" t="s">
        <v>623</v>
      </c>
      <c r="I259">
        <v>6</v>
      </c>
      <c r="J259">
        <v>21</v>
      </c>
      <c r="L259">
        <v>19102160</v>
      </c>
      <c r="M259">
        <v>191140076</v>
      </c>
      <c r="N259">
        <v>4</v>
      </c>
      <c r="O259">
        <v>24</v>
      </c>
      <c r="P259">
        <v>2019</v>
      </c>
      <c r="Q259" t="s">
        <v>645</v>
      </c>
      <c r="R259">
        <v>14</v>
      </c>
      <c r="S259" t="s">
        <v>639</v>
      </c>
      <c r="T259">
        <v>5</v>
      </c>
      <c r="U259">
        <v>0</v>
      </c>
      <c r="V259">
        <v>2</v>
      </c>
      <c r="W259">
        <v>5</v>
      </c>
      <c r="X259">
        <v>10</v>
      </c>
      <c r="Y259">
        <v>3</v>
      </c>
      <c r="Z259">
        <v>1</v>
      </c>
      <c r="AA259">
        <v>1</v>
      </c>
      <c r="AC259">
        <v>1</v>
      </c>
      <c r="AD259">
        <v>98</v>
      </c>
      <c r="AE259" t="s">
        <v>990</v>
      </c>
      <c r="AG259" t="s">
        <v>996</v>
      </c>
      <c r="AH259">
        <v>10</v>
      </c>
      <c r="AI259">
        <v>2</v>
      </c>
      <c r="AJ259">
        <v>2</v>
      </c>
      <c r="AK259">
        <v>2</v>
      </c>
      <c r="AL259">
        <v>21</v>
      </c>
      <c r="AM259">
        <v>27</v>
      </c>
      <c r="AN259" t="s">
        <v>620</v>
      </c>
      <c r="AO259">
        <v>5</v>
      </c>
      <c r="AP259">
        <v>2</v>
      </c>
      <c r="AT259">
        <v>12</v>
      </c>
      <c r="AU259">
        <v>23</v>
      </c>
      <c r="AV259">
        <v>55</v>
      </c>
      <c r="AW259">
        <v>11</v>
      </c>
      <c r="AX259">
        <v>21</v>
      </c>
      <c r="AY259">
        <v>2</v>
      </c>
      <c r="AZ259">
        <v>3</v>
      </c>
      <c r="BA259">
        <v>4</v>
      </c>
      <c r="BB259">
        <v>21</v>
      </c>
      <c r="BC259">
        <v>41</v>
      </c>
      <c r="BD259" t="s">
        <v>614</v>
      </c>
      <c r="BE259">
        <v>5</v>
      </c>
      <c r="BF259">
        <v>1</v>
      </c>
      <c r="BJ259">
        <v>15</v>
      </c>
      <c r="BK259">
        <v>9</v>
      </c>
      <c r="BL259">
        <v>65</v>
      </c>
      <c r="BM259">
        <v>11</v>
      </c>
      <c r="BN259">
        <v>21</v>
      </c>
      <c r="CU259">
        <v>535405.32460000005</v>
      </c>
      <c r="CV259">
        <v>4875622.9359999998</v>
      </c>
      <c r="CW259">
        <v>44.032917480000002</v>
      </c>
      <c r="CX259">
        <v>-92.558157820000005</v>
      </c>
      <c r="CY259" s="319">
        <v>43579.604166666664</v>
      </c>
      <c r="CZ259" t="s">
        <v>615</v>
      </c>
      <c r="DA259" t="s">
        <v>664</v>
      </c>
      <c r="DB259" t="s">
        <v>757</v>
      </c>
      <c r="DC259" t="s">
        <v>758</v>
      </c>
      <c r="DD259" t="s">
        <v>1024</v>
      </c>
    </row>
    <row r="260" spans="1:108" ht="16.5" customHeight="1" x14ac:dyDescent="0.25">
      <c r="A260">
        <v>30</v>
      </c>
      <c r="B260">
        <v>822255</v>
      </c>
      <c r="C260">
        <v>2</v>
      </c>
      <c r="D260">
        <v>14</v>
      </c>
      <c r="E260">
        <v>207.92500000000001</v>
      </c>
      <c r="F260">
        <v>55</v>
      </c>
      <c r="H260" t="s">
        <v>623</v>
      </c>
      <c r="I260">
        <v>6</v>
      </c>
      <c r="J260">
        <v>21</v>
      </c>
      <c r="L260">
        <v>20103361</v>
      </c>
      <c r="M260">
        <v>202100131</v>
      </c>
      <c r="N260">
        <v>7</v>
      </c>
      <c r="O260">
        <v>28</v>
      </c>
      <c r="P260">
        <v>2020</v>
      </c>
      <c r="Q260" t="s">
        <v>625</v>
      </c>
      <c r="R260">
        <v>15</v>
      </c>
      <c r="S260" t="s">
        <v>646</v>
      </c>
      <c r="T260">
        <v>1</v>
      </c>
      <c r="U260">
        <v>1</v>
      </c>
      <c r="V260">
        <v>2</v>
      </c>
      <c r="W260">
        <v>5</v>
      </c>
      <c r="X260">
        <v>10</v>
      </c>
      <c r="Y260">
        <v>10</v>
      </c>
      <c r="Z260">
        <v>1</v>
      </c>
      <c r="AA260">
        <v>2</v>
      </c>
      <c r="AC260">
        <v>1</v>
      </c>
      <c r="AD260">
        <v>98</v>
      </c>
      <c r="AE260" t="s">
        <v>990</v>
      </c>
      <c r="AG260" t="s">
        <v>991</v>
      </c>
      <c r="AH260">
        <v>10</v>
      </c>
      <c r="AI260">
        <v>2</v>
      </c>
      <c r="AJ260">
        <v>4</v>
      </c>
      <c r="AK260">
        <v>1</v>
      </c>
      <c r="AL260">
        <v>21</v>
      </c>
      <c r="AM260">
        <v>84</v>
      </c>
      <c r="AN260" t="s">
        <v>614</v>
      </c>
      <c r="AO260">
        <v>5</v>
      </c>
      <c r="AP260">
        <v>2</v>
      </c>
      <c r="AT260">
        <v>12</v>
      </c>
      <c r="AU260">
        <v>23</v>
      </c>
      <c r="AV260">
        <v>55</v>
      </c>
      <c r="AW260">
        <v>11</v>
      </c>
      <c r="AX260">
        <v>21</v>
      </c>
      <c r="AY260">
        <v>2</v>
      </c>
      <c r="AZ260">
        <v>49</v>
      </c>
      <c r="BA260">
        <v>3</v>
      </c>
      <c r="BB260">
        <v>21</v>
      </c>
      <c r="BC260">
        <v>21</v>
      </c>
      <c r="BD260" t="s">
        <v>614</v>
      </c>
      <c r="BE260">
        <v>5</v>
      </c>
      <c r="BF260">
        <v>1</v>
      </c>
      <c r="BJ260">
        <v>15</v>
      </c>
      <c r="BK260">
        <v>9</v>
      </c>
      <c r="BL260">
        <v>65</v>
      </c>
      <c r="BM260">
        <v>11</v>
      </c>
      <c r="BN260">
        <v>21</v>
      </c>
      <c r="CU260">
        <v>535406.80720000004</v>
      </c>
      <c r="CV260">
        <v>4875593.2806000002</v>
      </c>
      <c r="CW260">
        <v>44.032650410000002</v>
      </c>
      <c r="CX260">
        <v>-92.558141300000003</v>
      </c>
      <c r="CY260" s="319">
        <v>44040.628472222219</v>
      </c>
      <c r="CZ260" t="s">
        <v>615</v>
      </c>
      <c r="DA260" t="s">
        <v>664</v>
      </c>
      <c r="DB260" t="s">
        <v>757</v>
      </c>
      <c r="DC260" t="s">
        <v>758</v>
      </c>
      <c r="DD260" s="82" t="s">
        <v>1025</v>
      </c>
    </row>
    <row r="261" spans="1:108" ht="16.5" customHeight="1" x14ac:dyDescent="0.25">
      <c r="A261">
        <v>30</v>
      </c>
      <c r="B261">
        <v>844366</v>
      </c>
      <c r="C261">
        <v>2</v>
      </c>
      <c r="D261">
        <v>14</v>
      </c>
      <c r="E261">
        <v>207.92500000000001</v>
      </c>
      <c r="F261">
        <v>55</v>
      </c>
      <c r="H261" t="s">
        <v>623</v>
      </c>
      <c r="I261">
        <v>6</v>
      </c>
      <c r="J261">
        <v>21</v>
      </c>
      <c r="L261">
        <v>20104201</v>
      </c>
      <c r="M261">
        <v>202620305</v>
      </c>
      <c r="N261">
        <v>9</v>
      </c>
      <c r="O261">
        <v>18</v>
      </c>
      <c r="P261">
        <v>2020</v>
      </c>
      <c r="Q261" t="s">
        <v>638</v>
      </c>
      <c r="R261">
        <v>11</v>
      </c>
      <c r="S261" t="s">
        <v>646</v>
      </c>
      <c r="T261">
        <v>5</v>
      </c>
      <c r="U261">
        <v>0</v>
      </c>
      <c r="V261">
        <v>2</v>
      </c>
      <c r="X261">
        <v>48</v>
      </c>
      <c r="Y261">
        <v>3</v>
      </c>
      <c r="Z261">
        <v>1</v>
      </c>
      <c r="AA261">
        <v>1</v>
      </c>
      <c r="AC261">
        <v>1</v>
      </c>
      <c r="AD261">
        <v>98</v>
      </c>
      <c r="AE261" t="s">
        <v>990</v>
      </c>
      <c r="AG261" t="s">
        <v>991</v>
      </c>
      <c r="AH261">
        <v>90</v>
      </c>
      <c r="AI261">
        <v>2</v>
      </c>
      <c r="AJ261">
        <v>2</v>
      </c>
      <c r="AK261">
        <v>3</v>
      </c>
      <c r="AL261">
        <v>21</v>
      </c>
      <c r="AM261">
        <v>36</v>
      </c>
      <c r="AN261" t="s">
        <v>620</v>
      </c>
      <c r="AO261">
        <v>5</v>
      </c>
      <c r="AP261">
        <v>71</v>
      </c>
      <c r="AT261">
        <v>14</v>
      </c>
      <c r="AU261">
        <v>9</v>
      </c>
      <c r="AV261">
        <v>65</v>
      </c>
      <c r="AW261">
        <v>11</v>
      </c>
      <c r="AX261">
        <v>21</v>
      </c>
      <c r="AY261">
        <v>2</v>
      </c>
      <c r="AZ261">
        <v>2</v>
      </c>
      <c r="BA261">
        <v>3</v>
      </c>
      <c r="BB261">
        <v>24</v>
      </c>
      <c r="BC261">
        <v>26</v>
      </c>
      <c r="BD261" t="s">
        <v>614</v>
      </c>
      <c r="BE261">
        <v>5</v>
      </c>
      <c r="BF261">
        <v>2</v>
      </c>
      <c r="BJ261">
        <v>14</v>
      </c>
      <c r="BK261">
        <v>9</v>
      </c>
      <c r="BL261">
        <v>65</v>
      </c>
      <c r="BM261">
        <v>11</v>
      </c>
      <c r="BN261">
        <v>21</v>
      </c>
      <c r="CU261">
        <v>535406.36479999998</v>
      </c>
      <c r="CV261">
        <v>4875592.9159000004</v>
      </c>
      <c r="CW261">
        <v>44.032647150000003</v>
      </c>
      <c r="CX261">
        <v>-92.55814685</v>
      </c>
      <c r="CY261" s="319">
        <v>44092.478472222225</v>
      </c>
      <c r="CZ261" t="s">
        <v>615</v>
      </c>
      <c r="DA261" t="s">
        <v>664</v>
      </c>
      <c r="DB261" t="s">
        <v>757</v>
      </c>
      <c r="DC261" t="s">
        <v>758</v>
      </c>
      <c r="DD261" t="s">
        <v>1026</v>
      </c>
    </row>
    <row r="262" spans="1:108" ht="16.5" customHeight="1" x14ac:dyDescent="0.25">
      <c r="A262">
        <v>30</v>
      </c>
      <c r="B262">
        <v>893958</v>
      </c>
      <c r="C262">
        <v>2</v>
      </c>
      <c r="D262">
        <v>14</v>
      </c>
      <c r="E262">
        <v>207.92699999999999</v>
      </c>
      <c r="F262">
        <v>55</v>
      </c>
      <c r="H262" t="s">
        <v>623</v>
      </c>
      <c r="I262">
        <v>6</v>
      </c>
      <c r="J262">
        <v>21</v>
      </c>
      <c r="L262">
        <v>21100863</v>
      </c>
      <c r="M262">
        <v>210490401</v>
      </c>
      <c r="N262">
        <v>2</v>
      </c>
      <c r="O262">
        <v>18</v>
      </c>
      <c r="P262">
        <v>2021</v>
      </c>
      <c r="Q262" t="s">
        <v>619</v>
      </c>
      <c r="R262">
        <v>16</v>
      </c>
      <c r="S262" t="s">
        <v>639</v>
      </c>
      <c r="T262">
        <v>5</v>
      </c>
      <c r="U262">
        <v>0</v>
      </c>
      <c r="V262">
        <v>2</v>
      </c>
      <c r="W262">
        <v>5</v>
      </c>
      <c r="X262">
        <v>10</v>
      </c>
      <c r="Y262">
        <v>10</v>
      </c>
      <c r="Z262">
        <v>1</v>
      </c>
      <c r="AA262">
        <v>1</v>
      </c>
      <c r="AC262">
        <v>1</v>
      </c>
      <c r="AD262">
        <v>98</v>
      </c>
      <c r="AE262" t="s">
        <v>990</v>
      </c>
      <c r="AG262" t="s">
        <v>996</v>
      </c>
      <c r="AH262">
        <v>10</v>
      </c>
      <c r="AI262">
        <v>2</v>
      </c>
      <c r="AJ262">
        <v>4</v>
      </c>
      <c r="AK262">
        <v>2</v>
      </c>
      <c r="AL262">
        <v>21</v>
      </c>
      <c r="AM262">
        <v>33</v>
      </c>
      <c r="AN262" t="s">
        <v>620</v>
      </c>
      <c r="AO262">
        <v>5</v>
      </c>
      <c r="AP262">
        <v>2</v>
      </c>
      <c r="AT262">
        <v>12</v>
      </c>
      <c r="AU262">
        <v>23</v>
      </c>
      <c r="AV262">
        <v>55</v>
      </c>
      <c r="AW262">
        <v>11</v>
      </c>
      <c r="AX262">
        <v>21</v>
      </c>
      <c r="AY262">
        <v>2</v>
      </c>
      <c r="AZ262">
        <v>4</v>
      </c>
      <c r="BA262">
        <v>4</v>
      </c>
      <c r="BB262">
        <v>21</v>
      </c>
      <c r="BC262">
        <v>25</v>
      </c>
      <c r="BD262" t="s">
        <v>620</v>
      </c>
      <c r="BE262">
        <v>5</v>
      </c>
      <c r="BF262">
        <v>1</v>
      </c>
      <c r="BJ262">
        <v>15</v>
      </c>
      <c r="BK262">
        <v>9</v>
      </c>
      <c r="BL262">
        <v>65</v>
      </c>
      <c r="BM262">
        <v>11</v>
      </c>
      <c r="BN262">
        <v>21</v>
      </c>
      <c r="CU262">
        <v>535407.40689999994</v>
      </c>
      <c r="CV262">
        <v>4875624.6728999997</v>
      </c>
      <c r="CW262">
        <v>44.032933010000001</v>
      </c>
      <c r="CX262">
        <v>-92.558131720000006</v>
      </c>
      <c r="CY262" s="319">
        <v>44245.691666666666</v>
      </c>
      <c r="CZ262" t="s">
        <v>615</v>
      </c>
      <c r="DA262" t="s">
        <v>664</v>
      </c>
      <c r="DB262" t="s">
        <v>757</v>
      </c>
      <c r="DC262" t="s">
        <v>758</v>
      </c>
      <c r="DD262" s="82" t="s">
        <v>1027</v>
      </c>
    </row>
    <row r="263" spans="1:108" ht="16.5" customHeight="1" x14ac:dyDescent="0.25">
      <c r="A263">
        <v>30</v>
      </c>
      <c r="B263">
        <v>898850</v>
      </c>
      <c r="C263">
        <v>2</v>
      </c>
      <c r="D263">
        <v>14</v>
      </c>
      <c r="E263">
        <v>207.928</v>
      </c>
      <c r="F263">
        <v>55</v>
      </c>
      <c r="H263" t="s">
        <v>623</v>
      </c>
      <c r="I263">
        <v>6</v>
      </c>
      <c r="J263">
        <v>21</v>
      </c>
      <c r="L263">
        <v>21101639</v>
      </c>
      <c r="M263">
        <v>210920102</v>
      </c>
      <c r="N263">
        <v>4</v>
      </c>
      <c r="O263">
        <v>2</v>
      </c>
      <c r="P263">
        <v>2021</v>
      </c>
      <c r="Q263" t="s">
        <v>638</v>
      </c>
      <c r="R263">
        <v>17</v>
      </c>
      <c r="S263" t="s">
        <v>639</v>
      </c>
      <c r="T263">
        <v>5</v>
      </c>
      <c r="U263">
        <v>0</v>
      </c>
      <c r="V263">
        <v>2</v>
      </c>
      <c r="W263">
        <v>5</v>
      </c>
      <c r="X263">
        <v>10</v>
      </c>
      <c r="Y263">
        <v>10</v>
      </c>
      <c r="Z263">
        <v>1</v>
      </c>
      <c r="AA263">
        <v>1</v>
      </c>
      <c r="AC263">
        <v>1</v>
      </c>
      <c r="AD263">
        <v>98</v>
      </c>
      <c r="AE263" t="s">
        <v>990</v>
      </c>
      <c r="AG263" t="s">
        <v>996</v>
      </c>
      <c r="AH263">
        <v>10</v>
      </c>
      <c r="AI263">
        <v>2</v>
      </c>
      <c r="AJ263">
        <v>3</v>
      </c>
      <c r="AK263">
        <v>2</v>
      </c>
      <c r="AL263">
        <v>21</v>
      </c>
      <c r="AM263">
        <v>36</v>
      </c>
      <c r="AN263" t="s">
        <v>614</v>
      </c>
      <c r="AO263">
        <v>5</v>
      </c>
      <c r="AP263">
        <v>2</v>
      </c>
      <c r="AT263">
        <v>12</v>
      </c>
      <c r="AU263">
        <v>23</v>
      </c>
      <c r="AV263">
        <v>55</v>
      </c>
      <c r="AW263">
        <v>11</v>
      </c>
      <c r="AX263">
        <v>21</v>
      </c>
      <c r="AY263">
        <v>2</v>
      </c>
      <c r="AZ263">
        <v>2</v>
      </c>
      <c r="BA263">
        <v>4</v>
      </c>
      <c r="BB263">
        <v>21</v>
      </c>
      <c r="BC263">
        <v>19</v>
      </c>
      <c r="BD263" t="s">
        <v>620</v>
      </c>
      <c r="BE263">
        <v>5</v>
      </c>
      <c r="BF263">
        <v>1</v>
      </c>
      <c r="BJ263">
        <v>15</v>
      </c>
      <c r="BK263">
        <v>9</v>
      </c>
      <c r="BL263">
        <v>65</v>
      </c>
      <c r="BM263">
        <v>11</v>
      </c>
      <c r="BN263">
        <v>21</v>
      </c>
      <c r="CU263">
        <v>535408.2352</v>
      </c>
      <c r="CV263">
        <v>4875625.3638000004</v>
      </c>
      <c r="CW263">
        <v>44.03293919</v>
      </c>
      <c r="CX263">
        <v>-92.55812134</v>
      </c>
      <c r="CY263" s="319">
        <v>44288.708333333336</v>
      </c>
      <c r="CZ263" t="s">
        <v>615</v>
      </c>
      <c r="DA263" t="s">
        <v>664</v>
      </c>
      <c r="DB263" t="s">
        <v>757</v>
      </c>
      <c r="DC263" t="s">
        <v>758</v>
      </c>
      <c r="DD263" s="82" t="s">
        <v>1028</v>
      </c>
    </row>
    <row r="264" spans="1:108" ht="16.5" customHeight="1" x14ac:dyDescent="0.25">
      <c r="A264">
        <v>30</v>
      </c>
      <c r="B264">
        <v>739118</v>
      </c>
      <c r="C264">
        <v>2</v>
      </c>
      <c r="D264">
        <v>14</v>
      </c>
      <c r="E264">
        <v>207.928</v>
      </c>
      <c r="F264">
        <v>55</v>
      </c>
      <c r="H264" t="s">
        <v>623</v>
      </c>
      <c r="I264">
        <v>6</v>
      </c>
      <c r="J264">
        <v>21</v>
      </c>
      <c r="L264">
        <v>19103863</v>
      </c>
      <c r="M264">
        <v>192190242</v>
      </c>
      <c r="N264">
        <v>8</v>
      </c>
      <c r="O264">
        <v>7</v>
      </c>
      <c r="P264">
        <v>2019</v>
      </c>
      <c r="Q264" t="s">
        <v>645</v>
      </c>
      <c r="R264">
        <v>17</v>
      </c>
      <c r="S264">
        <v>98</v>
      </c>
      <c r="T264">
        <v>5</v>
      </c>
      <c r="U264">
        <v>0</v>
      </c>
      <c r="V264">
        <v>2</v>
      </c>
      <c r="W264">
        <v>12</v>
      </c>
      <c r="X264">
        <v>10</v>
      </c>
      <c r="Y264">
        <v>28</v>
      </c>
      <c r="Z264">
        <v>1</v>
      </c>
      <c r="AA264">
        <v>1</v>
      </c>
      <c r="AC264">
        <v>1</v>
      </c>
      <c r="AD264">
        <v>98</v>
      </c>
      <c r="AE264" t="s">
        <v>990</v>
      </c>
      <c r="AG264" t="s">
        <v>991</v>
      </c>
      <c r="AH264">
        <v>7</v>
      </c>
      <c r="AI264">
        <v>2</v>
      </c>
      <c r="AJ264">
        <v>2</v>
      </c>
      <c r="AK264">
        <v>2</v>
      </c>
      <c r="AL264">
        <v>24</v>
      </c>
      <c r="AM264">
        <v>36</v>
      </c>
      <c r="AN264" t="s">
        <v>620</v>
      </c>
      <c r="AO264">
        <v>5</v>
      </c>
      <c r="AP264">
        <v>68</v>
      </c>
      <c r="AT264">
        <v>14</v>
      </c>
      <c r="AU264">
        <v>22</v>
      </c>
      <c r="AV264">
        <v>65</v>
      </c>
      <c r="AW264">
        <v>11</v>
      </c>
      <c r="AX264">
        <v>21</v>
      </c>
      <c r="AY264">
        <v>2</v>
      </c>
      <c r="AZ264">
        <v>2</v>
      </c>
      <c r="BA264">
        <v>2</v>
      </c>
      <c r="BB264">
        <v>34</v>
      </c>
      <c r="BC264">
        <v>32</v>
      </c>
      <c r="BD264" t="s">
        <v>620</v>
      </c>
      <c r="BE264">
        <v>5</v>
      </c>
      <c r="BF264">
        <v>1</v>
      </c>
      <c r="BJ264">
        <v>14</v>
      </c>
      <c r="BK264">
        <v>22</v>
      </c>
      <c r="BL264">
        <v>65</v>
      </c>
      <c r="BM264">
        <v>11</v>
      </c>
      <c r="BN264">
        <v>21</v>
      </c>
      <c r="CU264">
        <v>535410.07819999999</v>
      </c>
      <c r="CV264">
        <v>4875595.9774000002</v>
      </c>
      <c r="CW264">
        <v>44.032674530000001</v>
      </c>
      <c r="CX264">
        <v>-92.558100300000007</v>
      </c>
      <c r="CY264" s="319">
        <v>43684.727777777778</v>
      </c>
      <c r="CZ264" t="s">
        <v>615</v>
      </c>
      <c r="DA264" t="s">
        <v>664</v>
      </c>
      <c r="DB264" t="s">
        <v>757</v>
      </c>
      <c r="DC264" t="s">
        <v>758</v>
      </c>
      <c r="DD264" t="s">
        <v>1029</v>
      </c>
    </row>
    <row r="265" spans="1:108" ht="16.5" customHeight="1" x14ac:dyDescent="0.25">
      <c r="A265">
        <v>30</v>
      </c>
      <c r="B265">
        <v>735156</v>
      </c>
      <c r="C265">
        <v>2</v>
      </c>
      <c r="D265">
        <v>14</v>
      </c>
      <c r="E265">
        <v>207.934</v>
      </c>
      <c r="F265">
        <v>55</v>
      </c>
      <c r="H265" t="s">
        <v>623</v>
      </c>
      <c r="I265">
        <v>6</v>
      </c>
      <c r="J265">
        <v>21</v>
      </c>
      <c r="L265">
        <v>19103563</v>
      </c>
      <c r="M265">
        <v>192020134</v>
      </c>
      <c r="N265">
        <v>7</v>
      </c>
      <c r="O265">
        <v>21</v>
      </c>
      <c r="P265">
        <v>2019</v>
      </c>
      <c r="Q265" t="s">
        <v>652</v>
      </c>
      <c r="R265">
        <v>11</v>
      </c>
      <c r="S265" t="s">
        <v>639</v>
      </c>
      <c r="T265">
        <v>5</v>
      </c>
      <c r="U265">
        <v>0</v>
      </c>
      <c r="V265">
        <v>2</v>
      </c>
      <c r="W265">
        <v>5</v>
      </c>
      <c r="X265">
        <v>10</v>
      </c>
      <c r="Y265">
        <v>3</v>
      </c>
      <c r="Z265">
        <v>1</v>
      </c>
      <c r="AA265">
        <v>1</v>
      </c>
      <c r="AC265">
        <v>1</v>
      </c>
      <c r="AD265">
        <v>98</v>
      </c>
      <c r="AE265" t="s">
        <v>990</v>
      </c>
      <c r="AG265" t="s">
        <v>996</v>
      </c>
      <c r="AH265">
        <v>10</v>
      </c>
      <c r="AI265">
        <v>2</v>
      </c>
      <c r="AJ265">
        <v>2</v>
      </c>
      <c r="AK265">
        <v>1</v>
      </c>
      <c r="AL265">
        <v>24</v>
      </c>
      <c r="AM265">
        <v>42</v>
      </c>
      <c r="AN265" t="s">
        <v>614</v>
      </c>
      <c r="AO265">
        <v>5</v>
      </c>
      <c r="AP265">
        <v>70</v>
      </c>
      <c r="AT265">
        <v>14</v>
      </c>
      <c r="AU265">
        <v>9</v>
      </c>
      <c r="AV265">
        <v>65</v>
      </c>
      <c r="AW265">
        <v>11</v>
      </c>
      <c r="AX265">
        <v>21</v>
      </c>
      <c r="AY265">
        <v>2</v>
      </c>
      <c r="AZ265">
        <v>4</v>
      </c>
      <c r="BA265">
        <v>4</v>
      </c>
      <c r="BB265">
        <v>21</v>
      </c>
      <c r="BC265">
        <v>80</v>
      </c>
      <c r="BD265" t="s">
        <v>614</v>
      </c>
      <c r="BE265">
        <v>5</v>
      </c>
      <c r="BF265">
        <v>1</v>
      </c>
      <c r="BJ265">
        <v>14</v>
      </c>
      <c r="BK265">
        <v>9</v>
      </c>
      <c r="BL265">
        <v>65</v>
      </c>
      <c r="BM265">
        <v>11</v>
      </c>
      <c r="BN265">
        <v>21</v>
      </c>
      <c r="CU265">
        <v>535416.15040000004</v>
      </c>
      <c r="CV265">
        <v>4875631.9659000002</v>
      </c>
      <c r="CW265">
        <v>44.032998249999999</v>
      </c>
      <c r="CX265">
        <v>-92.558022120000004</v>
      </c>
      <c r="CY265" s="319">
        <v>43667.48333333333</v>
      </c>
      <c r="CZ265" t="s">
        <v>615</v>
      </c>
      <c r="DA265" t="s">
        <v>664</v>
      </c>
      <c r="DB265" t="s">
        <v>757</v>
      </c>
      <c r="DC265" t="s">
        <v>758</v>
      </c>
      <c r="DD265" t="s">
        <v>1030</v>
      </c>
    </row>
    <row r="266" spans="1:108" ht="16.5" customHeight="1" x14ac:dyDescent="0.25">
      <c r="A266">
        <v>30</v>
      </c>
      <c r="B266">
        <v>871582</v>
      </c>
      <c r="C266">
        <v>2</v>
      </c>
      <c r="D266">
        <v>14</v>
      </c>
      <c r="E266">
        <v>207.934</v>
      </c>
      <c r="F266">
        <v>55</v>
      </c>
      <c r="H266" t="s">
        <v>623</v>
      </c>
      <c r="I266">
        <v>6</v>
      </c>
      <c r="J266">
        <v>21</v>
      </c>
      <c r="L266">
        <v>20105772</v>
      </c>
      <c r="M266">
        <v>203640146</v>
      </c>
      <c r="N266">
        <v>12</v>
      </c>
      <c r="O266">
        <v>29</v>
      </c>
      <c r="P266">
        <v>2020</v>
      </c>
      <c r="Q266" t="s">
        <v>625</v>
      </c>
      <c r="R266">
        <v>17</v>
      </c>
      <c r="S266" t="s">
        <v>639</v>
      </c>
      <c r="T266">
        <v>5</v>
      </c>
      <c r="U266">
        <v>0</v>
      </c>
      <c r="V266">
        <v>2</v>
      </c>
      <c r="W266">
        <v>13</v>
      </c>
      <c r="X266">
        <v>10</v>
      </c>
      <c r="Y266">
        <v>10</v>
      </c>
      <c r="Z266">
        <v>4</v>
      </c>
      <c r="AA266">
        <v>4</v>
      </c>
      <c r="AB266">
        <v>7</v>
      </c>
      <c r="AC266">
        <v>5</v>
      </c>
      <c r="AD266">
        <v>98</v>
      </c>
      <c r="AE266" t="s">
        <v>990</v>
      </c>
      <c r="AG266" t="s">
        <v>996</v>
      </c>
      <c r="AH266">
        <v>7</v>
      </c>
      <c r="AI266">
        <v>2</v>
      </c>
      <c r="AJ266">
        <v>2</v>
      </c>
      <c r="AK266">
        <v>4</v>
      </c>
      <c r="AL266">
        <v>21</v>
      </c>
      <c r="AM266">
        <v>26</v>
      </c>
      <c r="AN266" t="s">
        <v>620</v>
      </c>
      <c r="AO266">
        <v>5</v>
      </c>
      <c r="AP266">
        <v>71</v>
      </c>
      <c r="AT266">
        <v>15</v>
      </c>
      <c r="AU266">
        <v>9</v>
      </c>
      <c r="AV266">
        <v>65</v>
      </c>
      <c r="AW266">
        <v>11</v>
      </c>
      <c r="AX266">
        <v>21</v>
      </c>
      <c r="AY266">
        <v>2</v>
      </c>
      <c r="AZ266">
        <v>4</v>
      </c>
      <c r="BA266">
        <v>4</v>
      </c>
      <c r="BB266">
        <v>21</v>
      </c>
      <c r="BC266">
        <v>24</v>
      </c>
      <c r="BD266" t="s">
        <v>620</v>
      </c>
      <c r="BE266">
        <v>5</v>
      </c>
      <c r="BF266">
        <v>4</v>
      </c>
      <c r="BJ266">
        <v>15</v>
      </c>
      <c r="BK266">
        <v>9</v>
      </c>
      <c r="BL266">
        <v>65</v>
      </c>
      <c r="BM266">
        <v>11</v>
      </c>
      <c r="BN266">
        <v>21</v>
      </c>
      <c r="CU266">
        <v>535416.56449999998</v>
      </c>
      <c r="CV266">
        <v>4875632.3113000002</v>
      </c>
      <c r="CW266">
        <v>44.033001339999998</v>
      </c>
      <c r="CX266">
        <v>-92.558016929999994</v>
      </c>
      <c r="CY266" s="319">
        <v>44194.723611111112</v>
      </c>
      <c r="CZ266" t="s">
        <v>615</v>
      </c>
      <c r="DA266" t="s">
        <v>664</v>
      </c>
      <c r="DB266" t="s">
        <v>757</v>
      </c>
      <c r="DC266" t="s">
        <v>758</v>
      </c>
      <c r="DD266" s="82" t="s">
        <v>1031</v>
      </c>
    </row>
    <row r="267" spans="1:108" ht="16.5" customHeight="1" x14ac:dyDescent="0.25">
      <c r="A267">
        <v>30</v>
      </c>
      <c r="B267">
        <v>631956</v>
      </c>
      <c r="C267">
        <v>2</v>
      </c>
      <c r="D267">
        <v>14</v>
      </c>
      <c r="E267">
        <v>207.93600000000001</v>
      </c>
      <c r="F267">
        <v>55</v>
      </c>
      <c r="H267" t="s">
        <v>623</v>
      </c>
      <c r="I267">
        <v>6</v>
      </c>
      <c r="J267">
        <v>21</v>
      </c>
      <c r="L267">
        <v>18104217</v>
      </c>
      <c r="M267">
        <v>182420243</v>
      </c>
      <c r="N267">
        <v>8</v>
      </c>
      <c r="O267">
        <v>30</v>
      </c>
      <c r="P267">
        <v>2018</v>
      </c>
      <c r="Q267" t="s">
        <v>619</v>
      </c>
      <c r="R267">
        <v>7</v>
      </c>
      <c r="S267" t="s">
        <v>639</v>
      </c>
      <c r="T267">
        <v>4</v>
      </c>
      <c r="U267">
        <v>0</v>
      </c>
      <c r="V267">
        <v>2</v>
      </c>
      <c r="W267">
        <v>5</v>
      </c>
      <c r="X267">
        <v>10</v>
      </c>
      <c r="Y267">
        <v>3</v>
      </c>
      <c r="Z267">
        <v>1</v>
      </c>
      <c r="AA267">
        <v>1</v>
      </c>
      <c r="AC267">
        <v>1</v>
      </c>
      <c r="AD267">
        <v>98</v>
      </c>
      <c r="AE267" t="s">
        <v>1032</v>
      </c>
      <c r="AF267" t="s">
        <v>1021</v>
      </c>
      <c r="AG267" t="s">
        <v>996</v>
      </c>
      <c r="AH267">
        <v>10</v>
      </c>
      <c r="AI267">
        <v>2</v>
      </c>
      <c r="AJ267">
        <v>2</v>
      </c>
      <c r="AK267">
        <v>2</v>
      </c>
      <c r="AL267">
        <v>31</v>
      </c>
      <c r="AM267">
        <v>30</v>
      </c>
      <c r="AN267" t="s">
        <v>620</v>
      </c>
      <c r="AO267">
        <v>5</v>
      </c>
      <c r="AP267">
        <v>2</v>
      </c>
      <c r="AT267">
        <v>12</v>
      </c>
      <c r="AU267">
        <v>23</v>
      </c>
      <c r="AV267">
        <v>55</v>
      </c>
      <c r="AW267">
        <v>11</v>
      </c>
      <c r="AX267">
        <v>21</v>
      </c>
      <c r="AY267">
        <v>2</v>
      </c>
      <c r="AZ267">
        <v>2</v>
      </c>
      <c r="BA267">
        <v>4</v>
      </c>
      <c r="BB267">
        <v>21</v>
      </c>
      <c r="BC267">
        <v>30</v>
      </c>
      <c r="BD267" t="s">
        <v>620</v>
      </c>
      <c r="BE267">
        <v>5</v>
      </c>
      <c r="BF267">
        <v>1</v>
      </c>
      <c r="BJ267">
        <v>12</v>
      </c>
      <c r="BK267">
        <v>9</v>
      </c>
      <c r="BL267">
        <v>65</v>
      </c>
      <c r="BM267">
        <v>11</v>
      </c>
      <c r="BN267">
        <v>21</v>
      </c>
      <c r="CU267">
        <v>535419.06099999999</v>
      </c>
      <c r="CV267">
        <v>4875634.3936999999</v>
      </c>
      <c r="CW267">
        <v>44.033019969999998</v>
      </c>
      <c r="CX267">
        <v>-92.557985630000005</v>
      </c>
      <c r="CY267" s="319">
        <v>43342.323611111111</v>
      </c>
      <c r="CZ267" t="s">
        <v>615</v>
      </c>
      <c r="DA267" t="s">
        <v>664</v>
      </c>
      <c r="DB267" t="s">
        <v>757</v>
      </c>
      <c r="DC267" t="s">
        <v>758</v>
      </c>
      <c r="DD267" s="82" t="s">
        <v>1033</v>
      </c>
    </row>
    <row r="268" spans="1:108" ht="16.5" customHeight="1" x14ac:dyDescent="0.25">
      <c r="A268">
        <v>30</v>
      </c>
      <c r="B268">
        <v>971564</v>
      </c>
      <c r="C268">
        <v>2</v>
      </c>
      <c r="D268">
        <v>14</v>
      </c>
      <c r="E268">
        <v>207.93799999999999</v>
      </c>
      <c r="F268">
        <v>55</v>
      </c>
      <c r="H268" t="s">
        <v>623</v>
      </c>
      <c r="I268">
        <v>6</v>
      </c>
      <c r="J268">
        <v>21</v>
      </c>
      <c r="L268">
        <v>21104855</v>
      </c>
      <c r="M268">
        <v>213090046</v>
      </c>
      <c r="N268">
        <v>11</v>
      </c>
      <c r="O268">
        <v>5</v>
      </c>
      <c r="P268">
        <v>2021</v>
      </c>
      <c r="Q268" t="s">
        <v>638</v>
      </c>
      <c r="R268">
        <v>7</v>
      </c>
      <c r="S268" t="s">
        <v>639</v>
      </c>
      <c r="T268">
        <v>3</v>
      </c>
      <c r="U268">
        <v>0</v>
      </c>
      <c r="V268">
        <v>2</v>
      </c>
      <c r="W268">
        <v>5</v>
      </c>
      <c r="X268">
        <v>10</v>
      </c>
      <c r="Y268">
        <v>3</v>
      </c>
      <c r="Z268">
        <v>4</v>
      </c>
      <c r="AA268">
        <v>1</v>
      </c>
      <c r="AC268">
        <v>1</v>
      </c>
      <c r="AD268">
        <v>98</v>
      </c>
      <c r="AE268" t="s">
        <v>990</v>
      </c>
      <c r="AF268" t="s">
        <v>1034</v>
      </c>
      <c r="AG268" t="s">
        <v>996</v>
      </c>
      <c r="AH268">
        <v>10</v>
      </c>
      <c r="AI268">
        <v>2</v>
      </c>
      <c r="AJ268">
        <v>3</v>
      </c>
      <c r="AK268">
        <v>1</v>
      </c>
      <c r="AL268">
        <v>24</v>
      </c>
      <c r="AM268">
        <v>36</v>
      </c>
      <c r="AN268" t="s">
        <v>614</v>
      </c>
      <c r="AO268">
        <v>5</v>
      </c>
      <c r="AP268">
        <v>2</v>
      </c>
      <c r="AT268">
        <v>14</v>
      </c>
      <c r="AU268">
        <v>9</v>
      </c>
      <c r="AV268">
        <v>65</v>
      </c>
      <c r="AW268">
        <v>11</v>
      </c>
      <c r="AX268">
        <v>21</v>
      </c>
      <c r="AY268">
        <v>2</v>
      </c>
      <c r="AZ268">
        <v>2</v>
      </c>
      <c r="BA268">
        <v>4</v>
      </c>
      <c r="BB268">
        <v>21</v>
      </c>
      <c r="BC268">
        <v>46</v>
      </c>
      <c r="BD268" t="s">
        <v>614</v>
      </c>
      <c r="BE268">
        <v>5</v>
      </c>
      <c r="BF268">
        <v>1</v>
      </c>
      <c r="BJ268">
        <v>14</v>
      </c>
      <c r="BK268">
        <v>9</v>
      </c>
      <c r="BL268">
        <v>65</v>
      </c>
      <c r="BM268">
        <v>11</v>
      </c>
      <c r="BN268">
        <v>21</v>
      </c>
      <c r="CU268">
        <v>535421.51839999994</v>
      </c>
      <c r="CV268">
        <v>4875636.4434000002</v>
      </c>
      <c r="CW268">
        <v>44.033038300000001</v>
      </c>
      <c r="CX268">
        <v>-92.55795483</v>
      </c>
      <c r="CY268" s="319">
        <v>44505.292361111111</v>
      </c>
      <c r="CZ268" t="s">
        <v>615</v>
      </c>
      <c r="DA268" t="s">
        <v>664</v>
      </c>
      <c r="DB268" t="s">
        <v>757</v>
      </c>
      <c r="DC268" t="s">
        <v>758</v>
      </c>
      <c r="DD268" t="s">
        <v>1035</v>
      </c>
    </row>
    <row r="269" spans="1:108" ht="16.5" customHeight="1" x14ac:dyDescent="0.25">
      <c r="A269">
        <v>30</v>
      </c>
      <c r="B269">
        <v>669032</v>
      </c>
      <c r="C269">
        <v>2</v>
      </c>
      <c r="D269">
        <v>14</v>
      </c>
      <c r="E269">
        <v>207.947</v>
      </c>
      <c r="F269">
        <v>55</v>
      </c>
      <c r="H269" t="s">
        <v>623</v>
      </c>
      <c r="I269">
        <v>6</v>
      </c>
      <c r="J269">
        <v>21</v>
      </c>
      <c r="L269">
        <v>18106135</v>
      </c>
      <c r="M269">
        <v>183510085</v>
      </c>
      <c r="N269">
        <v>12</v>
      </c>
      <c r="O269">
        <v>17</v>
      </c>
      <c r="P269">
        <v>2018</v>
      </c>
      <c r="Q269" t="s">
        <v>610</v>
      </c>
      <c r="R269">
        <v>12</v>
      </c>
      <c r="S269" t="s">
        <v>639</v>
      </c>
      <c r="T269">
        <v>4</v>
      </c>
      <c r="U269">
        <v>0</v>
      </c>
      <c r="V269">
        <v>2</v>
      </c>
      <c r="W269">
        <v>5</v>
      </c>
      <c r="X269">
        <v>10</v>
      </c>
      <c r="Y269">
        <v>3</v>
      </c>
      <c r="Z269">
        <v>1</v>
      </c>
      <c r="AA269">
        <v>1</v>
      </c>
      <c r="AC269">
        <v>1</v>
      </c>
      <c r="AD269">
        <v>98</v>
      </c>
      <c r="AE269" t="s">
        <v>990</v>
      </c>
      <c r="AG269" t="s">
        <v>991</v>
      </c>
      <c r="AH269">
        <v>10</v>
      </c>
      <c r="AI269">
        <v>2</v>
      </c>
      <c r="AJ269">
        <v>2</v>
      </c>
      <c r="AK269">
        <v>2</v>
      </c>
      <c r="AL269">
        <v>21</v>
      </c>
      <c r="AM269">
        <v>79</v>
      </c>
      <c r="AN269" t="s">
        <v>620</v>
      </c>
      <c r="AO269">
        <v>5</v>
      </c>
      <c r="AP269">
        <v>2</v>
      </c>
      <c r="AT269">
        <v>14</v>
      </c>
      <c r="AU269">
        <v>23</v>
      </c>
      <c r="AV269">
        <v>55</v>
      </c>
      <c r="AW269">
        <v>11</v>
      </c>
      <c r="AX269">
        <v>21</v>
      </c>
      <c r="AY269">
        <v>2</v>
      </c>
      <c r="AZ269">
        <v>2</v>
      </c>
      <c r="BA269">
        <v>2</v>
      </c>
      <c r="BB269">
        <v>21</v>
      </c>
      <c r="BC269">
        <v>18</v>
      </c>
      <c r="BD269" t="s">
        <v>620</v>
      </c>
      <c r="BE269">
        <v>5</v>
      </c>
      <c r="BF269">
        <v>1</v>
      </c>
      <c r="BJ269">
        <v>14</v>
      </c>
      <c r="BK269">
        <v>23</v>
      </c>
      <c r="BL269">
        <v>55</v>
      </c>
      <c r="BM269">
        <v>11</v>
      </c>
      <c r="BN269">
        <v>21</v>
      </c>
      <c r="CU269">
        <v>535433.49369999999</v>
      </c>
      <c r="CV269">
        <v>4875615.2829</v>
      </c>
      <c r="CW269">
        <v>44.03284721</v>
      </c>
      <c r="CX269">
        <v>-92.557806799999994</v>
      </c>
      <c r="CY269" s="319">
        <v>43451.503472222219</v>
      </c>
      <c r="CZ269" t="s">
        <v>615</v>
      </c>
      <c r="DA269" t="s">
        <v>664</v>
      </c>
      <c r="DB269" t="s">
        <v>757</v>
      </c>
      <c r="DC269" t="s">
        <v>758</v>
      </c>
      <c r="DD269" t="s">
        <v>1036</v>
      </c>
    </row>
    <row r="270" spans="1:108" ht="16.5" customHeight="1" x14ac:dyDescent="0.25">
      <c r="A270">
        <v>30</v>
      </c>
      <c r="B270">
        <v>768803</v>
      </c>
      <c r="C270">
        <v>2</v>
      </c>
      <c r="D270">
        <v>14</v>
      </c>
      <c r="E270">
        <v>207.94900000000001</v>
      </c>
      <c r="F270">
        <v>55</v>
      </c>
      <c r="H270" t="s">
        <v>623</v>
      </c>
      <c r="I270">
        <v>6</v>
      </c>
      <c r="J270">
        <v>21</v>
      </c>
      <c r="L270">
        <v>19105893</v>
      </c>
      <c r="M270">
        <v>193410041</v>
      </c>
      <c r="N270">
        <v>12</v>
      </c>
      <c r="O270">
        <v>7</v>
      </c>
      <c r="P270">
        <v>2019</v>
      </c>
      <c r="Q270" t="s">
        <v>655</v>
      </c>
      <c r="R270">
        <v>11</v>
      </c>
      <c r="S270" t="s">
        <v>646</v>
      </c>
      <c r="T270">
        <v>3</v>
      </c>
      <c r="U270">
        <v>0</v>
      </c>
      <c r="V270">
        <v>2</v>
      </c>
      <c r="W270">
        <v>5</v>
      </c>
      <c r="X270">
        <v>10</v>
      </c>
      <c r="Y270">
        <v>2</v>
      </c>
      <c r="Z270">
        <v>1</v>
      </c>
      <c r="AA270">
        <v>1</v>
      </c>
      <c r="AC270">
        <v>1</v>
      </c>
      <c r="AD270">
        <v>98</v>
      </c>
      <c r="AE270" t="s">
        <v>990</v>
      </c>
      <c r="AG270" t="s">
        <v>991</v>
      </c>
      <c r="AH270">
        <v>10</v>
      </c>
      <c r="AI270">
        <v>2</v>
      </c>
      <c r="AJ270">
        <v>5</v>
      </c>
      <c r="AK270">
        <v>3</v>
      </c>
      <c r="AL270">
        <v>27</v>
      </c>
      <c r="AM270">
        <v>46</v>
      </c>
      <c r="AN270" t="s">
        <v>620</v>
      </c>
      <c r="AO270">
        <v>5</v>
      </c>
      <c r="AP270">
        <v>1</v>
      </c>
      <c r="AT270">
        <v>14</v>
      </c>
      <c r="AU270">
        <v>9</v>
      </c>
      <c r="AV270">
        <v>65</v>
      </c>
      <c r="AW270">
        <v>11</v>
      </c>
      <c r="AX270">
        <v>21</v>
      </c>
      <c r="AY270">
        <v>2</v>
      </c>
      <c r="AZ270">
        <v>4</v>
      </c>
      <c r="BA270">
        <v>3</v>
      </c>
      <c r="BB270">
        <v>21</v>
      </c>
      <c r="BC270">
        <v>38</v>
      </c>
      <c r="BD270" t="s">
        <v>614</v>
      </c>
      <c r="BE270">
        <v>5</v>
      </c>
      <c r="BF270">
        <v>1</v>
      </c>
      <c r="BJ270">
        <v>14</v>
      </c>
      <c r="BK270">
        <v>9</v>
      </c>
      <c r="BL270">
        <v>65</v>
      </c>
      <c r="BM270">
        <v>11</v>
      </c>
      <c r="BN270">
        <v>21</v>
      </c>
      <c r="CU270">
        <v>535436.47349999996</v>
      </c>
      <c r="CV270">
        <v>4875617.7396</v>
      </c>
      <c r="CW270">
        <v>44.03286919</v>
      </c>
      <c r="CX270">
        <v>-92.557769449999995</v>
      </c>
      <c r="CY270" s="319">
        <v>43806.472916666666</v>
      </c>
      <c r="CZ270" t="s">
        <v>615</v>
      </c>
      <c r="DA270" t="s">
        <v>664</v>
      </c>
      <c r="DB270" t="s">
        <v>757</v>
      </c>
      <c r="DC270" t="s">
        <v>758</v>
      </c>
      <c r="DD270" t="s">
        <v>1037</v>
      </c>
    </row>
    <row r="271" spans="1:108" ht="16.5" customHeight="1" x14ac:dyDescent="0.25">
      <c r="A271">
        <v>30</v>
      </c>
      <c r="B271">
        <v>636246</v>
      </c>
      <c r="C271">
        <v>4</v>
      </c>
      <c r="D271">
        <v>44</v>
      </c>
      <c r="E271">
        <v>3.0009999999999999</v>
      </c>
      <c r="F271">
        <v>55</v>
      </c>
      <c r="H271" t="s">
        <v>608</v>
      </c>
      <c r="I271">
        <v>6</v>
      </c>
      <c r="J271">
        <v>21</v>
      </c>
      <c r="L271">
        <v>18104537</v>
      </c>
      <c r="M271">
        <v>182610225</v>
      </c>
      <c r="N271">
        <v>9</v>
      </c>
      <c r="O271">
        <v>18</v>
      </c>
      <c r="P271">
        <v>2018</v>
      </c>
      <c r="Q271" t="s">
        <v>625</v>
      </c>
      <c r="R271">
        <v>13</v>
      </c>
      <c r="S271">
        <v>98</v>
      </c>
      <c r="T271">
        <v>5</v>
      </c>
      <c r="U271">
        <v>0</v>
      </c>
      <c r="V271">
        <v>2</v>
      </c>
      <c r="W271">
        <v>12</v>
      </c>
      <c r="X271">
        <v>10</v>
      </c>
      <c r="Y271">
        <v>3</v>
      </c>
      <c r="Z271">
        <v>1</v>
      </c>
      <c r="AA271">
        <v>2</v>
      </c>
      <c r="AC271">
        <v>1</v>
      </c>
      <c r="AD271">
        <v>98</v>
      </c>
      <c r="AE271" t="s">
        <v>612</v>
      </c>
      <c r="AG271" t="s">
        <v>613</v>
      </c>
      <c r="AH271">
        <v>7</v>
      </c>
      <c r="AI271">
        <v>2</v>
      </c>
      <c r="AJ271">
        <v>3</v>
      </c>
      <c r="AK271">
        <v>1</v>
      </c>
      <c r="AL271">
        <v>23</v>
      </c>
      <c r="AM271">
        <v>27</v>
      </c>
      <c r="AN271" t="s">
        <v>614</v>
      </c>
      <c r="AO271">
        <v>5</v>
      </c>
      <c r="AP271">
        <v>1</v>
      </c>
      <c r="AT271">
        <v>13</v>
      </c>
      <c r="AU271">
        <v>22</v>
      </c>
      <c r="AV271">
        <v>55</v>
      </c>
      <c r="AW271">
        <v>11</v>
      </c>
      <c r="AX271">
        <v>21</v>
      </c>
      <c r="AY271">
        <v>2</v>
      </c>
      <c r="AZ271">
        <v>2</v>
      </c>
      <c r="BA271">
        <v>1</v>
      </c>
      <c r="BB271">
        <v>21</v>
      </c>
      <c r="BC271">
        <v>76</v>
      </c>
      <c r="BD271" t="s">
        <v>620</v>
      </c>
      <c r="BE271">
        <v>5</v>
      </c>
      <c r="BF271">
        <v>2</v>
      </c>
      <c r="BJ271">
        <v>12</v>
      </c>
      <c r="BK271">
        <v>23</v>
      </c>
      <c r="BL271">
        <v>55</v>
      </c>
      <c r="BM271">
        <v>11</v>
      </c>
      <c r="BN271">
        <v>21</v>
      </c>
      <c r="CU271">
        <v>535393.38470000005</v>
      </c>
      <c r="CV271">
        <v>4875553.2838000003</v>
      </c>
      <c r="CW271">
        <v>44.032290959999997</v>
      </c>
      <c r="CX271">
        <v>-92.55831148</v>
      </c>
      <c r="CY271" s="319">
        <v>43361.571527777778</v>
      </c>
      <c r="CZ271" t="s">
        <v>615</v>
      </c>
      <c r="DA271" t="s">
        <v>664</v>
      </c>
      <c r="DB271" t="s">
        <v>992</v>
      </c>
      <c r="DC271" t="s">
        <v>758</v>
      </c>
      <c r="DD271" t="s">
        <v>1038</v>
      </c>
    </row>
    <row r="272" spans="1:108" ht="16.5" customHeight="1" x14ac:dyDescent="0.25">
      <c r="A272">
        <v>30</v>
      </c>
      <c r="B272">
        <v>802676</v>
      </c>
      <c r="C272">
        <v>4</v>
      </c>
      <c r="D272">
        <v>44</v>
      </c>
      <c r="E272">
        <v>3.0139999999999998</v>
      </c>
      <c r="F272">
        <v>55</v>
      </c>
      <c r="H272" t="s">
        <v>623</v>
      </c>
      <c r="I272">
        <v>6</v>
      </c>
      <c r="J272">
        <v>21</v>
      </c>
      <c r="L272">
        <v>20101119</v>
      </c>
      <c r="M272">
        <v>200590276</v>
      </c>
      <c r="N272">
        <v>2</v>
      </c>
      <c r="O272">
        <v>28</v>
      </c>
      <c r="P272">
        <v>2020</v>
      </c>
      <c r="Q272" t="s">
        <v>638</v>
      </c>
      <c r="R272">
        <v>20</v>
      </c>
      <c r="S272" t="s">
        <v>646</v>
      </c>
      <c r="T272">
        <v>5</v>
      </c>
      <c r="U272">
        <v>0</v>
      </c>
      <c r="V272">
        <v>2</v>
      </c>
      <c r="W272">
        <v>5</v>
      </c>
      <c r="X272">
        <v>10</v>
      </c>
      <c r="Y272">
        <v>3</v>
      </c>
      <c r="Z272">
        <v>6</v>
      </c>
      <c r="AA272">
        <v>1</v>
      </c>
      <c r="AC272">
        <v>1</v>
      </c>
      <c r="AD272">
        <v>98</v>
      </c>
      <c r="AE272" t="s">
        <v>612</v>
      </c>
      <c r="AG272" t="s">
        <v>613</v>
      </c>
      <c r="AH272">
        <v>10</v>
      </c>
      <c r="AI272">
        <v>2</v>
      </c>
      <c r="AJ272">
        <v>2</v>
      </c>
      <c r="AK272">
        <v>1</v>
      </c>
      <c r="AL272">
        <v>21</v>
      </c>
      <c r="AM272">
        <v>26</v>
      </c>
      <c r="AN272" t="s">
        <v>620</v>
      </c>
      <c r="AO272">
        <v>99</v>
      </c>
      <c r="AP272">
        <v>2</v>
      </c>
      <c r="AT272">
        <v>12</v>
      </c>
      <c r="AU272">
        <v>23</v>
      </c>
      <c r="AV272">
        <v>55</v>
      </c>
      <c r="AW272">
        <v>11</v>
      </c>
      <c r="AX272">
        <v>21</v>
      </c>
      <c r="AY272">
        <v>2</v>
      </c>
      <c r="AZ272">
        <v>4</v>
      </c>
      <c r="BA272">
        <v>3</v>
      </c>
      <c r="BB272">
        <v>21</v>
      </c>
      <c r="BC272">
        <v>23</v>
      </c>
      <c r="BD272" t="s">
        <v>620</v>
      </c>
      <c r="BE272">
        <v>5</v>
      </c>
      <c r="BF272">
        <v>1</v>
      </c>
      <c r="BJ272">
        <v>14</v>
      </c>
      <c r="BK272">
        <v>9</v>
      </c>
      <c r="BL272">
        <v>65</v>
      </c>
      <c r="BM272">
        <v>11</v>
      </c>
      <c r="BN272">
        <v>21</v>
      </c>
      <c r="CU272">
        <v>535393.19460000005</v>
      </c>
      <c r="CV272">
        <v>4875574.3042000001</v>
      </c>
      <c r="CW272">
        <v>44.032480219999997</v>
      </c>
      <c r="CX272">
        <v>-92.558312450000003</v>
      </c>
      <c r="CY272" s="319">
        <v>43889.833333333336</v>
      </c>
      <c r="CZ272" t="s">
        <v>615</v>
      </c>
      <c r="DA272" t="s">
        <v>664</v>
      </c>
      <c r="DB272" t="s">
        <v>757</v>
      </c>
      <c r="DC272" t="s">
        <v>758</v>
      </c>
      <c r="DD272" s="82" t="s">
        <v>1039</v>
      </c>
    </row>
    <row r="273" spans="1:108" ht="16.5" customHeight="1" x14ac:dyDescent="0.25">
      <c r="A273">
        <v>30</v>
      </c>
      <c r="B273">
        <v>502455</v>
      </c>
      <c r="C273">
        <v>4</v>
      </c>
      <c r="D273">
        <v>44</v>
      </c>
      <c r="E273">
        <v>3.0179999999999998</v>
      </c>
      <c r="F273">
        <v>55</v>
      </c>
      <c r="H273" t="s">
        <v>623</v>
      </c>
      <c r="I273">
        <v>6</v>
      </c>
      <c r="J273">
        <v>21</v>
      </c>
      <c r="L273">
        <v>17104202</v>
      </c>
      <c r="M273">
        <v>172620154</v>
      </c>
      <c r="N273">
        <v>9</v>
      </c>
      <c r="O273">
        <v>19</v>
      </c>
      <c r="P273">
        <v>2017</v>
      </c>
      <c r="Q273" t="s">
        <v>625</v>
      </c>
      <c r="R273">
        <v>15</v>
      </c>
      <c r="S273">
        <v>98</v>
      </c>
      <c r="T273">
        <v>5</v>
      </c>
      <c r="U273">
        <v>0</v>
      </c>
      <c r="V273">
        <v>2</v>
      </c>
      <c r="W273">
        <v>12</v>
      </c>
      <c r="X273">
        <v>10</v>
      </c>
      <c r="Y273">
        <v>3</v>
      </c>
      <c r="Z273">
        <v>1</v>
      </c>
      <c r="AA273">
        <v>1</v>
      </c>
      <c r="AC273">
        <v>1</v>
      </c>
      <c r="AD273">
        <v>98</v>
      </c>
      <c r="AE273" t="s">
        <v>612</v>
      </c>
      <c r="AG273" t="s">
        <v>613</v>
      </c>
      <c r="AH273">
        <v>7</v>
      </c>
      <c r="AI273">
        <v>2</v>
      </c>
      <c r="AJ273">
        <v>4</v>
      </c>
      <c r="AK273">
        <v>2</v>
      </c>
      <c r="AL273">
        <v>21</v>
      </c>
      <c r="AM273">
        <v>29</v>
      </c>
      <c r="AN273" t="s">
        <v>620</v>
      </c>
      <c r="AO273">
        <v>5</v>
      </c>
      <c r="AP273">
        <v>4</v>
      </c>
      <c r="AQ273">
        <v>90</v>
      </c>
      <c r="AT273">
        <v>12</v>
      </c>
      <c r="AU273">
        <v>23</v>
      </c>
      <c r="AV273">
        <v>55</v>
      </c>
      <c r="AW273">
        <v>11</v>
      </c>
      <c r="AX273">
        <v>21</v>
      </c>
      <c r="AY273">
        <v>2</v>
      </c>
      <c r="AZ273">
        <v>3</v>
      </c>
      <c r="BA273">
        <v>2</v>
      </c>
      <c r="BB273">
        <v>21</v>
      </c>
      <c r="BC273">
        <v>65</v>
      </c>
      <c r="BD273" t="s">
        <v>614</v>
      </c>
      <c r="BE273">
        <v>5</v>
      </c>
      <c r="BF273">
        <v>1</v>
      </c>
      <c r="BJ273">
        <v>12</v>
      </c>
      <c r="BK273">
        <v>23</v>
      </c>
      <c r="BL273">
        <v>55</v>
      </c>
      <c r="BM273">
        <v>11</v>
      </c>
      <c r="BN273">
        <v>21</v>
      </c>
      <c r="CU273">
        <v>535393.13639999996</v>
      </c>
      <c r="CV273">
        <v>4875580.7407999998</v>
      </c>
      <c r="CW273">
        <v>44.032538170000002</v>
      </c>
      <c r="CX273">
        <v>-92.558312740000005</v>
      </c>
      <c r="CY273" s="319">
        <v>42997.651388888888</v>
      </c>
      <c r="CZ273" t="s">
        <v>615</v>
      </c>
      <c r="DA273" t="s">
        <v>664</v>
      </c>
      <c r="DB273" t="s">
        <v>757</v>
      </c>
      <c r="DC273" t="s">
        <v>758</v>
      </c>
      <c r="DD273" s="82" t="s">
        <v>1040</v>
      </c>
    </row>
    <row r="274" spans="1:108" ht="16.5" customHeight="1" x14ac:dyDescent="0.25">
      <c r="A274">
        <v>30</v>
      </c>
      <c r="B274">
        <v>745697</v>
      </c>
      <c r="C274">
        <v>4</v>
      </c>
      <c r="D274">
        <v>44</v>
      </c>
      <c r="E274">
        <v>3.0209999999999999</v>
      </c>
      <c r="F274">
        <v>55</v>
      </c>
      <c r="H274" t="s">
        <v>623</v>
      </c>
      <c r="I274">
        <v>6</v>
      </c>
      <c r="J274">
        <v>21</v>
      </c>
      <c r="L274">
        <v>19104360</v>
      </c>
      <c r="M274">
        <v>192500086</v>
      </c>
      <c r="N274">
        <v>9</v>
      </c>
      <c r="O274">
        <v>7</v>
      </c>
      <c r="P274">
        <v>2019</v>
      </c>
      <c r="Q274" t="s">
        <v>655</v>
      </c>
      <c r="R274">
        <v>14</v>
      </c>
      <c r="S274" t="s">
        <v>646</v>
      </c>
      <c r="T274">
        <v>4</v>
      </c>
      <c r="U274">
        <v>0</v>
      </c>
      <c r="V274">
        <v>1</v>
      </c>
      <c r="X274">
        <v>9</v>
      </c>
      <c r="Y274">
        <v>10</v>
      </c>
      <c r="Z274">
        <v>1</v>
      </c>
      <c r="AA274">
        <v>1</v>
      </c>
      <c r="AC274">
        <v>1</v>
      </c>
      <c r="AD274">
        <v>98</v>
      </c>
      <c r="AE274" t="s">
        <v>612</v>
      </c>
      <c r="AG274" t="s">
        <v>613</v>
      </c>
      <c r="AH274">
        <v>2</v>
      </c>
      <c r="AI274">
        <v>2</v>
      </c>
      <c r="AJ274">
        <v>2</v>
      </c>
      <c r="AK274">
        <v>3</v>
      </c>
      <c r="AL274">
        <v>24</v>
      </c>
      <c r="AM274">
        <v>47</v>
      </c>
      <c r="AN274" t="s">
        <v>614</v>
      </c>
      <c r="AO274">
        <v>5</v>
      </c>
      <c r="AP274">
        <v>2</v>
      </c>
      <c r="AT274">
        <v>15</v>
      </c>
      <c r="AU274">
        <v>22</v>
      </c>
      <c r="AV274">
        <v>65</v>
      </c>
      <c r="AW274">
        <v>11</v>
      </c>
      <c r="AX274">
        <v>21</v>
      </c>
      <c r="AY274">
        <v>6</v>
      </c>
      <c r="BC274">
        <v>36</v>
      </c>
      <c r="BD274" t="s">
        <v>614</v>
      </c>
      <c r="BE274">
        <v>5</v>
      </c>
      <c r="BF274">
        <v>22</v>
      </c>
      <c r="BH274">
        <v>30</v>
      </c>
      <c r="BI274">
        <v>2</v>
      </c>
      <c r="CU274">
        <v>535393.09499999997</v>
      </c>
      <c r="CV274">
        <v>4875584.9320999999</v>
      </c>
      <c r="CW274">
        <v>44.032575909999998</v>
      </c>
      <c r="CX274">
        <v>-92.558312979999997</v>
      </c>
      <c r="CY274" s="319">
        <v>43715.614583333336</v>
      </c>
      <c r="CZ274" t="s">
        <v>615</v>
      </c>
      <c r="DA274" t="s">
        <v>664</v>
      </c>
      <c r="DB274" t="s">
        <v>757</v>
      </c>
      <c r="DC274" t="s">
        <v>758</v>
      </c>
      <c r="DD274" t="s">
        <v>1041</v>
      </c>
    </row>
    <row r="275" spans="1:108" ht="16.5" customHeight="1" x14ac:dyDescent="0.25">
      <c r="A275">
        <v>30</v>
      </c>
      <c r="B275">
        <v>940825</v>
      </c>
      <c r="C275">
        <v>4</v>
      </c>
      <c r="D275">
        <v>44</v>
      </c>
      <c r="E275">
        <v>3.0219999999999998</v>
      </c>
      <c r="F275">
        <v>55</v>
      </c>
      <c r="H275" t="s">
        <v>623</v>
      </c>
      <c r="I275">
        <v>6</v>
      </c>
      <c r="J275">
        <v>21</v>
      </c>
      <c r="L275">
        <v>21104074</v>
      </c>
      <c r="M275">
        <v>212580141</v>
      </c>
      <c r="N275">
        <v>9</v>
      </c>
      <c r="O275">
        <v>15</v>
      </c>
      <c r="P275">
        <v>2021</v>
      </c>
      <c r="Q275" t="s">
        <v>645</v>
      </c>
      <c r="R275">
        <v>16</v>
      </c>
      <c r="S275" t="s">
        <v>639</v>
      </c>
      <c r="T275">
        <v>5</v>
      </c>
      <c r="U275">
        <v>0</v>
      </c>
      <c r="V275">
        <v>2</v>
      </c>
      <c r="W275">
        <v>5</v>
      </c>
      <c r="X275">
        <v>10</v>
      </c>
      <c r="Y275">
        <v>3</v>
      </c>
      <c r="Z275">
        <v>1</v>
      </c>
      <c r="AA275">
        <v>1</v>
      </c>
      <c r="AC275">
        <v>1</v>
      </c>
      <c r="AD275">
        <v>98</v>
      </c>
      <c r="AE275" t="s">
        <v>612</v>
      </c>
      <c r="AG275" t="s">
        <v>613</v>
      </c>
      <c r="AH275">
        <v>10</v>
      </c>
      <c r="AI275">
        <v>2</v>
      </c>
      <c r="AJ275">
        <v>2</v>
      </c>
      <c r="AK275">
        <v>3</v>
      </c>
      <c r="AL275">
        <v>24</v>
      </c>
      <c r="AM275">
        <v>25</v>
      </c>
      <c r="AN275" t="s">
        <v>614</v>
      </c>
      <c r="AO275">
        <v>5</v>
      </c>
      <c r="AP275">
        <v>2</v>
      </c>
      <c r="AT275">
        <v>14</v>
      </c>
      <c r="AU275">
        <v>22</v>
      </c>
      <c r="AV275">
        <v>65</v>
      </c>
      <c r="AW275">
        <v>11</v>
      </c>
      <c r="AX275">
        <v>21</v>
      </c>
      <c r="AY275">
        <v>2</v>
      </c>
      <c r="AZ275">
        <v>2</v>
      </c>
      <c r="BA275">
        <v>3</v>
      </c>
      <c r="BB275">
        <v>21</v>
      </c>
      <c r="BC275">
        <v>19</v>
      </c>
      <c r="BD275" t="s">
        <v>620</v>
      </c>
      <c r="BE275">
        <v>5</v>
      </c>
      <c r="BF275">
        <v>1</v>
      </c>
      <c r="BJ275">
        <v>14</v>
      </c>
      <c r="BK275">
        <v>9</v>
      </c>
      <c r="BL275">
        <v>65</v>
      </c>
      <c r="BM275">
        <v>11</v>
      </c>
      <c r="BN275">
        <v>21</v>
      </c>
      <c r="CU275">
        <v>535393.07290000003</v>
      </c>
      <c r="CV275">
        <v>4875587.0927999998</v>
      </c>
      <c r="CW275">
        <v>44.032595360000002</v>
      </c>
      <c r="CX275">
        <v>-92.55831311</v>
      </c>
      <c r="CY275" s="319">
        <v>44454.702777777777</v>
      </c>
      <c r="CZ275" t="s">
        <v>615</v>
      </c>
      <c r="DA275" t="s">
        <v>664</v>
      </c>
      <c r="DB275" t="s">
        <v>757</v>
      </c>
      <c r="DC275" t="s">
        <v>758</v>
      </c>
      <c r="DD275" t="s">
        <v>1042</v>
      </c>
    </row>
    <row r="276" spans="1:108" ht="16.5" customHeight="1" x14ac:dyDescent="0.25">
      <c r="A276">
        <v>30</v>
      </c>
      <c r="B276">
        <v>865953</v>
      </c>
      <c r="C276">
        <v>4</v>
      </c>
      <c r="D276">
        <v>44</v>
      </c>
      <c r="E276">
        <v>3.0329999999999999</v>
      </c>
      <c r="F276">
        <v>55</v>
      </c>
      <c r="H276" t="s">
        <v>623</v>
      </c>
      <c r="I276">
        <v>6</v>
      </c>
      <c r="J276">
        <v>21</v>
      </c>
      <c r="L276">
        <v>20105072</v>
      </c>
      <c r="M276">
        <v>203240152</v>
      </c>
      <c r="N276">
        <v>11</v>
      </c>
      <c r="O276">
        <v>19</v>
      </c>
      <c r="P276">
        <v>2020</v>
      </c>
      <c r="Q276" t="s">
        <v>619</v>
      </c>
      <c r="R276">
        <v>17</v>
      </c>
      <c r="S276" t="s">
        <v>639</v>
      </c>
      <c r="T276">
        <v>5</v>
      </c>
      <c r="U276">
        <v>0</v>
      </c>
      <c r="V276">
        <v>3</v>
      </c>
      <c r="W276">
        <v>90</v>
      </c>
      <c r="X276">
        <v>10</v>
      </c>
      <c r="Y276">
        <v>28</v>
      </c>
      <c r="Z276">
        <v>3</v>
      </c>
      <c r="AA276">
        <v>1</v>
      </c>
      <c r="AC276">
        <v>1</v>
      </c>
      <c r="AD276">
        <v>98</v>
      </c>
      <c r="AE276" t="s">
        <v>612</v>
      </c>
      <c r="AG276" t="s">
        <v>613</v>
      </c>
      <c r="AH276">
        <v>90</v>
      </c>
      <c r="AI276">
        <v>2</v>
      </c>
      <c r="AJ276">
        <v>2</v>
      </c>
      <c r="AK276">
        <v>2</v>
      </c>
      <c r="AL276">
        <v>90</v>
      </c>
      <c r="AM276">
        <v>16</v>
      </c>
      <c r="AN276" t="s">
        <v>614</v>
      </c>
      <c r="AO276">
        <v>5</v>
      </c>
      <c r="AP276">
        <v>2</v>
      </c>
      <c r="AT276">
        <v>12</v>
      </c>
      <c r="AU276">
        <v>23</v>
      </c>
      <c r="AV276">
        <v>55</v>
      </c>
      <c r="AW276">
        <v>11</v>
      </c>
      <c r="AX276">
        <v>21</v>
      </c>
      <c r="AY276">
        <v>2</v>
      </c>
      <c r="AZ276">
        <v>2</v>
      </c>
      <c r="BA276">
        <v>4</v>
      </c>
      <c r="BB276">
        <v>21</v>
      </c>
      <c r="BC276">
        <v>42</v>
      </c>
      <c r="BD276" t="s">
        <v>614</v>
      </c>
      <c r="BE276">
        <v>5</v>
      </c>
      <c r="BF276">
        <v>1</v>
      </c>
      <c r="BJ276">
        <v>14</v>
      </c>
      <c r="BK276">
        <v>9</v>
      </c>
      <c r="BL276">
        <v>65</v>
      </c>
      <c r="BM276">
        <v>11</v>
      </c>
      <c r="BN276">
        <v>21</v>
      </c>
      <c r="BO276">
        <v>2</v>
      </c>
      <c r="BP276">
        <v>4</v>
      </c>
      <c r="BQ276">
        <v>2</v>
      </c>
      <c r="BR276">
        <v>34</v>
      </c>
      <c r="BS276">
        <v>47</v>
      </c>
      <c r="BT276" t="s">
        <v>620</v>
      </c>
      <c r="BU276">
        <v>5</v>
      </c>
      <c r="BV276">
        <v>1</v>
      </c>
      <c r="BZ276">
        <v>12</v>
      </c>
      <c r="CA276">
        <v>22</v>
      </c>
      <c r="CB276">
        <v>55</v>
      </c>
      <c r="CC276">
        <v>11</v>
      </c>
      <c r="CD276">
        <v>21</v>
      </c>
      <c r="CU276">
        <v>535392.90020000003</v>
      </c>
      <c r="CV276">
        <v>4875603.9797</v>
      </c>
      <c r="CW276">
        <v>44.032747409999999</v>
      </c>
      <c r="CX276">
        <v>-92.558314139999993</v>
      </c>
      <c r="CY276" s="319">
        <v>44154.709722222222</v>
      </c>
      <c r="CZ276" t="s">
        <v>615</v>
      </c>
      <c r="DA276" t="s">
        <v>664</v>
      </c>
      <c r="DB276" t="s">
        <v>757</v>
      </c>
      <c r="DC276" t="s">
        <v>758</v>
      </c>
      <c r="DD276" s="82" t="s">
        <v>1043</v>
      </c>
    </row>
    <row r="277" spans="1:108" ht="16.5" customHeight="1" x14ac:dyDescent="0.25">
      <c r="A277">
        <v>30</v>
      </c>
      <c r="B277">
        <v>608190</v>
      </c>
      <c r="C277">
        <v>4</v>
      </c>
      <c r="D277">
        <v>44</v>
      </c>
      <c r="E277">
        <v>3.0339999999999998</v>
      </c>
      <c r="F277">
        <v>55</v>
      </c>
      <c r="H277" t="s">
        <v>623</v>
      </c>
      <c r="I277">
        <v>6</v>
      </c>
      <c r="J277">
        <v>21</v>
      </c>
      <c r="L277">
        <v>18103253</v>
      </c>
      <c r="M277">
        <v>181800272</v>
      </c>
      <c r="N277">
        <v>6</v>
      </c>
      <c r="O277">
        <v>29</v>
      </c>
      <c r="P277">
        <v>2018</v>
      </c>
      <c r="Q277" t="s">
        <v>638</v>
      </c>
      <c r="R277">
        <v>22</v>
      </c>
      <c r="S277" t="s">
        <v>673</v>
      </c>
      <c r="T277">
        <v>3</v>
      </c>
      <c r="U277">
        <v>0</v>
      </c>
      <c r="V277">
        <v>2</v>
      </c>
      <c r="W277">
        <v>5</v>
      </c>
      <c r="X277">
        <v>10</v>
      </c>
      <c r="Y277">
        <v>28</v>
      </c>
      <c r="Z277">
        <v>6</v>
      </c>
      <c r="AA277">
        <v>1</v>
      </c>
      <c r="AC277">
        <v>1</v>
      </c>
      <c r="AD277">
        <v>98</v>
      </c>
      <c r="AE277" t="s">
        <v>612</v>
      </c>
      <c r="AG277" t="s">
        <v>613</v>
      </c>
      <c r="AH277">
        <v>10</v>
      </c>
      <c r="AI277">
        <v>2</v>
      </c>
      <c r="AJ277">
        <v>2</v>
      </c>
      <c r="AK277">
        <v>2</v>
      </c>
      <c r="AL277">
        <v>34</v>
      </c>
      <c r="AM277">
        <v>26</v>
      </c>
      <c r="AN277" t="s">
        <v>614</v>
      </c>
      <c r="AO277">
        <v>10</v>
      </c>
      <c r="AP277">
        <v>2</v>
      </c>
      <c r="AT277">
        <v>15</v>
      </c>
      <c r="AU277">
        <v>23</v>
      </c>
      <c r="AV277">
        <v>65</v>
      </c>
      <c r="AW277">
        <v>11</v>
      </c>
      <c r="AX277">
        <v>21</v>
      </c>
      <c r="AY277">
        <v>2</v>
      </c>
      <c r="AZ277">
        <v>2</v>
      </c>
      <c r="BA277">
        <v>2</v>
      </c>
      <c r="BB277">
        <v>21</v>
      </c>
      <c r="BC277">
        <v>23</v>
      </c>
      <c r="BD277" t="s">
        <v>614</v>
      </c>
      <c r="BE277">
        <v>5</v>
      </c>
      <c r="BF277">
        <v>1</v>
      </c>
      <c r="BJ277">
        <v>15</v>
      </c>
      <c r="BK277">
        <v>23</v>
      </c>
      <c r="BL277">
        <v>65</v>
      </c>
      <c r="BM277">
        <v>11</v>
      </c>
      <c r="BN277">
        <v>21</v>
      </c>
      <c r="CU277">
        <v>535392.87809999997</v>
      </c>
      <c r="CV277">
        <v>4875606.1386000002</v>
      </c>
      <c r="CW277">
        <v>44.032766850000002</v>
      </c>
      <c r="CX277">
        <v>-92.558314269999997</v>
      </c>
      <c r="CY277" s="319">
        <v>43280.956944444442</v>
      </c>
      <c r="CZ277" t="s">
        <v>615</v>
      </c>
      <c r="DA277" t="s">
        <v>664</v>
      </c>
      <c r="DB277" t="s">
        <v>757</v>
      </c>
      <c r="DC277" t="s">
        <v>758</v>
      </c>
      <c r="DD277" s="82" t="s">
        <v>1044</v>
      </c>
    </row>
    <row r="278" spans="1:108" ht="16.5" customHeight="1" x14ac:dyDescent="0.25">
      <c r="A278">
        <v>30</v>
      </c>
      <c r="B278">
        <v>772879</v>
      </c>
      <c r="C278">
        <v>4</v>
      </c>
      <c r="D278">
        <v>44</v>
      </c>
      <c r="E278">
        <v>3.0459999999999998</v>
      </c>
      <c r="F278">
        <v>55</v>
      </c>
      <c r="H278" t="s">
        <v>623</v>
      </c>
      <c r="I278">
        <v>6</v>
      </c>
      <c r="J278">
        <v>21</v>
      </c>
      <c r="L278">
        <v>19938413</v>
      </c>
      <c r="M278">
        <v>193530086</v>
      </c>
      <c r="N278">
        <v>12</v>
      </c>
      <c r="O278">
        <v>19</v>
      </c>
      <c r="P278">
        <v>2019</v>
      </c>
      <c r="Q278" t="s">
        <v>619</v>
      </c>
      <c r="R278">
        <v>12</v>
      </c>
      <c r="T278">
        <v>5</v>
      </c>
      <c r="U278">
        <v>0</v>
      </c>
      <c r="V278">
        <v>2</v>
      </c>
      <c r="W278">
        <v>12</v>
      </c>
      <c r="X278">
        <v>10</v>
      </c>
      <c r="Y278">
        <v>3</v>
      </c>
      <c r="Z278">
        <v>1</v>
      </c>
      <c r="AA278">
        <v>1</v>
      </c>
      <c r="AC278">
        <v>1</v>
      </c>
      <c r="AD278">
        <v>98</v>
      </c>
      <c r="AE278" t="s">
        <v>612</v>
      </c>
      <c r="AG278" t="s">
        <v>613</v>
      </c>
      <c r="AH278">
        <v>7</v>
      </c>
      <c r="AI278">
        <v>2</v>
      </c>
      <c r="AJ278">
        <v>6</v>
      </c>
      <c r="AK278">
        <v>2</v>
      </c>
      <c r="AL278">
        <v>34</v>
      </c>
      <c r="AM278">
        <v>66</v>
      </c>
      <c r="AN278" t="s">
        <v>614</v>
      </c>
      <c r="AO278">
        <v>5</v>
      </c>
      <c r="AP278">
        <v>90</v>
      </c>
      <c r="AT278">
        <v>12</v>
      </c>
      <c r="AU278">
        <v>23</v>
      </c>
      <c r="AV278">
        <v>55</v>
      </c>
      <c r="AW278">
        <v>11</v>
      </c>
      <c r="AX278">
        <v>21</v>
      </c>
      <c r="AY278">
        <v>2</v>
      </c>
      <c r="AZ278">
        <v>4</v>
      </c>
      <c r="BA278">
        <v>2</v>
      </c>
      <c r="BB278">
        <v>34</v>
      </c>
      <c r="BC278">
        <v>42</v>
      </c>
      <c r="BD278" t="s">
        <v>614</v>
      </c>
      <c r="BE278">
        <v>5</v>
      </c>
      <c r="BF278">
        <v>1</v>
      </c>
      <c r="BJ278">
        <v>12</v>
      </c>
      <c r="BK278">
        <v>23</v>
      </c>
      <c r="BL278">
        <v>55</v>
      </c>
      <c r="BM278">
        <v>11</v>
      </c>
      <c r="BN278">
        <v>21</v>
      </c>
      <c r="CU278">
        <v>535392.804</v>
      </c>
      <c r="CV278">
        <v>4875625.7374</v>
      </c>
      <c r="CW278">
        <v>44.032943299999999</v>
      </c>
      <c r="CX278">
        <v>-92.55831388</v>
      </c>
      <c r="CY278" s="319">
        <v>43818.517361111109</v>
      </c>
      <c r="CZ278" t="s">
        <v>615</v>
      </c>
      <c r="DA278" t="s">
        <v>664</v>
      </c>
      <c r="DB278" t="s">
        <v>616</v>
      </c>
      <c r="DC278" t="s">
        <v>617</v>
      </c>
      <c r="DD278" t="s">
        <v>1045</v>
      </c>
    </row>
    <row r="279" spans="1:108" ht="16.5" customHeight="1" x14ac:dyDescent="0.25">
      <c r="A279">
        <v>30</v>
      </c>
      <c r="B279">
        <v>517043</v>
      </c>
      <c r="C279">
        <v>4</v>
      </c>
      <c r="D279">
        <v>44</v>
      </c>
      <c r="E279">
        <v>3.0489999999999999</v>
      </c>
      <c r="F279">
        <v>55</v>
      </c>
      <c r="H279" t="s">
        <v>623</v>
      </c>
      <c r="I279">
        <v>6</v>
      </c>
      <c r="J279">
        <v>21</v>
      </c>
      <c r="L279" t="s">
        <v>1046</v>
      </c>
      <c r="M279">
        <v>173090157</v>
      </c>
      <c r="N279">
        <v>11</v>
      </c>
      <c r="O279">
        <v>5</v>
      </c>
      <c r="P279">
        <v>2017</v>
      </c>
      <c r="Q279" t="s">
        <v>652</v>
      </c>
      <c r="R279">
        <v>17</v>
      </c>
      <c r="S279" t="s">
        <v>673</v>
      </c>
      <c r="T279">
        <v>5</v>
      </c>
      <c r="U279">
        <v>0</v>
      </c>
      <c r="V279">
        <v>2</v>
      </c>
      <c r="W279">
        <v>12</v>
      </c>
      <c r="X279">
        <v>10</v>
      </c>
      <c r="Y279">
        <v>10</v>
      </c>
      <c r="Z279">
        <v>7</v>
      </c>
      <c r="AA279">
        <v>1</v>
      </c>
      <c r="AC279">
        <v>1</v>
      </c>
      <c r="AD279">
        <v>98</v>
      </c>
      <c r="AE279" t="s">
        <v>612</v>
      </c>
      <c r="AF279" t="s">
        <v>990</v>
      </c>
      <c r="AG279" t="s">
        <v>613</v>
      </c>
      <c r="AH279">
        <v>7</v>
      </c>
      <c r="AI279">
        <v>2</v>
      </c>
      <c r="AJ279">
        <v>4</v>
      </c>
      <c r="AK279">
        <v>2</v>
      </c>
      <c r="AL279">
        <v>21</v>
      </c>
      <c r="AM279">
        <v>38</v>
      </c>
      <c r="AN279" t="s">
        <v>620</v>
      </c>
      <c r="AO279">
        <v>5</v>
      </c>
      <c r="AP279">
        <v>90</v>
      </c>
      <c r="AT279">
        <v>12</v>
      </c>
      <c r="AU279">
        <v>23</v>
      </c>
      <c r="AV279">
        <v>55</v>
      </c>
      <c r="AW279">
        <v>11</v>
      </c>
      <c r="AX279">
        <v>23</v>
      </c>
      <c r="AY279">
        <v>2</v>
      </c>
      <c r="AZ279">
        <v>3</v>
      </c>
      <c r="BA279">
        <v>2</v>
      </c>
      <c r="BB279">
        <v>34</v>
      </c>
      <c r="BC279">
        <v>53</v>
      </c>
      <c r="BD279" t="s">
        <v>614</v>
      </c>
      <c r="BE279">
        <v>5</v>
      </c>
      <c r="BF279">
        <v>1</v>
      </c>
      <c r="BJ279">
        <v>12</v>
      </c>
      <c r="BK279">
        <v>23</v>
      </c>
      <c r="BL279">
        <v>55</v>
      </c>
      <c r="BM279">
        <v>11</v>
      </c>
      <c r="BN279">
        <v>23</v>
      </c>
      <c r="CU279">
        <v>535392.80160000001</v>
      </c>
      <c r="CV279">
        <v>4875629.2872000001</v>
      </c>
      <c r="CW279">
        <v>44.032975260000001</v>
      </c>
      <c r="CX279">
        <v>-92.558313679999998</v>
      </c>
      <c r="CY279" s="319">
        <v>43044.740277777775</v>
      </c>
      <c r="CZ279" t="s">
        <v>615</v>
      </c>
      <c r="DA279" t="s">
        <v>664</v>
      </c>
      <c r="DB279" t="s">
        <v>616</v>
      </c>
      <c r="DC279" t="s">
        <v>617</v>
      </c>
      <c r="DD279" t="s">
        <v>1047</v>
      </c>
    </row>
    <row r="280" spans="1:108" ht="16.5" customHeight="1" x14ac:dyDescent="0.25">
      <c r="A280">
        <v>30</v>
      </c>
      <c r="B280">
        <v>528399</v>
      </c>
      <c r="C280">
        <v>4</v>
      </c>
      <c r="D280">
        <v>44</v>
      </c>
      <c r="E280">
        <v>3.0489999999999999</v>
      </c>
      <c r="F280">
        <v>55</v>
      </c>
      <c r="H280" t="s">
        <v>623</v>
      </c>
      <c r="I280">
        <v>6</v>
      </c>
      <c r="J280">
        <v>21</v>
      </c>
      <c r="L280">
        <v>17105933</v>
      </c>
      <c r="M280">
        <v>173530318</v>
      </c>
      <c r="N280">
        <v>12</v>
      </c>
      <c r="O280">
        <v>19</v>
      </c>
      <c r="P280">
        <v>2017</v>
      </c>
      <c r="Q280" t="s">
        <v>625</v>
      </c>
      <c r="R280">
        <v>17</v>
      </c>
      <c r="S280" t="s">
        <v>639</v>
      </c>
      <c r="T280">
        <v>4</v>
      </c>
      <c r="U280">
        <v>0</v>
      </c>
      <c r="V280">
        <v>2</v>
      </c>
      <c r="W280">
        <v>5</v>
      </c>
      <c r="X280">
        <v>10</v>
      </c>
      <c r="Y280">
        <v>3</v>
      </c>
      <c r="Z280">
        <v>4</v>
      </c>
      <c r="AA280">
        <v>1</v>
      </c>
      <c r="AC280">
        <v>1</v>
      </c>
      <c r="AD280">
        <v>98</v>
      </c>
      <c r="AE280" t="s">
        <v>612</v>
      </c>
      <c r="AG280" t="s">
        <v>613</v>
      </c>
      <c r="AH280">
        <v>10</v>
      </c>
      <c r="AI280">
        <v>2</v>
      </c>
      <c r="AJ280">
        <v>4</v>
      </c>
      <c r="AK280">
        <v>4</v>
      </c>
      <c r="AL280">
        <v>26</v>
      </c>
      <c r="AM280">
        <v>67</v>
      </c>
      <c r="AN280" t="s">
        <v>620</v>
      </c>
      <c r="AO280">
        <v>5</v>
      </c>
      <c r="AP280">
        <v>1</v>
      </c>
      <c r="AT280">
        <v>14</v>
      </c>
      <c r="AU280">
        <v>9</v>
      </c>
      <c r="AV280">
        <v>65</v>
      </c>
      <c r="AW280">
        <v>11</v>
      </c>
      <c r="AX280">
        <v>21</v>
      </c>
      <c r="AY280">
        <v>2</v>
      </c>
      <c r="AZ280">
        <v>4</v>
      </c>
      <c r="BA280">
        <v>1</v>
      </c>
      <c r="BB280">
        <v>21</v>
      </c>
      <c r="BC280">
        <v>29</v>
      </c>
      <c r="BD280" t="s">
        <v>614</v>
      </c>
      <c r="BE280">
        <v>5</v>
      </c>
      <c r="BF280">
        <v>2</v>
      </c>
      <c r="BJ280">
        <v>12</v>
      </c>
      <c r="BK280">
        <v>23</v>
      </c>
      <c r="BL280">
        <v>55</v>
      </c>
      <c r="BM280">
        <v>11</v>
      </c>
      <c r="BN280">
        <v>21</v>
      </c>
      <c r="CU280">
        <v>535392.80149999994</v>
      </c>
      <c r="CV280">
        <v>4875629.4232000001</v>
      </c>
      <c r="CW280">
        <v>44.032976490000003</v>
      </c>
      <c r="CX280">
        <v>-92.558313670000004</v>
      </c>
      <c r="CY280" s="319">
        <v>43088.725694444445</v>
      </c>
      <c r="CZ280" t="s">
        <v>615</v>
      </c>
      <c r="DA280" t="s">
        <v>664</v>
      </c>
      <c r="DB280" t="s">
        <v>757</v>
      </c>
      <c r="DC280" t="s">
        <v>758</v>
      </c>
      <c r="DD280" s="82" t="s">
        <v>1048</v>
      </c>
    </row>
    <row r="281" spans="1:108" ht="16.5" customHeight="1" x14ac:dyDescent="0.25">
      <c r="A281">
        <v>30</v>
      </c>
      <c r="B281">
        <v>755970</v>
      </c>
      <c r="C281">
        <v>4</v>
      </c>
      <c r="D281">
        <v>44</v>
      </c>
      <c r="E281">
        <v>3.0529999999999999</v>
      </c>
      <c r="F281">
        <v>55</v>
      </c>
      <c r="H281" t="s">
        <v>623</v>
      </c>
      <c r="I281">
        <v>6</v>
      </c>
      <c r="J281">
        <v>21</v>
      </c>
      <c r="L281">
        <v>19932745</v>
      </c>
      <c r="M281">
        <v>192940020</v>
      </c>
      <c r="N281">
        <v>10</v>
      </c>
      <c r="O281">
        <v>21</v>
      </c>
      <c r="P281">
        <v>2019</v>
      </c>
      <c r="Q281" t="s">
        <v>610</v>
      </c>
      <c r="R281">
        <v>7</v>
      </c>
      <c r="S281" t="s">
        <v>673</v>
      </c>
      <c r="T281">
        <v>5</v>
      </c>
      <c r="U281">
        <v>0</v>
      </c>
      <c r="V281">
        <v>2</v>
      </c>
      <c r="W281">
        <v>12</v>
      </c>
      <c r="X281">
        <v>10</v>
      </c>
      <c r="Y281">
        <v>3</v>
      </c>
      <c r="Z281">
        <v>2</v>
      </c>
      <c r="AA281">
        <v>3</v>
      </c>
      <c r="AC281">
        <v>2</v>
      </c>
      <c r="AD281">
        <v>98</v>
      </c>
      <c r="AE281" t="s">
        <v>612</v>
      </c>
      <c r="AF281" t="s">
        <v>990</v>
      </c>
      <c r="AG281" t="s">
        <v>613</v>
      </c>
      <c r="AH281">
        <v>7</v>
      </c>
      <c r="AI281">
        <v>2</v>
      </c>
      <c r="AJ281">
        <v>2</v>
      </c>
      <c r="AK281">
        <v>2</v>
      </c>
      <c r="AL281">
        <v>34</v>
      </c>
      <c r="AM281">
        <v>29</v>
      </c>
      <c r="AN281" t="s">
        <v>620</v>
      </c>
      <c r="AO281">
        <v>5</v>
      </c>
      <c r="AP281">
        <v>1</v>
      </c>
      <c r="AT281">
        <v>12</v>
      </c>
      <c r="AU281">
        <v>23</v>
      </c>
      <c r="AV281">
        <v>55</v>
      </c>
      <c r="AW281">
        <v>11</v>
      </c>
      <c r="AX281">
        <v>21</v>
      </c>
      <c r="AY281">
        <v>2</v>
      </c>
      <c r="AZ281">
        <v>4</v>
      </c>
      <c r="BA281">
        <v>2</v>
      </c>
      <c r="BB281">
        <v>34</v>
      </c>
      <c r="BC281">
        <v>35</v>
      </c>
      <c r="BD281" t="s">
        <v>620</v>
      </c>
      <c r="BE281">
        <v>5</v>
      </c>
      <c r="BF281">
        <v>1</v>
      </c>
      <c r="BJ281">
        <v>12</v>
      </c>
      <c r="BK281">
        <v>23</v>
      </c>
      <c r="BL281">
        <v>55</v>
      </c>
      <c r="BM281">
        <v>11</v>
      </c>
      <c r="BN281">
        <v>21</v>
      </c>
      <c r="CU281">
        <v>535392.79650000005</v>
      </c>
      <c r="CV281">
        <v>4875636.7659</v>
      </c>
      <c r="CW281">
        <v>44.033042590000001</v>
      </c>
      <c r="CX281">
        <v>-92.558313240000004</v>
      </c>
      <c r="CY281" s="319">
        <v>43759.302777777775</v>
      </c>
      <c r="CZ281" t="s">
        <v>615</v>
      </c>
      <c r="DA281" t="s">
        <v>664</v>
      </c>
      <c r="DB281" t="s">
        <v>616</v>
      </c>
      <c r="DC281" t="s">
        <v>617</v>
      </c>
      <c r="DD281" t="s">
        <v>1049</v>
      </c>
    </row>
    <row r="282" spans="1:108" ht="16.5" customHeight="1" x14ac:dyDescent="0.25">
      <c r="A282">
        <v>30</v>
      </c>
      <c r="B282">
        <v>757882</v>
      </c>
      <c r="C282">
        <v>4</v>
      </c>
      <c r="D282">
        <v>44</v>
      </c>
      <c r="E282">
        <v>3.0539999999999998</v>
      </c>
      <c r="F282">
        <v>55</v>
      </c>
      <c r="H282" t="s">
        <v>623</v>
      </c>
      <c r="I282">
        <v>6</v>
      </c>
      <c r="J282">
        <v>21</v>
      </c>
      <c r="L282">
        <v>19105126</v>
      </c>
      <c r="M282">
        <v>192970262</v>
      </c>
      <c r="N282">
        <v>10</v>
      </c>
      <c r="O282">
        <v>24</v>
      </c>
      <c r="P282">
        <v>2019</v>
      </c>
      <c r="Q282" t="s">
        <v>619</v>
      </c>
      <c r="R282">
        <v>17</v>
      </c>
      <c r="S282" t="s">
        <v>639</v>
      </c>
      <c r="T282">
        <v>5</v>
      </c>
      <c r="U282">
        <v>0</v>
      </c>
      <c r="V282">
        <v>2</v>
      </c>
      <c r="W282">
        <v>5</v>
      </c>
      <c r="X282">
        <v>10</v>
      </c>
      <c r="Y282">
        <v>3</v>
      </c>
      <c r="Z282">
        <v>1</v>
      </c>
      <c r="AA282">
        <v>1</v>
      </c>
      <c r="AC282">
        <v>1</v>
      </c>
      <c r="AD282">
        <v>98</v>
      </c>
      <c r="AE282" t="s">
        <v>612</v>
      </c>
      <c r="AG282" t="s">
        <v>613</v>
      </c>
      <c r="AH282">
        <v>10</v>
      </c>
      <c r="AI282">
        <v>2</v>
      </c>
      <c r="AJ282">
        <v>2</v>
      </c>
      <c r="AK282">
        <v>2</v>
      </c>
      <c r="AL282">
        <v>21</v>
      </c>
      <c r="AM282">
        <v>16</v>
      </c>
      <c r="AN282" t="s">
        <v>620</v>
      </c>
      <c r="AO282">
        <v>5</v>
      </c>
      <c r="AP282">
        <v>64</v>
      </c>
      <c r="AQ282">
        <v>2</v>
      </c>
      <c r="AT282">
        <v>12</v>
      </c>
      <c r="AU282">
        <v>23</v>
      </c>
      <c r="AV282">
        <v>55</v>
      </c>
      <c r="AW282">
        <v>11</v>
      </c>
      <c r="AX282">
        <v>21</v>
      </c>
      <c r="AY282">
        <v>2</v>
      </c>
      <c r="AZ282">
        <v>4</v>
      </c>
      <c r="BA282">
        <v>4</v>
      </c>
      <c r="BB282">
        <v>21</v>
      </c>
      <c r="BC282">
        <v>40</v>
      </c>
      <c r="BD282" t="s">
        <v>620</v>
      </c>
      <c r="BE282">
        <v>5</v>
      </c>
      <c r="BF282">
        <v>1</v>
      </c>
      <c r="BJ282">
        <v>14</v>
      </c>
      <c r="BK282">
        <v>9</v>
      </c>
      <c r="BL282">
        <v>65</v>
      </c>
      <c r="BM282">
        <v>11</v>
      </c>
      <c r="BN282">
        <v>21</v>
      </c>
      <c r="CU282">
        <v>535392.79570000002</v>
      </c>
      <c r="CV282">
        <v>4875637.8935000002</v>
      </c>
      <c r="CW282">
        <v>44.033052750000003</v>
      </c>
      <c r="CX282">
        <v>-92.558313170000005</v>
      </c>
      <c r="CY282" s="319">
        <v>43762.71875</v>
      </c>
      <c r="CZ282" t="s">
        <v>615</v>
      </c>
      <c r="DA282" t="s">
        <v>664</v>
      </c>
      <c r="DB282" t="s">
        <v>757</v>
      </c>
      <c r="DC282" t="s">
        <v>758</v>
      </c>
      <c r="DD282" s="82" t="s">
        <v>1050</v>
      </c>
    </row>
  </sheetData>
  <autoFilter ref="A1:DD282" xr:uid="{33BFC859-8F78-4821-83A2-D1160DF26188}"/>
  <conditionalFormatting sqref="B1:B8 B44:B1048576">
    <cfRule type="duplicateValues" dxfId="1"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631C2-E336-4E8A-9701-3ACF65555879}">
  <sheetPr>
    <tabColor theme="4" tint="0.59999389629810485"/>
  </sheetPr>
  <dimension ref="A2:Y41"/>
  <sheetViews>
    <sheetView zoomScale="85" zoomScaleNormal="85" workbookViewId="0">
      <selection activeCell="D26" sqref="D26:G26"/>
    </sheetView>
  </sheetViews>
  <sheetFormatPr defaultRowHeight="15" x14ac:dyDescent="0.25"/>
  <cols>
    <col min="2" max="2" width="44" customWidth="1"/>
    <col min="3" max="3" width="12" customWidth="1"/>
    <col min="4" max="19" width="11" customWidth="1"/>
    <col min="22" max="22" width="12.7109375" bestFit="1" customWidth="1"/>
  </cols>
  <sheetData>
    <row r="2" spans="2:21" ht="15.75" thickBot="1" x14ac:dyDescent="0.3"/>
    <row r="3" spans="2:21" ht="15.75" thickBot="1" x14ac:dyDescent="0.3">
      <c r="B3" s="604" t="s">
        <v>1087</v>
      </c>
      <c r="C3" s="413"/>
      <c r="D3" s="596" t="s">
        <v>1088</v>
      </c>
      <c r="E3" s="598"/>
      <c r="F3" s="598"/>
      <c r="G3" s="597"/>
      <c r="H3" s="596" t="s">
        <v>1089</v>
      </c>
      <c r="I3" s="598"/>
      <c r="J3" s="598"/>
      <c r="K3" s="597"/>
      <c r="L3" s="596" t="s">
        <v>1090</v>
      </c>
      <c r="M3" s="598"/>
      <c r="N3" s="598"/>
      <c r="O3" s="597"/>
      <c r="P3" s="596" t="s">
        <v>1091</v>
      </c>
      <c r="Q3" s="598"/>
      <c r="R3" s="598"/>
      <c r="S3" s="597"/>
    </row>
    <row r="4" spans="2:21" ht="15.75" thickBot="1" x14ac:dyDescent="0.3">
      <c r="B4" s="605"/>
      <c r="C4" s="414"/>
      <c r="D4" s="596" t="s">
        <v>1092</v>
      </c>
      <c r="E4" s="597"/>
      <c r="F4" s="596" t="s">
        <v>1093</v>
      </c>
      <c r="G4" s="597"/>
      <c r="H4" s="596" t="s">
        <v>1092</v>
      </c>
      <c r="I4" s="598"/>
      <c r="J4" s="596" t="s">
        <v>1093</v>
      </c>
      <c r="K4" s="597"/>
      <c r="L4" s="596" t="s">
        <v>1092</v>
      </c>
      <c r="M4" s="598"/>
      <c r="N4" s="596" t="s">
        <v>1093</v>
      </c>
      <c r="O4" s="597"/>
      <c r="P4" s="596" t="s">
        <v>1092</v>
      </c>
      <c r="Q4" s="598"/>
      <c r="R4" s="596" t="s">
        <v>1093</v>
      </c>
      <c r="S4" s="597"/>
    </row>
    <row r="5" spans="2:21" ht="45.75" thickBot="1" x14ac:dyDescent="0.3">
      <c r="B5" s="605"/>
      <c r="C5" s="414" t="s">
        <v>1094</v>
      </c>
      <c r="D5" s="415" t="s">
        <v>1095</v>
      </c>
      <c r="E5" s="416" t="s">
        <v>1096</v>
      </c>
      <c r="F5" s="415" t="s">
        <v>1095</v>
      </c>
      <c r="G5" s="416" t="s">
        <v>1096</v>
      </c>
      <c r="H5" s="417" t="s">
        <v>1095</v>
      </c>
      <c r="I5" s="417" t="s">
        <v>1096</v>
      </c>
      <c r="J5" s="415" t="s">
        <v>1095</v>
      </c>
      <c r="K5" s="416" t="s">
        <v>1096</v>
      </c>
      <c r="L5" s="417" t="s">
        <v>1095</v>
      </c>
      <c r="M5" s="417" t="s">
        <v>1096</v>
      </c>
      <c r="N5" s="415" t="s">
        <v>1095</v>
      </c>
      <c r="O5" s="416" t="s">
        <v>1096</v>
      </c>
      <c r="P5" s="417" t="s">
        <v>1095</v>
      </c>
      <c r="Q5" s="417" t="s">
        <v>1096</v>
      </c>
      <c r="R5" s="415" t="s">
        <v>1095</v>
      </c>
      <c r="S5" s="416" t="s">
        <v>1096</v>
      </c>
    </row>
    <row r="6" spans="2:21" ht="26.25" customHeight="1" x14ac:dyDescent="0.25">
      <c r="B6" s="418" t="s">
        <v>244</v>
      </c>
      <c r="C6" s="419">
        <v>10</v>
      </c>
      <c r="D6" s="420">
        <v>3.673042394014963</v>
      </c>
      <c r="E6" s="421" t="s">
        <v>32</v>
      </c>
      <c r="F6" s="422">
        <v>3.5640240240240244</v>
      </c>
      <c r="G6" s="421" t="s">
        <v>32</v>
      </c>
      <c r="H6" s="423">
        <v>110.67186696900983</v>
      </c>
      <c r="I6" s="424" t="s">
        <v>620</v>
      </c>
      <c r="J6" s="425">
        <v>88.825831325301209</v>
      </c>
      <c r="K6" s="424" t="s">
        <v>620</v>
      </c>
      <c r="L6" s="426">
        <v>2.7858399999999999</v>
      </c>
      <c r="M6" s="427" t="s">
        <v>32</v>
      </c>
      <c r="N6" s="426">
        <v>2.8214136125654448</v>
      </c>
      <c r="O6" s="428" t="s">
        <v>32</v>
      </c>
      <c r="P6" s="429">
        <v>50.171260599208587</v>
      </c>
      <c r="Q6" s="430" t="s">
        <v>620</v>
      </c>
      <c r="R6" s="429">
        <v>40.404196988707653</v>
      </c>
      <c r="S6" s="431" t="s">
        <v>646</v>
      </c>
    </row>
    <row r="7" spans="2:21" ht="26.25" customHeight="1" x14ac:dyDescent="0.25">
      <c r="B7" s="432" t="s">
        <v>245</v>
      </c>
      <c r="C7" s="433">
        <v>20</v>
      </c>
      <c r="D7" s="434">
        <v>5.9673584905660384</v>
      </c>
      <c r="E7" s="435" t="s">
        <v>32</v>
      </c>
      <c r="F7" s="436">
        <v>4.1170748299319726</v>
      </c>
      <c r="G7" s="435" t="s">
        <v>32</v>
      </c>
      <c r="H7" s="437">
        <v>62.29180084745763</v>
      </c>
      <c r="I7" s="438" t="s">
        <v>620</v>
      </c>
      <c r="J7" s="439">
        <v>67.643867469879524</v>
      </c>
      <c r="K7" s="438" t="s">
        <v>620</v>
      </c>
      <c r="L7" s="440">
        <v>2.8774074074074072</v>
      </c>
      <c r="M7" s="441" t="s">
        <v>32</v>
      </c>
      <c r="N7" s="440">
        <v>2.0875957446808511</v>
      </c>
      <c r="O7" s="442" t="s">
        <v>32</v>
      </c>
      <c r="P7" s="443">
        <v>11.87915611814346</v>
      </c>
      <c r="Q7" s="444" t="s">
        <v>33</v>
      </c>
      <c r="R7" s="443">
        <v>5.4715740740740735</v>
      </c>
      <c r="S7" s="445" t="s">
        <v>32</v>
      </c>
    </row>
    <row r="8" spans="2:21" ht="26.25" hidden="1" customHeight="1" x14ac:dyDescent="0.25">
      <c r="B8" s="432" t="s">
        <v>1097</v>
      </c>
      <c r="C8" s="433">
        <v>25</v>
      </c>
      <c r="D8" s="434"/>
      <c r="E8" s="435"/>
      <c r="F8" s="436"/>
      <c r="G8" s="435"/>
      <c r="H8" s="437"/>
      <c r="I8" s="438"/>
      <c r="J8" s="439"/>
      <c r="K8" s="438"/>
      <c r="L8" s="440">
        <v>0.18166666666666664</v>
      </c>
      <c r="M8" s="441" t="s">
        <v>32</v>
      </c>
      <c r="N8" s="440">
        <v>0.2200980392156863</v>
      </c>
      <c r="O8" s="442" t="s">
        <v>32</v>
      </c>
      <c r="P8" s="443">
        <v>0.17150442477876104</v>
      </c>
      <c r="Q8" s="444" t="s">
        <v>32</v>
      </c>
      <c r="R8" s="443">
        <v>0.18392000000000006</v>
      </c>
      <c r="S8" s="445" t="s">
        <v>32</v>
      </c>
    </row>
    <row r="9" spans="2:21" ht="26.25" customHeight="1" x14ac:dyDescent="0.25">
      <c r="B9" s="432" t="s">
        <v>1098</v>
      </c>
      <c r="C9" s="433">
        <v>30</v>
      </c>
      <c r="D9" s="599">
        <v>1.7639659637439884</v>
      </c>
      <c r="E9" s="601" t="s">
        <v>32</v>
      </c>
      <c r="F9" s="599">
        <v>2.0275956475956471</v>
      </c>
      <c r="G9" s="601" t="s">
        <v>32</v>
      </c>
      <c r="H9" s="603">
        <v>5.2415268640350865</v>
      </c>
      <c r="I9" s="586" t="s">
        <v>32</v>
      </c>
      <c r="J9" s="603">
        <v>28.073091662351111</v>
      </c>
      <c r="K9" s="586" t="s">
        <v>1137</v>
      </c>
      <c r="L9" s="440">
        <v>1.2988267148014441</v>
      </c>
      <c r="M9" s="441" t="s">
        <v>32</v>
      </c>
      <c r="N9" s="440">
        <v>2.3196100917431193</v>
      </c>
      <c r="O9" s="442" t="s">
        <v>32</v>
      </c>
      <c r="P9" s="443">
        <v>2.6353646163601776</v>
      </c>
      <c r="Q9" s="444" t="s">
        <v>32</v>
      </c>
      <c r="R9" s="443">
        <v>3.7982127955493743</v>
      </c>
      <c r="S9" s="445" t="s">
        <v>32</v>
      </c>
    </row>
    <row r="10" spans="2:21" ht="26.25" customHeight="1" x14ac:dyDescent="0.25">
      <c r="B10" s="432" t="s">
        <v>1099</v>
      </c>
      <c r="C10" s="433">
        <v>32</v>
      </c>
      <c r="D10" s="600"/>
      <c r="E10" s="602"/>
      <c r="F10" s="600"/>
      <c r="G10" s="602"/>
      <c r="H10" s="574"/>
      <c r="I10" s="575"/>
      <c r="J10" s="574"/>
      <c r="K10" s="575"/>
      <c r="L10" s="440">
        <v>4.7689296636085636</v>
      </c>
      <c r="M10" s="441" t="s">
        <v>32</v>
      </c>
      <c r="N10" s="440">
        <v>2.5336693548387093</v>
      </c>
      <c r="O10" s="442" t="s">
        <v>32</v>
      </c>
      <c r="P10" s="443">
        <v>8.8962293274531419</v>
      </c>
      <c r="Q10" s="444" t="s">
        <v>32</v>
      </c>
      <c r="R10" s="443">
        <v>4.2619899244332498</v>
      </c>
      <c r="S10" s="445" t="s">
        <v>32</v>
      </c>
    </row>
    <row r="11" spans="2:21" ht="26.25" hidden="1" customHeight="1" x14ac:dyDescent="0.25">
      <c r="B11" s="432" t="s">
        <v>1100</v>
      </c>
      <c r="C11" s="433">
        <v>35</v>
      </c>
      <c r="D11" s="434">
        <v>0.88061538461538469</v>
      </c>
      <c r="E11" s="435" t="s">
        <v>32</v>
      </c>
      <c r="F11" s="436">
        <v>1.6326363636363634</v>
      </c>
      <c r="G11" s="435" t="s">
        <v>32</v>
      </c>
      <c r="H11" s="437">
        <v>0.90052380952380962</v>
      </c>
      <c r="I11" s="446" t="s">
        <v>32</v>
      </c>
      <c r="J11" s="439">
        <v>1.6934736842105262</v>
      </c>
      <c r="K11" s="446" t="s">
        <v>32</v>
      </c>
      <c r="L11" s="440">
        <v>0.85236024844720504</v>
      </c>
      <c r="M11" s="441" t="s">
        <v>32</v>
      </c>
      <c r="N11" s="440">
        <v>1.2411764705882351</v>
      </c>
      <c r="O11" s="442" t="s">
        <v>32</v>
      </c>
      <c r="P11" s="443">
        <v>0.99993031358885009</v>
      </c>
      <c r="Q11" s="444" t="s">
        <v>32</v>
      </c>
      <c r="R11" s="443">
        <v>1.3241503267973855</v>
      </c>
      <c r="S11" s="445" t="s">
        <v>32</v>
      </c>
    </row>
    <row r="12" spans="2:21" s="302" customFormat="1" ht="26.25" customHeight="1" x14ac:dyDescent="0.25">
      <c r="B12" s="432" t="s">
        <v>317</v>
      </c>
      <c r="C12" s="433">
        <v>40</v>
      </c>
      <c r="D12" s="434">
        <v>6.9638800000000005</v>
      </c>
      <c r="E12" s="435" t="s">
        <v>32</v>
      </c>
      <c r="F12" s="436">
        <v>6.622245614035088</v>
      </c>
      <c r="G12" s="435" t="s">
        <v>32</v>
      </c>
      <c r="H12" s="437">
        <v>9.7261873638344234</v>
      </c>
      <c r="I12" s="446" t="s">
        <v>32</v>
      </c>
      <c r="J12" s="439">
        <v>14.573294573643409</v>
      </c>
      <c r="K12" s="446" t="s">
        <v>33</v>
      </c>
      <c r="L12" s="440">
        <v>8.6099186991869914</v>
      </c>
      <c r="M12" s="441" t="s">
        <v>32</v>
      </c>
      <c r="N12" s="440">
        <v>8.6266312056737569</v>
      </c>
      <c r="O12" s="442" t="s">
        <v>32</v>
      </c>
      <c r="P12" s="443">
        <v>11.871798245614038</v>
      </c>
      <c r="Q12" s="444" t="s">
        <v>33</v>
      </c>
      <c r="R12" s="443">
        <v>14.723873949579833</v>
      </c>
      <c r="S12" s="445" t="s">
        <v>33</v>
      </c>
    </row>
    <row r="13" spans="2:21" s="302" customFormat="1" ht="26.25" customHeight="1" x14ac:dyDescent="0.25">
      <c r="B13" s="432" t="s">
        <v>247</v>
      </c>
      <c r="C13" s="433">
        <v>50</v>
      </c>
      <c r="D13" s="434">
        <v>0.84898279158699819</v>
      </c>
      <c r="E13" s="435" t="s">
        <v>32</v>
      </c>
      <c r="F13" s="436">
        <v>1.0207989967753495</v>
      </c>
      <c r="G13" s="435" t="s">
        <v>32</v>
      </c>
      <c r="H13" s="437">
        <v>1.1273829282750445</v>
      </c>
      <c r="I13" s="446" t="s">
        <v>32</v>
      </c>
      <c r="J13" s="439">
        <v>1.371030042918455</v>
      </c>
      <c r="K13" s="446" t="s">
        <v>32</v>
      </c>
      <c r="L13" s="440">
        <v>0.79941631233088528</v>
      </c>
      <c r="M13" s="441" t="s">
        <v>32</v>
      </c>
      <c r="N13" s="440">
        <v>1.0191295336787565</v>
      </c>
      <c r="O13" s="442" t="s">
        <v>32</v>
      </c>
      <c r="P13" s="443">
        <v>1.2987517610594532</v>
      </c>
      <c r="Q13" s="444" t="s">
        <v>32</v>
      </c>
      <c r="R13" s="443">
        <v>1.5102811048643363</v>
      </c>
      <c r="S13" s="445" t="s">
        <v>32</v>
      </c>
      <c r="T13" s="587"/>
      <c r="U13" s="588"/>
    </row>
    <row r="14" spans="2:21" s="302" customFormat="1" ht="26.25" customHeight="1" x14ac:dyDescent="0.25">
      <c r="B14" s="432" t="s">
        <v>318</v>
      </c>
      <c r="C14" s="433">
        <v>60</v>
      </c>
      <c r="D14" s="434">
        <v>1.9226032540675846</v>
      </c>
      <c r="E14" s="435" t="s">
        <v>32</v>
      </c>
      <c r="F14" s="436">
        <v>1.9325447570332481</v>
      </c>
      <c r="G14" s="435" t="s">
        <v>32</v>
      </c>
      <c r="H14" s="437">
        <v>38.265975800156127</v>
      </c>
      <c r="I14" s="446" t="s">
        <v>646</v>
      </c>
      <c r="J14" s="439">
        <v>9.7298018691588783</v>
      </c>
      <c r="K14" s="446" t="s">
        <v>32</v>
      </c>
      <c r="L14" s="440">
        <v>1.799129814550642</v>
      </c>
      <c r="M14" s="441" t="s">
        <v>32</v>
      </c>
      <c r="N14" s="440">
        <v>1.8103042876901796</v>
      </c>
      <c r="O14" s="442" t="s">
        <v>32</v>
      </c>
      <c r="P14" s="443">
        <v>15.392492155983861</v>
      </c>
      <c r="Q14" s="444" t="s">
        <v>34</v>
      </c>
      <c r="R14" s="443">
        <v>6.6895690747782002</v>
      </c>
      <c r="S14" s="445" t="s">
        <v>32</v>
      </c>
    </row>
    <row r="15" spans="2:21" ht="26.25" hidden="1" customHeight="1" x14ac:dyDescent="0.25">
      <c r="B15" s="432" t="s">
        <v>1101</v>
      </c>
      <c r="C15" s="433">
        <v>65</v>
      </c>
      <c r="D15" s="434">
        <v>0.32091584158415842</v>
      </c>
      <c r="E15" s="435" t="s">
        <v>32</v>
      </c>
      <c r="F15" s="436">
        <v>0.52559829059829055</v>
      </c>
      <c r="G15" s="435" t="s">
        <v>32</v>
      </c>
      <c r="H15" s="437">
        <v>0.71924045491470334</v>
      </c>
      <c r="I15" s="446" t="s">
        <v>32</v>
      </c>
      <c r="J15" s="439">
        <v>1.5810127860026919</v>
      </c>
      <c r="K15" s="446" t="s">
        <v>32</v>
      </c>
      <c r="L15" s="440">
        <v>0.29156558533145277</v>
      </c>
      <c r="M15" s="441" t="s">
        <v>32</v>
      </c>
      <c r="N15" s="440">
        <v>0.4966360505166475</v>
      </c>
      <c r="O15" s="442" t="s">
        <v>32</v>
      </c>
      <c r="P15" s="443">
        <v>0.58575857209957738</v>
      </c>
      <c r="Q15" s="444" t="s">
        <v>32</v>
      </c>
      <c r="R15" s="443">
        <v>1.2901586102719034</v>
      </c>
      <c r="S15" s="445" t="s">
        <v>32</v>
      </c>
      <c r="T15" s="302"/>
      <c r="U15" s="302"/>
    </row>
    <row r="16" spans="2:21" ht="26.25" customHeight="1" x14ac:dyDescent="0.25">
      <c r="B16" s="432" t="s">
        <v>321</v>
      </c>
      <c r="C16" s="433">
        <v>70</v>
      </c>
      <c r="D16" s="434">
        <v>26.762650862068963</v>
      </c>
      <c r="E16" s="435" t="s">
        <v>34</v>
      </c>
      <c r="F16" s="436">
        <v>30.16207168176447</v>
      </c>
      <c r="G16" s="435" t="s">
        <v>34</v>
      </c>
      <c r="H16" s="437">
        <v>33.203524139924824</v>
      </c>
      <c r="I16" s="446" t="s">
        <v>34</v>
      </c>
      <c r="J16" s="439">
        <v>39.132539335664326</v>
      </c>
      <c r="K16" s="446" t="s">
        <v>1137</v>
      </c>
      <c r="L16" s="440">
        <v>26.122015990862366</v>
      </c>
      <c r="M16" s="441" t="s">
        <v>34</v>
      </c>
      <c r="N16" s="440">
        <v>27.827458719291176</v>
      </c>
      <c r="O16" s="442" t="s">
        <v>34</v>
      </c>
      <c r="P16" s="443">
        <v>30.752957480314961</v>
      </c>
      <c r="Q16" s="444" t="s">
        <v>34</v>
      </c>
      <c r="R16" s="443">
        <v>34.667570356472794</v>
      </c>
      <c r="S16" s="445" t="s">
        <v>34</v>
      </c>
      <c r="T16" s="447"/>
      <c r="U16" s="447"/>
    </row>
    <row r="17" spans="2:25" hidden="1" x14ac:dyDescent="0.25">
      <c r="B17" s="432" t="s">
        <v>1102</v>
      </c>
      <c r="C17" s="433">
        <v>75</v>
      </c>
      <c r="D17" s="434">
        <v>1.0275341296928326</v>
      </c>
      <c r="E17" s="435" t="s">
        <v>32</v>
      </c>
      <c r="F17" s="436">
        <v>1.135638766519824</v>
      </c>
      <c r="G17" s="435" t="s">
        <v>32</v>
      </c>
      <c r="H17" s="437">
        <v>1.3008728046833422</v>
      </c>
      <c r="I17" s="446" t="s">
        <v>32</v>
      </c>
      <c r="J17" s="439">
        <v>1.5656164383561642</v>
      </c>
      <c r="K17" s="446" t="s">
        <v>32</v>
      </c>
      <c r="L17" s="440">
        <v>0.92482596425211672</v>
      </c>
      <c r="M17" s="441" t="s">
        <v>32</v>
      </c>
      <c r="N17" s="440">
        <v>0.96726291879613868</v>
      </c>
      <c r="O17" s="442" t="s">
        <v>32</v>
      </c>
      <c r="P17" s="443">
        <v>0.94849428208386277</v>
      </c>
      <c r="Q17" s="444" t="s">
        <v>32</v>
      </c>
      <c r="R17" s="443">
        <v>1.7127066722618547</v>
      </c>
      <c r="S17" s="445" t="s">
        <v>32</v>
      </c>
      <c r="T17" s="447"/>
      <c r="U17" s="447"/>
    </row>
    <row r="18" spans="2:25" ht="26.25" customHeight="1" x14ac:dyDescent="0.25">
      <c r="B18" s="432" t="s">
        <v>324</v>
      </c>
      <c r="C18" s="433">
        <v>80</v>
      </c>
      <c r="D18" s="434">
        <v>21.257623413258109</v>
      </c>
      <c r="E18" s="435" t="s">
        <v>34</v>
      </c>
      <c r="F18" s="436">
        <v>25.806308125880694</v>
      </c>
      <c r="G18" s="435" t="s">
        <v>34</v>
      </c>
      <c r="H18" s="437">
        <v>22.059595061728398</v>
      </c>
      <c r="I18" s="446" t="s">
        <v>34</v>
      </c>
      <c r="J18" s="439">
        <v>28.038234905971628</v>
      </c>
      <c r="K18" s="446" t="s">
        <v>34</v>
      </c>
      <c r="L18" s="440">
        <v>21.333569254185697</v>
      </c>
      <c r="M18" s="441" t="s">
        <v>34</v>
      </c>
      <c r="N18" s="440">
        <v>22.562029750479848</v>
      </c>
      <c r="O18" s="442" t="s">
        <v>34</v>
      </c>
      <c r="P18" s="443">
        <v>17.149384349827383</v>
      </c>
      <c r="Q18" s="444" t="s">
        <v>33</v>
      </c>
      <c r="R18" s="443">
        <v>26.911100950987564</v>
      </c>
      <c r="S18" s="445" t="s">
        <v>34</v>
      </c>
      <c r="T18" s="447"/>
      <c r="U18" s="447"/>
    </row>
    <row r="19" spans="2:25" ht="26.25" hidden="1" customHeight="1" x14ac:dyDescent="0.25">
      <c r="B19" s="432" t="s">
        <v>1103</v>
      </c>
      <c r="C19" s="433">
        <v>85</v>
      </c>
      <c r="D19" s="434">
        <v>0.64209975864843116</v>
      </c>
      <c r="E19" s="435" t="s">
        <v>32</v>
      </c>
      <c r="F19" s="436">
        <v>0.95336871508379883</v>
      </c>
      <c r="G19" s="435" t="s">
        <v>32</v>
      </c>
      <c r="H19" s="437">
        <v>0.92159802306425043</v>
      </c>
      <c r="I19" s="446" t="s">
        <v>32</v>
      </c>
      <c r="J19" s="439">
        <v>6.1788086922778422</v>
      </c>
      <c r="K19" s="446" t="s">
        <v>32</v>
      </c>
      <c r="L19" s="440">
        <v>0.65771179039301308</v>
      </c>
      <c r="M19" s="441" t="s">
        <v>32</v>
      </c>
      <c r="N19" s="440">
        <v>1.3180490587564173</v>
      </c>
      <c r="O19" s="442" t="s">
        <v>32</v>
      </c>
      <c r="P19" s="443">
        <v>0.8354439403758912</v>
      </c>
      <c r="Q19" s="444" t="s">
        <v>32</v>
      </c>
      <c r="R19" s="443">
        <v>1.4603555941023416</v>
      </c>
      <c r="S19" s="445" t="s">
        <v>32</v>
      </c>
      <c r="T19" s="447"/>
      <c r="U19" s="447"/>
    </row>
    <row r="20" spans="2:25" ht="26.25" customHeight="1" x14ac:dyDescent="0.25">
      <c r="B20" s="432" t="s">
        <v>325</v>
      </c>
      <c r="C20" s="433">
        <v>90</v>
      </c>
      <c r="D20" s="434">
        <v>18.982300556586274</v>
      </c>
      <c r="E20" s="435" t="s">
        <v>33</v>
      </c>
      <c r="F20" s="436">
        <v>24.207780350645052</v>
      </c>
      <c r="G20" s="435" t="s">
        <v>34</v>
      </c>
      <c r="H20" s="437">
        <v>26.8014817232376</v>
      </c>
      <c r="I20" s="446" t="s">
        <v>34</v>
      </c>
      <c r="J20" s="439">
        <v>87.208634855830567</v>
      </c>
      <c r="K20" s="448" t="s">
        <v>620</v>
      </c>
      <c r="L20" s="440">
        <v>19.145448654037889</v>
      </c>
      <c r="M20" s="441" t="s">
        <v>33</v>
      </c>
      <c r="N20" s="440">
        <v>27.879147707979627</v>
      </c>
      <c r="O20" s="442" t="s">
        <v>34</v>
      </c>
      <c r="P20" s="443">
        <v>23.103740112994355</v>
      </c>
      <c r="Q20" s="444" t="s">
        <v>34</v>
      </c>
      <c r="R20" s="443">
        <v>33.279287257019433</v>
      </c>
      <c r="S20" s="445" t="s">
        <v>34</v>
      </c>
      <c r="T20" s="447"/>
      <c r="U20" s="447"/>
    </row>
    <row r="21" spans="2:25" ht="26.25" customHeight="1" x14ac:dyDescent="0.25">
      <c r="B21" s="432" t="s">
        <v>326</v>
      </c>
      <c r="C21" s="433">
        <v>100</v>
      </c>
      <c r="D21" s="434">
        <v>6.29439672801636</v>
      </c>
      <c r="E21" s="435" t="s">
        <v>32</v>
      </c>
      <c r="F21" s="436">
        <v>11.293325054330952</v>
      </c>
      <c r="G21" s="435" t="s">
        <v>33</v>
      </c>
      <c r="H21" s="437">
        <v>37.62405388471177</v>
      </c>
      <c r="I21" s="446" t="s">
        <v>1137</v>
      </c>
      <c r="J21" s="439">
        <v>86.673096059113306</v>
      </c>
      <c r="K21" s="448" t="s">
        <v>620</v>
      </c>
      <c r="L21" s="440">
        <v>6.7787505460899959</v>
      </c>
      <c r="M21" s="441" t="s">
        <v>32</v>
      </c>
      <c r="N21" s="440">
        <v>21.912068189128341</v>
      </c>
      <c r="O21" s="442" t="s">
        <v>34</v>
      </c>
      <c r="P21" s="443">
        <v>10.129121395036888</v>
      </c>
      <c r="Q21" s="444" t="s">
        <v>33</v>
      </c>
      <c r="R21" s="443">
        <v>29.490123332494342</v>
      </c>
      <c r="S21" s="445" t="s">
        <v>34</v>
      </c>
      <c r="T21" s="447"/>
      <c r="U21" s="447"/>
    </row>
    <row r="22" spans="2:25" ht="26.25" customHeight="1" x14ac:dyDescent="0.25">
      <c r="B22" s="432" t="s">
        <v>248</v>
      </c>
      <c r="C22" s="433">
        <v>110</v>
      </c>
      <c r="D22" s="434">
        <v>9.4605197827773466</v>
      </c>
      <c r="E22" s="435" t="s">
        <v>32</v>
      </c>
      <c r="F22" s="436">
        <v>13.645725501599301</v>
      </c>
      <c r="G22" s="435" t="s">
        <v>33</v>
      </c>
      <c r="H22" s="437">
        <v>17.236601744186046</v>
      </c>
      <c r="I22" s="446" t="s">
        <v>33</v>
      </c>
      <c r="J22" s="439">
        <v>28.63121363636364</v>
      </c>
      <c r="K22" s="446" t="s">
        <v>34</v>
      </c>
      <c r="L22" s="440">
        <v>9.9286786018755322</v>
      </c>
      <c r="M22" s="441" t="s">
        <v>32</v>
      </c>
      <c r="N22" s="440">
        <v>18.94065512978986</v>
      </c>
      <c r="O22" s="442" t="s">
        <v>33</v>
      </c>
      <c r="P22" s="443">
        <v>12.146172959019038</v>
      </c>
      <c r="Q22" s="444" t="s">
        <v>33</v>
      </c>
      <c r="R22" s="443">
        <v>19.346881720430108</v>
      </c>
      <c r="S22" s="445" t="s">
        <v>33</v>
      </c>
      <c r="T22" s="447"/>
      <c r="U22" s="447"/>
    </row>
    <row r="23" spans="2:25" ht="26.25" customHeight="1" x14ac:dyDescent="0.25">
      <c r="B23" s="432" t="s">
        <v>249</v>
      </c>
      <c r="C23" s="433">
        <v>120</v>
      </c>
      <c r="D23" s="434">
        <v>27.270540432345882</v>
      </c>
      <c r="E23" s="435" t="s">
        <v>34</v>
      </c>
      <c r="F23" s="436">
        <v>16.044926596107885</v>
      </c>
      <c r="G23" s="435" t="s">
        <v>33</v>
      </c>
      <c r="H23" s="437">
        <v>58.247596618357484</v>
      </c>
      <c r="I23" s="446" t="s">
        <v>646</v>
      </c>
      <c r="J23" s="439">
        <v>24.909795092334935</v>
      </c>
      <c r="K23" s="446" t="s">
        <v>34</v>
      </c>
      <c r="L23" s="440">
        <v>20.594758169934639</v>
      </c>
      <c r="M23" s="441" t="s">
        <v>34</v>
      </c>
      <c r="N23" s="440">
        <v>18.076036036036037</v>
      </c>
      <c r="O23" s="442" t="s">
        <v>33</v>
      </c>
      <c r="P23" s="443">
        <v>25.408669088507263</v>
      </c>
      <c r="Q23" s="444" t="s">
        <v>34</v>
      </c>
      <c r="R23" s="443">
        <v>21.297933478735008</v>
      </c>
      <c r="S23" s="445" t="s">
        <v>34</v>
      </c>
      <c r="T23" s="447"/>
      <c r="U23" s="447"/>
    </row>
    <row r="24" spans="2:25" ht="26.25" hidden="1" customHeight="1" x14ac:dyDescent="0.25">
      <c r="B24" s="432" t="s">
        <v>327</v>
      </c>
      <c r="C24" s="433">
        <v>130</v>
      </c>
      <c r="D24" s="434">
        <v>13.341974317817014</v>
      </c>
      <c r="E24" s="435" t="s">
        <v>33</v>
      </c>
      <c r="F24" s="436">
        <v>21.829574198988194</v>
      </c>
      <c r="G24" s="435" t="s">
        <v>34</v>
      </c>
      <c r="H24" s="437">
        <v>71.824099670897965</v>
      </c>
      <c r="I24" s="448" t="s">
        <v>620</v>
      </c>
      <c r="J24" s="439">
        <v>36.722273183796446</v>
      </c>
      <c r="K24" s="446" t="s">
        <v>646</v>
      </c>
      <c r="L24" s="440">
        <v>12.733837597330364</v>
      </c>
      <c r="M24" s="441" t="s">
        <v>33</v>
      </c>
      <c r="N24" s="440">
        <v>11.496193576388889</v>
      </c>
      <c r="O24" s="442" t="s">
        <v>33</v>
      </c>
      <c r="P24" s="443">
        <v>42.654732104586365</v>
      </c>
      <c r="Q24" s="444" t="s">
        <v>646</v>
      </c>
      <c r="R24" s="443">
        <v>33.117750990752967</v>
      </c>
      <c r="S24" s="445" t="s">
        <v>1137</v>
      </c>
      <c r="T24" s="447"/>
      <c r="U24" s="447"/>
    </row>
    <row r="25" spans="2:25" ht="15.75" thickBot="1" x14ac:dyDescent="0.3">
      <c r="B25" s="449" t="s">
        <v>328</v>
      </c>
      <c r="C25" s="450">
        <v>140</v>
      </c>
      <c r="D25" s="451">
        <v>19.821475029036005</v>
      </c>
      <c r="E25" s="452" t="s">
        <v>33</v>
      </c>
      <c r="F25" s="453">
        <v>17.671165361584524</v>
      </c>
      <c r="G25" s="452" t="s">
        <v>33</v>
      </c>
      <c r="H25" s="454">
        <v>88.637499999999989</v>
      </c>
      <c r="I25" s="455" t="s">
        <v>620</v>
      </c>
      <c r="J25" s="456">
        <v>20.155830665243691</v>
      </c>
      <c r="K25" s="457" t="s">
        <v>34</v>
      </c>
      <c r="L25" s="458">
        <v>20.859278350515467</v>
      </c>
      <c r="M25" s="459" t="s">
        <v>34</v>
      </c>
      <c r="N25" s="458">
        <v>18.0160690316395</v>
      </c>
      <c r="O25" s="460" t="s">
        <v>33</v>
      </c>
      <c r="P25" s="461">
        <v>23.9648950729927</v>
      </c>
      <c r="Q25" s="462" t="s">
        <v>34</v>
      </c>
      <c r="R25" s="461">
        <v>21.412534318901798</v>
      </c>
      <c r="S25" s="463" t="s">
        <v>34</v>
      </c>
      <c r="T25" s="447"/>
      <c r="U25" s="447"/>
    </row>
    <row r="26" spans="2:25" s="302" customFormat="1" ht="15.75" thickBot="1" x14ac:dyDescent="0.3">
      <c r="B26" s="589" t="s">
        <v>1104</v>
      </c>
      <c r="C26" s="589" t="s">
        <v>1105</v>
      </c>
      <c r="D26" s="583" t="s">
        <v>1088</v>
      </c>
      <c r="E26" s="584"/>
      <c r="F26" s="584"/>
      <c r="G26" s="585"/>
      <c r="H26" s="583" t="s">
        <v>1089</v>
      </c>
      <c r="I26" s="584"/>
      <c r="J26" s="584"/>
      <c r="K26" s="585"/>
      <c r="L26" s="583" t="s">
        <v>1090</v>
      </c>
      <c r="M26" s="584"/>
      <c r="N26" s="584"/>
      <c r="O26" s="585"/>
      <c r="P26" s="591" t="s">
        <v>1091</v>
      </c>
      <c r="Q26" s="592"/>
      <c r="R26" s="592"/>
      <c r="S26" s="593"/>
    </row>
    <row r="27" spans="2:25" s="302" customFormat="1" ht="15.75" thickBot="1" x14ac:dyDescent="0.3">
      <c r="B27" s="590"/>
      <c r="C27" s="590"/>
      <c r="D27" s="594" t="s">
        <v>1092</v>
      </c>
      <c r="E27" s="595"/>
      <c r="F27" s="583" t="s">
        <v>1093</v>
      </c>
      <c r="G27" s="585"/>
      <c r="H27" s="583" t="s">
        <v>1092</v>
      </c>
      <c r="I27" s="584"/>
      <c r="J27" s="583" t="s">
        <v>1093</v>
      </c>
      <c r="K27" s="585"/>
      <c r="L27" s="583" t="s">
        <v>1092</v>
      </c>
      <c r="M27" s="584"/>
      <c r="N27" s="583" t="s">
        <v>1093</v>
      </c>
      <c r="O27" s="585"/>
      <c r="P27" s="583" t="s">
        <v>1092</v>
      </c>
      <c r="Q27" s="585"/>
      <c r="R27" s="583" t="s">
        <v>1093</v>
      </c>
      <c r="S27" s="585"/>
      <c r="V27" s="447">
        <f>SUM(V28:V29)</f>
        <v>943.29550000000006</v>
      </c>
      <c r="W27" s="447">
        <f t="shared" ref="W27:Y27" si="0">SUM(W28:W29)</f>
        <v>2318.4948249999998</v>
      </c>
      <c r="X27" s="447">
        <f t="shared" si="0"/>
        <v>933.62760000000003</v>
      </c>
      <c r="Y27" s="447">
        <f t="shared" si="0"/>
        <v>1690.0344416666667</v>
      </c>
    </row>
    <row r="28" spans="2:25" ht="25.5" customHeight="1" x14ac:dyDescent="0.25">
      <c r="B28" s="418" t="s">
        <v>1106</v>
      </c>
      <c r="C28" s="418" t="s">
        <v>1107</v>
      </c>
      <c r="D28" s="572">
        <v>43.25</v>
      </c>
      <c r="E28" s="573"/>
      <c r="F28" s="572">
        <v>53.46</v>
      </c>
      <c r="G28" s="573"/>
      <c r="H28" s="581">
        <v>138.99</v>
      </c>
      <c r="I28" s="582"/>
      <c r="J28" s="581">
        <v>148.08000000000001</v>
      </c>
      <c r="K28" s="582"/>
      <c r="L28" s="566">
        <v>39.119999999999997</v>
      </c>
      <c r="M28" s="567"/>
      <c r="N28" s="566">
        <v>55.01</v>
      </c>
      <c r="O28" s="567"/>
      <c r="P28" s="568">
        <v>65.739999999999995</v>
      </c>
      <c r="Q28" s="569"/>
      <c r="R28" s="568">
        <v>72.94</v>
      </c>
      <c r="S28" s="569"/>
      <c r="V28" s="464">
        <f>SUM(D31:G31)</f>
        <v>0.35146111111111111</v>
      </c>
      <c r="W28" s="464">
        <f>SUM(H31:K31)</f>
        <v>177.23473055555556</v>
      </c>
      <c r="X28" s="464">
        <f>SUM(L31:O31)</f>
        <v>0.1507</v>
      </c>
      <c r="Y28" s="464">
        <f>SUM(P31:S31)</f>
        <v>53.28026666666667</v>
      </c>
    </row>
    <row r="29" spans="2:25" ht="25.5" customHeight="1" x14ac:dyDescent="0.25">
      <c r="B29" s="432" t="s">
        <v>203</v>
      </c>
      <c r="C29" s="432" t="s">
        <v>1108</v>
      </c>
      <c r="D29" s="560">
        <v>425.50609444444444</v>
      </c>
      <c r="E29" s="561"/>
      <c r="F29" s="560">
        <v>517.4379444444445</v>
      </c>
      <c r="G29" s="561"/>
      <c r="H29" s="562">
        <v>976.8269472222222</v>
      </c>
      <c r="I29" s="563"/>
      <c r="J29" s="562">
        <v>1164.4331472222223</v>
      </c>
      <c r="K29" s="563"/>
      <c r="L29" s="564">
        <v>411.97649999999999</v>
      </c>
      <c r="M29" s="565"/>
      <c r="N29" s="564">
        <v>521.50040000000001</v>
      </c>
      <c r="O29" s="565"/>
      <c r="P29" s="558">
        <v>746.0580555555556</v>
      </c>
      <c r="Q29" s="559"/>
      <c r="R29" s="558">
        <v>890.69611944444443</v>
      </c>
      <c r="S29" s="559"/>
      <c r="V29" s="464">
        <f>SUM(D29:G29)</f>
        <v>942.94403888888894</v>
      </c>
      <c r="W29" s="464">
        <f>SUM(H29:K29)</f>
        <v>2141.2600944444443</v>
      </c>
      <c r="X29" s="464">
        <f>SUM(L29:O29)</f>
        <v>933.4769</v>
      </c>
      <c r="Y29" s="464">
        <f>SUM(P29:S29)</f>
        <v>1636.754175</v>
      </c>
    </row>
    <row r="30" spans="2:25" ht="25.5" customHeight="1" x14ac:dyDescent="0.25">
      <c r="B30" s="432" t="s">
        <v>1111</v>
      </c>
      <c r="C30" s="432" t="s">
        <v>1108</v>
      </c>
      <c r="D30" s="560">
        <v>91.941258333333337</v>
      </c>
      <c r="E30" s="561"/>
      <c r="F30" s="560">
        <v>133.49509722222223</v>
      </c>
      <c r="G30" s="561"/>
      <c r="H30" s="562">
        <v>462.19536388888889</v>
      </c>
      <c r="I30" s="563"/>
      <c r="J30" s="562">
        <v>573.76302222222216</v>
      </c>
      <c r="K30" s="563"/>
      <c r="L30" s="564">
        <v>82.392983333333333</v>
      </c>
      <c r="M30" s="565"/>
      <c r="N30" s="564">
        <v>136.48773333333335</v>
      </c>
      <c r="O30" s="565"/>
      <c r="P30" s="558">
        <v>218.68292222222223</v>
      </c>
      <c r="Q30" s="559"/>
      <c r="R30" s="558">
        <v>279.54230000000001</v>
      </c>
      <c r="S30" s="559"/>
    </row>
    <row r="31" spans="2:25" ht="25.5" customHeight="1" x14ac:dyDescent="0.25">
      <c r="B31" s="432" t="s">
        <v>1112</v>
      </c>
      <c r="C31" s="432" t="s">
        <v>1108</v>
      </c>
      <c r="D31" s="560">
        <v>5.9866666666666672E-2</v>
      </c>
      <c r="E31" s="561"/>
      <c r="F31" s="560">
        <v>0.29159444444444443</v>
      </c>
      <c r="G31" s="561"/>
      <c r="H31" s="562">
        <v>107.67628888888889</v>
      </c>
      <c r="I31" s="563"/>
      <c r="J31" s="562">
        <v>69.558441666666667</v>
      </c>
      <c r="K31" s="563"/>
      <c r="L31" s="564">
        <v>5.8872222222222222E-2</v>
      </c>
      <c r="M31" s="565"/>
      <c r="N31" s="564">
        <v>9.1827777777777772E-2</v>
      </c>
      <c r="O31" s="565"/>
      <c r="P31" s="558">
        <v>18.112938888888891</v>
      </c>
      <c r="Q31" s="559"/>
      <c r="R31" s="558">
        <v>35.167327777777778</v>
      </c>
      <c r="S31" s="559"/>
      <c r="V31" s="464"/>
      <c r="W31" s="464"/>
    </row>
    <row r="32" spans="2:25" ht="25.5" customHeight="1" x14ac:dyDescent="0.25">
      <c r="B32" s="432" t="s">
        <v>1113</v>
      </c>
      <c r="C32" s="432" t="s">
        <v>1108</v>
      </c>
      <c r="D32" s="560">
        <v>92.001125000000002</v>
      </c>
      <c r="E32" s="561"/>
      <c r="F32" s="560">
        <v>133.78669166666668</v>
      </c>
      <c r="G32" s="561"/>
      <c r="H32" s="562">
        <v>569.87165277777774</v>
      </c>
      <c r="I32" s="563"/>
      <c r="J32" s="562">
        <v>643.32146388888884</v>
      </c>
      <c r="K32" s="563"/>
      <c r="L32" s="564">
        <v>82.451855555555554</v>
      </c>
      <c r="M32" s="565"/>
      <c r="N32" s="564">
        <v>136.57956111111113</v>
      </c>
      <c r="O32" s="565"/>
      <c r="P32" s="558">
        <v>236.79586111111112</v>
      </c>
      <c r="Q32" s="559"/>
      <c r="R32" s="558">
        <v>314.70962777777777</v>
      </c>
      <c r="S32" s="559"/>
    </row>
    <row r="33" spans="1:22" ht="15.75" thickBot="1" x14ac:dyDescent="0.3">
      <c r="B33" s="465" t="s">
        <v>1114</v>
      </c>
      <c r="C33" s="465" t="s">
        <v>1115</v>
      </c>
      <c r="D33" s="576">
        <v>7222</v>
      </c>
      <c r="E33" s="577"/>
      <c r="F33" s="576">
        <v>8449</v>
      </c>
      <c r="G33" s="577"/>
      <c r="H33" s="578">
        <v>10835</v>
      </c>
      <c r="I33" s="579"/>
      <c r="J33" s="578">
        <v>12509</v>
      </c>
      <c r="K33" s="579"/>
      <c r="L33" s="554">
        <v>7162</v>
      </c>
      <c r="M33" s="555"/>
      <c r="N33" s="554">
        <v>8402</v>
      </c>
      <c r="O33" s="555"/>
      <c r="P33" s="556">
        <v>11183</v>
      </c>
      <c r="Q33" s="557"/>
      <c r="R33" s="556">
        <v>12874</v>
      </c>
      <c r="S33" s="557"/>
      <c r="V33" s="68"/>
    </row>
    <row r="34" spans="1:22" ht="25.5" customHeight="1" x14ac:dyDescent="0.25">
      <c r="A34" s="580" t="s">
        <v>1116</v>
      </c>
      <c r="B34" s="418" t="s">
        <v>203</v>
      </c>
      <c r="C34" s="418" t="s">
        <v>1117</v>
      </c>
      <c r="D34" s="572">
        <v>4.1051666666666664</v>
      </c>
      <c r="E34" s="573"/>
      <c r="F34" s="572">
        <v>4.043333333333333</v>
      </c>
      <c r="G34" s="573"/>
      <c r="H34" s="581">
        <v>4.1464999999999996</v>
      </c>
      <c r="I34" s="582"/>
      <c r="J34" s="581">
        <v>4.0743333333333336</v>
      </c>
      <c r="K34" s="582"/>
      <c r="L34" s="566">
        <v>4.1103333333333332</v>
      </c>
      <c r="M34" s="567"/>
      <c r="N34" s="566">
        <v>4.05</v>
      </c>
      <c r="O34" s="567"/>
      <c r="P34" s="568">
        <v>4.1624999999999996</v>
      </c>
      <c r="Q34" s="569"/>
      <c r="R34" s="568">
        <v>4.0979999999999999</v>
      </c>
      <c r="S34" s="569"/>
    </row>
    <row r="35" spans="1:22" ht="25.5" customHeight="1" x14ac:dyDescent="0.25">
      <c r="A35" s="570"/>
      <c r="B35" s="432" t="s">
        <v>1109</v>
      </c>
      <c r="C35" s="432" t="s">
        <v>1110</v>
      </c>
      <c r="D35" s="560">
        <v>4.393344696969697</v>
      </c>
      <c r="E35" s="561"/>
      <c r="F35" s="560">
        <v>4.393344696969697</v>
      </c>
      <c r="G35" s="561"/>
      <c r="H35" s="562">
        <v>4.393344696969697</v>
      </c>
      <c r="I35" s="563"/>
      <c r="J35" s="562">
        <v>4.393344696969697</v>
      </c>
      <c r="K35" s="563"/>
      <c r="L35" s="564">
        <v>4.3986893939393941</v>
      </c>
      <c r="M35" s="565"/>
      <c r="N35" s="564">
        <v>4.3986893939393941</v>
      </c>
      <c r="O35" s="565"/>
      <c r="P35" s="558">
        <v>4.3986893939393941</v>
      </c>
      <c r="Q35" s="559"/>
      <c r="R35" s="558">
        <v>4.3986893939393941</v>
      </c>
      <c r="S35" s="559"/>
    </row>
    <row r="36" spans="1:22" ht="25.5" customHeight="1" x14ac:dyDescent="0.25">
      <c r="A36" s="570"/>
      <c r="B36" s="432" t="s">
        <v>1118</v>
      </c>
      <c r="C36" s="432" t="s">
        <v>1119</v>
      </c>
      <c r="D36" s="560">
        <v>64.211931748978571</v>
      </c>
      <c r="E36" s="561"/>
      <c r="F36" s="560">
        <v>65.193903170201608</v>
      </c>
      <c r="G36" s="561"/>
      <c r="H36" s="562">
        <v>63.571851397125734</v>
      </c>
      <c r="I36" s="563"/>
      <c r="J36" s="562">
        <v>64.697868400110067</v>
      </c>
      <c r="K36" s="563"/>
      <c r="L36" s="564">
        <v>64.209236145413257</v>
      </c>
      <c r="M36" s="565"/>
      <c r="N36" s="564">
        <v>65.165768799102139</v>
      </c>
      <c r="O36" s="565"/>
      <c r="P36" s="558">
        <v>63.404531804531814</v>
      </c>
      <c r="Q36" s="559"/>
      <c r="R36" s="558">
        <v>64.40248014552553</v>
      </c>
      <c r="S36" s="559"/>
    </row>
    <row r="37" spans="1:22" ht="15.75" thickBot="1" x14ac:dyDescent="0.3">
      <c r="A37" s="571"/>
      <c r="B37" s="449" t="s">
        <v>1114</v>
      </c>
      <c r="C37" s="449" t="s">
        <v>1115</v>
      </c>
      <c r="D37" s="576">
        <v>1232</v>
      </c>
      <c r="E37" s="577"/>
      <c r="F37" s="576">
        <v>680</v>
      </c>
      <c r="G37" s="577"/>
      <c r="H37" s="578">
        <v>1502</v>
      </c>
      <c r="I37" s="579"/>
      <c r="J37" s="578">
        <v>921</v>
      </c>
      <c r="K37" s="579"/>
      <c r="L37" s="554">
        <v>1256</v>
      </c>
      <c r="M37" s="555"/>
      <c r="N37" s="554">
        <v>714</v>
      </c>
      <c r="O37" s="555"/>
      <c r="P37" s="556">
        <v>1597</v>
      </c>
      <c r="Q37" s="557"/>
      <c r="R37" s="556">
        <v>1005</v>
      </c>
      <c r="S37" s="557"/>
    </row>
    <row r="38" spans="1:22" ht="25.5" customHeight="1" x14ac:dyDescent="0.25">
      <c r="A38" s="570" t="s">
        <v>1120</v>
      </c>
      <c r="B38" s="466" t="s">
        <v>203</v>
      </c>
      <c r="C38" s="466" t="s">
        <v>1117</v>
      </c>
      <c r="D38" s="572">
        <v>4.0389999999999997</v>
      </c>
      <c r="E38" s="573"/>
      <c r="F38" s="572">
        <v>4.1113333333333335</v>
      </c>
      <c r="G38" s="573"/>
      <c r="H38" s="574">
        <v>4.0655000000000001</v>
      </c>
      <c r="I38" s="575"/>
      <c r="J38" s="574">
        <v>4.1749999999999998</v>
      </c>
      <c r="K38" s="575"/>
      <c r="L38" s="566">
        <v>4.0389999999999997</v>
      </c>
      <c r="M38" s="567"/>
      <c r="N38" s="566">
        <v>4.1156666666666668</v>
      </c>
      <c r="O38" s="567"/>
      <c r="P38" s="568">
        <v>4.0611666666666668</v>
      </c>
      <c r="Q38" s="569"/>
      <c r="R38" s="568">
        <v>4.153833333333333</v>
      </c>
      <c r="S38" s="569"/>
    </row>
    <row r="39" spans="1:22" ht="25.5" customHeight="1" x14ac:dyDescent="0.25">
      <c r="A39" s="570"/>
      <c r="B39" s="432" t="s">
        <v>1109</v>
      </c>
      <c r="C39" s="432" t="s">
        <v>1110</v>
      </c>
      <c r="D39" s="560">
        <v>4.3990056818181822</v>
      </c>
      <c r="E39" s="561"/>
      <c r="F39" s="560">
        <v>4.3990056818181822</v>
      </c>
      <c r="G39" s="561"/>
      <c r="H39" s="562">
        <v>4.3990056818181822</v>
      </c>
      <c r="I39" s="563"/>
      <c r="J39" s="562">
        <v>4.3990056818181822</v>
      </c>
      <c r="K39" s="563"/>
      <c r="L39" s="564">
        <v>4.4017424242424248</v>
      </c>
      <c r="M39" s="565"/>
      <c r="N39" s="564">
        <v>4.4017424242424248</v>
      </c>
      <c r="O39" s="565"/>
      <c r="P39" s="558">
        <v>4.4017424242424248</v>
      </c>
      <c r="Q39" s="559"/>
      <c r="R39" s="558">
        <v>4.4017424242424248</v>
      </c>
      <c r="S39" s="559"/>
    </row>
    <row r="40" spans="1:22" ht="25.5" customHeight="1" x14ac:dyDescent="0.25">
      <c r="A40" s="570"/>
      <c r="B40" s="432" t="s">
        <v>1118</v>
      </c>
      <c r="C40" s="432" t="s">
        <v>1119</v>
      </c>
      <c r="D40" s="560">
        <v>65.347942785117837</v>
      </c>
      <c r="E40" s="561"/>
      <c r="F40" s="560">
        <v>64.198234370623709</v>
      </c>
      <c r="G40" s="561"/>
      <c r="H40" s="562">
        <v>64.921987679028632</v>
      </c>
      <c r="I40" s="563"/>
      <c r="J40" s="562">
        <v>63.21924333151879</v>
      </c>
      <c r="K40" s="563"/>
      <c r="L40" s="564">
        <v>65.388597537644344</v>
      </c>
      <c r="M40" s="565"/>
      <c r="N40" s="564">
        <v>64.17053829785668</v>
      </c>
      <c r="O40" s="565"/>
      <c r="P40" s="558">
        <v>65.031693385614673</v>
      </c>
      <c r="Q40" s="559"/>
      <c r="R40" s="558">
        <v>63.58092014313177</v>
      </c>
      <c r="S40" s="559"/>
    </row>
    <row r="41" spans="1:22" ht="15.75" thickBot="1" x14ac:dyDescent="0.3">
      <c r="A41" s="571"/>
      <c r="B41" s="449" t="s">
        <v>1114</v>
      </c>
      <c r="C41" s="449" t="s">
        <v>1115</v>
      </c>
      <c r="D41" s="576">
        <v>536</v>
      </c>
      <c r="E41" s="577"/>
      <c r="F41" s="576">
        <v>1164</v>
      </c>
      <c r="G41" s="577"/>
      <c r="H41" s="578">
        <v>609</v>
      </c>
      <c r="I41" s="579"/>
      <c r="J41" s="578">
        <v>1487</v>
      </c>
      <c r="K41" s="579"/>
      <c r="L41" s="554">
        <v>542</v>
      </c>
      <c r="M41" s="555"/>
      <c r="N41" s="554">
        <v>1185</v>
      </c>
      <c r="O41" s="555"/>
      <c r="P41" s="556">
        <v>615</v>
      </c>
      <c r="Q41" s="557"/>
      <c r="R41" s="556">
        <v>1521</v>
      </c>
      <c r="S41" s="557"/>
    </row>
  </sheetData>
  <mergeCells count="150">
    <mergeCell ref="B3:B5"/>
    <mergeCell ref="D3:G3"/>
    <mergeCell ref="H3:K3"/>
    <mergeCell ref="L3:O3"/>
    <mergeCell ref="P3:S3"/>
    <mergeCell ref="D4:E4"/>
    <mergeCell ref="F4:G4"/>
    <mergeCell ref="H4:I4"/>
    <mergeCell ref="J4:K4"/>
    <mergeCell ref="L4:M4"/>
    <mergeCell ref="N4:O4"/>
    <mergeCell ref="P4:Q4"/>
    <mergeCell ref="R4:S4"/>
    <mergeCell ref="D9:D10"/>
    <mergeCell ref="E9:E10"/>
    <mergeCell ref="F9:F10"/>
    <mergeCell ref="G9:G10"/>
    <mergeCell ref="H9:H10"/>
    <mergeCell ref="I9:I10"/>
    <mergeCell ref="J9:J10"/>
    <mergeCell ref="H27:I27"/>
    <mergeCell ref="J27:K27"/>
    <mergeCell ref="L27:M27"/>
    <mergeCell ref="N27:O27"/>
    <mergeCell ref="P27:Q27"/>
    <mergeCell ref="R27:S27"/>
    <mergeCell ref="K9:K10"/>
    <mergeCell ref="T13:U13"/>
    <mergeCell ref="B26:B27"/>
    <mergeCell ref="C26:C27"/>
    <mergeCell ref="D26:G26"/>
    <mergeCell ref="H26:K26"/>
    <mergeCell ref="L26:O26"/>
    <mergeCell ref="P26:S26"/>
    <mergeCell ref="D27:E27"/>
    <mergeCell ref="F27:G27"/>
    <mergeCell ref="D30:E30"/>
    <mergeCell ref="F30:G30"/>
    <mergeCell ref="H30:I30"/>
    <mergeCell ref="J30:K30"/>
    <mergeCell ref="L30:M30"/>
    <mergeCell ref="N30:O30"/>
    <mergeCell ref="P30:Q30"/>
    <mergeCell ref="R30:S30"/>
    <mergeCell ref="P28:Q28"/>
    <mergeCell ref="R28:S28"/>
    <mergeCell ref="D29:E29"/>
    <mergeCell ref="F29:G29"/>
    <mergeCell ref="H29:I29"/>
    <mergeCell ref="J29:K29"/>
    <mergeCell ref="L29:M29"/>
    <mergeCell ref="N29:O29"/>
    <mergeCell ref="P29:Q29"/>
    <mergeCell ref="R29:S29"/>
    <mergeCell ref="D28:E28"/>
    <mergeCell ref="F28:G28"/>
    <mergeCell ref="H28:I28"/>
    <mergeCell ref="J28:K28"/>
    <mergeCell ref="L28:M28"/>
    <mergeCell ref="N28:O28"/>
    <mergeCell ref="P31:Q31"/>
    <mergeCell ref="R31:S31"/>
    <mergeCell ref="D32:E32"/>
    <mergeCell ref="F32:G32"/>
    <mergeCell ref="H32:I32"/>
    <mergeCell ref="J32:K32"/>
    <mergeCell ref="L32:M32"/>
    <mergeCell ref="N32:O32"/>
    <mergeCell ref="P32:Q32"/>
    <mergeCell ref="R32:S32"/>
    <mergeCell ref="D31:E31"/>
    <mergeCell ref="F31:G31"/>
    <mergeCell ref="H31:I31"/>
    <mergeCell ref="J31:K31"/>
    <mergeCell ref="L31:M31"/>
    <mergeCell ref="N31:O31"/>
    <mergeCell ref="P33:Q33"/>
    <mergeCell ref="R33:S33"/>
    <mergeCell ref="A34:A37"/>
    <mergeCell ref="D34:E34"/>
    <mergeCell ref="F34:G34"/>
    <mergeCell ref="H34:I34"/>
    <mergeCell ref="J34:K34"/>
    <mergeCell ref="L34:M34"/>
    <mergeCell ref="N34:O34"/>
    <mergeCell ref="P34:Q34"/>
    <mergeCell ref="D33:E33"/>
    <mergeCell ref="F33:G33"/>
    <mergeCell ref="H33:I33"/>
    <mergeCell ref="J33:K33"/>
    <mergeCell ref="L33:M33"/>
    <mergeCell ref="N33:O33"/>
    <mergeCell ref="R34:S34"/>
    <mergeCell ref="D35:E35"/>
    <mergeCell ref="F35:G35"/>
    <mergeCell ref="H35:I35"/>
    <mergeCell ref="J35:K35"/>
    <mergeCell ref="L35:M35"/>
    <mergeCell ref="N35:O35"/>
    <mergeCell ref="P35:Q35"/>
    <mergeCell ref="R35:S35"/>
    <mergeCell ref="P36:Q36"/>
    <mergeCell ref="R36:S36"/>
    <mergeCell ref="D37:E37"/>
    <mergeCell ref="F37:G37"/>
    <mergeCell ref="H37:I37"/>
    <mergeCell ref="J37:K37"/>
    <mergeCell ref="L37:M37"/>
    <mergeCell ref="N37:O37"/>
    <mergeCell ref="P37:Q37"/>
    <mergeCell ref="R37:S37"/>
    <mergeCell ref="D36:E36"/>
    <mergeCell ref="F36:G36"/>
    <mergeCell ref="H36:I36"/>
    <mergeCell ref="J36:K36"/>
    <mergeCell ref="L36:M36"/>
    <mergeCell ref="N36:O36"/>
    <mergeCell ref="A38:A41"/>
    <mergeCell ref="D38:E38"/>
    <mergeCell ref="F38:G38"/>
    <mergeCell ref="H38:I38"/>
    <mergeCell ref="J38:K38"/>
    <mergeCell ref="L38:M38"/>
    <mergeCell ref="D41:E41"/>
    <mergeCell ref="F41:G41"/>
    <mergeCell ref="H41:I41"/>
    <mergeCell ref="J41:K41"/>
    <mergeCell ref="N38:O38"/>
    <mergeCell ref="P38:Q38"/>
    <mergeCell ref="R38:S38"/>
    <mergeCell ref="D39:E39"/>
    <mergeCell ref="F39:G39"/>
    <mergeCell ref="H39:I39"/>
    <mergeCell ref="J39:K39"/>
    <mergeCell ref="L39:M39"/>
    <mergeCell ref="N39:O39"/>
    <mergeCell ref="P39:Q39"/>
    <mergeCell ref="L41:M41"/>
    <mergeCell ref="N41:O41"/>
    <mergeCell ref="P41:Q41"/>
    <mergeCell ref="R41:S41"/>
    <mergeCell ref="R39:S39"/>
    <mergeCell ref="D40:E40"/>
    <mergeCell ref="F40:G40"/>
    <mergeCell ref="H40:I40"/>
    <mergeCell ref="J40:K40"/>
    <mergeCell ref="L40:M40"/>
    <mergeCell ref="N40:O40"/>
    <mergeCell ref="P40:Q40"/>
    <mergeCell ref="R40:S40"/>
  </mergeCells>
  <conditionalFormatting sqref="D6:K9 D11:K25 L6:S25">
    <cfRule type="cellIs" dxfId="0" priority="1" operator="equal">
      <formula>"F"</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652C0-21B7-47D1-A47C-8593551B6954}">
  <sheetPr>
    <tabColor rgb="FF0070C0"/>
    <pageSetUpPr fitToPage="1"/>
  </sheetPr>
  <dimension ref="A1:Q87"/>
  <sheetViews>
    <sheetView view="pageBreakPreview" zoomScale="85" zoomScaleNormal="100" zoomScaleSheetLayoutView="85" workbookViewId="0">
      <selection activeCell="H13" sqref="H13"/>
    </sheetView>
  </sheetViews>
  <sheetFormatPr defaultRowHeight="15" x14ac:dyDescent="0.25"/>
  <cols>
    <col min="2" max="2" width="15.7109375" customWidth="1"/>
    <col min="3" max="7" width="17" customWidth="1"/>
    <col min="8" max="12" width="15.7109375" customWidth="1"/>
    <col min="13" max="13" width="25" customWidth="1"/>
    <col min="14" max="14" width="21" customWidth="1"/>
    <col min="15" max="15" width="23.7109375" customWidth="1"/>
    <col min="16" max="16" width="20.85546875" customWidth="1"/>
    <col min="17" max="17" width="15.7109375" customWidth="1"/>
  </cols>
  <sheetData>
    <row r="1" spans="2:17" ht="23.25" x14ac:dyDescent="0.35">
      <c r="B1" s="30" t="s">
        <v>1074</v>
      </c>
      <c r="Q1" s="15"/>
    </row>
    <row r="2" spans="2:17" x14ac:dyDescent="0.25">
      <c r="J2" s="38"/>
      <c r="K2" s="38"/>
      <c r="L2" s="15"/>
    </row>
    <row r="3" spans="2:17" ht="16.5" thickBot="1" x14ac:dyDescent="0.3">
      <c r="B3" s="20" t="s">
        <v>8</v>
      </c>
      <c r="D3" s="38"/>
      <c r="E3" s="38"/>
      <c r="F3" s="38"/>
    </row>
    <row r="4" spans="2:17" ht="25.5" customHeight="1" thickBot="1" x14ac:dyDescent="0.3">
      <c r="B4" s="20"/>
      <c r="C4" s="484" t="s">
        <v>10</v>
      </c>
      <c r="D4" s="485"/>
      <c r="E4" s="484" t="s">
        <v>81</v>
      </c>
      <c r="F4" s="486"/>
      <c r="G4" s="71" t="s">
        <v>11</v>
      </c>
      <c r="H4" s="174"/>
    </row>
    <row r="5" spans="2:17" ht="35.1" customHeight="1" x14ac:dyDescent="0.25">
      <c r="B5" s="480" t="s">
        <v>0</v>
      </c>
      <c r="C5" s="480" t="s">
        <v>82</v>
      </c>
      <c r="D5" s="474" t="s">
        <v>42</v>
      </c>
      <c r="E5" s="474" t="s">
        <v>111</v>
      </c>
      <c r="F5" s="482" t="s">
        <v>112</v>
      </c>
      <c r="G5" s="480" t="s">
        <v>12</v>
      </c>
      <c r="H5" s="480" t="s">
        <v>95</v>
      </c>
      <c r="I5" s="478" t="s">
        <v>61</v>
      </c>
      <c r="J5" s="470" t="s">
        <v>16</v>
      </c>
    </row>
    <row r="6" spans="2:17" ht="35.1" customHeight="1" thickBot="1" x14ac:dyDescent="0.3">
      <c r="B6" s="481"/>
      <c r="C6" s="481"/>
      <c r="D6" s="475"/>
      <c r="E6" s="475"/>
      <c r="F6" s="483"/>
      <c r="G6" s="481"/>
      <c r="H6" s="481"/>
      <c r="I6" s="479"/>
      <c r="J6" s="471"/>
      <c r="K6" s="47"/>
    </row>
    <row r="7" spans="2:17" ht="15" customHeight="1" x14ac:dyDescent="0.25">
      <c r="B7" s="1">
        <f>Assumptions!D8</f>
        <v>2027</v>
      </c>
      <c r="C7" s="112">
        <f>'Operation Benefits'!F6</f>
        <v>725788.19582193019</v>
      </c>
      <c r="D7" s="112">
        <f>'Travel Time Savings '!H6</f>
        <v>6598623.6009046286</v>
      </c>
      <c r="E7" s="112">
        <f>'Air Quality'!M5</f>
        <v>19987.956936516297</v>
      </c>
      <c r="F7" s="112">
        <f>'Air Quality'!E5</f>
        <v>28869.718749422427</v>
      </c>
      <c r="G7" s="112">
        <f>'Safety Benefits'!D6</f>
        <v>731757.15425592661</v>
      </c>
      <c r="H7" s="112">
        <f>-'Operating and Maintenance Costs'!C5</f>
        <v>-55211</v>
      </c>
      <c r="I7" s="112">
        <f>'Capital Cost and RCV Calc'!E7</f>
        <v>0</v>
      </c>
      <c r="J7" s="105">
        <f>SUM(C7:E7,G7:I7)*(1+0.07)^-($B7-Assumptions!$D$4)+F7</f>
        <v>5373564.6521441257</v>
      </c>
      <c r="L7" s="107"/>
    </row>
    <row r="8" spans="2:17" ht="15" customHeight="1" x14ac:dyDescent="0.25">
      <c r="B8" s="2">
        <f t="shared" ref="B8:B36" si="0">+B7+1</f>
        <v>2028</v>
      </c>
      <c r="C8" s="95">
        <f>'Operation Benefits'!F7</f>
        <v>847841.18009632954</v>
      </c>
      <c r="D8" s="95">
        <f>'Travel Time Savings '!H7</f>
        <v>7708288.5241306275</v>
      </c>
      <c r="E8" s="95">
        <f>'Air Quality'!M6</f>
        <v>23730.993612183163</v>
      </c>
      <c r="F8" s="95">
        <f>'Air Quality'!E6</f>
        <v>33279.116560818278</v>
      </c>
      <c r="G8" s="95">
        <f>'Safety Benefits'!D7</f>
        <v>697018.18439491093</v>
      </c>
      <c r="H8" s="95">
        <f>-'Operating and Maintenance Costs'!C6</f>
        <v>-55211</v>
      </c>
      <c r="I8" s="95">
        <f>'Capital Cost and RCV Calc'!E8</f>
        <v>0</v>
      </c>
      <c r="J8" s="106">
        <f>SUM(C8:E8,G8:I8)*(1+0.07)^-($B8-Assumptions!$D$4)+F8</f>
        <v>5776070.4099674979</v>
      </c>
    </row>
    <row r="9" spans="2:17" ht="15" customHeight="1" x14ac:dyDescent="0.25">
      <c r="B9" s="2">
        <f t="shared" si="0"/>
        <v>2029</v>
      </c>
      <c r="C9" s="95">
        <f>'Operation Benefits'!F8</f>
        <v>969894.1643708495</v>
      </c>
      <c r="D9" s="95">
        <f>'Travel Time Savings '!H8</f>
        <v>8817953.4473561645</v>
      </c>
      <c r="E9" s="95">
        <f>'Air Quality'!M7</f>
        <v>27660.972479909695</v>
      </c>
      <c r="F9" s="95">
        <f>'Air Quality'!E7</f>
        <v>37557.204916466995</v>
      </c>
      <c r="G9" s="95">
        <f>'Safety Benefits'!D8</f>
        <v>662279.21453389525</v>
      </c>
      <c r="H9" s="95">
        <f>-'Operating and Maintenance Costs'!C7</f>
        <v>-55211</v>
      </c>
      <c r="I9" s="95">
        <f>'Capital Cost and RCV Calc'!E9</f>
        <v>0</v>
      </c>
      <c r="J9" s="106">
        <f>SUM(C9:E9,G9:I9)*(1+0.07)^-($B9-Assumptions!$D$4)+F9</f>
        <v>6103591.7948119557</v>
      </c>
    </row>
    <row r="10" spans="2:17" ht="15" customHeight="1" x14ac:dyDescent="0.25">
      <c r="B10" s="2">
        <f t="shared" si="0"/>
        <v>2030</v>
      </c>
      <c r="C10" s="95">
        <f>'Operation Benefits'!F9</f>
        <v>1091947.1486453693</v>
      </c>
      <c r="D10" s="95">
        <f>'Travel Time Savings '!H9</f>
        <v>9927618.3705821782</v>
      </c>
      <c r="E10" s="95">
        <f>'Air Quality'!M8</f>
        <v>31640.954719807181</v>
      </c>
      <c r="F10" s="95">
        <f>'Air Quality'!E8</f>
        <v>42355.139698209758</v>
      </c>
      <c r="G10" s="95">
        <f>'Safety Benefits'!D9</f>
        <v>627540.24467287958</v>
      </c>
      <c r="H10" s="95">
        <f>-'Operating and Maintenance Costs'!C8</f>
        <v>-55211</v>
      </c>
      <c r="I10" s="95">
        <f>'Capital Cost and RCV Calc'!E10</f>
        <v>0</v>
      </c>
      <c r="J10" s="106">
        <f>SUM(C10:E10,G10:I10)*(1+0.07)^-($B10-Assumptions!$D$4)+F10</f>
        <v>6364788.4251878392</v>
      </c>
    </row>
    <row r="11" spans="2:17" ht="15" customHeight="1" x14ac:dyDescent="0.25">
      <c r="B11" s="2">
        <f t="shared" si="0"/>
        <v>2031</v>
      </c>
      <c r="C11" s="95">
        <f>'Operation Benefits'!F10</f>
        <v>1214000.1329199495</v>
      </c>
      <c r="D11" s="95">
        <f>'Travel Time Savings '!H10</f>
        <v>11037283.293807715</v>
      </c>
      <c r="E11" s="95">
        <f>'Air Quality'!M9</f>
        <v>35177.63958009574</v>
      </c>
      <c r="F11" s="95">
        <f>'Air Quality'!E9</f>
        <v>46421.224104211818</v>
      </c>
      <c r="G11" s="95">
        <f>'Safety Benefits'!D10</f>
        <v>592801.2748118639</v>
      </c>
      <c r="H11" s="95">
        <f>-'Operating and Maintenance Costs'!C9</f>
        <v>-55211</v>
      </c>
      <c r="I11" s="95">
        <f>'Capital Cost and RCV Calc'!E11</f>
        <v>0</v>
      </c>
      <c r="J11" s="106">
        <f>SUM(C11:E11,G11:I11)*(1+0.07)^-($B11-Assumptions!$D$4)+F11</f>
        <v>6565518.6456616502</v>
      </c>
    </row>
    <row r="12" spans="2:17" ht="15" customHeight="1" x14ac:dyDescent="0.25">
      <c r="B12" s="2">
        <f t="shared" si="0"/>
        <v>2032</v>
      </c>
      <c r="C12" s="95">
        <f>'Operation Benefits'!F11</f>
        <v>1336053.1171943487</v>
      </c>
      <c r="D12" s="95">
        <f>'Travel Time Savings '!H11</f>
        <v>12146948.21703326</v>
      </c>
      <c r="E12" s="95">
        <f>'Air Quality'!M10</f>
        <v>38714.324440379045</v>
      </c>
      <c r="F12" s="95">
        <f>'Air Quality'!E10</f>
        <v>50351.825584294311</v>
      </c>
      <c r="G12" s="95">
        <f>'Safety Benefits'!D11</f>
        <v>558062.30495083332</v>
      </c>
      <c r="H12" s="95">
        <f>-'Operating and Maintenance Costs'!C10</f>
        <v>-55211</v>
      </c>
      <c r="I12" s="95">
        <f>'Capital Cost and RCV Calc'!E12</f>
        <v>0</v>
      </c>
      <c r="J12" s="106">
        <f>SUM(C12:E12,G12:I12)*(1+0.07)^-($B12-Assumptions!$D$4)+F12</f>
        <v>6713322.5624549249</v>
      </c>
    </row>
    <row r="13" spans="2:17" ht="15" customHeight="1" x14ac:dyDescent="0.25">
      <c r="B13" s="2">
        <f t="shared" si="0"/>
        <v>2033</v>
      </c>
      <c r="C13" s="95">
        <f>'Operation Benefits'!F12</f>
        <v>1458106.1014688688</v>
      </c>
      <c r="D13" s="95">
        <f>'Travel Time Savings '!H12</f>
        <v>13256613.140259273</v>
      </c>
      <c r="E13" s="95">
        <f>'Air Quality'!M11</f>
        <v>42251.009300665857</v>
      </c>
      <c r="F13" s="95">
        <f>'Air Quality'!E11</f>
        <v>54147.387685433489</v>
      </c>
      <c r="G13" s="95">
        <f>'Safety Benefits'!D12</f>
        <v>523323.33508981764</v>
      </c>
      <c r="H13" s="95">
        <f>-'Operating and Maintenance Costs'!C11</f>
        <v>-55211</v>
      </c>
      <c r="I13" s="95">
        <f>'Capital Cost and RCV Calc'!E13</f>
        <v>0</v>
      </c>
      <c r="J13" s="106">
        <f>SUM(C13:E13,G13:I13)*(1+0.07)^-($B13-Assumptions!$D$4)+F13</f>
        <v>6814266.1363499649</v>
      </c>
    </row>
    <row r="14" spans="2:17" ht="15" customHeight="1" x14ac:dyDescent="0.25">
      <c r="B14" s="2">
        <f t="shared" si="0"/>
        <v>2034</v>
      </c>
      <c r="C14" s="95">
        <f>'Operation Benefits'!F13</f>
        <v>1580159.0857433886</v>
      </c>
      <c r="D14" s="95">
        <f>'Travel Time Savings '!H13</f>
        <v>14366278.063484803</v>
      </c>
      <c r="E14" s="95">
        <f>'Air Quality'!M12</f>
        <v>45787.694160952655</v>
      </c>
      <c r="F14" s="95">
        <f>'Air Quality'!E12</f>
        <v>57808.559535150955</v>
      </c>
      <c r="G14" s="95">
        <f>'Safety Benefits'!D13</f>
        <v>488584.36522880197</v>
      </c>
      <c r="H14" s="95">
        <f>-'Operating and Maintenance Costs'!C12</f>
        <v>-55211</v>
      </c>
      <c r="I14" s="95">
        <f>'Capital Cost and RCV Calc'!E14</f>
        <v>0</v>
      </c>
      <c r="J14" s="106">
        <f>SUM(C14:E14,G14:I14)*(1+0.07)^-($B14-Assumptions!$D$4)+F14</f>
        <v>6873847.851413249</v>
      </c>
    </row>
    <row r="15" spans="2:17" ht="15" customHeight="1" x14ac:dyDescent="0.25">
      <c r="B15" s="2">
        <f t="shared" si="0"/>
        <v>2035</v>
      </c>
      <c r="C15" s="95">
        <f>'Operation Benefits'!F14</f>
        <v>1702212.0700179087</v>
      </c>
      <c r="D15" s="95">
        <f>'Travel Time Savings '!H14</f>
        <v>15475942.98671034</v>
      </c>
      <c r="E15" s="95">
        <f>'Air Quality'!M13</f>
        <v>49324.379021239452</v>
      </c>
      <c r="F15" s="95">
        <f>'Air Quality'!E13</f>
        <v>61336.180096977376</v>
      </c>
      <c r="G15" s="95">
        <f>'Safety Benefits'!D14</f>
        <v>453845.39536778629</v>
      </c>
      <c r="H15" s="95">
        <f>-'Operating and Maintenance Costs'!C13</f>
        <v>-55211</v>
      </c>
      <c r="I15" s="95">
        <f>'Capital Cost and RCV Calc'!E15</f>
        <v>0</v>
      </c>
      <c r="J15" s="106">
        <f>SUM(C15:E15,G15:I15)*(1+0.07)^-($B15-Assumptions!$D$4)+F15</f>
        <v>6897047.0159381889</v>
      </c>
    </row>
    <row r="16" spans="2:17" ht="15" customHeight="1" x14ac:dyDescent="0.25">
      <c r="B16" s="2">
        <f t="shared" si="0"/>
        <v>2036</v>
      </c>
      <c r="C16" s="95">
        <f>'Operation Benefits'!F15</f>
        <v>1824265.0542923682</v>
      </c>
      <c r="D16" s="95">
        <f>'Travel Time Savings '!H15</f>
        <v>16585607.909935415</v>
      </c>
      <c r="E16" s="95">
        <f>'Air Quality'!M14</f>
        <v>52861.063881524518</v>
      </c>
      <c r="F16" s="95">
        <f>'Air Quality'!E14</f>
        <v>65642.971200807151</v>
      </c>
      <c r="G16" s="95">
        <f>'Safety Benefits'!D15</f>
        <v>419106.42550677061</v>
      </c>
      <c r="H16" s="95">
        <f>-'Operating and Maintenance Costs'!C14</f>
        <v>-55211</v>
      </c>
      <c r="I16" s="95">
        <f>'Capital Cost and RCV Calc'!E16</f>
        <v>0</v>
      </c>
      <c r="J16" s="106">
        <f>SUM(C16:E16,G16:I16)*(1+0.07)^-($B16-Assumptions!$D$4)+F16</f>
        <v>6889279.8799455678</v>
      </c>
    </row>
    <row r="17" spans="2:15" ht="15" customHeight="1" x14ac:dyDescent="0.25">
      <c r="B17" s="2">
        <f t="shared" si="0"/>
        <v>2037</v>
      </c>
      <c r="C17" s="95">
        <f>'Operation Benefits'!F16</f>
        <v>1946318.0385668881</v>
      </c>
      <c r="D17" s="95">
        <f>'Travel Time Savings '!H16</f>
        <v>17695272.833160952</v>
      </c>
      <c r="E17" s="95">
        <f>'Air Quality'!M15</f>
        <v>56397.748741811331</v>
      </c>
      <c r="F17" s="95">
        <f>'Air Quality'!E15</f>
        <v>68939.358550899968</v>
      </c>
      <c r="G17" s="95">
        <f>'Safety Benefits'!D16</f>
        <v>384367.45564575493</v>
      </c>
      <c r="H17" s="95">
        <f>-'Operating and Maintenance Costs'!C15</f>
        <v>-55211</v>
      </c>
      <c r="I17" s="95">
        <f>'Capital Cost and RCV Calc'!E17</f>
        <v>0</v>
      </c>
      <c r="J17" s="106">
        <f>SUM(C17:E17,G17:I17)*(1+0.07)^-($B17-Assumptions!$D$4)+F17</f>
        <v>6852826.2909229677</v>
      </c>
    </row>
    <row r="18" spans="2:15" ht="15" customHeight="1" x14ac:dyDescent="0.25">
      <c r="B18" s="2">
        <f t="shared" si="0"/>
        <v>2038</v>
      </c>
      <c r="C18" s="95">
        <f>'Operation Benefits'!F17</f>
        <v>2068371.0228414079</v>
      </c>
      <c r="D18" s="95">
        <f>'Travel Time Savings '!H17</f>
        <v>18804937.756386489</v>
      </c>
      <c r="E18" s="95">
        <f>'Air Quality'!M16</f>
        <v>59934.433602098128</v>
      </c>
      <c r="F18" s="95">
        <f>'Air Quality'!E16</f>
        <v>72103.029110356889</v>
      </c>
      <c r="G18" s="95">
        <f>'Safety Benefits'!D17</f>
        <v>349628.48578473926</v>
      </c>
      <c r="H18" s="95">
        <f>-'Operating and Maintenance Costs'!C16</f>
        <v>-55211</v>
      </c>
      <c r="I18" s="95">
        <f>'Capital Cost and RCV Calc'!E18</f>
        <v>0</v>
      </c>
      <c r="J18" s="106">
        <f>SUM(C18:E18,G18:I18)*(1+0.07)^-($B18-Assumptions!$D$4)+F18</f>
        <v>6792236.7757532643</v>
      </c>
    </row>
    <row r="19" spans="2:15" ht="15" customHeight="1" x14ac:dyDescent="0.25">
      <c r="B19" s="2">
        <f t="shared" si="0"/>
        <v>2039</v>
      </c>
      <c r="C19" s="95">
        <f>'Operation Benefits'!F18</f>
        <v>2190424.0071158074</v>
      </c>
      <c r="D19" s="95">
        <f>'Travel Time Savings '!H18</f>
        <v>19914602.679612488</v>
      </c>
      <c r="E19" s="95">
        <f>'Air Quality'!M17</f>
        <v>63471.118462381448</v>
      </c>
      <c r="F19" s="95">
        <f>'Air Quality'!E17</f>
        <v>75135.568195948828</v>
      </c>
      <c r="G19" s="95">
        <f>'Safety Benefits'!D18</f>
        <v>314889.51592370868</v>
      </c>
      <c r="H19" s="95">
        <f>-'Operating and Maintenance Costs'!C17</f>
        <v>-55211</v>
      </c>
      <c r="I19" s="95">
        <f>'Capital Cost and RCV Calc'!E19</f>
        <v>0</v>
      </c>
      <c r="J19" s="106">
        <f>SUM(C19:E19,G19:I19)*(1+0.07)^-($B19-Assumptions!$D$4)+F19</f>
        <v>6710823.6505121859</v>
      </c>
    </row>
    <row r="20" spans="2:15" ht="15" customHeight="1" x14ac:dyDescent="0.25">
      <c r="B20" s="2">
        <f t="shared" si="0"/>
        <v>2040</v>
      </c>
      <c r="C20" s="95">
        <f>'Operation Benefits'!F19</f>
        <v>2312476.9913903275</v>
      </c>
      <c r="D20" s="95">
        <f>'Travel Time Savings '!H19</f>
        <v>21024267.602838039</v>
      </c>
      <c r="E20" s="95">
        <f>'Air Quality'!M18</f>
        <v>67007.803322668246</v>
      </c>
      <c r="F20" s="95">
        <f>'Air Quality'!E18</f>
        <v>78038.678917197292</v>
      </c>
      <c r="G20" s="95">
        <f>'Safety Benefits'!D19</f>
        <v>280150.546062693</v>
      </c>
      <c r="H20" s="95">
        <f>-'Operating and Maintenance Costs'!C18</f>
        <v>-55211</v>
      </c>
      <c r="I20" s="95">
        <f>'Capital Cost and RCV Calc'!E20</f>
        <v>0</v>
      </c>
      <c r="J20" s="106">
        <f>SUM(C20:E20,G20:I20)*(1+0.07)^-($B20-Assumptions!$D$4)+F20</f>
        <v>6611568.8994724834</v>
      </c>
    </row>
    <row r="21" spans="2:15" ht="15" customHeight="1" x14ac:dyDescent="0.25">
      <c r="B21" s="2">
        <f t="shared" si="0"/>
        <v>2041</v>
      </c>
      <c r="C21" s="95">
        <f>'Operation Benefits'!F20</f>
        <v>2434529.9756649076</v>
      </c>
      <c r="D21" s="95">
        <f>'Travel Time Savings '!H20</f>
        <v>22133932.526063576</v>
      </c>
      <c r="E21" s="95">
        <f>'Air Quality'!M19</f>
        <v>70544.488182956789</v>
      </c>
      <c r="F21" s="95">
        <f>'Air Quality'!E19</f>
        <v>81863.705818391914</v>
      </c>
      <c r="G21" s="95">
        <f>'Safety Benefits'!D20</f>
        <v>245411.57620167732</v>
      </c>
      <c r="H21" s="95">
        <f>-'Operating and Maintenance Costs'!C19</f>
        <v>-55211</v>
      </c>
      <c r="I21" s="95">
        <f>'Capital Cost and RCV Calc'!E21</f>
        <v>0</v>
      </c>
      <c r="J21" s="106">
        <f>SUM(C21:E21,G21:I21)*(1+0.07)^-($B21-Assumptions!$D$4)+F21</f>
        <v>6498202.7657119082</v>
      </c>
    </row>
    <row r="22" spans="2:15" ht="15" customHeight="1" x14ac:dyDescent="0.25">
      <c r="B22" s="2">
        <f t="shared" si="0"/>
        <v>2042</v>
      </c>
      <c r="C22" s="95">
        <f>'Operation Benefits'!F21</f>
        <v>2556582.9599394277</v>
      </c>
      <c r="D22" s="95">
        <f>'Travel Time Savings '!H21</f>
        <v>23243597.44928959</v>
      </c>
      <c r="E22" s="95">
        <f>'Air Quality'!M20</f>
        <v>74081.173043243602</v>
      </c>
      <c r="F22" s="95">
        <f>'Air Quality'!E20</f>
        <v>84534.001661100338</v>
      </c>
      <c r="G22" s="95">
        <f>'Safety Benefits'!D21</f>
        <v>210672.60634066164</v>
      </c>
      <c r="H22" s="95">
        <f>-'Operating and Maintenance Costs'!C20</f>
        <v>-55211</v>
      </c>
      <c r="I22" s="95">
        <f>'Capital Cost and RCV Calc'!E22</f>
        <v>0</v>
      </c>
      <c r="J22" s="106">
        <f>SUM(C22:E22,G22:I22)*(1+0.07)^-($B22-Assumptions!$D$4)+F22</f>
        <v>6371052.7959810877</v>
      </c>
    </row>
    <row r="23" spans="2:15" ht="15" customHeight="1" x14ac:dyDescent="0.25">
      <c r="B23" s="2">
        <f t="shared" si="0"/>
        <v>2043</v>
      </c>
      <c r="C23" s="95">
        <f>'Operation Benefits'!F22</f>
        <v>2678635.9442138267</v>
      </c>
      <c r="D23" s="95">
        <f>'Travel Time Savings '!H22</f>
        <v>24353262.372515127</v>
      </c>
      <c r="E23" s="95">
        <f>'Air Quality'!M21</f>
        <v>77617.857903526907</v>
      </c>
      <c r="F23" s="95">
        <f>'Air Quality'!E21</f>
        <v>87078.492384413301</v>
      </c>
      <c r="G23" s="95">
        <f>'Safety Benefits'!D22</f>
        <v>175933.63647964597</v>
      </c>
      <c r="H23" s="95">
        <f>-'Operating and Maintenance Costs'!C21</f>
        <v>-55211</v>
      </c>
      <c r="I23" s="95">
        <f>'Capital Cost and RCV Calc'!E23</f>
        <v>0</v>
      </c>
      <c r="J23" s="106">
        <f>SUM(C23:E23,G23:I23)*(1+0.07)^-($B23-Assumptions!$D$4)+F23</f>
        <v>6233301.8830308458</v>
      </c>
    </row>
    <row r="24" spans="2:15" ht="15" customHeight="1" x14ac:dyDescent="0.25">
      <c r="B24" s="2">
        <f t="shared" si="0"/>
        <v>2044</v>
      </c>
      <c r="C24" s="95">
        <f>'Operation Benefits'!F23</f>
        <v>2800688.9284883467</v>
      </c>
      <c r="D24" s="95">
        <f>'Travel Time Savings '!H23</f>
        <v>25462927.295740202</v>
      </c>
      <c r="E24" s="95">
        <f>'Air Quality'!M22</f>
        <v>81154.542763813719</v>
      </c>
      <c r="F24" s="95">
        <f>'Air Quality'!E22</f>
        <v>89499.351985877875</v>
      </c>
      <c r="G24" s="95">
        <f>'Safety Benefits'!D23</f>
        <v>141194.66661863029</v>
      </c>
      <c r="H24" s="95">
        <f>-'Operating and Maintenance Costs'!C22</f>
        <v>-55211</v>
      </c>
      <c r="I24" s="95">
        <f>'Capital Cost and RCV Calc'!E24</f>
        <v>0</v>
      </c>
      <c r="J24" s="106">
        <f>SUM(C24:E24,G24:I24)*(1+0.07)^-($B24-Assumptions!$D$4)+F24</f>
        <v>6086878.3909091884</v>
      </c>
    </row>
    <row r="25" spans="2:15" ht="15" customHeight="1" x14ac:dyDescent="0.25">
      <c r="B25" s="2">
        <f t="shared" si="0"/>
        <v>2045</v>
      </c>
      <c r="C25" s="95">
        <f>'Operation Benefits'!F24</f>
        <v>2922741.9127628668</v>
      </c>
      <c r="D25" s="95">
        <f>'Travel Time Savings '!H24</f>
        <v>26572592.218965724</v>
      </c>
      <c r="E25" s="95">
        <f>'Air Quality'!M23</f>
        <v>84691.227624100517</v>
      </c>
      <c r="F25" s="95">
        <f>'Air Quality'!E23</f>
        <v>91798.818697362469</v>
      </c>
      <c r="G25" s="95">
        <f>'Safety Benefits'!D24</f>
        <v>106455.69675759971</v>
      </c>
      <c r="H25" s="95">
        <f>-'Operating and Maintenance Costs'!C23</f>
        <v>-55211</v>
      </c>
      <c r="I25" s="95">
        <f>'Capital Cost and RCV Calc'!E26</f>
        <v>0</v>
      </c>
      <c r="J25" s="106">
        <f>SUM(C25:E25,G25:I25)*(1+0.07)^-($B25-Assumptions!$D$4)+F25</f>
        <v>5933503.5550494874</v>
      </c>
    </row>
    <row r="26" spans="2:15" ht="15" customHeight="1" x14ac:dyDescent="0.25">
      <c r="B26" s="2">
        <f t="shared" si="0"/>
        <v>2046</v>
      </c>
      <c r="C26" s="95">
        <f>'Operation Benefits'!F25</f>
        <v>2922741.9127628668</v>
      </c>
      <c r="D26" s="95">
        <f>'Travel Time Savings '!H25</f>
        <v>26572592.218965724</v>
      </c>
      <c r="E26" s="95">
        <f>'Air Quality'!M24</f>
        <v>84691.227624100517</v>
      </c>
      <c r="F26" s="95">
        <f>'Air Quality'!E24</f>
        <v>91298.848811016418</v>
      </c>
      <c r="G26" s="95">
        <f>'Safety Benefits'!D25</f>
        <v>106455.69675759971</v>
      </c>
      <c r="H26" s="95">
        <f>-'Operating and Maintenance Costs'!C24</f>
        <v>-55211</v>
      </c>
      <c r="I26" s="95">
        <f>'Capital Cost and RCV Calc'!E27</f>
        <v>0</v>
      </c>
      <c r="J26" s="106">
        <f>SUM(C26:E26,G26:I26)*(1+0.07)^-($B26-Assumptions!$D$4)+F26</f>
        <v>5550835.9855887024</v>
      </c>
    </row>
    <row r="27" spans="2:15" ht="15" customHeight="1" x14ac:dyDescent="0.25">
      <c r="B27" s="2">
        <f t="shared" si="0"/>
        <v>2047</v>
      </c>
      <c r="C27" s="95">
        <f>'Operation Benefits'!F26</f>
        <v>2922741.9127628668</v>
      </c>
      <c r="D27" s="95">
        <f>'Travel Time Savings '!H26</f>
        <v>26572592.218965724</v>
      </c>
      <c r="E27" s="95">
        <f>'Air Quality'!M25</f>
        <v>84691.227624100517</v>
      </c>
      <c r="F27" s="95">
        <f>'Air Quality'!E25</f>
        <v>89694.893076010121</v>
      </c>
      <c r="G27" s="95">
        <f>'Safety Benefits'!D26</f>
        <v>106455.69675759971</v>
      </c>
      <c r="H27" s="95">
        <f>-'Operating and Maintenance Costs'!C25</f>
        <v>-55211</v>
      </c>
      <c r="I27" s="95">
        <f>'Capital Cost and RCV Calc'!E28</f>
        <v>0</v>
      </c>
      <c r="J27" s="106">
        <f>SUM(C27:E27,G27:I27)*(1+0.07)^-($B27-Assumptions!$D$4)+F27</f>
        <v>5192066.0489430074</v>
      </c>
      <c r="O27" s="10"/>
    </row>
    <row r="28" spans="2:15" ht="15" customHeight="1" x14ac:dyDescent="0.25">
      <c r="B28" s="2">
        <f t="shared" si="0"/>
        <v>2048</v>
      </c>
      <c r="C28" s="95">
        <f>'Operation Benefits'!F27</f>
        <v>2922741.9127628668</v>
      </c>
      <c r="D28" s="95">
        <f>'Travel Time Savings '!H27</f>
        <v>26572592.218965724</v>
      </c>
      <c r="E28" s="95">
        <f>'Air Quality'!M26</f>
        <v>84691.227624100517</v>
      </c>
      <c r="F28" s="95">
        <f>'Air Quality'!E26</f>
        <v>88106.919526406302</v>
      </c>
      <c r="G28" s="95">
        <f>'Safety Benefits'!D27</f>
        <v>106455.69675759971</v>
      </c>
      <c r="H28" s="95">
        <f>-'Operating and Maintenance Costs'!C26</f>
        <v>-55211</v>
      </c>
      <c r="I28" s="95">
        <f>'Capital Cost and RCV Calc'!E29</f>
        <v>0</v>
      </c>
      <c r="J28" s="106">
        <f>SUM(C28:E28,G28:I28)*(1+0.07)^-($B28-Assumptions!$D$4)+F28</f>
        <v>4856678.0932338797</v>
      </c>
    </row>
    <row r="29" spans="2:15" ht="15" customHeight="1" x14ac:dyDescent="0.25">
      <c r="B29" s="2">
        <f t="shared" si="0"/>
        <v>2049</v>
      </c>
      <c r="C29" s="95">
        <f>'Operation Benefits'!F28</f>
        <v>2922741.9127628668</v>
      </c>
      <c r="D29" s="95">
        <f>'Travel Time Savings '!H28</f>
        <v>26572592.218965724</v>
      </c>
      <c r="E29" s="95">
        <f>'Air Quality'!M27</f>
        <v>84691.227624100517</v>
      </c>
      <c r="F29" s="95">
        <f>'Air Quality'!E27</f>
        <v>86535.357855016337</v>
      </c>
      <c r="G29" s="95">
        <f>'Safety Benefits'!D28</f>
        <v>106455.69675759971</v>
      </c>
      <c r="H29" s="95">
        <f>-'Operating and Maintenance Costs'!C27</f>
        <v>-55211</v>
      </c>
      <c r="I29" s="95">
        <f>'Capital Cost and RCV Calc'!E30</f>
        <v>0</v>
      </c>
      <c r="J29" s="106">
        <f>SUM(C29:E29,G29:I29)*(1+0.07)^-($B29-Assumptions!$D$4)+F29</f>
        <v>4543143.9314134028</v>
      </c>
    </row>
    <row r="30" spans="2:15" ht="15" customHeight="1" x14ac:dyDescent="0.25">
      <c r="B30" s="2">
        <f t="shared" si="0"/>
        <v>2050</v>
      </c>
      <c r="C30" s="95">
        <f>'Operation Benefits'!F29</f>
        <v>2922741.9127628668</v>
      </c>
      <c r="D30" s="95">
        <f>'Travel Time Savings '!H29</f>
        <v>26572592.218965724</v>
      </c>
      <c r="E30" s="95">
        <f>'Air Quality'!M28</f>
        <v>84691.227624100517</v>
      </c>
      <c r="F30" s="95">
        <f>'Air Quality'!E28</f>
        <v>84980.599165734166</v>
      </c>
      <c r="G30" s="95">
        <f>'Safety Benefits'!D29</f>
        <v>106455.69675759971</v>
      </c>
      <c r="H30" s="95">
        <f>-'Operating and Maintenance Costs'!C28</f>
        <v>-55211</v>
      </c>
      <c r="I30" s="95">
        <f>'Capital Cost and RCV Calc'!E31</f>
        <v>0</v>
      </c>
      <c r="J30" s="106">
        <f>SUM(C30:E30,G30:I30)*(1+0.07)^-($B30-Assumptions!$D$4)+F30</f>
        <v>4250035.3408090863</v>
      </c>
    </row>
    <row r="31" spans="2:15" ht="15" customHeight="1" x14ac:dyDescent="0.25">
      <c r="B31" s="2">
        <f t="shared" si="0"/>
        <v>2051</v>
      </c>
      <c r="C31" s="95">
        <f>'Operation Benefits'!F30</f>
        <v>2922741.9127628668</v>
      </c>
      <c r="D31" s="95">
        <f>'Travel Time Savings '!H30</f>
        <v>26572592.218965724</v>
      </c>
      <c r="E31" s="95">
        <f>'Air Quality'!M29</f>
        <v>84691.227624100517</v>
      </c>
      <c r="F31" s="95">
        <f>'Air Quality'!E29</f>
        <v>83442.99785691021</v>
      </c>
      <c r="G31" s="95">
        <f>'Safety Benefits'!D30</f>
        <v>106455.69675759971</v>
      </c>
      <c r="H31" s="95">
        <f>-'Operating and Maintenance Costs'!C29</f>
        <v>-55211</v>
      </c>
      <c r="I31" s="95">
        <f>'Capital Cost and RCV Calc'!E32</f>
        <v>0</v>
      </c>
      <c r="J31" s="106">
        <f>SUM(C31:E31,G31:I31)*(1+0.07)^-($B31-Assumptions!$D$4)+F31</f>
        <v>3976017.5227572401</v>
      </c>
    </row>
    <row r="32" spans="2:15" ht="15" customHeight="1" x14ac:dyDescent="0.25">
      <c r="B32" s="2">
        <f t="shared" si="0"/>
        <v>2052</v>
      </c>
      <c r="C32" s="95">
        <f>'Operation Benefits'!F31</f>
        <v>2922741.9127628668</v>
      </c>
      <c r="D32" s="95">
        <f>'Travel Time Savings '!H31</f>
        <v>26572592.218965724</v>
      </c>
      <c r="E32" s="95">
        <f>'Air Quality'!M30</f>
        <v>84691.227624100517</v>
      </c>
      <c r="F32" s="95">
        <f>'Air Quality'!E30</f>
        <v>81922.873427750805</v>
      </c>
      <c r="G32" s="95">
        <f>'Safety Benefits'!D31</f>
        <v>106455.69675759971</v>
      </c>
      <c r="H32" s="95">
        <f>-'Operating and Maintenance Costs'!C30</f>
        <v>-55211</v>
      </c>
      <c r="I32" s="95">
        <f>'Capital Cost and RCV Calc'!E33</f>
        <v>0</v>
      </c>
      <c r="J32" s="106">
        <f>SUM(C32:E32,G32:I32)*(1+0.07)^-($B32-Assumptions!$D$4)+F32</f>
        <v>3719842.9901570296</v>
      </c>
    </row>
    <row r="33" spans="1:13" ht="15" customHeight="1" x14ac:dyDescent="0.25">
      <c r="B33" s="2">
        <f t="shared" si="0"/>
        <v>2053</v>
      </c>
      <c r="C33" s="95">
        <f>'Operation Benefits'!F32</f>
        <v>2922741.9127628668</v>
      </c>
      <c r="D33" s="95">
        <f>'Travel Time Savings '!H32</f>
        <v>26572592.218965724</v>
      </c>
      <c r="E33" s="95">
        <f>'Air Quality'!M31</f>
        <v>84691.227624100517</v>
      </c>
      <c r="F33" s="95">
        <f>'Air Quality'!E31</f>
        <v>80420.512210629182</v>
      </c>
      <c r="G33" s="95">
        <f>'Safety Benefits'!D32</f>
        <v>106455.69675759971</v>
      </c>
      <c r="H33" s="95">
        <f>-'Operating and Maintenance Costs'!C31</f>
        <v>-55211</v>
      </c>
      <c r="I33" s="95">
        <f>'Capital Cost and RCV Calc'!E34</f>
        <v>0</v>
      </c>
      <c r="J33" s="106">
        <f>SUM(C33:E33,G33:I33)*(1+0.07)^-($B33-Assumptions!$D$4)+F33</f>
        <v>3480345.8549482729</v>
      </c>
    </row>
    <row r="34" spans="1:13" ht="15" customHeight="1" x14ac:dyDescent="0.25">
      <c r="B34" s="2">
        <f t="shared" si="0"/>
        <v>2054</v>
      </c>
      <c r="C34" s="95">
        <f>'Operation Benefits'!F33</f>
        <v>2922741.9127628668</v>
      </c>
      <c r="D34" s="95">
        <f>'Travel Time Savings '!H33</f>
        <v>26572592.218965724</v>
      </c>
      <c r="E34" s="95">
        <f>'Air Quality'!M32</f>
        <v>84691.227624100517</v>
      </c>
      <c r="F34" s="95">
        <f>'Air Quality'!E32</f>
        <v>78078.167194785608</v>
      </c>
      <c r="G34" s="95">
        <f>'Safety Benefits'!D33</f>
        <v>106455.69675759971</v>
      </c>
      <c r="H34" s="95">
        <f>-'Operating and Maintenance Costs'!C32</f>
        <v>-55211</v>
      </c>
      <c r="I34" s="95">
        <f>'Capital Cost and RCV Calc'!E35</f>
        <v>0</v>
      </c>
      <c r="J34" s="106">
        <f>SUM(C34:E34,G34:I34)*(1+0.07)^-($B34-Assumptions!$D$4)+F34</f>
        <v>3255578.4875103408</v>
      </c>
    </row>
    <row r="35" spans="1:13" ht="15" customHeight="1" x14ac:dyDescent="0.25">
      <c r="B35" s="2">
        <f t="shared" si="0"/>
        <v>2055</v>
      </c>
      <c r="C35" s="95">
        <f>'Operation Benefits'!F34</f>
        <v>2922741.9127628668</v>
      </c>
      <c r="D35" s="95">
        <f>'Travel Time Savings '!H34</f>
        <v>26572592.218965724</v>
      </c>
      <c r="E35" s="95">
        <f>'Air Quality'!M33</f>
        <v>84691.227624100517</v>
      </c>
      <c r="F35" s="95">
        <f>'Air Quality'!E33</f>
        <v>75804.045820180225</v>
      </c>
      <c r="G35" s="95">
        <f>'Safety Benefits'!D34</f>
        <v>106455.69675759971</v>
      </c>
      <c r="H35" s="95">
        <f>-'Operating and Maintenance Costs'!C33</f>
        <v>-55211</v>
      </c>
      <c r="I35" s="95">
        <f>'Capital Cost and RCV Calc'!E36</f>
        <v>0</v>
      </c>
      <c r="J35" s="106">
        <f>SUM(C35:E35,G35:I35)*(1+0.07)^-($B35-Assumptions!$D$4)+F35</f>
        <v>3045430.5134048117</v>
      </c>
    </row>
    <row r="36" spans="1:13" ht="15" customHeight="1" thickBot="1" x14ac:dyDescent="0.3">
      <c r="B36" s="3">
        <f t="shared" si="0"/>
        <v>2056</v>
      </c>
      <c r="C36" s="98">
        <f>'Operation Benefits'!F35</f>
        <v>2922741.9127628668</v>
      </c>
      <c r="D36" s="98">
        <f>'Travel Time Savings '!H35</f>
        <v>26572592.218965724</v>
      </c>
      <c r="E36" s="98">
        <f>'Air Quality'!M34</f>
        <v>84691.227624100517</v>
      </c>
      <c r="F36" s="98">
        <f>'Air Quality'!E34</f>
        <v>73596.160990466218</v>
      </c>
      <c r="G36" s="98">
        <f>'Safety Benefits'!D35</f>
        <v>106455.69675759971</v>
      </c>
      <c r="H36" s="98">
        <f>-'Operating and Maintenance Costs'!C34</f>
        <v>-55211</v>
      </c>
      <c r="I36" s="98">
        <f>'Capital Cost and RCV Calc'!E37</f>
        <v>21055960.278866712</v>
      </c>
      <c r="J36" s="143">
        <f>SUM(C36:E36,G36:I36)*(1+0.07)^-($B36-Assumptions!$D$4)+F36</f>
        <v>4821111.1224053586</v>
      </c>
      <c r="L36" s="107"/>
    </row>
    <row r="37" spans="1:13" ht="15" customHeight="1" x14ac:dyDescent="0.25">
      <c r="B37" s="18"/>
      <c r="C37" s="19"/>
      <c r="E37" s="70"/>
      <c r="F37" s="70"/>
      <c r="G37" s="70"/>
      <c r="H37" s="70"/>
      <c r="I37" s="70" t="s">
        <v>2</v>
      </c>
      <c r="J37" s="6">
        <f>SUM(J7:J36)</f>
        <v>169152778.27238956</v>
      </c>
      <c r="K37" s="176">
        <f>'Travel Time Savings '!I36+'Operation Benefits'!G36+'Safety Benefits'!E36+'Air Quality'!P35-'Operating and Maintenance Costs'!D35+'Capital Cost and RCV Calc'!F38</f>
        <v>169152778.2723895</v>
      </c>
    </row>
    <row r="38" spans="1:13" ht="15" customHeight="1" x14ac:dyDescent="0.25">
      <c r="B38" s="18"/>
      <c r="C38" s="19"/>
      <c r="L38" s="193"/>
      <c r="M38" s="10"/>
    </row>
    <row r="39" spans="1:13" ht="15" customHeight="1" thickBot="1" x14ac:dyDescent="0.3">
      <c r="B39" s="20" t="s">
        <v>9</v>
      </c>
      <c r="C39" s="19"/>
      <c r="D39" s="6"/>
      <c r="E39" s="6"/>
      <c r="F39" s="6"/>
      <c r="G39" s="6"/>
      <c r="H39" s="21"/>
      <c r="I39" s="22"/>
      <c r="J39" s="22"/>
    </row>
    <row r="40" spans="1:13" x14ac:dyDescent="0.25">
      <c r="B40" s="472" t="s">
        <v>0</v>
      </c>
      <c r="C40" s="474" t="s">
        <v>90</v>
      </c>
      <c r="D40" s="476" t="s">
        <v>74</v>
      </c>
    </row>
    <row r="41" spans="1:13" ht="15" customHeight="1" thickBot="1" x14ac:dyDescent="0.3">
      <c r="B41" s="473"/>
      <c r="C41" s="475"/>
      <c r="D41" s="477"/>
    </row>
    <row r="42" spans="1:13" x14ac:dyDescent="0.25">
      <c r="A42" s="11"/>
      <c r="B42" s="84">
        <f>Assumptions!D5</f>
        <v>2024</v>
      </c>
      <c r="C42" s="108">
        <f>_xlfn.XLOOKUP($B42,'Capital Cost and RCV Calc'!$B$5:$B$37,'Capital Cost and RCV Calc'!$C$5:$C$37)</f>
        <v>6093706</v>
      </c>
      <c r="D42" s="108">
        <f>C42*(1+0.07)^-($B42-Assumptions!$D$4)</f>
        <v>4974279.2701970451</v>
      </c>
    </row>
    <row r="43" spans="1:13" x14ac:dyDescent="0.25">
      <c r="B43" s="78">
        <f>+B42+1</f>
        <v>2025</v>
      </c>
      <c r="C43" s="113">
        <f>_xlfn.XLOOKUP($B43,'Capital Cost and RCV Calc'!$B$5:$B$37,'Capital Cost and RCV Calc'!$C$5:$C$37)</f>
        <v>24374824</v>
      </c>
      <c r="D43" s="113">
        <f>C43*(1+0.07)^-($B43-Assumptions!$D$4)</f>
        <v>18595436.524101105</v>
      </c>
    </row>
    <row r="44" spans="1:13" x14ac:dyDescent="0.25">
      <c r="B44" s="78">
        <f>+B43+1</f>
        <v>2026</v>
      </c>
      <c r="C44" s="109">
        <f>_xlfn.XLOOKUP($B44,'Capital Cost and RCV Calc'!$B$5:$B$37,'Capital Cost and RCV Calc'!$C$5:$C$37)</f>
        <v>24374824</v>
      </c>
      <c r="D44" s="109">
        <f>C44*(1+0.07)^-($B44-Assumptions!$D$4)</f>
        <v>17378912.639346827</v>
      </c>
    </row>
    <row r="45" spans="1:13" x14ac:dyDescent="0.25">
      <c r="B45" s="78">
        <f t="shared" ref="B45:B73" si="1">+B44+1</f>
        <v>2027</v>
      </c>
      <c r="C45" s="109">
        <f>_xlfn.XLOOKUP($B45,'Capital Cost and RCV Calc'!$B$5:$B$37,'Capital Cost and RCV Calc'!$C$5:$C$37)</f>
        <v>0</v>
      </c>
      <c r="D45" s="109">
        <f>C45*(1+0.07)^-($B45-Assumptions!$D$4)</f>
        <v>0</v>
      </c>
    </row>
    <row r="46" spans="1:13" x14ac:dyDescent="0.25">
      <c r="B46" s="78">
        <f t="shared" si="1"/>
        <v>2028</v>
      </c>
      <c r="C46" s="109">
        <f>_xlfn.XLOOKUP($B46,'Capital Cost and RCV Calc'!$B$5:$B$37,'Capital Cost and RCV Calc'!$C$5:$C$37)</f>
        <v>0</v>
      </c>
      <c r="D46" s="109">
        <f>C46*(1+0.07)^-($B46-Assumptions!$D$4)</f>
        <v>0</v>
      </c>
    </row>
    <row r="47" spans="1:13" x14ac:dyDescent="0.25">
      <c r="B47" s="78">
        <f t="shared" si="1"/>
        <v>2029</v>
      </c>
      <c r="C47" s="109">
        <f>_xlfn.XLOOKUP($B47,'Capital Cost and RCV Calc'!$B$5:$B$37,'Capital Cost and RCV Calc'!$C$5:$C$37)</f>
        <v>0</v>
      </c>
      <c r="D47" s="109">
        <f>C47*(1+0.07)^-($B47-Assumptions!$D$4)</f>
        <v>0</v>
      </c>
    </row>
    <row r="48" spans="1:13" x14ac:dyDescent="0.25">
      <c r="B48" s="78">
        <f t="shared" si="1"/>
        <v>2030</v>
      </c>
      <c r="C48" s="109">
        <f>_xlfn.XLOOKUP($B48,'Capital Cost and RCV Calc'!$B$5:$B$37,'Capital Cost and RCV Calc'!$C$5:$C$37)</f>
        <v>0</v>
      </c>
      <c r="D48" s="109">
        <f>C48*(1+0.07)^-($B48-Assumptions!$D$4)</f>
        <v>0</v>
      </c>
    </row>
    <row r="49" spans="1:4" x14ac:dyDescent="0.25">
      <c r="B49" s="78">
        <f t="shared" si="1"/>
        <v>2031</v>
      </c>
      <c r="C49" s="109">
        <f>_xlfn.XLOOKUP($B49,'Capital Cost and RCV Calc'!$B$5:$B$37,'Capital Cost and RCV Calc'!$C$5:$C$37)</f>
        <v>0</v>
      </c>
      <c r="D49" s="109">
        <f>C49*(1+0.07)^-($B49-Assumptions!$D$4)</f>
        <v>0</v>
      </c>
    </row>
    <row r="50" spans="1:4" x14ac:dyDescent="0.25">
      <c r="B50" s="78">
        <f t="shared" si="1"/>
        <v>2032</v>
      </c>
      <c r="C50" s="109">
        <f>_xlfn.XLOOKUP($B50,'Capital Cost and RCV Calc'!$B$5:$B$37,'Capital Cost and RCV Calc'!$C$5:$C$37)</f>
        <v>0</v>
      </c>
      <c r="D50" s="109">
        <f>C50*(1+0.07)^-($B50-Assumptions!$D$4)</f>
        <v>0</v>
      </c>
    </row>
    <row r="51" spans="1:4" x14ac:dyDescent="0.25">
      <c r="B51" s="78">
        <f t="shared" si="1"/>
        <v>2033</v>
      </c>
      <c r="C51" s="109">
        <f>_xlfn.XLOOKUP($B51,'Capital Cost and RCV Calc'!$B$5:$B$37,'Capital Cost and RCV Calc'!$C$5:$C$37)</f>
        <v>0</v>
      </c>
      <c r="D51" s="109">
        <f>C51*(1+0.07)^-($B51-Assumptions!$D$4)</f>
        <v>0</v>
      </c>
    </row>
    <row r="52" spans="1:4" x14ac:dyDescent="0.25">
      <c r="B52" s="78">
        <f t="shared" si="1"/>
        <v>2034</v>
      </c>
      <c r="C52" s="109">
        <f>_xlfn.XLOOKUP($B52,'Capital Cost and RCV Calc'!$B$5:$B$37,'Capital Cost and RCV Calc'!$C$5:$C$37)</f>
        <v>0</v>
      </c>
      <c r="D52" s="109">
        <f>C52*(1+0.07)^-($B52-Assumptions!$D$4)</f>
        <v>0</v>
      </c>
    </row>
    <row r="53" spans="1:4" x14ac:dyDescent="0.25">
      <c r="B53" s="78">
        <f t="shared" si="1"/>
        <v>2035</v>
      </c>
      <c r="C53" s="109">
        <f>_xlfn.XLOOKUP($B53,'Capital Cost and RCV Calc'!$B$5:$B$37,'Capital Cost and RCV Calc'!$C$5:$C$37)</f>
        <v>0</v>
      </c>
      <c r="D53" s="109">
        <f>C53*(1+0.07)^-($B53-Assumptions!$D$4)</f>
        <v>0</v>
      </c>
    </row>
    <row r="54" spans="1:4" x14ac:dyDescent="0.25">
      <c r="B54" s="78">
        <f t="shared" si="1"/>
        <v>2036</v>
      </c>
      <c r="C54" s="109">
        <f>_xlfn.XLOOKUP($B54,'Capital Cost and RCV Calc'!$B$5:$B$37,'Capital Cost and RCV Calc'!$C$5:$C$37)</f>
        <v>0</v>
      </c>
      <c r="D54" s="109">
        <f>C54*(1+0.07)^-($B54-Assumptions!$D$4)</f>
        <v>0</v>
      </c>
    </row>
    <row r="55" spans="1:4" x14ac:dyDescent="0.25">
      <c r="B55" s="78">
        <f t="shared" si="1"/>
        <v>2037</v>
      </c>
      <c r="C55" s="109">
        <f>_xlfn.XLOOKUP($B55,'Capital Cost and RCV Calc'!$B$5:$B$37,'Capital Cost and RCV Calc'!$C$5:$C$37)</f>
        <v>0</v>
      </c>
      <c r="D55" s="109">
        <f>C55*(1+0.07)^-($B55-Assumptions!$D$4)</f>
        <v>0</v>
      </c>
    </row>
    <row r="56" spans="1:4" x14ac:dyDescent="0.25">
      <c r="B56" s="78">
        <f t="shared" si="1"/>
        <v>2038</v>
      </c>
      <c r="C56" s="109">
        <f>_xlfn.XLOOKUP($B56,'Capital Cost and RCV Calc'!$B$5:$B$37,'Capital Cost and RCV Calc'!$C$5:$C$37)</f>
        <v>0</v>
      </c>
      <c r="D56" s="109">
        <f>C56*(1+0.07)^-($B56-Assumptions!$D$4)</f>
        <v>0</v>
      </c>
    </row>
    <row r="57" spans="1:4" x14ac:dyDescent="0.25">
      <c r="A57" s="11"/>
      <c r="B57" s="78">
        <f t="shared" si="1"/>
        <v>2039</v>
      </c>
      <c r="C57" s="109">
        <f>_xlfn.XLOOKUP($B57,'Capital Cost and RCV Calc'!$B$5:$B$37,'Capital Cost and RCV Calc'!$C$5:$C$37)</f>
        <v>0</v>
      </c>
      <c r="D57" s="109">
        <f>C57*(1+0.07)^-($B57-Assumptions!$D$4)</f>
        <v>0</v>
      </c>
    </row>
    <row r="58" spans="1:4" x14ac:dyDescent="0.25">
      <c r="B58" s="78">
        <f t="shared" si="1"/>
        <v>2040</v>
      </c>
      <c r="C58" s="109">
        <f>_xlfn.XLOOKUP($B58,'Capital Cost and RCV Calc'!$B$5:$B$37,'Capital Cost and RCV Calc'!$C$5:$C$37)</f>
        <v>0</v>
      </c>
      <c r="D58" s="109">
        <f>C58*(1+0.07)^-($B58-Assumptions!$D$4)</f>
        <v>0</v>
      </c>
    </row>
    <row r="59" spans="1:4" x14ac:dyDescent="0.25">
      <c r="B59" s="78">
        <f t="shared" si="1"/>
        <v>2041</v>
      </c>
      <c r="C59" s="109">
        <f>_xlfn.XLOOKUP($B59,'Capital Cost and RCV Calc'!$B$5:$B$37,'Capital Cost and RCV Calc'!$C$5:$C$37)</f>
        <v>0</v>
      </c>
      <c r="D59" s="109">
        <f>C59*(1+0.07)^-($B59-Assumptions!$D$4)</f>
        <v>0</v>
      </c>
    </row>
    <row r="60" spans="1:4" x14ac:dyDescent="0.25">
      <c r="B60" s="78">
        <f t="shared" si="1"/>
        <v>2042</v>
      </c>
      <c r="C60" s="109">
        <f>_xlfn.XLOOKUP($B60,'Capital Cost and RCV Calc'!$B$5:$B$37,'Capital Cost and RCV Calc'!$C$5:$C$37)</f>
        <v>0</v>
      </c>
      <c r="D60" s="109">
        <f>C60*(1+0.07)^-($B60-Assumptions!$D$4)</f>
        <v>0</v>
      </c>
    </row>
    <row r="61" spans="1:4" x14ac:dyDescent="0.25">
      <c r="B61" s="78">
        <f t="shared" si="1"/>
        <v>2043</v>
      </c>
      <c r="C61" s="109">
        <f>_xlfn.XLOOKUP($B61,'Capital Cost and RCV Calc'!$B$5:$B$37,'Capital Cost and RCV Calc'!$C$5:$C$37)</f>
        <v>0</v>
      </c>
      <c r="D61" s="109">
        <f>C61*(1+0.07)^-($B61-Assumptions!$D$4)</f>
        <v>0</v>
      </c>
    </row>
    <row r="62" spans="1:4" x14ac:dyDescent="0.25">
      <c r="B62" s="78">
        <f t="shared" si="1"/>
        <v>2044</v>
      </c>
      <c r="C62" s="109">
        <f>_xlfn.XLOOKUP($B62,'Capital Cost and RCV Calc'!$B$5:$B$37,'Capital Cost and RCV Calc'!$C$5:$C$37)</f>
        <v>0</v>
      </c>
      <c r="D62" s="109">
        <f>C62*(1+0.07)^-($B62-Assumptions!$D$4)</f>
        <v>0</v>
      </c>
    </row>
    <row r="63" spans="1:4" x14ac:dyDescent="0.25">
      <c r="B63" s="78">
        <f t="shared" si="1"/>
        <v>2045</v>
      </c>
      <c r="C63" s="109">
        <f>_xlfn.XLOOKUP($B63,'Capital Cost and RCV Calc'!$B$5:$B$37,'Capital Cost and RCV Calc'!$C$5:$C$37)</f>
        <v>0</v>
      </c>
      <c r="D63" s="109">
        <f>C63*(1+0.07)^-($B63-Assumptions!$D$4)</f>
        <v>0</v>
      </c>
    </row>
    <row r="64" spans="1:4" x14ac:dyDescent="0.25">
      <c r="B64" s="78">
        <f t="shared" si="1"/>
        <v>2046</v>
      </c>
      <c r="C64" s="109">
        <f>_xlfn.XLOOKUP($B64,'Capital Cost and RCV Calc'!$B$5:$B$37,'Capital Cost and RCV Calc'!$C$5:$C$37)</f>
        <v>0</v>
      </c>
      <c r="D64" s="109">
        <f>C64*(1+0.07)^-($B64-Assumptions!$D$4)</f>
        <v>0</v>
      </c>
    </row>
    <row r="65" spans="2:14" x14ac:dyDescent="0.25">
      <c r="B65" s="78">
        <f t="shared" si="1"/>
        <v>2047</v>
      </c>
      <c r="C65" s="109">
        <f>_xlfn.XLOOKUP($B65,'Capital Cost and RCV Calc'!$B$5:$B$37,'Capital Cost and RCV Calc'!$C$5:$C$37)</f>
        <v>0</v>
      </c>
      <c r="D65" s="109">
        <f>C65*(1+0.07)^-($B65-Assumptions!$D$4)</f>
        <v>0</v>
      </c>
    </row>
    <row r="66" spans="2:14" x14ac:dyDescent="0.25">
      <c r="B66" s="78">
        <f t="shared" si="1"/>
        <v>2048</v>
      </c>
      <c r="C66" s="109">
        <f>_xlfn.XLOOKUP($B66,'Capital Cost and RCV Calc'!$B$5:$B$37,'Capital Cost and RCV Calc'!$C$5:$C$37)</f>
        <v>0</v>
      </c>
      <c r="D66" s="109">
        <f>C66*(1+0.07)^-($B66-Assumptions!$D$4)</f>
        <v>0</v>
      </c>
    </row>
    <row r="67" spans="2:14" x14ac:dyDescent="0.25">
      <c r="B67" s="78">
        <f t="shared" si="1"/>
        <v>2049</v>
      </c>
      <c r="C67" s="109">
        <f>_xlfn.XLOOKUP($B67,'Capital Cost and RCV Calc'!$B$5:$B$37,'Capital Cost and RCV Calc'!$C$5:$C$37)</f>
        <v>0</v>
      </c>
      <c r="D67" s="109">
        <f>C67*(1+0.07)^-($B67-Assumptions!$D$4)</f>
        <v>0</v>
      </c>
    </row>
    <row r="68" spans="2:14" x14ac:dyDescent="0.25">
      <c r="B68" s="78">
        <f t="shared" si="1"/>
        <v>2050</v>
      </c>
      <c r="C68" s="109">
        <f>_xlfn.XLOOKUP($B68,'Capital Cost and RCV Calc'!$B$5:$B$37,'Capital Cost and RCV Calc'!$C$5:$C$37)</f>
        <v>0</v>
      </c>
      <c r="D68" s="109">
        <f>C68*(1+0.07)^-($B68-Assumptions!$D$4)</f>
        <v>0</v>
      </c>
    </row>
    <row r="69" spans="2:14" x14ac:dyDescent="0.25">
      <c r="B69" s="78">
        <f t="shared" si="1"/>
        <v>2051</v>
      </c>
      <c r="C69" s="109">
        <f>_xlfn.XLOOKUP($B69,'Capital Cost and RCV Calc'!$B$5:$B$37,'Capital Cost and RCV Calc'!$C$5:$C$37)</f>
        <v>0</v>
      </c>
      <c r="D69" s="109">
        <f>C69*(1+0.07)^-($B69-Assumptions!$D$4)</f>
        <v>0</v>
      </c>
    </row>
    <row r="70" spans="2:14" x14ac:dyDescent="0.25">
      <c r="B70" s="78">
        <f t="shared" si="1"/>
        <v>2052</v>
      </c>
      <c r="C70" s="109">
        <f>_xlfn.XLOOKUP($B70,'Capital Cost and RCV Calc'!$B$5:$B$37,'Capital Cost and RCV Calc'!$C$5:$C$37)</f>
        <v>0</v>
      </c>
      <c r="D70" s="109">
        <f>C70*(1+0.07)^-($B70-Assumptions!$D$4)</f>
        <v>0</v>
      </c>
      <c r="M70" s="254" t="s">
        <v>202</v>
      </c>
      <c r="N70" s="255" t="s">
        <v>1053</v>
      </c>
    </row>
    <row r="71" spans="2:14" x14ac:dyDescent="0.25">
      <c r="B71" s="78">
        <f t="shared" si="1"/>
        <v>2053</v>
      </c>
      <c r="C71" s="109">
        <f>_xlfn.XLOOKUP($B71,'Capital Cost and RCV Calc'!$B$5:$B$37,'Capital Cost and RCV Calc'!$C$5:$C$37)</f>
        <v>0</v>
      </c>
      <c r="D71" s="109">
        <f>C71*(1+0.07)^-($B71-Assumptions!$D$4)</f>
        <v>0</v>
      </c>
      <c r="M71" s="256" t="s">
        <v>203</v>
      </c>
      <c r="N71" s="257">
        <f>'Travel Time Savings '!I36</f>
        <v>145348085.9899289</v>
      </c>
    </row>
    <row r="72" spans="2:14" x14ac:dyDescent="0.25">
      <c r="B72" s="78">
        <f t="shared" si="1"/>
        <v>2054</v>
      </c>
      <c r="C72" s="109">
        <f>_xlfn.XLOOKUP($B72,'Capital Cost and RCV Calc'!$B$5:$B$37,'Capital Cost and RCV Calc'!$C$5:$C$37)</f>
        <v>0</v>
      </c>
      <c r="D72" s="109">
        <f>C72*(1+0.07)^-($B72-Assumptions!$D$4)</f>
        <v>0</v>
      </c>
      <c r="M72" s="256" t="s">
        <v>204</v>
      </c>
      <c r="N72" s="257">
        <f>'Operation Benefits'!G36</f>
        <v>15986959.020107517</v>
      </c>
    </row>
    <row r="73" spans="2:14" ht="15.75" thickBot="1" x14ac:dyDescent="0.3">
      <c r="B73" s="79">
        <f t="shared" si="1"/>
        <v>2055</v>
      </c>
      <c r="C73" s="110">
        <f>_xlfn.XLOOKUP($B73,'Capital Cost and RCV Calc'!$B$5:$B$37,'Capital Cost and RCV Calc'!$C$5:$C$37)</f>
        <v>0</v>
      </c>
      <c r="D73" s="110">
        <f>C73*(1+0.07)^-($B73-Assumptions!$D$4)</f>
        <v>0</v>
      </c>
      <c r="M73" s="256" t="s">
        <v>11</v>
      </c>
      <c r="N73" s="257">
        <f>'Safety Benefits'!E36</f>
        <v>3751632.0251032454</v>
      </c>
    </row>
    <row r="74" spans="2:14" x14ac:dyDescent="0.25">
      <c r="D74" s="6">
        <f>SUM(D42:D73)</f>
        <v>40948628.43364498</v>
      </c>
      <c r="E74" s="176">
        <f>'Capital Cost and RCV Calc'!D38</f>
        <v>40948628.43364498</v>
      </c>
      <c r="M74" s="256" t="s">
        <v>205</v>
      </c>
      <c r="N74" s="257">
        <f>'Air Quality'!P35</f>
        <v>2582416.0494420882</v>
      </c>
    </row>
    <row r="75" spans="2:14" x14ac:dyDescent="0.25">
      <c r="D75" s="107"/>
      <c r="M75" s="256" t="s">
        <v>206</v>
      </c>
      <c r="N75" s="257">
        <f>-'Operating and Maintenance Costs'!D35</f>
        <v>-488477.93474298978</v>
      </c>
    </row>
    <row r="76" spans="2:14" ht="16.5" thickBot="1" x14ac:dyDescent="0.3">
      <c r="B76" s="20" t="s">
        <v>19</v>
      </c>
      <c r="D76" s="107"/>
      <c r="M76" s="175" t="s">
        <v>207</v>
      </c>
      <c r="N76" s="258">
        <f>'Capital Cost and RCV Calc'!F38</f>
        <v>1972163.1225507513</v>
      </c>
    </row>
    <row r="77" spans="2:14" ht="15.75" thickBot="1" x14ac:dyDescent="0.3">
      <c r="B77" s="23"/>
      <c r="C77" s="26" t="s">
        <v>220</v>
      </c>
      <c r="D77" s="107"/>
      <c r="M77" s="259" t="s">
        <v>5</v>
      </c>
      <c r="N77" s="258">
        <f>SUM(N71:N76)</f>
        <v>169152778.2723895</v>
      </c>
    </row>
    <row r="78" spans="2:14" x14ac:dyDescent="0.25">
      <c r="B78" s="24" t="s">
        <v>13</v>
      </c>
      <c r="C78" s="74">
        <f>J37</f>
        <v>169152778.27238956</v>
      </c>
      <c r="D78" s="22"/>
      <c r="E78" s="22"/>
      <c r="F78" s="22"/>
    </row>
    <row r="79" spans="2:14" ht="15.75" thickBot="1" x14ac:dyDescent="0.3">
      <c r="B79" s="25" t="s">
        <v>14</v>
      </c>
      <c r="C79" s="75">
        <f>+D74</f>
        <v>40948628.43364498</v>
      </c>
      <c r="F79" s="21"/>
    </row>
    <row r="80" spans="2:14" ht="15.75" thickTop="1" x14ac:dyDescent="0.25">
      <c r="B80" s="139" t="s">
        <v>15</v>
      </c>
      <c r="C80" s="141">
        <f>+C78/C79</f>
        <v>4.1308533336224533</v>
      </c>
      <c r="E80" s="21"/>
      <c r="F80" s="22"/>
      <c r="M80" s="254" t="s">
        <v>202</v>
      </c>
      <c r="N80" s="255" t="s">
        <v>1053</v>
      </c>
    </row>
    <row r="81" spans="2:14" ht="15.75" thickBot="1" x14ac:dyDescent="0.3">
      <c r="B81" s="140" t="s">
        <v>88</v>
      </c>
      <c r="C81" s="142">
        <f>C78-C79</f>
        <v>128204149.83874458</v>
      </c>
      <c r="E81" s="21"/>
      <c r="F81" s="22"/>
      <c r="M81" s="256" t="s">
        <v>203</v>
      </c>
      <c r="N81" s="257">
        <f>MROUND(N71,1000)</f>
        <v>145348000</v>
      </c>
    </row>
    <row r="82" spans="2:14" ht="15.75" thickBot="1" x14ac:dyDescent="0.3">
      <c r="E82" s="21"/>
      <c r="F82" s="22"/>
      <c r="M82" s="256" t="s">
        <v>204</v>
      </c>
      <c r="N82" s="257">
        <f t="shared" ref="N82:N86" si="2">MROUND(N72,1000)</f>
        <v>15987000</v>
      </c>
    </row>
    <row r="83" spans="2:14" ht="15.75" thickBot="1" x14ac:dyDescent="0.3">
      <c r="B83" s="23"/>
      <c r="C83" s="26" t="s">
        <v>220</v>
      </c>
      <c r="E83" s="21"/>
      <c r="F83" s="22"/>
      <c r="M83" s="256" t="s">
        <v>11</v>
      </c>
      <c r="N83" s="257">
        <f t="shared" si="2"/>
        <v>3752000</v>
      </c>
    </row>
    <row r="84" spans="2:14" x14ac:dyDescent="0.25">
      <c r="B84" s="24" t="s">
        <v>13</v>
      </c>
      <c r="C84" s="180">
        <f>MROUND(C78,100000)/10^6</f>
        <v>169.2</v>
      </c>
      <c r="M84" s="256" t="s">
        <v>205</v>
      </c>
      <c r="N84" s="257">
        <f t="shared" si="2"/>
        <v>2582000</v>
      </c>
    </row>
    <row r="85" spans="2:14" ht="15.75" thickBot="1" x14ac:dyDescent="0.3">
      <c r="B85" s="25" t="s">
        <v>14</v>
      </c>
      <c r="C85" s="182">
        <f>MROUND(C79,100000)/10^6</f>
        <v>40.9</v>
      </c>
      <c r="M85" s="256" t="s">
        <v>206</v>
      </c>
      <c r="N85" s="257">
        <f>MROUND(N75,-1000)</f>
        <v>-488000</v>
      </c>
    </row>
    <row r="86" spans="2:14" ht="15.75" thickTop="1" x14ac:dyDescent="0.25">
      <c r="B86" s="139" t="s">
        <v>15</v>
      </c>
      <c r="C86" s="141">
        <f>+C84/C85</f>
        <v>4.1369193154034232</v>
      </c>
      <c r="M86" s="175" t="s">
        <v>207</v>
      </c>
      <c r="N86" s="257">
        <f t="shared" si="2"/>
        <v>1972000</v>
      </c>
    </row>
    <row r="87" spans="2:14" ht="15.75" thickBot="1" x14ac:dyDescent="0.3">
      <c r="B87" s="140" t="s">
        <v>88</v>
      </c>
      <c r="C87" s="181">
        <f>C84-C85</f>
        <v>128.29999999999998</v>
      </c>
      <c r="M87" s="259" t="s">
        <v>5</v>
      </c>
      <c r="N87" s="258">
        <f>SUM(N81:N86)</f>
        <v>169153000</v>
      </c>
    </row>
  </sheetData>
  <mergeCells count="14">
    <mergeCell ref="C4:D4"/>
    <mergeCell ref="B5:B6"/>
    <mergeCell ref="C5:C6"/>
    <mergeCell ref="D5:D6"/>
    <mergeCell ref="E5:E6"/>
    <mergeCell ref="E4:F4"/>
    <mergeCell ref="J5:J6"/>
    <mergeCell ref="B40:B41"/>
    <mergeCell ref="C40:C41"/>
    <mergeCell ref="D40:D41"/>
    <mergeCell ref="I5:I6"/>
    <mergeCell ref="G5:G6"/>
    <mergeCell ref="H5:H6"/>
    <mergeCell ref="F5:F6"/>
  </mergeCells>
  <pageMargins left="0.25" right="0.25" top="0.75" bottom="0.75" header="0.3" footer="0.3"/>
  <pageSetup paperSize="3"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F8A7A-4267-4D6C-B8E4-AF642CBEC677}">
  <sheetPr>
    <tabColor rgb="FF00B050"/>
    <pageSetUpPr fitToPage="1"/>
  </sheetPr>
  <dimension ref="A1:AT73"/>
  <sheetViews>
    <sheetView view="pageBreakPreview" zoomScale="70" zoomScaleNormal="85" zoomScaleSheetLayoutView="70" workbookViewId="0">
      <selection activeCell="C72" sqref="C72"/>
    </sheetView>
  </sheetViews>
  <sheetFormatPr defaultRowHeight="15" x14ac:dyDescent="0.25"/>
  <cols>
    <col min="1" max="1" width="3.7109375" customWidth="1"/>
    <col min="2" max="9" width="20.7109375" customWidth="1"/>
    <col min="10" max="11" width="5.7109375" customWidth="1"/>
    <col min="12" max="12" width="28.140625" customWidth="1"/>
    <col min="13" max="13" width="14.28515625" customWidth="1"/>
    <col min="14" max="16" width="16.28515625" customWidth="1"/>
    <col min="17" max="17" width="5.7109375" customWidth="1"/>
    <col min="27" max="27" width="7.7109375" bestFit="1" customWidth="1"/>
    <col min="28" max="28" width="32.28515625" bestFit="1" customWidth="1"/>
    <col min="29" max="29" width="11.85546875" bestFit="1" customWidth="1"/>
    <col min="30" max="30" width="15.42578125" bestFit="1" customWidth="1"/>
    <col min="31" max="31" width="12.85546875" bestFit="1" customWidth="1"/>
    <col min="32" max="32" width="9.7109375" bestFit="1" customWidth="1"/>
    <col min="33" max="33" width="12.5703125" bestFit="1" customWidth="1"/>
    <col min="34" max="34" width="10.5703125" bestFit="1" customWidth="1"/>
    <col min="35" max="35" width="11.5703125" bestFit="1" customWidth="1"/>
    <col min="37" max="37" width="7.7109375" bestFit="1" customWidth="1"/>
    <col min="38" max="38" width="29" bestFit="1" customWidth="1"/>
    <col min="39" max="39" width="11.85546875" bestFit="1" customWidth="1"/>
    <col min="40" max="40" width="15.42578125" bestFit="1" customWidth="1"/>
    <col min="41" max="41" width="12.85546875" bestFit="1" customWidth="1"/>
    <col min="42" max="42" width="9.7109375" bestFit="1" customWidth="1"/>
    <col min="43" max="43" width="12.5703125" bestFit="1" customWidth="1"/>
    <col min="44" max="44" width="10.5703125" bestFit="1" customWidth="1"/>
    <col min="45" max="45" width="11" bestFit="1" customWidth="1"/>
    <col min="46" max="46" width="9.42578125" bestFit="1" customWidth="1"/>
  </cols>
  <sheetData>
    <row r="1" spans="2:18" x14ac:dyDescent="0.25">
      <c r="B1" s="15">
        <v>1</v>
      </c>
      <c r="C1" s="15">
        <v>2</v>
      </c>
      <c r="D1" s="15">
        <v>3</v>
      </c>
      <c r="E1" s="15"/>
      <c r="F1" s="15">
        <v>4</v>
      </c>
      <c r="G1" s="15">
        <v>5</v>
      </c>
      <c r="H1" s="15">
        <v>6</v>
      </c>
      <c r="I1" s="15">
        <v>7</v>
      </c>
    </row>
    <row r="2" spans="2:18" x14ac:dyDescent="0.25">
      <c r="B2" s="10" t="s">
        <v>89</v>
      </c>
    </row>
    <row r="3" spans="2:18" ht="15.75" thickBot="1" x14ac:dyDescent="0.3">
      <c r="C3" s="15"/>
      <c r="D3" s="15"/>
      <c r="E3" s="15"/>
      <c r="L3" s="57"/>
    </row>
    <row r="4" spans="2:18" ht="35.1" customHeight="1" x14ac:dyDescent="0.25">
      <c r="B4" s="491" t="s">
        <v>0</v>
      </c>
      <c r="C4" s="493" t="s">
        <v>59</v>
      </c>
      <c r="D4" s="495" t="s">
        <v>58</v>
      </c>
      <c r="E4" s="495" t="s">
        <v>224</v>
      </c>
      <c r="F4" s="493" t="s">
        <v>57</v>
      </c>
      <c r="G4" s="497" t="s">
        <v>56</v>
      </c>
      <c r="H4" s="497" t="s">
        <v>55</v>
      </c>
      <c r="I4" s="499" t="s">
        <v>1</v>
      </c>
      <c r="L4" s="57"/>
    </row>
    <row r="5" spans="2:18" ht="15.75" thickBot="1" x14ac:dyDescent="0.3">
      <c r="B5" s="492"/>
      <c r="C5" s="494"/>
      <c r="D5" s="496"/>
      <c r="E5" s="496"/>
      <c r="F5" s="494"/>
      <c r="G5" s="498"/>
      <c r="H5" s="498"/>
      <c r="I5" s="500"/>
      <c r="L5" s="490" t="s">
        <v>160</v>
      </c>
      <c r="M5" s="490"/>
      <c r="N5" s="130"/>
    </row>
    <row r="6" spans="2:18" x14ac:dyDescent="0.25">
      <c r="B6" s="77">
        <f>Assumptions!$D$8</f>
        <v>2027</v>
      </c>
      <c r="C6" s="173" cm="1">
        <f t="array" ref="C6">TREND($M$23:$N$23,$M$21:$N$21,$B6)</f>
        <v>2003177.7796649337</v>
      </c>
      <c r="D6" s="119" cm="1">
        <f t="array" ref="D6">TREND($O$23:$P$23,$O$21:$P$21,$B6)</f>
        <v>1793560.1295539141</v>
      </c>
      <c r="E6" s="270">
        <f>C6-D6</f>
        <v>209617.65011101961</v>
      </c>
      <c r="F6" s="120">
        <f t="shared" ref="F6:G8" si="0">C6*$M$18</f>
        <v>63058698.381095305</v>
      </c>
      <c r="G6" s="121">
        <f t="shared" si="0"/>
        <v>56460074.780190676</v>
      </c>
      <c r="H6" s="121">
        <f>(F6-G6)</f>
        <v>6598623.6009046286</v>
      </c>
      <c r="I6" s="101">
        <f>H6*(1+0.07)^-(B6-Assumptions!$D$4)</f>
        <v>4396941.5243549142</v>
      </c>
      <c r="L6" s="52" t="s">
        <v>69</v>
      </c>
      <c r="M6" s="221">
        <f>Assumptions!D21</f>
        <v>18.8</v>
      </c>
    </row>
    <row r="7" spans="2:18" x14ac:dyDescent="0.25">
      <c r="B7" s="78">
        <f t="shared" ref="B7:B35" si="1">B6+1</f>
        <v>2028</v>
      </c>
      <c r="C7" s="117" cm="1">
        <f t="array" ref="C7">TREND($M$23:$N$23,$M$21:$N$21,$B7)</f>
        <v>2090170.4604766965</v>
      </c>
      <c r="D7" s="118" cm="1">
        <f t="array" ref="D7">TREND($O$23:$P$23,$O$21:$P$21,$B7)</f>
        <v>1845302.2236243188</v>
      </c>
      <c r="E7" s="271">
        <f t="shared" ref="E7:E35" si="2">C7-D7</f>
        <v>244868.23685237765</v>
      </c>
      <c r="F7" s="122">
        <f t="shared" si="0"/>
        <v>65797169.861938812</v>
      </c>
      <c r="G7" s="116">
        <f t="shared" si="0"/>
        <v>58088881.337808184</v>
      </c>
      <c r="H7" s="116">
        <f t="shared" ref="H7:H35" si="3">(F7-G7)</f>
        <v>7708288.5241306275</v>
      </c>
      <c r="I7" s="102">
        <f>H7*(1+0.07)^-(B7-Assumptions!$D$4)</f>
        <v>4800334.6887743035</v>
      </c>
      <c r="L7" s="52" t="s">
        <v>54</v>
      </c>
      <c r="M7" s="221">
        <f>Assumptions!D22</f>
        <v>32.4</v>
      </c>
      <c r="N7" s="15"/>
      <c r="O7" s="66"/>
      <c r="Q7" s="65"/>
      <c r="R7" s="65"/>
    </row>
    <row r="8" spans="2:18" x14ac:dyDescent="0.25">
      <c r="B8" s="78">
        <f t="shared" si="1"/>
        <v>2029</v>
      </c>
      <c r="C8" s="117" cm="1">
        <f t="array" ref="C8">TREND($M$23:$N$23,$M$21:$N$21,$B8)</f>
        <v>2177163.1412884593</v>
      </c>
      <c r="D8" s="118" cm="1">
        <f t="array" ref="D8">TREND($O$23:$P$23,$O$21:$P$21,$B8)</f>
        <v>1897044.3176947385</v>
      </c>
      <c r="E8" s="271">
        <f t="shared" si="2"/>
        <v>280118.82359372079</v>
      </c>
      <c r="F8" s="122">
        <f t="shared" si="0"/>
        <v>68535641.342782319</v>
      </c>
      <c r="G8" s="116">
        <f t="shared" si="0"/>
        <v>59717687.895426154</v>
      </c>
      <c r="H8" s="116">
        <f t="shared" si="3"/>
        <v>8817953.4473561645</v>
      </c>
      <c r="I8" s="102">
        <f>H8*(1+0.07)^-(B8-Assumptions!$D$4)</f>
        <v>5132129.1899919547</v>
      </c>
      <c r="K8" s="29"/>
      <c r="L8" s="57"/>
      <c r="M8" s="67"/>
      <c r="N8" s="15"/>
      <c r="O8" s="66"/>
      <c r="Q8" s="65"/>
      <c r="R8" s="65"/>
    </row>
    <row r="9" spans="2:18" ht="14.25" customHeight="1" x14ac:dyDescent="0.25">
      <c r="B9" s="78">
        <f t="shared" si="1"/>
        <v>2030</v>
      </c>
      <c r="C9" s="117" cm="1">
        <f t="array" ref="C9">TREND($M$23:$N$23,$M$21:$N$21,$B9)</f>
        <v>2264155.8221002221</v>
      </c>
      <c r="D9" s="118" cm="1">
        <f t="array" ref="D9">TREND($O$23:$P$23,$O$21:$P$21,$B9)</f>
        <v>1948786.4117651433</v>
      </c>
      <c r="E9" s="271">
        <f t="shared" si="2"/>
        <v>315369.41033507884</v>
      </c>
      <c r="F9" s="122">
        <f t="shared" ref="F9:F23" si="4">C9*$M$18</f>
        <v>71274112.823625833</v>
      </c>
      <c r="G9" s="116">
        <f t="shared" ref="G9:G23" si="5">D9*$M$18</f>
        <v>61346494.453043655</v>
      </c>
      <c r="H9" s="116">
        <f t="shared" ref="H9:H23" si="6">(F9-G9)</f>
        <v>9927618.3705821782</v>
      </c>
      <c r="I9" s="102">
        <f>H9*(1+0.07)^-(B9-Assumptions!$D$4)</f>
        <v>5399966.6152579058</v>
      </c>
      <c r="L9" s="490" t="s">
        <v>161</v>
      </c>
      <c r="M9" s="490"/>
    </row>
    <row r="10" spans="2:18" x14ac:dyDescent="0.25">
      <c r="B10" s="78">
        <f t="shared" si="1"/>
        <v>2031</v>
      </c>
      <c r="C10" s="117" cm="1">
        <f t="array" ref="C10">TREND($M$23:$N$23,$M$21:$N$21,$B10)</f>
        <v>2351148.5029119849</v>
      </c>
      <c r="D10" s="118" cm="1">
        <f t="array" ref="D10">TREND($O$23:$P$23,$O$21:$P$21,$B10)</f>
        <v>2000528.5058355629</v>
      </c>
      <c r="E10" s="271">
        <f t="shared" si="2"/>
        <v>350619.99707642198</v>
      </c>
      <c r="F10" s="122">
        <f t="shared" si="4"/>
        <v>74012584.304469347</v>
      </c>
      <c r="G10" s="116">
        <f t="shared" si="5"/>
        <v>62975301.010661632</v>
      </c>
      <c r="H10" s="116">
        <f t="shared" si="6"/>
        <v>11037283.293807715</v>
      </c>
      <c r="I10" s="102">
        <f>H10*(1+0.07)^-(B10-Assumptions!$D$4)</f>
        <v>5610795.1494974988</v>
      </c>
      <c r="L10" s="52" t="s">
        <v>53</v>
      </c>
      <c r="M10" s="100">
        <f>Assumptions!D14</f>
        <v>0.91700000000000004</v>
      </c>
    </row>
    <row r="11" spans="2:18" x14ac:dyDescent="0.25">
      <c r="B11" s="78">
        <f t="shared" si="1"/>
        <v>2032</v>
      </c>
      <c r="C11" s="117" cm="1">
        <f t="array" ref="C11">TREND($M$23:$N$23,$M$21:$N$21,$B11)</f>
        <v>2438141.1837237477</v>
      </c>
      <c r="D11" s="118" cm="1">
        <f t="array" ref="D11">TREND($O$23:$P$23,$O$21:$P$21,$B11)</f>
        <v>2052270.5999059826</v>
      </c>
      <c r="E11" s="271">
        <f t="shared" si="2"/>
        <v>385870.58381776512</v>
      </c>
      <c r="F11" s="122">
        <f t="shared" si="4"/>
        <v>76751055.785312861</v>
      </c>
      <c r="G11" s="116">
        <f t="shared" si="5"/>
        <v>64604107.568279602</v>
      </c>
      <c r="H11" s="116">
        <f t="shared" si="6"/>
        <v>12146948.21703326</v>
      </c>
      <c r="I11" s="102">
        <f>H11*(1+0.07)^-(B11-Assumptions!$D$4)</f>
        <v>5770927.5960055413</v>
      </c>
      <c r="L11" s="52" t="s">
        <v>52</v>
      </c>
      <c r="M11" s="100">
        <f>Assumptions!D15</f>
        <v>8.2999999999999963E-2</v>
      </c>
      <c r="N11" s="57"/>
      <c r="O11" s="57"/>
      <c r="P11" s="57"/>
      <c r="Q11" s="131"/>
    </row>
    <row r="12" spans="2:18" x14ac:dyDescent="0.25">
      <c r="B12" s="78">
        <f t="shared" si="1"/>
        <v>2033</v>
      </c>
      <c r="C12" s="117" cm="1">
        <f t="array" ref="C12">TREND($M$23:$N$23,$M$21:$N$21,$B12)</f>
        <v>2525133.8645355105</v>
      </c>
      <c r="D12" s="118" cm="1">
        <f t="array" ref="D12">TREND($O$23:$P$23,$O$21:$P$21,$B12)</f>
        <v>2104012.6939763874</v>
      </c>
      <c r="E12" s="271">
        <f t="shared" si="2"/>
        <v>421121.17055912316</v>
      </c>
      <c r="F12" s="122">
        <f t="shared" si="4"/>
        <v>79489527.266156375</v>
      </c>
      <c r="G12" s="116">
        <f t="shared" si="5"/>
        <v>66232914.125897102</v>
      </c>
      <c r="H12" s="116">
        <f t="shared" si="6"/>
        <v>13256613.140259273</v>
      </c>
      <c r="I12" s="102">
        <f>H12*(1+0.07)^-(B12-Assumptions!$D$4)</f>
        <v>5886094.7733029965</v>
      </c>
      <c r="L12" s="57"/>
      <c r="M12" s="61"/>
    </row>
    <row r="13" spans="2:18" ht="15" customHeight="1" x14ac:dyDescent="0.25">
      <c r="B13" s="78">
        <f t="shared" si="1"/>
        <v>2034</v>
      </c>
      <c r="C13" s="117" cm="1">
        <f t="array" ref="C13">TREND($M$23:$N$23,$M$21:$N$21,$B13)</f>
        <v>2612126.5453472733</v>
      </c>
      <c r="D13" s="118" cm="1">
        <f t="array" ref="D13">TREND($O$23:$P$23,$O$21:$P$21,$B13)</f>
        <v>2155754.7880468071</v>
      </c>
      <c r="E13" s="271">
        <f t="shared" si="2"/>
        <v>456371.7573004663</v>
      </c>
      <c r="F13" s="122">
        <f t="shared" si="4"/>
        <v>82227998.746999875</v>
      </c>
      <c r="G13" s="116">
        <f t="shared" si="5"/>
        <v>67861720.683515072</v>
      </c>
      <c r="H13" s="116">
        <f t="shared" si="6"/>
        <v>14366278.063484803</v>
      </c>
      <c r="I13" s="102">
        <f>H13*(1+0.07)^-(B13-Assumptions!$D$4)</f>
        <v>5961494.6448271805</v>
      </c>
      <c r="L13" s="490" t="s">
        <v>87</v>
      </c>
      <c r="M13" s="490"/>
    </row>
    <row r="14" spans="2:18" x14ac:dyDescent="0.25">
      <c r="B14" s="78">
        <f t="shared" si="1"/>
        <v>2035</v>
      </c>
      <c r="C14" s="117" cm="1">
        <f t="array" ref="C14">TREND($M$23:$N$23,$M$21:$N$21,$B14)</f>
        <v>2699119.2261590362</v>
      </c>
      <c r="D14" s="118" cm="1">
        <f t="array" ref="D14">TREND($O$23:$P$23,$O$21:$P$21,$B14)</f>
        <v>2207496.8821172267</v>
      </c>
      <c r="E14" s="271">
        <f t="shared" si="2"/>
        <v>491622.34404180944</v>
      </c>
      <c r="F14" s="122">
        <f t="shared" si="4"/>
        <v>84966470.227843389</v>
      </c>
      <c r="G14" s="116">
        <f t="shared" si="5"/>
        <v>69490527.241133049</v>
      </c>
      <c r="H14" s="116">
        <f t="shared" si="6"/>
        <v>15475942.98671034</v>
      </c>
      <c r="I14" s="102">
        <f>H14*(1+0.07)^-(B14-Assumptions!$D$4)</f>
        <v>6001837.5112474225</v>
      </c>
      <c r="L14" s="52" t="s">
        <v>70</v>
      </c>
      <c r="M14" s="132">
        <f>Assumptions!D16</f>
        <v>1.67</v>
      </c>
      <c r="P14" s="15"/>
    </row>
    <row r="15" spans="2:18" x14ac:dyDescent="0.25">
      <c r="B15" s="78">
        <f t="shared" si="1"/>
        <v>2036</v>
      </c>
      <c r="C15" s="117" cm="1">
        <f t="array" ref="C15">TREND($M$23:$N$23,$M$21:$N$21,$B15)</f>
        <v>2786111.9069707692</v>
      </c>
      <c r="D15" s="118" cm="1">
        <f t="array" ref="D15">TREND($O$23:$P$23,$O$21:$P$21,$B15)</f>
        <v>2259238.9761876315</v>
      </c>
      <c r="E15" s="271">
        <f t="shared" si="2"/>
        <v>526872.93078313768</v>
      </c>
      <c r="F15" s="122">
        <f t="shared" si="4"/>
        <v>87704941.708685964</v>
      </c>
      <c r="G15" s="116">
        <f t="shared" si="5"/>
        <v>71119333.79875055</v>
      </c>
      <c r="H15" s="116">
        <f t="shared" si="6"/>
        <v>16585607.909935415</v>
      </c>
      <c r="I15" s="102">
        <f>H15*(1+0.07)^-(B15-Assumptions!$D$4)</f>
        <v>6011387.5703049274</v>
      </c>
      <c r="L15" s="52" t="s">
        <v>51</v>
      </c>
      <c r="M15" s="132">
        <f>Assumptions!D17</f>
        <v>1</v>
      </c>
      <c r="P15" s="15"/>
    </row>
    <row r="16" spans="2:18" x14ac:dyDescent="0.25">
      <c r="B16" s="78">
        <f t="shared" si="1"/>
        <v>2037</v>
      </c>
      <c r="C16" s="117" cm="1">
        <f t="array" ref="C16">TREND($M$23:$N$23,$M$21:$N$21,$B16)</f>
        <v>2873104.587782532</v>
      </c>
      <c r="D16" s="118" cm="1">
        <f t="array" ref="D16">TREND($O$23:$P$23,$O$21:$P$21,$B16)</f>
        <v>2310981.0702580512</v>
      </c>
      <c r="E16" s="271">
        <f t="shared" si="2"/>
        <v>562123.51752448082</v>
      </c>
      <c r="F16" s="122">
        <f t="shared" si="4"/>
        <v>90443413.189529479</v>
      </c>
      <c r="G16" s="116">
        <f t="shared" si="5"/>
        <v>72748140.356368527</v>
      </c>
      <c r="H16" s="116">
        <f t="shared" si="6"/>
        <v>17695272.833160952</v>
      </c>
      <c r="I16" s="102">
        <f>H16*(1+0.07)^-(B16-Assumptions!$D$4)</f>
        <v>5994001.1260418398</v>
      </c>
      <c r="L16" s="57"/>
      <c r="M16" s="61"/>
      <c r="N16" s="15"/>
      <c r="O16" s="15"/>
      <c r="P16" s="15"/>
    </row>
    <row r="17" spans="2:44" x14ac:dyDescent="0.25">
      <c r="B17" s="78">
        <f t="shared" si="1"/>
        <v>2038</v>
      </c>
      <c r="C17" s="117" cm="1">
        <f t="array" ref="C17">TREND($M$23:$N$23,$M$21:$N$21,$B17)</f>
        <v>2960097.2685942948</v>
      </c>
      <c r="D17" s="118" cm="1">
        <f t="array" ref="D17">TREND($O$23:$P$23,$O$21:$P$21,$B17)</f>
        <v>2362723.1643284708</v>
      </c>
      <c r="E17" s="271">
        <f t="shared" si="2"/>
        <v>597374.10426582396</v>
      </c>
      <c r="F17" s="122">
        <f t="shared" si="4"/>
        <v>93181884.670372993</v>
      </c>
      <c r="G17" s="116">
        <f t="shared" si="5"/>
        <v>74376946.913986504</v>
      </c>
      <c r="H17" s="116">
        <f t="shared" si="6"/>
        <v>18804937.756386489</v>
      </c>
      <c r="I17" s="102">
        <f>H17*(1+0.07)^-(B17-Assumptions!$D$4)</f>
        <v>5953161.7079435838</v>
      </c>
      <c r="L17" s="55" t="s">
        <v>50</v>
      </c>
      <c r="M17" s="15"/>
      <c r="N17" s="15"/>
      <c r="O17" s="15"/>
      <c r="P17" s="15"/>
    </row>
    <row r="18" spans="2:44" x14ac:dyDescent="0.25">
      <c r="B18" s="78">
        <f t="shared" si="1"/>
        <v>2039</v>
      </c>
      <c r="C18" s="117" cm="1">
        <f t="array" ref="C18">TREND($M$23:$N$23,$M$21:$N$21,$B18)</f>
        <v>3047089.9494060576</v>
      </c>
      <c r="D18" s="118" cm="1">
        <f t="array" ref="D18">TREND($O$23:$P$23,$O$21:$P$21,$B18)</f>
        <v>2414465.2583988756</v>
      </c>
      <c r="E18" s="271">
        <f t="shared" si="2"/>
        <v>632624.691007182</v>
      </c>
      <c r="F18" s="122">
        <f t="shared" si="4"/>
        <v>95920356.151216492</v>
      </c>
      <c r="G18" s="116">
        <f t="shared" si="5"/>
        <v>76005753.471604005</v>
      </c>
      <c r="H18" s="116">
        <f t="shared" si="6"/>
        <v>19914602.679612488</v>
      </c>
      <c r="I18" s="102">
        <f>H18*(1+0.07)^-(B18-Assumptions!$D$4)</f>
        <v>5892012.3407787457</v>
      </c>
      <c r="L18" s="64" t="s">
        <v>49</v>
      </c>
      <c r="M18" s="133">
        <f>M10*M6*M14+M11*M7*M15</f>
        <v>31.479332000000003</v>
      </c>
      <c r="N18" s="63"/>
      <c r="O18" s="15"/>
      <c r="P18" s="62"/>
    </row>
    <row r="19" spans="2:44" x14ac:dyDescent="0.25">
      <c r="B19" s="78">
        <f t="shared" si="1"/>
        <v>2040</v>
      </c>
      <c r="C19" s="117" cm="1">
        <f t="array" ref="C19">TREND($M$23:$N$23,$M$21:$N$21,$B19)</f>
        <v>3134082.6302178204</v>
      </c>
      <c r="D19" s="118" cm="1">
        <f t="array" ref="D19">TREND($O$23:$P$23,$O$21:$P$21,$B19)</f>
        <v>2466207.3524692953</v>
      </c>
      <c r="E19" s="271">
        <f t="shared" si="2"/>
        <v>667875.27774852514</v>
      </c>
      <c r="F19" s="122">
        <f t="shared" si="4"/>
        <v>98658827.632060006</v>
      </c>
      <c r="G19" s="116">
        <f t="shared" si="5"/>
        <v>77634560.029221967</v>
      </c>
      <c r="H19" s="116">
        <f t="shared" si="6"/>
        <v>21024267.602838039</v>
      </c>
      <c r="I19" s="102">
        <f>H19*(1+0.07)^-(B19-Assumptions!$D$4)</f>
        <v>5813385.1876345444</v>
      </c>
      <c r="L19" s="57"/>
      <c r="M19" s="61"/>
      <c r="N19" s="60"/>
      <c r="O19" s="59"/>
      <c r="P19" s="59"/>
    </row>
    <row r="20" spans="2:44" ht="14.25" customHeight="1" x14ac:dyDescent="0.25">
      <c r="B20" s="78">
        <f t="shared" si="1"/>
        <v>2041</v>
      </c>
      <c r="C20" s="117" cm="1">
        <f t="array" ref="C20">TREND($M$23:$N$23,$M$21:$N$21,$B20)</f>
        <v>3221075.3110295832</v>
      </c>
      <c r="D20" s="118" cm="1">
        <f t="array" ref="D20">TREND($O$23:$P$23,$O$21:$P$21,$B20)</f>
        <v>2517949.4465397149</v>
      </c>
      <c r="E20" s="271">
        <f t="shared" si="2"/>
        <v>703125.86448986828</v>
      </c>
      <c r="F20" s="122">
        <f t="shared" si="4"/>
        <v>101397299.11290352</v>
      </c>
      <c r="G20" s="116">
        <f t="shared" si="5"/>
        <v>79263366.586839944</v>
      </c>
      <c r="H20" s="116">
        <f t="shared" si="6"/>
        <v>22133932.526063576</v>
      </c>
      <c r="I20" s="102">
        <f>H20*(1+0.07)^-(B20-Assumptions!$D$4)</f>
        <v>5719828.771734803</v>
      </c>
      <c r="L20" s="10" t="s">
        <v>225</v>
      </c>
      <c r="M20" s="487" t="s">
        <v>20</v>
      </c>
      <c r="N20" s="488"/>
      <c r="O20" s="487" t="s">
        <v>21</v>
      </c>
      <c r="P20" s="488"/>
    </row>
    <row r="21" spans="2:44" x14ac:dyDescent="0.25">
      <c r="B21" s="78">
        <f t="shared" si="1"/>
        <v>2042</v>
      </c>
      <c r="C21" s="117" cm="1">
        <f t="array" ref="C21">TREND($M$23:$N$23,$M$21:$N$21,$B21)</f>
        <v>3308067.991841346</v>
      </c>
      <c r="D21" s="118" cm="1">
        <f t="array" ref="D21">TREND($O$23:$P$23,$O$21:$P$21,$B21)</f>
        <v>2569691.5406101197</v>
      </c>
      <c r="E21" s="271">
        <f t="shared" si="2"/>
        <v>738376.45123122633</v>
      </c>
      <c r="F21" s="122">
        <f t="shared" si="4"/>
        <v>104135770.59374703</v>
      </c>
      <c r="G21" s="116">
        <f t="shared" si="5"/>
        <v>80892173.144457445</v>
      </c>
      <c r="H21" s="116">
        <f t="shared" si="6"/>
        <v>23243597.44928959</v>
      </c>
      <c r="I21" s="102">
        <f>H21*(1+0.07)^-(B21-Assumptions!$D$4)</f>
        <v>5613632.9669648577</v>
      </c>
      <c r="J21" s="15"/>
      <c r="L21" s="43" t="s">
        <v>1051</v>
      </c>
      <c r="M21" s="43">
        <v>2022</v>
      </c>
      <c r="N21" s="43">
        <v>2045</v>
      </c>
      <c r="O21" s="43">
        <v>2022</v>
      </c>
      <c r="P21" s="43">
        <v>2045</v>
      </c>
    </row>
    <row r="22" spans="2:44" x14ac:dyDescent="0.25">
      <c r="B22" s="78">
        <f t="shared" si="1"/>
        <v>2043</v>
      </c>
      <c r="C22" s="117" cm="1">
        <f t="array" ref="C22">TREND($M$23:$N$23,$M$21:$N$21,$B22)</f>
        <v>3395060.6726531088</v>
      </c>
      <c r="D22" s="118" cm="1">
        <f t="array" ref="D22">TREND($O$23:$P$23,$O$21:$P$21,$B22)</f>
        <v>2621433.6346805394</v>
      </c>
      <c r="E22" s="271">
        <f t="shared" si="2"/>
        <v>773627.03797256947</v>
      </c>
      <c r="F22" s="122">
        <f t="shared" si="4"/>
        <v>106874242.07459055</v>
      </c>
      <c r="G22" s="116">
        <f t="shared" si="5"/>
        <v>82520979.702075422</v>
      </c>
      <c r="H22" s="116">
        <f t="shared" si="6"/>
        <v>24353262.372515127</v>
      </c>
      <c r="I22" s="102">
        <f>H22*(1+0.07)^-(B22-Assumptions!$D$4)</f>
        <v>5496851.9325442128</v>
      </c>
      <c r="L22" s="43" t="s">
        <v>242</v>
      </c>
      <c r="M22" s="289">
        <f>AC28</f>
        <v>3890.0341219003185</v>
      </c>
      <c r="N22" s="289">
        <f>AC43</f>
        <v>8853.1970321994795</v>
      </c>
      <c r="O22" s="289">
        <f>AM28</f>
        <v>3807.271275634364</v>
      </c>
      <c r="P22" s="289">
        <f>AM43</f>
        <v>6759.2948228472806</v>
      </c>
    </row>
    <row r="23" spans="2:44" x14ac:dyDescent="0.25">
      <c r="B23" s="78">
        <f t="shared" si="1"/>
        <v>2044</v>
      </c>
      <c r="C23" s="117" cm="1">
        <f t="array" ref="C23">TREND($M$23:$N$23,$M$21:$N$21,$B23)</f>
        <v>3482053.3534648418</v>
      </c>
      <c r="D23" s="118" cm="1">
        <f t="array" ref="D23">TREND($O$23:$P$23,$O$21:$P$21,$B23)</f>
        <v>2673175.7287509441</v>
      </c>
      <c r="E23" s="271">
        <f t="shared" si="2"/>
        <v>808877.62471389771</v>
      </c>
      <c r="F23" s="122">
        <f t="shared" si="4"/>
        <v>109612713.55543312</v>
      </c>
      <c r="G23" s="116">
        <f t="shared" si="5"/>
        <v>84149786.259692922</v>
      </c>
      <c r="H23" s="116">
        <f t="shared" si="6"/>
        <v>25462927.295740202</v>
      </c>
      <c r="I23" s="102">
        <f>H23*(1+0.07)^-(B23-Assumptions!$D$4)</f>
        <v>5371325.1538821254</v>
      </c>
      <c r="L23" s="43" t="s">
        <v>243</v>
      </c>
      <c r="M23" s="172">
        <f>AI39</f>
        <v>1568214.3756061723</v>
      </c>
      <c r="N23" s="172">
        <f>AI54</f>
        <v>3569046.0342766368</v>
      </c>
      <c r="O23" s="172">
        <f>AS39</f>
        <v>1534849.6592018474</v>
      </c>
      <c r="P23" s="172">
        <f>AS54</f>
        <v>2724917.8228213764</v>
      </c>
    </row>
    <row r="24" spans="2:44" x14ac:dyDescent="0.25">
      <c r="B24" s="78">
        <f t="shared" si="1"/>
        <v>2045</v>
      </c>
      <c r="C24" s="117" cm="1">
        <f t="array" ref="C24">TREND($M$23:$N$23,$M$21:$N$21,$B24)</f>
        <v>3569046.0342766047</v>
      </c>
      <c r="D24" s="118" cm="1">
        <f t="array" ref="D24">TREND($O$23:$P$23,$O$21:$P$21,$B24)</f>
        <v>2724917.8228213638</v>
      </c>
      <c r="E24" s="271">
        <f t="shared" si="2"/>
        <v>844128.21145524085</v>
      </c>
      <c r="F24" s="122">
        <f t="shared" ref="F24:F35" si="7">C24*$M$18</f>
        <v>112351185.03627662</v>
      </c>
      <c r="G24" s="116">
        <f t="shared" ref="G24:G35" si="8">D24*$M$18</f>
        <v>85778592.817310899</v>
      </c>
      <c r="H24" s="116">
        <f t="shared" si="3"/>
        <v>26572592.218965724</v>
      </c>
      <c r="I24" s="102">
        <f>H24*(1+0.07)^-(B24-Assumptions!$D$4)</f>
        <v>5238696.7392467791</v>
      </c>
      <c r="J24" s="28"/>
      <c r="L24" s="28"/>
      <c r="N24" s="56"/>
      <c r="O24" s="56"/>
    </row>
    <row r="25" spans="2:44" ht="15" customHeight="1" x14ac:dyDescent="0.25">
      <c r="B25" s="78">
        <f t="shared" si="1"/>
        <v>2046</v>
      </c>
      <c r="C25" s="403">
        <f t="shared" ref="C25:C26" si="9">C24</f>
        <v>3569046.0342766047</v>
      </c>
      <c r="D25" s="404">
        <f t="shared" ref="D25:D26" si="10">D24</f>
        <v>2724917.8228213638</v>
      </c>
      <c r="E25" s="271">
        <f t="shared" si="2"/>
        <v>844128.21145524085</v>
      </c>
      <c r="F25" s="122">
        <f t="shared" si="7"/>
        <v>112351185.03627662</v>
      </c>
      <c r="G25" s="116">
        <f t="shared" si="8"/>
        <v>85778592.817310899</v>
      </c>
      <c r="H25" s="116">
        <f t="shared" si="3"/>
        <v>26572592.218965724</v>
      </c>
      <c r="I25" s="102">
        <f>H25*(1+0.07)^-(B25-Assumptions!$D$4)</f>
        <v>4895978.2609782973</v>
      </c>
      <c r="J25" s="44" t="s">
        <v>1121</v>
      </c>
      <c r="L25" s="28"/>
      <c r="N25" s="56"/>
      <c r="O25" s="56"/>
      <c r="S25" t="s">
        <v>236</v>
      </c>
      <c r="AB25" t="s">
        <v>237</v>
      </c>
      <c r="AL25" t="s">
        <v>238</v>
      </c>
    </row>
    <row r="26" spans="2:44" ht="15" customHeight="1" x14ac:dyDescent="0.25">
      <c r="B26" s="78">
        <f t="shared" si="1"/>
        <v>2047</v>
      </c>
      <c r="C26" s="403">
        <f t="shared" si="9"/>
        <v>3569046.0342766047</v>
      </c>
      <c r="D26" s="404">
        <f t="shared" si="10"/>
        <v>2724917.8228213638</v>
      </c>
      <c r="E26" s="271">
        <f t="shared" si="2"/>
        <v>844128.21145524085</v>
      </c>
      <c r="F26" s="122">
        <f t="shared" si="7"/>
        <v>112351185.03627662</v>
      </c>
      <c r="G26" s="116">
        <f t="shared" si="8"/>
        <v>85778592.817310899</v>
      </c>
      <c r="H26" s="116">
        <f t="shared" si="3"/>
        <v>26572592.218965724</v>
      </c>
      <c r="I26" s="102">
        <f>H26*(1+0.07)^-(B26-Assumptions!$D$4)</f>
        <v>4575680.6177367279</v>
      </c>
      <c r="J26" s="28"/>
      <c r="L26" s="28"/>
      <c r="N26" s="56"/>
      <c r="O26" s="56"/>
      <c r="S26" s="10" t="s">
        <v>226</v>
      </c>
      <c r="T26" s="10" t="s">
        <v>227</v>
      </c>
      <c r="U26" s="10" t="s">
        <v>228</v>
      </c>
      <c r="V26" s="10" t="s">
        <v>229</v>
      </c>
      <c r="W26" s="10" t="s">
        <v>230</v>
      </c>
      <c r="X26" s="10" t="s">
        <v>231</v>
      </c>
      <c r="Y26" s="10" t="s">
        <v>232</v>
      </c>
      <c r="AB26" s="10" t="s">
        <v>226</v>
      </c>
      <c r="AC26" s="10" t="s">
        <v>227</v>
      </c>
      <c r="AD26" s="10" t="s">
        <v>228</v>
      </c>
      <c r="AE26" s="10" t="s">
        <v>229</v>
      </c>
      <c r="AF26" s="10" t="s">
        <v>230</v>
      </c>
      <c r="AG26" s="10" t="s">
        <v>231</v>
      </c>
      <c r="AH26" s="10" t="s">
        <v>232</v>
      </c>
      <c r="AL26" s="10" t="s">
        <v>226</v>
      </c>
      <c r="AM26" s="10" t="s">
        <v>227</v>
      </c>
      <c r="AN26" s="10" t="s">
        <v>228</v>
      </c>
      <c r="AO26" s="10" t="s">
        <v>229</v>
      </c>
      <c r="AP26" s="10" t="s">
        <v>230</v>
      </c>
      <c r="AQ26" s="10" t="s">
        <v>231</v>
      </c>
      <c r="AR26" s="10" t="s">
        <v>232</v>
      </c>
    </row>
    <row r="27" spans="2:44" x14ac:dyDescent="0.25">
      <c r="B27" s="78">
        <f t="shared" si="1"/>
        <v>2048</v>
      </c>
      <c r="C27" s="403">
        <f>C26</f>
        <v>3569046.0342766047</v>
      </c>
      <c r="D27" s="404">
        <f>D26</f>
        <v>2724917.8228213638</v>
      </c>
      <c r="E27" s="271">
        <f t="shared" si="2"/>
        <v>844128.21145524085</v>
      </c>
      <c r="F27" s="122">
        <f t="shared" si="7"/>
        <v>112351185.03627662</v>
      </c>
      <c r="G27" s="116">
        <f t="shared" si="8"/>
        <v>85778592.817310899</v>
      </c>
      <c r="H27" s="116">
        <f t="shared" si="3"/>
        <v>26572592.218965724</v>
      </c>
      <c r="I27" s="102">
        <f>H27*(1+0.07)^-(B27-Assumptions!$D$4)</f>
        <v>4276337.0259221746</v>
      </c>
      <c r="J27" s="28"/>
      <c r="L27" s="28"/>
      <c r="N27" s="56"/>
      <c r="O27" s="56"/>
      <c r="R27" s="10" t="s">
        <v>96</v>
      </c>
      <c r="S27" s="268">
        <v>0.94979626991823352</v>
      </c>
      <c r="T27" s="268">
        <v>0.99413937058445723</v>
      </c>
      <c r="U27" s="268">
        <v>0.993803183316328</v>
      </c>
      <c r="V27" s="268">
        <v>1.0272201977683573</v>
      </c>
      <c r="W27" s="268">
        <v>1.11573830546674</v>
      </c>
      <c r="X27" s="268">
        <v>0.91328633259941727</v>
      </c>
      <c r="Y27" s="268">
        <v>0.7225672953897988</v>
      </c>
      <c r="AA27" s="10" t="s">
        <v>96</v>
      </c>
      <c r="AB27" s="29">
        <f>$AC$28*S27</f>
        <v>3694.7398988355735</v>
      </c>
      <c r="AC27" s="29">
        <f>$AC$28*T27</f>
        <v>3867.2360734980443</v>
      </c>
      <c r="AD27" s="29">
        <f t="shared" ref="AD27:AH28" si="11">$AC$28*U27</f>
        <v>3865.928293553673</v>
      </c>
      <c r="AE27" s="29">
        <f t="shared" si="11"/>
        <v>3995.921620024103</v>
      </c>
      <c r="AF27" s="29">
        <f t="shared" si="11"/>
        <v>4340.2600793768597</v>
      </c>
      <c r="AG27" s="29">
        <f t="shared" si="11"/>
        <v>3552.7149968769363</v>
      </c>
      <c r="AH27" s="29">
        <f t="shared" si="11"/>
        <v>2810.811434435544</v>
      </c>
      <c r="AK27" s="10" t="s">
        <v>96</v>
      </c>
      <c r="AL27" s="29">
        <f>$AM$28*S27</f>
        <v>3616.1320561643538</v>
      </c>
      <c r="AM27" s="29">
        <f t="shared" ref="AM27:AR28" si="12">$AM$28*T27</f>
        <v>3784.9582696034304</v>
      </c>
      <c r="AN27" s="29">
        <f t="shared" si="12"/>
        <v>3783.6783134742477</v>
      </c>
      <c r="AO27" s="29">
        <f t="shared" si="12"/>
        <v>3910.905952714917</v>
      </c>
      <c r="AP27" s="29">
        <f t="shared" si="12"/>
        <v>4247.9184015284791</v>
      </c>
      <c r="AQ27" s="29">
        <f t="shared" si="12"/>
        <v>3477.1288205352134</v>
      </c>
      <c r="AR27" s="29">
        <f t="shared" si="12"/>
        <v>2751.0097084503914</v>
      </c>
    </row>
    <row r="28" spans="2:44" x14ac:dyDescent="0.25">
      <c r="B28" s="78">
        <f t="shared" si="1"/>
        <v>2049</v>
      </c>
      <c r="C28" s="403">
        <f t="shared" ref="C28:C35" si="13">C27</f>
        <v>3569046.0342766047</v>
      </c>
      <c r="D28" s="404">
        <f t="shared" ref="D28:D35" si="14">D27</f>
        <v>2724917.8228213638</v>
      </c>
      <c r="E28" s="271">
        <f t="shared" si="2"/>
        <v>844128.21145524085</v>
      </c>
      <c r="F28" s="122">
        <f t="shared" si="7"/>
        <v>112351185.03627662</v>
      </c>
      <c r="G28" s="116">
        <f t="shared" si="8"/>
        <v>85778592.817310899</v>
      </c>
      <c r="H28" s="116">
        <f t="shared" si="3"/>
        <v>26572592.218965724</v>
      </c>
      <c r="I28" s="102">
        <f>H28*(1+0.07)^-(B28-Assumptions!$D$4)</f>
        <v>3996576.6597403502</v>
      </c>
      <c r="J28" s="28"/>
      <c r="L28" s="28"/>
      <c r="N28" s="56"/>
      <c r="O28" s="56"/>
      <c r="R28" s="10" t="s">
        <v>97</v>
      </c>
      <c r="S28" s="268">
        <v>0.95539548882350944</v>
      </c>
      <c r="T28" s="268">
        <v>1</v>
      </c>
      <c r="U28" s="268">
        <v>0.99966183084778992</v>
      </c>
      <c r="V28" s="268">
        <v>1.0332758445774577</v>
      </c>
      <c r="W28" s="268">
        <v>1.1223157823543337</v>
      </c>
      <c r="X28" s="268">
        <v>0.91867031889351058</v>
      </c>
      <c r="Y28" s="268">
        <v>0.72682695884481419</v>
      </c>
      <c r="AA28" s="10" t="s">
        <v>97</v>
      </c>
      <c r="AB28" s="29">
        <f t="shared" ref="AB28:AB38" si="15">$AC$28*S28</f>
        <v>3716.5210514330861</v>
      </c>
      <c r="AC28" s="279">
        <v>3890.0341219003185</v>
      </c>
      <c r="AD28" s="29">
        <f t="shared" si="11"/>
        <v>3888.7186323592473</v>
      </c>
      <c r="AE28" s="29">
        <f t="shared" si="11"/>
        <v>4019.4782927416804</v>
      </c>
      <c r="AF28" s="29">
        <f t="shared" si="11"/>
        <v>4365.8466889056099</v>
      </c>
      <c r="AG28" s="29">
        <f t="shared" si="11"/>
        <v>3573.658887272803</v>
      </c>
      <c r="AH28" s="29">
        <f t="shared" si="11"/>
        <v>2827.3816706233656</v>
      </c>
      <c r="AK28" s="10" t="s">
        <v>97</v>
      </c>
      <c r="AL28" s="29">
        <f t="shared" ref="AL28:AL38" si="16">$AM$28*S28</f>
        <v>3637.4498014683995</v>
      </c>
      <c r="AM28" s="279">
        <v>3807.271275634364</v>
      </c>
      <c r="AN28" s="29">
        <f t="shared" si="12"/>
        <v>3805.9837739348491</v>
      </c>
      <c r="AO28" s="29">
        <f t="shared" si="12"/>
        <v>3933.9614428665923</v>
      </c>
      <c r="AP28" s="29">
        <f t="shared" si="12"/>
        <v>4272.9606403487633</v>
      </c>
      <c r="AQ28" s="29">
        <f t="shared" si="12"/>
        <v>3497.6271169011238</v>
      </c>
      <c r="AR28" s="29">
        <f t="shared" si="12"/>
        <v>2767.2274027665412</v>
      </c>
    </row>
    <row r="29" spans="2:44" ht="15" customHeight="1" x14ac:dyDescent="0.25">
      <c r="B29" s="78">
        <f t="shared" si="1"/>
        <v>2050</v>
      </c>
      <c r="C29" s="403">
        <f t="shared" si="13"/>
        <v>3569046.0342766047</v>
      </c>
      <c r="D29" s="404">
        <f t="shared" si="14"/>
        <v>2724917.8228213638</v>
      </c>
      <c r="E29" s="271">
        <f t="shared" si="2"/>
        <v>844128.21145524085</v>
      </c>
      <c r="F29" s="122">
        <f t="shared" si="7"/>
        <v>112351185.03627662</v>
      </c>
      <c r="G29" s="116">
        <f t="shared" si="8"/>
        <v>85778592.817310899</v>
      </c>
      <c r="H29" s="116">
        <f t="shared" si="3"/>
        <v>26572592.218965724</v>
      </c>
      <c r="I29" s="102">
        <f>H29*(1+0.07)^-(B29-Assumptions!$D$4)</f>
        <v>3735118.3735891129</v>
      </c>
      <c r="L29" s="28"/>
      <c r="N29" s="56"/>
      <c r="O29" s="56"/>
      <c r="R29" s="10" t="s">
        <v>98</v>
      </c>
      <c r="S29" s="268">
        <v>1.0411095590515338</v>
      </c>
      <c r="T29" s="268">
        <v>1.0897157996146436</v>
      </c>
      <c r="U29" s="268">
        <v>1.0893472913465381</v>
      </c>
      <c r="V29" s="268">
        <v>1.1259770131962206</v>
      </c>
      <c r="W29" s="268">
        <v>1.2230052401883871</v>
      </c>
      <c r="X29" s="268">
        <v>1.0010895611352815</v>
      </c>
      <c r="Y29" s="268">
        <v>0.79203482063905639</v>
      </c>
      <c r="AA29" s="10" t="s">
        <v>98</v>
      </c>
      <c r="AB29" s="29">
        <f t="shared" si="15"/>
        <v>4049.9517093470608</v>
      </c>
      <c r="AC29" s="29">
        <f t="shared" ref="AC29:AC38" si="17">$AC$28*T29</f>
        <v>4239.0316436748535</v>
      </c>
      <c r="AD29" s="29">
        <f t="shared" ref="AD29:AD38" si="18">$AC$28*U29</f>
        <v>4237.5981339377204</v>
      </c>
      <c r="AE29" s="29">
        <f t="shared" ref="AE29:AE38" si="19">$AC$28*V29</f>
        <v>4380.089001808703</v>
      </c>
      <c r="AF29" s="29">
        <f t="shared" ref="AF29:AF38" si="20">$AC$28*W29</f>
        <v>4757.5321155957208</v>
      </c>
      <c r="AG29" s="29">
        <f t="shared" ref="AG29:AG38" si="21">$AC$28*X29</f>
        <v>3894.2725518944599</v>
      </c>
      <c r="AH29" s="29">
        <f t="shared" ref="AH29:AH38" si="22">$AC$28*Y29</f>
        <v>3081.0424780191279</v>
      </c>
      <c r="AK29" s="10" t="s">
        <v>98</v>
      </c>
      <c r="AL29" s="29">
        <f t="shared" si="16"/>
        <v>3963.7865189652634</v>
      </c>
      <c r="AM29" s="29">
        <f t="shared" ref="AM29:AM38" si="23">$AM$28*T29</f>
        <v>4148.8436624777651</v>
      </c>
      <c r="AN29" s="29">
        <f t="shared" ref="AN29:AN38" si="24">$AM$28*U29</f>
        <v>4147.4406515337732</v>
      </c>
      <c r="AO29" s="29">
        <f t="shared" ref="AO29:AO38" si="25">$AM$28*V29</f>
        <v>4286.8999393665454</v>
      </c>
      <c r="AP29" s="29">
        <f t="shared" ref="AP29:AP38" si="26">$AM$28*W29</f>
        <v>4656.3127209195518</v>
      </c>
      <c r="AQ29" s="29">
        <f t="shared" ref="AQ29:AQ38" si="27">$AM$28*X29</f>
        <v>3811.4195304477685</v>
      </c>
      <c r="AR29" s="29">
        <f t="shared" ref="AR29:AR38" si="28">$AM$28*Y29</f>
        <v>3015.4914219212951</v>
      </c>
    </row>
    <row r="30" spans="2:44" x14ac:dyDescent="0.25">
      <c r="B30" s="78">
        <f t="shared" si="1"/>
        <v>2051</v>
      </c>
      <c r="C30" s="403">
        <f t="shared" si="13"/>
        <v>3569046.0342766047</v>
      </c>
      <c r="D30" s="404">
        <f t="shared" si="14"/>
        <v>2724917.8228213638</v>
      </c>
      <c r="E30" s="271">
        <f t="shared" si="2"/>
        <v>844128.21145524085</v>
      </c>
      <c r="F30" s="122">
        <f t="shared" si="7"/>
        <v>112351185.03627662</v>
      </c>
      <c r="G30" s="116">
        <f t="shared" si="8"/>
        <v>85778592.817310899</v>
      </c>
      <c r="H30" s="116">
        <f t="shared" si="3"/>
        <v>26572592.218965724</v>
      </c>
      <c r="I30" s="102">
        <f>H30*(1+0.07)^-(B30-Assumptions!$D$4)</f>
        <v>3490764.8351300121</v>
      </c>
      <c r="L30" s="28"/>
      <c r="N30" s="56"/>
      <c r="O30" s="56"/>
      <c r="R30" s="10" t="s">
        <v>99</v>
      </c>
      <c r="S30" s="268">
        <v>1.1066127500803775</v>
      </c>
      <c r="T30" s="268">
        <v>1.1582771355170198</v>
      </c>
      <c r="U30" s="268">
        <v>1.1578854419200777</v>
      </c>
      <c r="V30" s="268">
        <v>1.1968197854561071</v>
      </c>
      <c r="W30" s="268">
        <v>1.2999527095309207</v>
      </c>
      <c r="X30" s="268">
        <v>1.0640748254524826</v>
      </c>
      <c r="Y30" s="268">
        <v>0.84186704790731826</v>
      </c>
      <c r="AA30" s="10" t="s">
        <v>99</v>
      </c>
      <c r="AB30" s="29">
        <f t="shared" si="15"/>
        <v>4304.7613575426176</v>
      </c>
      <c r="AC30" s="29">
        <f t="shared" si="17"/>
        <v>4505.737579778166</v>
      </c>
      <c r="AD30" s="29">
        <f t="shared" si="18"/>
        <v>4504.213878320732</v>
      </c>
      <c r="AE30" s="29">
        <f t="shared" si="19"/>
        <v>4655.6698031896749</v>
      </c>
      <c r="AF30" s="29">
        <f t="shared" si="20"/>
        <v>5056.8603969320548</v>
      </c>
      <c r="AG30" s="29">
        <f t="shared" si="21"/>
        <v>4139.2873792652827</v>
      </c>
      <c r="AH30" s="29">
        <f t="shared" si="22"/>
        <v>3274.8915424629581</v>
      </c>
      <c r="AK30" s="10" t="s">
        <v>99</v>
      </c>
      <c r="AL30" s="29">
        <f t="shared" si="16"/>
        <v>4213.1749366317708</v>
      </c>
      <c r="AM30" s="29">
        <f t="shared" si="23"/>
        <v>4409.875267278001</v>
      </c>
      <c r="AN30" s="29">
        <f t="shared" si="24"/>
        <v>4408.3839834975133</v>
      </c>
      <c r="AO30" s="29">
        <f t="shared" si="25"/>
        <v>4556.617591277919</v>
      </c>
      <c r="AP30" s="29">
        <f t="shared" si="26"/>
        <v>4949.2726106801365</v>
      </c>
      <c r="AQ30" s="29">
        <f t="shared" si="27"/>
        <v>4051.2215180708863</v>
      </c>
      <c r="AR30" s="29">
        <f t="shared" si="28"/>
        <v>3205.2162294006316</v>
      </c>
    </row>
    <row r="31" spans="2:44" x14ac:dyDescent="0.25">
      <c r="B31" s="78">
        <f t="shared" si="1"/>
        <v>2052</v>
      </c>
      <c r="C31" s="403">
        <f t="shared" si="13"/>
        <v>3569046.0342766047</v>
      </c>
      <c r="D31" s="404">
        <f t="shared" si="14"/>
        <v>2724917.8228213638</v>
      </c>
      <c r="E31" s="271">
        <f t="shared" si="2"/>
        <v>844128.21145524085</v>
      </c>
      <c r="F31" s="122">
        <f t="shared" si="7"/>
        <v>112351185.03627662</v>
      </c>
      <c r="G31" s="116">
        <f t="shared" si="8"/>
        <v>85778592.817310899</v>
      </c>
      <c r="H31" s="116">
        <f t="shared" si="3"/>
        <v>26572592.218965724</v>
      </c>
      <c r="I31" s="102">
        <f>H31*(1+0.07)^-(B31-Assumptions!$D$4)</f>
        <v>3262397.0421775803</v>
      </c>
      <c r="L31" s="253"/>
      <c r="N31" s="56"/>
      <c r="O31" s="56"/>
      <c r="R31" s="10" t="s">
        <v>100</v>
      </c>
      <c r="S31" s="268">
        <v>1.1507161866630298</v>
      </c>
      <c r="T31" s="268">
        <v>1.2044396274887603</v>
      </c>
      <c r="U31" s="268">
        <v>1.2040323231610441</v>
      </c>
      <c r="V31" s="268">
        <v>1.2445183733360075</v>
      </c>
      <c r="W31" s="268">
        <v>1.3517616028236104</v>
      </c>
      <c r="X31" s="268">
        <v>1.1064829366730806</v>
      </c>
      <c r="Y31" s="268">
        <v>0.8754191915598365</v>
      </c>
      <c r="AA31" s="10" t="s">
        <v>100</v>
      </c>
      <c r="AB31" s="29">
        <f t="shared" si="15"/>
        <v>4476.3252307422017</v>
      </c>
      <c r="AC31" s="29">
        <f t="shared" si="17"/>
        <v>4685.3112487001863</v>
      </c>
      <c r="AD31" s="29">
        <f t="shared" si="18"/>
        <v>4683.726820967373</v>
      </c>
      <c r="AE31" s="29">
        <f t="shared" si="19"/>
        <v>4841.2189376089482</v>
      </c>
      <c r="AF31" s="29">
        <f t="shared" si="20"/>
        <v>5258.3987596585102</v>
      </c>
      <c r="AG31" s="29">
        <f t="shared" si="21"/>
        <v>4304.256378958753</v>
      </c>
      <c r="AH31" s="29">
        <f t="shared" si="22"/>
        <v>3405.4105261341551</v>
      </c>
      <c r="AK31" s="10" t="s">
        <v>100</v>
      </c>
      <c r="AL31" s="29">
        <f t="shared" si="16"/>
        <v>4381.088683889664</v>
      </c>
      <c r="AM31" s="29">
        <f t="shared" si="23"/>
        <v>4585.6283969737106</v>
      </c>
      <c r="AN31" s="29">
        <f t="shared" si="24"/>
        <v>4584.0776789063557</v>
      </c>
      <c r="AO31" s="29">
        <f t="shared" si="25"/>
        <v>4738.219054801385</v>
      </c>
      <c r="AP31" s="29">
        <f t="shared" si="26"/>
        <v>5146.5231219357993</v>
      </c>
      <c r="AQ31" s="29">
        <f t="shared" si="27"/>
        <v>4212.680701774977</v>
      </c>
      <c r="AR31" s="29">
        <f t="shared" si="28"/>
        <v>3332.9583421648222</v>
      </c>
    </row>
    <row r="32" spans="2:44" x14ac:dyDescent="0.25">
      <c r="B32" s="78">
        <f t="shared" si="1"/>
        <v>2053</v>
      </c>
      <c r="C32" s="403">
        <f t="shared" si="13"/>
        <v>3569046.0342766047</v>
      </c>
      <c r="D32" s="404">
        <f t="shared" si="14"/>
        <v>2724917.8228213638</v>
      </c>
      <c r="E32" s="271">
        <f t="shared" si="2"/>
        <v>844128.21145524085</v>
      </c>
      <c r="F32" s="122">
        <f t="shared" si="7"/>
        <v>112351185.03627662</v>
      </c>
      <c r="G32" s="116">
        <f t="shared" si="8"/>
        <v>85778592.817310899</v>
      </c>
      <c r="H32" s="116">
        <f t="shared" si="3"/>
        <v>26572592.218965724</v>
      </c>
      <c r="I32" s="102">
        <f>H32*(1+0.07)^-(B32-Assumptions!$D$4)</f>
        <v>3048969.1982968044</v>
      </c>
      <c r="L32" s="28"/>
      <c r="N32" s="56"/>
      <c r="O32" s="56"/>
      <c r="R32" s="10" t="s">
        <v>233</v>
      </c>
      <c r="S32" s="268">
        <v>1.1334199693597462</v>
      </c>
      <c r="T32" s="268">
        <v>1.1863359023763649</v>
      </c>
      <c r="U32" s="268">
        <v>1.1859347201700219</v>
      </c>
      <c r="V32" s="268">
        <v>1.2258122314804989</v>
      </c>
      <c r="W32" s="268">
        <v>1.3314435064105645</v>
      </c>
      <c r="X32" s="268">
        <v>1.0898515817509158</v>
      </c>
      <c r="Y32" s="268">
        <v>0.86226091609263167</v>
      </c>
      <c r="AA32" s="10" t="s">
        <v>233</v>
      </c>
      <c r="AB32" s="29">
        <f t="shared" si="15"/>
        <v>4409.0423552526263</v>
      </c>
      <c r="AC32" s="29">
        <f t="shared" si="17"/>
        <v>4614.8871402794648</v>
      </c>
      <c r="AD32" s="29">
        <f t="shared" si="18"/>
        <v>4613.3265278076906</v>
      </c>
      <c r="AE32" s="29">
        <f t="shared" si="19"/>
        <v>4768.4514075019124</v>
      </c>
      <c r="AF32" s="29">
        <f t="shared" si="20"/>
        <v>5179.3606713197014</v>
      </c>
      <c r="AG32" s="29">
        <f t="shared" si="21"/>
        <v>4239.5598408180967</v>
      </c>
      <c r="AH32" s="29">
        <f t="shared" si="22"/>
        <v>3354.2243855813645</v>
      </c>
      <c r="AK32" s="10" t="s">
        <v>233</v>
      </c>
      <c r="AL32" s="29">
        <f t="shared" si="16"/>
        <v>4315.2372925737427</v>
      </c>
      <c r="AM32" s="29">
        <f t="shared" si="23"/>
        <v>4516.7026043713067</v>
      </c>
      <c r="AN32" s="29">
        <f t="shared" si="24"/>
        <v>4515.1751948808014</v>
      </c>
      <c r="AO32" s="29">
        <f t="shared" si="25"/>
        <v>4666.9996982369648</v>
      </c>
      <c r="AP32" s="29">
        <f t="shared" si="26"/>
        <v>5069.1666170868402</v>
      </c>
      <c r="AQ32" s="29">
        <f t="shared" si="27"/>
        <v>4149.3606219049389</v>
      </c>
      <c r="AR32" s="29">
        <f t="shared" si="28"/>
        <v>3282.8612179416491</v>
      </c>
    </row>
    <row r="33" spans="1:46" x14ac:dyDescent="0.25">
      <c r="B33" s="78">
        <f t="shared" si="1"/>
        <v>2054</v>
      </c>
      <c r="C33" s="403">
        <f t="shared" si="13"/>
        <v>3569046.0342766047</v>
      </c>
      <c r="D33" s="404">
        <f t="shared" si="14"/>
        <v>2724917.8228213638</v>
      </c>
      <c r="E33" s="271">
        <f t="shared" si="2"/>
        <v>844128.21145524085</v>
      </c>
      <c r="F33" s="122">
        <f t="shared" si="7"/>
        <v>112351185.03627662</v>
      </c>
      <c r="G33" s="116">
        <f t="shared" si="8"/>
        <v>85778592.817310899</v>
      </c>
      <c r="H33" s="116">
        <f t="shared" si="3"/>
        <v>26572592.218965724</v>
      </c>
      <c r="I33" s="102">
        <f>H33*(1+0.07)^-(B33-Assumptions!$D$4)</f>
        <v>2849503.9236418735</v>
      </c>
      <c r="R33" s="10" t="s">
        <v>234</v>
      </c>
      <c r="S33" s="268">
        <v>1.0924996503739288</v>
      </c>
      <c r="T33" s="268">
        <v>1.143505138086063</v>
      </c>
      <c r="U33" s="268">
        <v>1.1431184399229686</v>
      </c>
      <c r="V33" s="268">
        <v>1.1815562373345392</v>
      </c>
      <c r="W33" s="268">
        <v>1.2833738636772603</v>
      </c>
      <c r="X33" s="268">
        <v>1.0505042298618914</v>
      </c>
      <c r="Y33" s="268">
        <v>0.83113036193851253</v>
      </c>
      <c r="AA33" s="10" t="s">
        <v>234</v>
      </c>
      <c r="AB33" s="29">
        <f t="shared" si="15"/>
        <v>4249.8609181187512</v>
      </c>
      <c r="AC33" s="29">
        <f t="shared" si="17"/>
        <v>4448.2740057231204</v>
      </c>
      <c r="AD33" s="29">
        <f t="shared" si="18"/>
        <v>4446.7697366738066</v>
      </c>
      <c r="AE33" s="29">
        <f t="shared" si="19"/>
        <v>4596.2940801755085</v>
      </c>
      <c r="AF33" s="29">
        <f t="shared" si="20"/>
        <v>4992.3681208595899</v>
      </c>
      <c r="AG33" s="29">
        <f t="shared" si="21"/>
        <v>4086.4972993633733</v>
      </c>
      <c r="AH33" s="29">
        <f t="shared" si="22"/>
        <v>3233.1254676881754</v>
      </c>
      <c r="AK33" s="10" t="s">
        <v>234</v>
      </c>
      <c r="AL33" s="29">
        <f t="shared" si="16"/>
        <v>4159.4425375092442</v>
      </c>
      <c r="AM33" s="29">
        <f t="shared" si="23"/>
        <v>4353.6342657753748</v>
      </c>
      <c r="AN33" s="29">
        <f t="shared" si="24"/>
        <v>4352.1620009666849</v>
      </c>
      <c r="AO33" s="29">
        <f t="shared" si="25"/>
        <v>4498.5051229504106</v>
      </c>
      <c r="AP33" s="29">
        <f t="shared" si="26"/>
        <v>4886.1524470783252</v>
      </c>
      <c r="AQ33" s="29">
        <f t="shared" si="27"/>
        <v>3999.5545792855783</v>
      </c>
      <c r="AR33" s="29">
        <f t="shared" si="28"/>
        <v>3164.3387533160912</v>
      </c>
    </row>
    <row r="34" spans="1:46" x14ac:dyDescent="0.25">
      <c r="B34" s="78">
        <f t="shared" si="1"/>
        <v>2055</v>
      </c>
      <c r="C34" s="403">
        <f t="shared" si="13"/>
        <v>3569046.0342766047</v>
      </c>
      <c r="D34" s="404">
        <f t="shared" si="14"/>
        <v>2724917.8228213638</v>
      </c>
      <c r="E34" s="271">
        <f t="shared" si="2"/>
        <v>844128.21145524085</v>
      </c>
      <c r="F34" s="122">
        <f t="shared" si="7"/>
        <v>112351185.03627662</v>
      </c>
      <c r="G34" s="116">
        <f t="shared" si="8"/>
        <v>85778592.817310899</v>
      </c>
      <c r="H34" s="116">
        <f t="shared" si="3"/>
        <v>26572592.218965724</v>
      </c>
      <c r="I34" s="102">
        <f>H34*(1+0.07)^-(B34-Assumptions!$D$4)</f>
        <v>2663087.779104555</v>
      </c>
      <c r="R34" s="10" t="s">
        <v>101</v>
      </c>
      <c r="S34" s="268">
        <v>1.1689711743268061</v>
      </c>
      <c r="T34" s="268">
        <v>1.2235468850353244</v>
      </c>
      <c r="U34" s="268">
        <v>1.2231331192225228</v>
      </c>
      <c r="V34" s="268">
        <v>1.2642614410149924</v>
      </c>
      <c r="W34" s="268">
        <v>1.3732059795256282</v>
      </c>
      <c r="X34" s="268">
        <v>1.124036207056563</v>
      </c>
      <c r="Y34" s="268">
        <v>0.88930686145427029</v>
      </c>
      <c r="AA34" s="10" t="s">
        <v>101</v>
      </c>
      <c r="AB34" s="29">
        <f t="shared" si="15"/>
        <v>4547.3377556491614</v>
      </c>
      <c r="AC34" s="29">
        <f t="shared" si="17"/>
        <v>4759.6391325322584</v>
      </c>
      <c r="AD34" s="29">
        <f t="shared" si="18"/>
        <v>4758.0295694019842</v>
      </c>
      <c r="AE34" s="29">
        <f t="shared" si="19"/>
        <v>4918.0201445511875</v>
      </c>
      <c r="AF34" s="29">
        <f t="shared" si="20"/>
        <v>5341.8181167522434</v>
      </c>
      <c r="AG34" s="29">
        <f t="shared" si="21"/>
        <v>4372.5391997014422</v>
      </c>
      <c r="AH34" s="29">
        <f t="shared" si="22"/>
        <v>3459.4340358971904</v>
      </c>
      <c r="AK34" s="10" t="s">
        <v>101</v>
      </c>
      <c r="AL34" s="29">
        <f t="shared" si="16"/>
        <v>4450.5903740590193</v>
      </c>
      <c r="AM34" s="29">
        <f t="shared" si="23"/>
        <v>4658.3749097868922</v>
      </c>
      <c r="AN34" s="29">
        <f t="shared" si="24"/>
        <v>4656.7995910929731</v>
      </c>
      <c r="AO34" s="29">
        <f t="shared" si="25"/>
        <v>4813.3862692684888</v>
      </c>
      <c r="AP34" s="29">
        <f t="shared" si="26"/>
        <v>5228.1676813772747</v>
      </c>
      <c r="AQ34" s="29">
        <f t="shared" si="27"/>
        <v>4279.5107638994532</v>
      </c>
      <c r="AR34" s="29">
        <f t="shared" si="28"/>
        <v>3385.8324688393923</v>
      </c>
    </row>
    <row r="35" spans="1:46" ht="15.75" thickBot="1" x14ac:dyDescent="0.3">
      <c r="B35" s="79">
        <f t="shared" si="1"/>
        <v>2056</v>
      </c>
      <c r="C35" s="405">
        <f t="shared" si="13"/>
        <v>3569046.0342766047</v>
      </c>
      <c r="D35" s="406">
        <f t="shared" si="14"/>
        <v>2724917.8228213638</v>
      </c>
      <c r="E35" s="272">
        <f t="shared" si="2"/>
        <v>844128.21145524085</v>
      </c>
      <c r="F35" s="123">
        <f t="shared" si="7"/>
        <v>112351185.03627662</v>
      </c>
      <c r="G35" s="124">
        <f t="shared" si="8"/>
        <v>85778592.817310899</v>
      </c>
      <c r="H35" s="124">
        <f t="shared" si="3"/>
        <v>26572592.218965724</v>
      </c>
      <c r="I35" s="103">
        <f>H35*(1+0.07)^-(B35-Assumptions!$D$4)</f>
        <v>2488867.0832752846</v>
      </c>
      <c r="R35" s="10" t="s">
        <v>235</v>
      </c>
      <c r="S35" s="268">
        <v>1.1449635645000753</v>
      </c>
      <c r="T35" s="268">
        <v>1.1984184328837508</v>
      </c>
      <c r="U35" s="268">
        <v>1.1980131647383097</v>
      </c>
      <c r="V35" s="268">
        <v>1.2382968183951508</v>
      </c>
      <c r="W35" s="268">
        <v>1.3450039210897813</v>
      </c>
      <c r="X35" s="268">
        <v>1.1009514439051766</v>
      </c>
      <c r="Y35" s="268">
        <v>0.87104282499646468</v>
      </c>
      <c r="AA35" s="10" t="s">
        <v>235</v>
      </c>
      <c r="AB35" s="29">
        <f t="shared" si="15"/>
        <v>4453.9473342379088</v>
      </c>
      <c r="AC35" s="29">
        <f t="shared" si="17"/>
        <v>4661.8885962320974</v>
      </c>
      <c r="AD35" s="29">
        <f t="shared" si="18"/>
        <v>4660.312089317812</v>
      </c>
      <c r="AE35" s="29">
        <f t="shared" si="19"/>
        <v>4817.0168765977387</v>
      </c>
      <c r="AF35" s="29">
        <f t="shared" si="20"/>
        <v>5232.1111471289723</v>
      </c>
      <c r="AG35" s="29">
        <f t="shared" si="21"/>
        <v>4282.7386833465616</v>
      </c>
      <c r="AH35" s="29">
        <f t="shared" si="22"/>
        <v>3388.3863108726955</v>
      </c>
      <c r="AK35" s="10" t="s">
        <v>235</v>
      </c>
      <c r="AL35" s="29">
        <f t="shared" si="16"/>
        <v>4359.1868907690705</v>
      </c>
      <c r="AM35" s="29">
        <f t="shared" si="23"/>
        <v>4562.7040757090535</v>
      </c>
      <c r="AN35" s="29">
        <f t="shared" si="24"/>
        <v>4561.1611099399852</v>
      </c>
      <c r="AO35" s="29">
        <f t="shared" si="25"/>
        <v>4714.5319073852806</v>
      </c>
      <c r="AP35" s="29">
        <f t="shared" si="26"/>
        <v>5120.794794380713</v>
      </c>
      <c r="AQ35" s="29">
        <f t="shared" si="27"/>
        <v>4191.6208082483563</v>
      </c>
      <c r="AR35" s="29">
        <f t="shared" si="28"/>
        <v>3316.2963274564499</v>
      </c>
    </row>
    <row r="36" spans="1:46" ht="15" customHeight="1" thickBot="1" x14ac:dyDescent="0.3">
      <c r="B36" s="4"/>
      <c r="C36" s="58"/>
      <c r="D36" s="58"/>
      <c r="E36" s="58"/>
      <c r="F36" s="58"/>
      <c r="G36" s="58"/>
      <c r="H36" s="73" t="s">
        <v>2</v>
      </c>
      <c r="I36" s="99">
        <f>SUM(I6:I35)</f>
        <v>145348085.9899289</v>
      </c>
      <c r="R36" s="10" t="s">
        <v>102</v>
      </c>
      <c r="S36" s="268">
        <v>1.1807448743536533</v>
      </c>
      <c r="T36" s="268">
        <v>1.2358702633269107</v>
      </c>
      <c r="U36" s="268">
        <v>1.2354523301277198</v>
      </c>
      <c r="V36" s="268">
        <v>1.2769948901272787</v>
      </c>
      <c r="W36" s="268">
        <v>1.3870367014741982</v>
      </c>
      <c r="X36" s="268">
        <v>1.13535732892154</v>
      </c>
      <c r="Y36" s="268">
        <v>0.89826382502063817</v>
      </c>
      <c r="AA36" s="10" t="s">
        <v>102</v>
      </c>
      <c r="AB36" s="29">
        <f t="shared" si="15"/>
        <v>4593.1378504946151</v>
      </c>
      <c r="AC36" s="29">
        <f t="shared" si="17"/>
        <v>4807.5774945836147</v>
      </c>
      <c r="AD36" s="29">
        <f t="shared" si="18"/>
        <v>4805.9517201780873</v>
      </c>
      <c r="AE36" s="29">
        <f t="shared" si="19"/>
        <v>4967.5536960874624</v>
      </c>
      <c r="AF36" s="29">
        <f t="shared" si="20"/>
        <v>5395.6200970626969</v>
      </c>
      <c r="AG36" s="29">
        <f t="shared" si="21"/>
        <v>4416.5787500543938</v>
      </c>
      <c r="AH36" s="29">
        <f t="shared" si="22"/>
        <v>3494.2769297989794</v>
      </c>
      <c r="AK36" s="10" t="s">
        <v>102</v>
      </c>
      <c r="AL36" s="29">
        <f t="shared" si="16"/>
        <v>4495.4160439791704</v>
      </c>
      <c r="AM36" s="29">
        <f t="shared" si="23"/>
        <v>4705.2933539752248</v>
      </c>
      <c r="AN36" s="29">
        <f t="shared" si="24"/>
        <v>4703.7021689108115</v>
      </c>
      <c r="AO36" s="29">
        <f t="shared" si="25"/>
        <v>4861.8659643134488</v>
      </c>
      <c r="AP36" s="29">
        <f t="shared" si="26"/>
        <v>5280.824991773351</v>
      </c>
      <c r="AQ36" s="29">
        <f t="shared" si="27"/>
        <v>4322.6133459839357</v>
      </c>
      <c r="AR36" s="29">
        <f t="shared" si="28"/>
        <v>3419.9340589425283</v>
      </c>
    </row>
    <row r="37" spans="1:46" ht="15" customHeight="1" x14ac:dyDescent="0.25">
      <c r="H37" s="15"/>
      <c r="I37" s="15"/>
      <c r="R37" s="10" t="s">
        <v>103</v>
      </c>
      <c r="S37" s="268">
        <v>1.133074812029969</v>
      </c>
      <c r="T37" s="268">
        <v>1.1859746307000643</v>
      </c>
      <c r="U37" s="268">
        <v>1.1855735706646577</v>
      </c>
      <c r="V37" s="268">
        <v>1.2254389381840474</v>
      </c>
      <c r="W37" s="268">
        <v>1.3310380455065347</v>
      </c>
      <c r="X37" s="268">
        <v>1.0895196921848416</v>
      </c>
      <c r="Y37" s="268">
        <v>0.86199833409882931</v>
      </c>
      <c r="AA37" s="10" t="s">
        <v>103</v>
      </c>
      <c r="AB37" s="29">
        <f t="shared" si="15"/>
        <v>4407.699681462369</v>
      </c>
      <c r="AC37" s="29">
        <f t="shared" si="17"/>
        <v>4613.4817811313787</v>
      </c>
      <c r="AD37" s="29">
        <f t="shared" si="18"/>
        <v>4611.9216439087168</v>
      </c>
      <c r="AE37" s="29">
        <f t="shared" si="19"/>
        <v>4766.999283841239</v>
      </c>
      <c r="AF37" s="29">
        <f t="shared" si="20"/>
        <v>5177.783414567929</v>
      </c>
      <c r="AG37" s="29">
        <f t="shared" si="21"/>
        <v>4238.2687790813652</v>
      </c>
      <c r="AH37" s="29">
        <f t="shared" si="22"/>
        <v>3353.2029326656771</v>
      </c>
      <c r="AK37" s="10" t="s">
        <v>103</v>
      </c>
      <c r="AL37" s="29">
        <f t="shared" si="16"/>
        <v>4313.9231849865073</v>
      </c>
      <c r="AM37" s="29">
        <f t="shared" si="23"/>
        <v>4515.3271450954271</v>
      </c>
      <c r="AN37" s="29">
        <f t="shared" si="24"/>
        <v>4513.8002007428195</v>
      </c>
      <c r="AO37" s="29">
        <f t="shared" si="25"/>
        <v>4665.5784693919986</v>
      </c>
      <c r="AP37" s="29">
        <f t="shared" si="26"/>
        <v>5067.6229174335349</v>
      </c>
      <c r="AQ37" s="29">
        <f t="shared" si="27"/>
        <v>4148.0970282933413</v>
      </c>
      <c r="AR37" s="29">
        <f t="shared" si="28"/>
        <v>3281.8614970591466</v>
      </c>
    </row>
    <row r="38" spans="1:46" ht="15" customHeight="1" x14ac:dyDescent="0.25">
      <c r="B38" s="10" t="s">
        <v>3</v>
      </c>
      <c r="R38" s="10" t="s">
        <v>104</v>
      </c>
      <c r="S38" s="268">
        <v>1.0623559102400464</v>
      </c>
      <c r="T38" s="268">
        <v>1.1119540783558124</v>
      </c>
      <c r="U38" s="268">
        <v>1.1115780497878383</v>
      </c>
      <c r="V38" s="268">
        <v>1.1489552894444506</v>
      </c>
      <c r="W38" s="268">
        <v>1.2479636113919956</v>
      </c>
      <c r="X38" s="268">
        <v>1.0215192077580739</v>
      </c>
      <c r="Y38" s="268">
        <v>0.80819820114644336</v>
      </c>
      <c r="AA38" s="10" t="s">
        <v>104</v>
      </c>
      <c r="AB38" s="29">
        <f t="shared" si="15"/>
        <v>4132.6007404362526</v>
      </c>
      <c r="AC38" s="29">
        <f t="shared" si="17"/>
        <v>4325.5393067903306</v>
      </c>
      <c r="AD38" s="29">
        <f t="shared" si="18"/>
        <v>4324.076542830102</v>
      </c>
      <c r="AE38" s="29">
        <f t="shared" si="19"/>
        <v>4469.4752804767695</v>
      </c>
      <c r="AF38" s="29">
        <f t="shared" si="20"/>
        <v>4854.6210312048124</v>
      </c>
      <c r="AG38" s="29">
        <f t="shared" si="21"/>
        <v>3973.7445743554881</v>
      </c>
      <c r="AH38" s="29">
        <f t="shared" si="22"/>
        <v>3143.9185797181217</v>
      </c>
      <c r="AK38" s="10" t="s">
        <v>104</v>
      </c>
      <c r="AL38" s="29">
        <f t="shared" si="16"/>
        <v>4044.6771415573271</v>
      </c>
      <c r="AM38" s="29">
        <f t="shared" si="23"/>
        <v>4233.5108223485677</v>
      </c>
      <c r="AN38" s="29">
        <f t="shared" si="24"/>
        <v>4232.0791795829018</v>
      </c>
      <c r="AO38" s="29">
        <f t="shared" si="25"/>
        <v>4374.384470490023</v>
      </c>
      <c r="AP38" s="29">
        <f t="shared" si="26"/>
        <v>4751.3360106896707</v>
      </c>
      <c r="AQ38" s="29">
        <f t="shared" si="27"/>
        <v>3889.2007372060871</v>
      </c>
      <c r="AR38" s="29">
        <f t="shared" si="28"/>
        <v>3077.0297962442178</v>
      </c>
    </row>
    <row r="39" spans="1:46" ht="15" customHeight="1" x14ac:dyDescent="0.25">
      <c r="A39" s="11" t="s">
        <v>30</v>
      </c>
      <c r="B39" s="489" t="str">
        <f>Assumptions!C41</f>
        <v>User travel time benefits were valued in accordance with the Benefit-Cost Analysis Guidance for Discretionary Grant Programs - January 2023 (Revised). The recommended values for travel time were provided in year 2021 dollars.</v>
      </c>
      <c r="C39" s="489"/>
      <c r="D39" s="489"/>
      <c r="E39" s="489"/>
      <c r="F39" s="489"/>
      <c r="G39" s="489"/>
      <c r="H39" s="489"/>
      <c r="I39" s="489"/>
      <c r="AH39" s="97">
        <f>SUM(AB27:AH38)</f>
        <v>360904.13027648896</v>
      </c>
      <c r="AI39" s="97">
        <f>AH39*365/COUNT(AB27:AH38)</f>
        <v>1568214.3756061723</v>
      </c>
      <c r="AR39" s="97">
        <f>SUM(AL27:AR38)</f>
        <v>353225.67499439773</v>
      </c>
      <c r="AS39" s="97">
        <f>AR39*365/COUNT(AL27:AR38)</f>
        <v>1534849.6592018474</v>
      </c>
      <c r="AT39" s="97">
        <f>AI39-AS39</f>
        <v>33364.716404324863</v>
      </c>
    </row>
    <row r="40" spans="1:46" x14ac:dyDescent="0.25">
      <c r="B40" s="489"/>
      <c r="C40" s="489"/>
      <c r="D40" s="489"/>
      <c r="E40" s="489"/>
      <c r="F40" s="489"/>
      <c r="G40" s="489"/>
      <c r="H40" s="489"/>
      <c r="I40" s="489"/>
      <c r="AB40" t="s">
        <v>240</v>
      </c>
      <c r="AL40" t="s">
        <v>239</v>
      </c>
    </row>
    <row r="41" spans="1:46" ht="15" customHeight="1" x14ac:dyDescent="0.25">
      <c r="B41" s="489"/>
      <c r="C41" s="489"/>
      <c r="D41" s="489"/>
      <c r="E41" s="489"/>
      <c r="F41" s="489"/>
      <c r="G41" s="489"/>
      <c r="H41" s="489"/>
      <c r="I41" s="489"/>
      <c r="AB41" s="10" t="s">
        <v>226</v>
      </c>
      <c r="AC41" s="10" t="s">
        <v>227</v>
      </c>
      <c r="AD41" s="10" t="s">
        <v>228</v>
      </c>
      <c r="AE41" s="10" t="s">
        <v>229</v>
      </c>
      <c r="AF41" s="10" t="s">
        <v>230</v>
      </c>
      <c r="AG41" s="10" t="s">
        <v>231</v>
      </c>
      <c r="AH41" s="10" t="s">
        <v>232</v>
      </c>
      <c r="AL41" s="10" t="s">
        <v>226</v>
      </c>
      <c r="AM41" s="10" t="s">
        <v>227</v>
      </c>
      <c r="AN41" s="10" t="s">
        <v>228</v>
      </c>
      <c r="AO41" s="10" t="s">
        <v>229</v>
      </c>
      <c r="AP41" s="10" t="s">
        <v>230</v>
      </c>
      <c r="AQ41" s="10" t="s">
        <v>231</v>
      </c>
      <c r="AR41" s="10" t="s">
        <v>232</v>
      </c>
    </row>
    <row r="42" spans="1:46" x14ac:dyDescent="0.25">
      <c r="B42" s="72"/>
      <c r="C42" s="72"/>
      <c r="D42" s="72"/>
      <c r="E42" s="72"/>
      <c r="F42" s="72"/>
      <c r="G42" s="72"/>
      <c r="H42" s="72"/>
      <c r="I42" s="72"/>
      <c r="AA42" s="10" t="s">
        <v>96</v>
      </c>
      <c r="AB42" s="29">
        <f>$AC$43*S27</f>
        <v>8408.7335180342416</v>
      </c>
      <c r="AC42" s="29">
        <f t="shared" ref="AC42:AH42" si="29">$AC$43*T27</f>
        <v>8801.3117252509746</v>
      </c>
      <c r="AD42" s="29">
        <f t="shared" si="29"/>
        <v>8798.3353931265101</v>
      </c>
      <c r="AE42" s="29">
        <f t="shared" si="29"/>
        <v>9094.1828062981822</v>
      </c>
      <c r="AF42" s="29">
        <f t="shared" si="29"/>
        <v>9877.8510546694197</v>
      </c>
      <c r="AG42" s="29">
        <f t="shared" si="29"/>
        <v>8085.503849317508</v>
      </c>
      <c r="AH42" s="29">
        <f t="shared" si="29"/>
        <v>6397.0306351093714</v>
      </c>
      <c r="AK42" s="10" t="s">
        <v>96</v>
      </c>
      <c r="AL42" s="29">
        <f>$AM$43*S27</f>
        <v>6419.9530100179745</v>
      </c>
      <c r="AM42" s="29">
        <f t="shared" ref="AM42:AR42" si="30">$AM$43*T27</f>
        <v>6719.6811007801762</v>
      </c>
      <c r="AN42" s="29">
        <f t="shared" si="30"/>
        <v>6717.4087119192027</v>
      </c>
      <c r="AO42" s="29">
        <f t="shared" si="30"/>
        <v>6943.2841646998168</v>
      </c>
      <c r="AP42" s="29">
        <f t="shared" si="30"/>
        <v>7541.6041517937338</v>
      </c>
      <c r="AQ42" s="29">
        <f t="shared" si="30"/>
        <v>6173.1715797164206</v>
      </c>
      <c r="AR42" s="29">
        <f t="shared" si="30"/>
        <v>4884.0453788870291</v>
      </c>
    </row>
    <row r="43" spans="1:46" ht="15" customHeight="1" x14ac:dyDescent="0.25">
      <c r="A43" s="11" t="s">
        <v>43</v>
      </c>
      <c r="B43" s="489" t="str">
        <f>Assumptions!C33</f>
        <v>Truck percentage in the project area is estimated based on year 2022 AADT ATR data MnDOT ATR 212 and HCAADT counts performed by MnDOT (https://mndot.maps.arcgis.com/apps/webappviewer/index.html?id=7b3be07daed84e7fa170a91059ce63bb).</v>
      </c>
      <c r="C43" s="489"/>
      <c r="D43" s="489"/>
      <c r="E43" s="489"/>
      <c r="F43" s="489"/>
      <c r="G43" s="489"/>
      <c r="H43" s="489"/>
      <c r="I43" s="489"/>
      <c r="AA43" s="10" t="s">
        <v>97</v>
      </c>
      <c r="AB43" s="29">
        <f t="shared" ref="AB43:AB53" si="31">$AC$43*S28</f>
        <v>8458.3045062290639</v>
      </c>
      <c r="AC43" s="279">
        <v>8853.1970321994795</v>
      </c>
      <c r="AD43" s="29">
        <f t="shared" ref="AD43:AH43" si="32">$AC$43*U28</f>
        <v>8850.2031540647513</v>
      </c>
      <c r="AE43" s="29">
        <f t="shared" si="32"/>
        <v>9147.7946406565588</v>
      </c>
      <c r="AF43" s="29">
        <f t="shared" si="32"/>
        <v>9936.082753530025</v>
      </c>
      <c r="AG43" s="29">
        <f t="shared" si="32"/>
        <v>8133.1693407977773</v>
      </c>
      <c r="AH43" s="29">
        <f t="shared" si="32"/>
        <v>6434.7422749674824</v>
      </c>
      <c r="AK43" s="10" t="s">
        <v>97</v>
      </c>
      <c r="AL43" s="29">
        <f t="shared" ref="AL43:AL53" si="33">$AM$43*S28</f>
        <v>6457.7997813763941</v>
      </c>
      <c r="AM43" s="279">
        <v>6759.2948228472806</v>
      </c>
      <c r="AN43" s="29">
        <f t="shared" ref="AN43:AR43" si="34">$AM$43*U28</f>
        <v>6757.0090378475006</v>
      </c>
      <c r="AO43" s="29">
        <f t="shared" si="34"/>
        <v>6984.216066825561</v>
      </c>
      <c r="AP43" s="29">
        <f t="shared" si="34"/>
        <v>7586.0632572674431</v>
      </c>
      <c r="AQ43" s="29">
        <f t="shared" si="34"/>
        <v>6209.5635304003663</v>
      </c>
      <c r="AR43" s="29">
        <f t="shared" si="34"/>
        <v>4912.8377000255859</v>
      </c>
    </row>
    <row r="44" spans="1:46" x14ac:dyDescent="0.25">
      <c r="B44" s="489"/>
      <c r="C44" s="489"/>
      <c r="D44" s="489"/>
      <c r="E44" s="489"/>
      <c r="F44" s="489"/>
      <c r="G44" s="489"/>
      <c r="H44" s="489"/>
      <c r="I44" s="489"/>
      <c r="AA44" s="10" t="s">
        <v>98</v>
      </c>
      <c r="AB44" s="29">
        <f t="shared" si="31"/>
        <v>9217.1480583895482</v>
      </c>
      <c r="AC44" s="29">
        <f t="shared" ref="AC44:AH44" si="35">$AC$43*T29</f>
        <v>9647.468683089246</v>
      </c>
      <c r="AD44" s="29">
        <f t="shared" si="35"/>
        <v>9644.2062067837123</v>
      </c>
      <c r="AE44" s="29">
        <f t="shared" si="35"/>
        <v>9968.4963515536147</v>
      </c>
      <c r="AF44" s="29">
        <f t="shared" si="35"/>
        <v>10827.506362800241</v>
      </c>
      <c r="AG44" s="29">
        <f t="shared" si="35"/>
        <v>8862.8431316087535</v>
      </c>
      <c r="AH44" s="29">
        <f t="shared" si="35"/>
        <v>7012.0403234803407</v>
      </c>
      <c r="AK44" s="10" t="s">
        <v>98</v>
      </c>
      <c r="AL44" s="29">
        <f t="shared" si="33"/>
        <v>7037.1664525138476</v>
      </c>
      <c r="AM44" s="29">
        <f t="shared" ref="AM44:AR44" si="36">$AM$43*T29</f>
        <v>7365.7103627101451</v>
      </c>
      <c r="AN44" s="29">
        <f t="shared" si="36"/>
        <v>7363.2195066813629</v>
      </c>
      <c r="AO44" s="29">
        <f t="shared" si="36"/>
        <v>7610.8105959422574</v>
      </c>
      <c r="AP44" s="29">
        <f t="shared" si="36"/>
        <v>8266.6529883204603</v>
      </c>
      <c r="AQ44" s="29">
        <f t="shared" si="36"/>
        <v>6766.6594877881644</v>
      </c>
      <c r="AR44" s="29">
        <f t="shared" si="36"/>
        <v>5353.5968626603481</v>
      </c>
    </row>
    <row r="45" spans="1:46" x14ac:dyDescent="0.25">
      <c r="B45" s="28"/>
      <c r="C45" s="28"/>
      <c r="D45" s="28"/>
      <c r="E45" s="28"/>
      <c r="F45" s="28"/>
      <c r="G45" s="28"/>
      <c r="AA45" s="10" t="s">
        <v>99</v>
      </c>
      <c r="AB45" s="29">
        <f t="shared" si="31"/>
        <v>9797.0607148057024</v>
      </c>
      <c r="AC45" s="29">
        <f t="shared" ref="AC45:AH45" si="37">$AC$43*T30</f>
        <v>10254.455698623795</v>
      </c>
      <c r="AD45" s="29">
        <f t="shared" si="37"/>
        <v>10250.987958033815</v>
      </c>
      <c r="AE45" s="29">
        <f t="shared" si="37"/>
        <v>10595.681372677625</v>
      </c>
      <c r="AF45" s="29">
        <f t="shared" si="37"/>
        <v>11508.737470018819</v>
      </c>
      <c r="AG45" s="29">
        <f t="shared" si="37"/>
        <v>9420.4640867340986</v>
      </c>
      <c r="AH45" s="29">
        <f t="shared" si="37"/>
        <v>7453.214850039607</v>
      </c>
      <c r="AK45" s="10" t="s">
        <v>99</v>
      </c>
      <c r="AL45" s="29">
        <f t="shared" si="33"/>
        <v>7479.9218325150869</v>
      </c>
      <c r="AM45" s="29">
        <f t="shared" ref="AM45:AR45" si="38">$AM$43*T30</f>
        <v>7829.1366455225698</v>
      </c>
      <c r="AN45" s="29">
        <f t="shared" si="38"/>
        <v>7826.4890730206171</v>
      </c>
      <c r="AO45" s="29">
        <f t="shared" si="38"/>
        <v>8089.6577797146583</v>
      </c>
      <c r="AP45" s="29">
        <f t="shared" si="38"/>
        <v>8786.7636194786464</v>
      </c>
      <c r="AQ45" s="29">
        <f t="shared" si="38"/>
        <v>7192.3954588030892</v>
      </c>
      <c r="AR45" s="29">
        <f t="shared" si="38"/>
        <v>5690.4275784456595</v>
      </c>
    </row>
    <row r="46" spans="1:46" ht="15" customHeight="1" x14ac:dyDescent="0.25">
      <c r="A46" s="11" t="s">
        <v>44</v>
      </c>
      <c r="B46" s="489" t="s">
        <v>1126</v>
      </c>
      <c r="C46" s="489"/>
      <c r="D46" s="489"/>
      <c r="E46" s="489"/>
      <c r="F46" s="489"/>
      <c r="G46" s="489"/>
      <c r="H46" s="489"/>
      <c r="I46" s="489"/>
      <c r="AA46" s="10" t="s">
        <v>100</v>
      </c>
      <c r="AB46" s="29">
        <f t="shared" si="31"/>
        <v>10187.517128669038</v>
      </c>
      <c r="AC46" s="29">
        <f t="shared" ref="AC46:AH46" si="39">$AC$43*T31</f>
        <v>10663.141335546939</v>
      </c>
      <c r="AD46" s="29">
        <f t="shared" si="39"/>
        <v>10659.535390081601</v>
      </c>
      <c r="AE46" s="29">
        <f t="shared" si="39"/>
        <v>11017.966369336065</v>
      </c>
      <c r="AF46" s="29">
        <f t="shared" si="39"/>
        <v>11967.411810359199</v>
      </c>
      <c r="AG46" s="29">
        <f t="shared" si="39"/>
        <v>9795.9114511334828</v>
      </c>
      <c r="AH46" s="29">
        <f t="shared" si="39"/>
        <v>7750.2585886480119</v>
      </c>
      <c r="AK46" s="10" t="s">
        <v>100</v>
      </c>
      <c r="AL46" s="29">
        <f t="shared" si="33"/>
        <v>7778.0299630779818</v>
      </c>
      <c r="AM46" s="29">
        <f t="shared" ref="AM46:AR46" si="40">$AM$43*T31</f>
        <v>8141.1625385168845</v>
      </c>
      <c r="AN46" s="29">
        <f t="shared" si="40"/>
        <v>8138.4094484832294</v>
      </c>
      <c r="AO46" s="29">
        <f t="shared" si="40"/>
        <v>8412.0665978283942</v>
      </c>
      <c r="AP46" s="29">
        <f t="shared" si="40"/>
        <v>9136.955203689371</v>
      </c>
      <c r="AQ46" s="29">
        <f t="shared" si="40"/>
        <v>7479.044385423209</v>
      </c>
      <c r="AR46" s="29">
        <f t="shared" si="40"/>
        <v>5917.216409331555</v>
      </c>
    </row>
    <row r="47" spans="1:46" x14ac:dyDescent="0.25">
      <c r="A47" s="11"/>
      <c r="B47" s="489"/>
      <c r="C47" s="489"/>
      <c r="D47" s="489"/>
      <c r="E47" s="489"/>
      <c r="F47" s="489"/>
      <c r="G47" s="489"/>
      <c r="H47" s="489"/>
      <c r="I47" s="489"/>
      <c r="AA47" s="10" t="s">
        <v>233</v>
      </c>
      <c r="AB47" s="29">
        <f t="shared" si="31"/>
        <v>10034.390308971329</v>
      </c>
      <c r="AC47" s="29">
        <f t="shared" ref="AC47:AH47" si="41">$AC$43*T32</f>
        <v>10502.865490110125</v>
      </c>
      <c r="AD47" s="29">
        <f t="shared" si="41"/>
        <v>10499.313744991558</v>
      </c>
      <c r="AE47" s="29">
        <f t="shared" si="41"/>
        <v>10852.357209776974</v>
      </c>
      <c r="AF47" s="29">
        <f t="shared" si="41"/>
        <v>11787.531699495279</v>
      </c>
      <c r="AG47" s="29">
        <f t="shared" si="41"/>
        <v>9648.6707890951166</v>
      </c>
      <c r="AH47" s="29">
        <f t="shared" si="41"/>
        <v>7633.7657833328913</v>
      </c>
      <c r="AK47" s="10" t="s">
        <v>233</v>
      </c>
      <c r="AL47" s="29">
        <f t="shared" si="33"/>
        <v>7661.1197310050557</v>
      </c>
      <c r="AM47" s="29">
        <f t="shared" ref="AM47:AR47" si="42">$AM$43*T32</f>
        <v>8018.7941230904198</v>
      </c>
      <c r="AN47" s="29">
        <f t="shared" si="42"/>
        <v>8016.0824142800675</v>
      </c>
      <c r="AO47" s="29">
        <f t="shared" si="42"/>
        <v>8285.6262700290081</v>
      </c>
      <c r="AP47" s="29">
        <f t="shared" si="42"/>
        <v>8999.6191997945589</v>
      </c>
      <c r="AQ47" s="29">
        <f t="shared" si="42"/>
        <v>7366.6281542008846</v>
      </c>
      <c r="AR47" s="29">
        <f t="shared" si="42"/>
        <v>5828.2757460884786</v>
      </c>
    </row>
    <row r="48" spans="1:46" x14ac:dyDescent="0.25">
      <c r="A48" s="11"/>
      <c r="B48" s="489"/>
      <c r="C48" s="489"/>
      <c r="D48" s="489"/>
      <c r="E48" s="489"/>
      <c r="F48" s="489"/>
      <c r="G48" s="489"/>
      <c r="H48" s="489"/>
      <c r="I48" s="489"/>
      <c r="AA48" s="10" t="s">
        <v>234</v>
      </c>
      <c r="AB48" s="29">
        <f t="shared" si="31"/>
        <v>9672.1146623694349</v>
      </c>
      <c r="AC48" s="29">
        <f t="shared" ref="AC48:AH48" si="43">$AC$43*T33</f>
        <v>10123.676294808389</v>
      </c>
      <c r="AD48" s="29">
        <f t="shared" si="43"/>
        <v>10120.252779778524</v>
      </c>
      <c r="AE48" s="29">
        <f t="shared" si="43"/>
        <v>10460.550173746926</v>
      </c>
      <c r="AF48" s="29">
        <f t="shared" si="43"/>
        <v>11361.9616811099</v>
      </c>
      <c r="AG48" s="29">
        <f t="shared" si="43"/>
        <v>9300.3209301262959</v>
      </c>
      <c r="AH48" s="29">
        <f t="shared" si="43"/>
        <v>7358.160853684918</v>
      </c>
      <c r="AK48" s="10" t="s">
        <v>234</v>
      </c>
      <c r="AL48" s="29">
        <f t="shared" si="33"/>
        <v>7384.5272307349614</v>
      </c>
      <c r="AM48" s="29">
        <f t="shared" ref="AM48:AR48" si="44">$AM$43*T33</f>
        <v>7729.2883597643904</v>
      </c>
      <c r="AN48" s="29">
        <f t="shared" si="44"/>
        <v>7726.6745528725814</v>
      </c>
      <c r="AO48" s="29">
        <f t="shared" si="44"/>
        <v>7986.4869579182632</v>
      </c>
      <c r="AP48" s="29">
        <f t="shared" si="44"/>
        <v>8674.7023125312171</v>
      </c>
      <c r="AQ48" s="29">
        <f t="shared" si="44"/>
        <v>7100.6678022846518</v>
      </c>
      <c r="AR48" s="29">
        <f t="shared" si="44"/>
        <v>5617.8551525621742</v>
      </c>
    </row>
    <row r="49" spans="1:46" x14ac:dyDescent="0.25">
      <c r="A49" s="11"/>
      <c r="B49" s="489"/>
      <c r="C49" s="489"/>
      <c r="D49" s="489"/>
      <c r="E49" s="489"/>
      <c r="F49" s="489"/>
      <c r="G49" s="489"/>
      <c r="H49" s="489"/>
      <c r="I49" s="489"/>
      <c r="AA49" s="10" t="s">
        <v>101</v>
      </c>
      <c r="AB49" s="29">
        <f t="shared" si="31"/>
        <v>10349.13213127682</v>
      </c>
      <c r="AC49" s="29">
        <f t="shared" ref="AC49:AH49" si="45">$AC$43*T34</f>
        <v>10832.301651351652</v>
      </c>
      <c r="AD49" s="29">
        <f t="shared" si="45"/>
        <v>10828.63850108573</v>
      </c>
      <c r="AE49" s="29">
        <f t="shared" si="45"/>
        <v>11192.755637518168</v>
      </c>
      <c r="AF49" s="29">
        <f t="shared" si="45"/>
        <v>12157.263102534871</v>
      </c>
      <c r="AG49" s="29">
        <f t="shared" si="45"/>
        <v>9951.3140123979229</v>
      </c>
      <c r="AH49" s="29">
        <f t="shared" si="45"/>
        <v>7873.2088665415795</v>
      </c>
      <c r="AK49" s="10" t="s">
        <v>101</v>
      </c>
      <c r="AL49" s="29">
        <f t="shared" si="33"/>
        <v>7901.420806684886</v>
      </c>
      <c r="AM49" s="29">
        <f t="shared" ref="AM49:AR49" si="46">$AM$43*T34</f>
        <v>8270.3141255301853</v>
      </c>
      <c r="AN49" s="29">
        <f t="shared" si="46"/>
        <v>8267.5173604138436</v>
      </c>
      <c r="AO49" s="29">
        <f t="shared" si="46"/>
        <v>8545.5158129780812</v>
      </c>
      <c r="AP49" s="29">
        <f t="shared" si="46"/>
        <v>9281.9040681105071</v>
      </c>
      <c r="AQ49" s="29">
        <f t="shared" si="46"/>
        <v>7597.6921150503204</v>
      </c>
      <c r="AR49" s="29">
        <f t="shared" si="46"/>
        <v>6011.0872645504132</v>
      </c>
    </row>
    <row r="50" spans="1:46" x14ac:dyDescent="0.25">
      <c r="A50" s="11"/>
      <c r="B50" s="72"/>
      <c r="C50" s="72"/>
      <c r="D50" s="72"/>
      <c r="E50" s="72"/>
      <c r="F50" s="72"/>
      <c r="G50" s="72"/>
      <c r="H50" s="72"/>
      <c r="AA50" s="10" t="s">
        <v>235</v>
      </c>
      <c r="AB50" s="29">
        <f t="shared" si="31"/>
        <v>10136.588031208605</v>
      </c>
      <c r="AC50" s="29">
        <f t="shared" ref="AC50:AH50" si="47">$AC$43*T35</f>
        <v>10609.834513339574</v>
      </c>
      <c r="AD50" s="29">
        <f t="shared" si="47"/>
        <v>10606.246594597109</v>
      </c>
      <c r="AE50" s="29">
        <f t="shared" si="47"/>
        <v>10962.885717598007</v>
      </c>
      <c r="AF50" s="29">
        <f t="shared" si="47"/>
        <v>11907.584722488715</v>
      </c>
      <c r="AG50" s="29">
        <f t="shared" si="47"/>
        <v>9746.9400557770423</v>
      </c>
      <c r="AH50" s="29">
        <f t="shared" si="47"/>
        <v>7711.5137531773516</v>
      </c>
      <c r="AK50" s="10" t="s">
        <v>235</v>
      </c>
      <c r="AL50" s="29">
        <f t="shared" si="33"/>
        <v>7739.146293874127</v>
      </c>
      <c r="AM50" s="29">
        <f t="shared" ref="AM50:AR50" si="48">$AM$43*T35</f>
        <v>8100.4635089958883</v>
      </c>
      <c r="AN50" s="29">
        <f t="shared" si="48"/>
        <v>8097.7241821185426</v>
      </c>
      <c r="AO50" s="29">
        <f t="shared" si="48"/>
        <v>8370.0132737266013</v>
      </c>
      <c r="AP50" s="29">
        <f t="shared" si="48"/>
        <v>9091.2780405314516</v>
      </c>
      <c r="AQ50" s="29">
        <f t="shared" si="48"/>
        <v>7441.6553949944982</v>
      </c>
      <c r="AR50" s="29">
        <f t="shared" si="48"/>
        <v>5887.6352574768734</v>
      </c>
    </row>
    <row r="51" spans="1:46" ht="15" customHeight="1" x14ac:dyDescent="0.25">
      <c r="A51" s="11" t="s">
        <v>45</v>
      </c>
      <c r="B51" s="489" t="s">
        <v>1127</v>
      </c>
      <c r="C51" s="489"/>
      <c r="D51" s="489"/>
      <c r="E51" s="489"/>
      <c r="F51" s="489"/>
      <c r="G51" s="489"/>
      <c r="H51" s="489"/>
      <c r="I51" s="489"/>
      <c r="AA51" s="10" t="s">
        <v>102</v>
      </c>
      <c r="AB51" s="29">
        <f t="shared" si="31"/>
        <v>10453.367017412511</v>
      </c>
      <c r="AC51" s="29">
        <f t="shared" ref="AC51:AH51" si="49">$AC$43*T36</f>
        <v>10941.402947469396</v>
      </c>
      <c r="AD51" s="29">
        <f t="shared" si="49"/>
        <v>10937.70290251066</v>
      </c>
      <c r="AE51" s="29">
        <f t="shared" si="49"/>
        <v>11305.487371408724</v>
      </c>
      <c r="AF51" s="29">
        <f t="shared" si="49"/>
        <v>12279.709209043127</v>
      </c>
      <c r="AG51" s="29">
        <f t="shared" si="49"/>
        <v>10051.542134894105</v>
      </c>
      <c r="AH51" s="29">
        <f t="shared" si="49"/>
        <v>7952.5066298048669</v>
      </c>
      <c r="AK51" s="10" t="s">
        <v>102</v>
      </c>
      <c r="AL51" s="29">
        <f t="shared" si="33"/>
        <v>7981.0027163221112</v>
      </c>
      <c r="AM51" s="29">
        <f t="shared" ref="AM51:AR51" si="50">$AM$43*T36</f>
        <v>8353.6114726164924</v>
      </c>
      <c r="AN51" s="29">
        <f t="shared" si="50"/>
        <v>8350.7865389069066</v>
      </c>
      <c r="AO51" s="29">
        <f t="shared" si="50"/>
        <v>8631.5849496397477</v>
      </c>
      <c r="AP51" s="29">
        <f t="shared" si="50"/>
        <v>9375.3899953737164</v>
      </c>
      <c r="AQ51" s="29">
        <f t="shared" si="50"/>
        <v>7674.2149154610825</v>
      </c>
      <c r="AR51" s="29">
        <f t="shared" si="50"/>
        <v>6071.6300220129951</v>
      </c>
    </row>
    <row r="52" spans="1:46" x14ac:dyDescent="0.25">
      <c r="B52" s="489"/>
      <c r="C52" s="489"/>
      <c r="D52" s="489"/>
      <c r="E52" s="489"/>
      <c r="F52" s="489"/>
      <c r="G52" s="489"/>
      <c r="H52" s="489"/>
      <c r="I52" s="489"/>
      <c r="AA52" s="10" t="s">
        <v>103</v>
      </c>
      <c r="AB52" s="29">
        <f t="shared" si="31"/>
        <v>10031.334563123704</v>
      </c>
      <c r="AC52" s="29">
        <f t="shared" ref="AC52:AH52" si="51">$AC$43*T37</f>
        <v>10499.667080777683</v>
      </c>
      <c r="AD52" s="29">
        <f t="shared" si="51"/>
        <v>10496.116417262489</v>
      </c>
      <c r="AE52" s="29">
        <f t="shared" si="51"/>
        <v>10849.052370672689</v>
      </c>
      <c r="AF52" s="29">
        <f t="shared" si="51"/>
        <v>11783.942074223049</v>
      </c>
      <c r="AG52" s="29">
        <f t="shared" si="51"/>
        <v>9645.7325053737295</v>
      </c>
      <c r="AH52" s="29">
        <f t="shared" si="51"/>
        <v>7631.4410932046512</v>
      </c>
      <c r="AK52" s="10" t="s">
        <v>103</v>
      </c>
      <c r="AL52" s="29">
        <f t="shared" si="33"/>
        <v>7658.7867108528244</v>
      </c>
      <c r="AM52" s="29">
        <f t="shared" ref="AM52:AR52" si="52">$AM$43*T37</f>
        <v>8016.3521813191601</v>
      </c>
      <c r="AN52" s="29">
        <f t="shared" si="52"/>
        <v>8013.6412982981856</v>
      </c>
      <c r="AO52" s="29">
        <f t="shared" si="52"/>
        <v>8283.1030705828998</v>
      </c>
      <c r="AP52" s="29">
        <f t="shared" si="52"/>
        <v>8996.878570005083</v>
      </c>
      <c r="AQ52" s="29">
        <f t="shared" si="52"/>
        <v>7364.3848147751623</v>
      </c>
      <c r="AR52" s="29">
        <f t="shared" si="52"/>
        <v>5826.5008769771975</v>
      </c>
    </row>
    <row r="53" spans="1:46" x14ac:dyDescent="0.25">
      <c r="B53" s="489"/>
      <c r="C53" s="489"/>
      <c r="D53" s="489"/>
      <c r="E53" s="489"/>
      <c r="F53" s="489"/>
      <c r="G53" s="489"/>
      <c r="H53" s="489"/>
      <c r="I53" s="489"/>
      <c r="AA53" s="10" t="s">
        <v>104</v>
      </c>
      <c r="AB53" s="29">
        <f t="shared" si="31"/>
        <v>9405.2461916767552</v>
      </c>
      <c r="AC53" s="29">
        <f t="shared" ref="AC53:AH53" si="53">$AC$43*T38</f>
        <v>9844.3485464417863</v>
      </c>
      <c r="AD53" s="29">
        <f t="shared" si="53"/>
        <v>9841.0194914397744</v>
      </c>
      <c r="AE53" s="29">
        <f t="shared" si="53"/>
        <v>10171.927558639503</v>
      </c>
      <c r="AF53" s="29">
        <f t="shared" si="53"/>
        <v>11048.467740668561</v>
      </c>
      <c r="AG53" s="29">
        <f t="shared" si="53"/>
        <v>9043.7108184585431</v>
      </c>
      <c r="AH53" s="29">
        <f t="shared" si="53"/>
        <v>7155.1379158186501</v>
      </c>
      <c r="AK53" s="10" t="s">
        <v>104</v>
      </c>
      <c r="AL53" s="29">
        <f t="shared" si="33"/>
        <v>7180.7768041067557</v>
      </c>
      <c r="AM53" s="29">
        <f t="shared" ref="AM53:AR53" si="54">$AM$43*T38</f>
        <v>7516.0254450743623</v>
      </c>
      <c r="AN53" s="29">
        <f t="shared" si="54"/>
        <v>7513.4837571216121</v>
      </c>
      <c r="AO53" s="29">
        <f t="shared" si="54"/>
        <v>7766.1275396248739</v>
      </c>
      <c r="AP53" s="29">
        <f t="shared" si="54"/>
        <v>8435.3539775837107</v>
      </c>
      <c r="AQ53" s="29">
        <f t="shared" si="54"/>
        <v>6904.7494924382045</v>
      </c>
      <c r="AR53" s="29">
        <f t="shared" si="54"/>
        <v>5462.8499168436401</v>
      </c>
    </row>
    <row r="54" spans="1:46" x14ac:dyDescent="0.25">
      <c r="B54" s="489"/>
      <c r="C54" s="489"/>
      <c r="D54" s="489"/>
      <c r="E54" s="489"/>
      <c r="F54" s="489"/>
      <c r="G54" s="489"/>
      <c r="H54" s="489"/>
      <c r="I54" s="489"/>
      <c r="AH54" s="97">
        <f>SUM(AB42:AH53)</f>
        <v>821369.49829928076</v>
      </c>
      <c r="AI54" s="97">
        <f>AH54*365/COUNT(AB42:AH53)</f>
        <v>3569046.0342766368</v>
      </c>
      <c r="AR54" s="97">
        <f>SUM(AL42:AR53)</f>
        <v>627104.37566300167</v>
      </c>
      <c r="AS54" s="97">
        <f>AR54*365/COUNT(AL42:AR53)</f>
        <v>2724917.8228213764</v>
      </c>
      <c r="AT54" s="97">
        <f>AI54-AS54</f>
        <v>844128.2114552604</v>
      </c>
    </row>
    <row r="55" spans="1:46" x14ac:dyDescent="0.25">
      <c r="B55" s="489"/>
      <c r="C55" s="489"/>
      <c r="D55" s="489"/>
      <c r="E55" s="489"/>
      <c r="F55" s="489"/>
      <c r="G55" s="489"/>
      <c r="H55" s="489"/>
      <c r="I55" s="489"/>
    </row>
    <row r="56" spans="1:46" ht="15" customHeight="1" x14ac:dyDescent="0.25">
      <c r="B56" s="489"/>
      <c r="C56" s="489"/>
      <c r="D56" s="489"/>
      <c r="E56" s="489"/>
      <c r="F56" s="489"/>
      <c r="G56" s="489"/>
      <c r="H56" s="489"/>
      <c r="I56" s="489"/>
    </row>
    <row r="57" spans="1:46" ht="15" customHeight="1" x14ac:dyDescent="0.25">
      <c r="B57" s="489"/>
      <c r="C57" s="489"/>
      <c r="D57" s="489"/>
      <c r="E57" s="489"/>
      <c r="F57" s="489"/>
      <c r="G57" s="489"/>
      <c r="H57" s="489"/>
      <c r="I57" s="489"/>
    </row>
    <row r="58" spans="1:46" ht="15" customHeight="1" x14ac:dyDescent="0.25">
      <c r="B58" s="489"/>
      <c r="C58" s="489"/>
      <c r="D58" s="489"/>
      <c r="E58" s="489"/>
      <c r="F58" s="489"/>
      <c r="G58" s="489"/>
      <c r="H58" s="489"/>
      <c r="I58" s="489"/>
    </row>
    <row r="59" spans="1:46" x14ac:dyDescent="0.25">
      <c r="B59" s="489"/>
      <c r="C59" s="489"/>
      <c r="D59" s="489"/>
      <c r="E59" s="489"/>
      <c r="F59" s="489"/>
      <c r="G59" s="489"/>
      <c r="H59" s="489"/>
      <c r="I59" s="489"/>
    </row>
    <row r="60" spans="1:46" x14ac:dyDescent="0.25">
      <c r="B60" s="489"/>
      <c r="C60" s="489"/>
      <c r="D60" s="489"/>
      <c r="E60" s="489"/>
      <c r="F60" s="489"/>
      <c r="G60" s="489"/>
      <c r="H60" s="489"/>
      <c r="I60" s="489"/>
    </row>
    <row r="61" spans="1:46" x14ac:dyDescent="0.25">
      <c r="B61" s="28"/>
      <c r="C61" s="28"/>
      <c r="D61" s="28"/>
      <c r="E61" s="28"/>
      <c r="F61" s="28"/>
      <c r="G61" s="28"/>
      <c r="H61" s="28"/>
      <c r="I61" s="28"/>
    </row>
    <row r="62" spans="1:46" ht="15" customHeight="1" x14ac:dyDescent="0.25">
      <c r="A62" s="11" t="s">
        <v>46</v>
      </c>
      <c r="B62" s="489" t="s">
        <v>1128</v>
      </c>
      <c r="C62" s="489"/>
      <c r="D62" s="489"/>
      <c r="E62" s="489"/>
      <c r="F62" s="489"/>
      <c r="G62" s="489"/>
      <c r="H62" s="489"/>
      <c r="I62" s="489"/>
    </row>
    <row r="63" spans="1:46" ht="15" customHeight="1" x14ac:dyDescent="0.25">
      <c r="A63" s="11"/>
      <c r="B63" s="489"/>
      <c r="C63" s="489"/>
      <c r="D63" s="489"/>
      <c r="E63" s="489"/>
      <c r="F63" s="489"/>
      <c r="G63" s="489"/>
      <c r="H63" s="489"/>
      <c r="I63" s="489"/>
    </row>
    <row r="64" spans="1:46" ht="15" customHeight="1" x14ac:dyDescent="0.25">
      <c r="A64" s="11"/>
      <c r="B64" s="489"/>
      <c r="C64" s="489"/>
      <c r="D64" s="489"/>
      <c r="E64" s="489"/>
      <c r="F64" s="489"/>
      <c r="G64" s="489"/>
      <c r="H64" s="489"/>
      <c r="I64" s="489"/>
    </row>
    <row r="65" spans="2:9" x14ac:dyDescent="0.25">
      <c r="B65" s="489"/>
      <c r="C65" s="489"/>
      <c r="D65" s="489"/>
      <c r="E65" s="489"/>
      <c r="F65" s="489"/>
      <c r="G65" s="489"/>
      <c r="H65" s="489"/>
      <c r="I65" s="489"/>
    </row>
    <row r="66" spans="2:9" x14ac:dyDescent="0.25">
      <c r="B66" s="28"/>
      <c r="C66" s="28"/>
      <c r="D66" s="28"/>
      <c r="E66" s="28"/>
      <c r="F66" s="28"/>
      <c r="G66" s="28"/>
      <c r="H66" s="28"/>
      <c r="I66" s="28"/>
    </row>
    <row r="67" spans="2:9" x14ac:dyDescent="0.25">
      <c r="B67" s="28"/>
      <c r="C67" s="28"/>
      <c r="D67" s="28"/>
      <c r="E67" s="28"/>
      <c r="F67" s="28"/>
      <c r="G67" s="28"/>
      <c r="H67" s="28"/>
      <c r="I67" s="28"/>
    </row>
    <row r="68" spans="2:9" x14ac:dyDescent="0.25">
      <c r="B68" s="28"/>
      <c r="C68" s="28"/>
      <c r="D68" s="28"/>
      <c r="E68" s="28"/>
      <c r="F68" s="28"/>
      <c r="G68" s="28"/>
      <c r="H68" s="28"/>
      <c r="I68" s="28"/>
    </row>
    <row r="69" spans="2:9" x14ac:dyDescent="0.25">
      <c r="B69" s="28"/>
      <c r="C69" s="28"/>
      <c r="D69" s="28"/>
      <c r="E69" s="28"/>
      <c r="F69" s="28"/>
      <c r="G69" s="28"/>
      <c r="H69" s="28"/>
      <c r="I69" s="28"/>
    </row>
    <row r="70" spans="2:9" x14ac:dyDescent="0.25">
      <c r="B70" s="28"/>
      <c r="C70" s="28"/>
      <c r="D70" s="28"/>
      <c r="E70" s="28"/>
      <c r="F70" s="28"/>
      <c r="G70" s="28"/>
      <c r="H70" s="28"/>
    </row>
    <row r="71" spans="2:9" x14ac:dyDescent="0.25">
      <c r="B71" s="28"/>
      <c r="C71" s="28"/>
      <c r="D71" s="28"/>
      <c r="E71" s="28"/>
      <c r="F71" s="28"/>
      <c r="G71" s="28"/>
      <c r="H71" s="28"/>
    </row>
    <row r="72" spans="2:9" x14ac:dyDescent="0.25">
      <c r="B72" s="28"/>
      <c r="C72" s="28"/>
      <c r="D72" s="28"/>
      <c r="E72" s="28"/>
      <c r="F72" s="28"/>
      <c r="G72" s="28"/>
      <c r="H72" s="28"/>
    </row>
    <row r="73" spans="2:9" x14ac:dyDescent="0.25">
      <c r="B73" s="28"/>
      <c r="C73" s="28"/>
      <c r="D73" s="28"/>
      <c r="E73" s="28"/>
      <c r="F73" s="28"/>
      <c r="G73" s="28"/>
      <c r="H73" s="28"/>
    </row>
  </sheetData>
  <mergeCells count="18">
    <mergeCell ref="B62:I65"/>
    <mergeCell ref="B46:I49"/>
    <mergeCell ref="B51:I60"/>
    <mergeCell ref="B4:B5"/>
    <mergeCell ref="C4:C5"/>
    <mergeCell ref="D4:D5"/>
    <mergeCell ref="F4:F5"/>
    <mergeCell ref="G4:G5"/>
    <mergeCell ref="H4:H5"/>
    <mergeCell ref="I4:I5"/>
    <mergeCell ref="E4:E5"/>
    <mergeCell ref="M20:N20"/>
    <mergeCell ref="O20:P20"/>
    <mergeCell ref="B39:I41"/>
    <mergeCell ref="B43:I44"/>
    <mergeCell ref="L5:M5"/>
    <mergeCell ref="L9:M9"/>
    <mergeCell ref="L13:M13"/>
  </mergeCells>
  <conditionalFormatting sqref="S27:Y38">
    <cfRule type="colorScale" priority="1">
      <colorScale>
        <cfvo type="min"/>
        <cfvo type="num" val="1"/>
        <cfvo type="max"/>
        <color rgb="FF5A8AC6"/>
        <color rgb="FFFCFCFF"/>
        <color rgb="FFF8696B"/>
      </colorScale>
    </cfRule>
  </conditionalFormatting>
  <pageMargins left="0.25" right="0.25" top="0.75" bottom="0.75" header="0.3" footer="0.3"/>
  <pageSetup scale="2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C101A-3A0A-4F5F-B629-2EDE05E711A5}">
  <sheetPr>
    <tabColor rgb="FF00B050"/>
    <pageSetUpPr fitToPage="1"/>
  </sheetPr>
  <dimension ref="A1:H78"/>
  <sheetViews>
    <sheetView view="pageBreakPreview" zoomScale="85" zoomScaleNormal="100" zoomScaleSheetLayoutView="85" workbookViewId="0">
      <selection activeCell="B56" sqref="B56"/>
    </sheetView>
  </sheetViews>
  <sheetFormatPr defaultRowHeight="15" x14ac:dyDescent="0.25"/>
  <cols>
    <col min="2" max="2" width="26.140625" bestFit="1" customWidth="1"/>
    <col min="3" max="3" width="11.42578125" bestFit="1" customWidth="1"/>
    <col min="4" max="4" width="21.7109375" bestFit="1" customWidth="1"/>
    <col min="5" max="5" width="21.42578125" bestFit="1" customWidth="1"/>
    <col min="6" max="6" width="15.5703125" bestFit="1" customWidth="1"/>
    <col min="7" max="7" width="17" bestFit="1" customWidth="1"/>
    <col min="8" max="8" width="15.7109375" customWidth="1"/>
    <col min="9" max="11" width="18.85546875" customWidth="1"/>
    <col min="12" max="12" width="19.42578125" customWidth="1"/>
    <col min="13" max="17" width="10.28515625" customWidth="1"/>
  </cols>
  <sheetData>
    <row r="1" spans="2:8" x14ac:dyDescent="0.25">
      <c r="B1" s="357">
        <v>1</v>
      </c>
      <c r="C1" s="357">
        <v>2</v>
      </c>
      <c r="D1" s="357">
        <v>3</v>
      </c>
      <c r="E1" s="357">
        <v>4</v>
      </c>
      <c r="F1" s="357">
        <v>5</v>
      </c>
      <c r="G1" s="357">
        <v>6</v>
      </c>
      <c r="H1" s="15"/>
    </row>
    <row r="2" spans="2:8" x14ac:dyDescent="0.25">
      <c r="B2" s="10" t="s">
        <v>79</v>
      </c>
      <c r="C2" s="10"/>
      <c r="D2" s="10"/>
      <c r="E2" s="10"/>
    </row>
    <row r="3" spans="2:8" ht="15.75" thickBot="1" x14ac:dyDescent="0.3"/>
    <row r="4" spans="2:8" ht="35.1" customHeight="1" x14ac:dyDescent="0.25">
      <c r="B4" s="501" t="s">
        <v>0</v>
      </c>
      <c r="C4" s="501" t="s">
        <v>176</v>
      </c>
      <c r="D4" s="501" t="s">
        <v>162</v>
      </c>
      <c r="E4" s="501" t="s">
        <v>163</v>
      </c>
      <c r="F4" s="503" t="s">
        <v>80</v>
      </c>
      <c r="G4" s="499" t="s">
        <v>1</v>
      </c>
      <c r="H4" s="114"/>
    </row>
    <row r="5" spans="2:8" ht="35.1" customHeight="1" thickBot="1" x14ac:dyDescent="0.3">
      <c r="B5" s="502"/>
      <c r="C5" s="502"/>
      <c r="D5" s="502"/>
      <c r="E5" s="502"/>
      <c r="F5" s="504"/>
      <c r="G5" s="500"/>
      <c r="H5" s="114"/>
    </row>
    <row r="6" spans="2:8" ht="16.5" customHeight="1" x14ac:dyDescent="0.25">
      <c r="B6" s="1">
        <f>Assumptions!D8</f>
        <v>2027</v>
      </c>
      <c r="C6" s="115">
        <f>'Air Quality'!F5</f>
        <v>1435356.8591356277</v>
      </c>
      <c r="D6" s="112">
        <f>1*C6*Assumptions!$D$24*Assumptions!$D$14</f>
        <v>605462.23032059055</v>
      </c>
      <c r="E6" s="112">
        <f>1*C6*Assumptions!$D$25*Assumptions!$D$15</f>
        <v>120325.96550133963</v>
      </c>
      <c r="F6" s="112">
        <f>SUM(D6:E6)</f>
        <v>725788.19582193019</v>
      </c>
      <c r="G6" s="125">
        <f>F6*(1+0.07)^-(B6-Assumptions!$D$4)</f>
        <v>483623.32042375946</v>
      </c>
      <c r="H6" s="37"/>
    </row>
    <row r="7" spans="2:8" x14ac:dyDescent="0.25">
      <c r="B7" s="2">
        <f t="shared" ref="B7:B35" si="0">+B6+1</f>
        <v>2028</v>
      </c>
      <c r="C7" s="115">
        <f>'Air Quality'!F6</f>
        <v>1676735.2518467903</v>
      </c>
      <c r="D7" s="95">
        <f>1*C7*Assumptions!$D$24*Assumptions!$D$14</f>
        <v>707280.46393401315</v>
      </c>
      <c r="E7" s="95">
        <f>1*C7*Assumptions!$D$25*Assumptions!$D$15</f>
        <v>140560.71616231638</v>
      </c>
      <c r="F7" s="95">
        <f t="shared" ref="F7:F35" si="1">SUM(D7:E7)</f>
        <v>847841.18009632954</v>
      </c>
      <c r="G7" s="96">
        <f>F7*(1+0.07)^-(B7-Assumptions!$D$4)</f>
        <v>527992.87606411637</v>
      </c>
      <c r="H7" s="37"/>
    </row>
    <row r="8" spans="2:8" x14ac:dyDescent="0.25">
      <c r="B8" s="2">
        <f t="shared" si="0"/>
        <v>2029</v>
      </c>
      <c r="C8" s="115">
        <f>'Air Quality'!F7</f>
        <v>1918113.6445581913</v>
      </c>
      <c r="D8" s="95">
        <f>1*C8*Assumptions!$D$24*Assumptions!$D$14</f>
        <v>809098.69754753634</v>
      </c>
      <c r="E8" s="95">
        <f>1*C8*Assumptions!$D$25*Assumptions!$D$15</f>
        <v>160795.46682331309</v>
      </c>
      <c r="F8" s="95">
        <f t="shared" si="1"/>
        <v>969894.1643708495</v>
      </c>
      <c r="G8" s="96">
        <f>F8*(1+0.07)^-(B8-Assumptions!$D$4)</f>
        <v>564487.23412833433</v>
      </c>
      <c r="H8" s="37"/>
    </row>
    <row r="9" spans="2:8" x14ac:dyDescent="0.25">
      <c r="B9" s="2">
        <f t="shared" si="0"/>
        <v>2030</v>
      </c>
      <c r="C9" s="115">
        <f>'Air Quality'!F8</f>
        <v>2159492.0372695923</v>
      </c>
      <c r="D9" s="95">
        <f>1*C9*Assumptions!$D$24*Assumptions!$D$14</f>
        <v>910916.93116105942</v>
      </c>
      <c r="E9" s="95">
        <f>1*C9*Assumptions!$D$25*Assumptions!$D$15</f>
        <v>181030.21748430986</v>
      </c>
      <c r="F9" s="95">
        <f t="shared" si="1"/>
        <v>1091947.1486453693</v>
      </c>
      <c r="G9" s="96">
        <f>F9*(1+0.07)^-(B9-Assumptions!$D$4)</f>
        <v>593946.89926676475</v>
      </c>
      <c r="H9" s="37"/>
    </row>
    <row r="10" spans="2:8" ht="15" customHeight="1" x14ac:dyDescent="0.25">
      <c r="B10" s="2">
        <f t="shared" si="0"/>
        <v>2031</v>
      </c>
      <c r="C10" s="115">
        <f>'Air Quality'!F9</f>
        <v>2400870.4299811125</v>
      </c>
      <c r="D10" s="95">
        <f>1*C10*Assumptions!$D$24*Assumptions!$D$14</f>
        <v>1012735.164774633</v>
      </c>
      <c r="E10" s="95">
        <f>1*C10*Assumptions!$D$25*Assumptions!$D$15</f>
        <v>201264.96814531658</v>
      </c>
      <c r="F10" s="95">
        <f t="shared" si="1"/>
        <v>1214000.1329199495</v>
      </c>
      <c r="G10" s="96">
        <f>F10*(1+0.07)^-(B10-Assumptions!$D$4)</f>
        <v>617136.10822130961</v>
      </c>
      <c r="H10" s="37"/>
    </row>
    <row r="11" spans="2:8" x14ac:dyDescent="0.25">
      <c r="B11" s="2">
        <f t="shared" si="0"/>
        <v>2032</v>
      </c>
      <c r="C11" s="115">
        <f>'Air Quality'!F10</f>
        <v>2642248.822692275</v>
      </c>
      <c r="D11" s="95">
        <f>1*C11*Assumptions!$D$24*Assumptions!$D$14</f>
        <v>1114553.3983880554</v>
      </c>
      <c r="E11" s="95">
        <f>1*C11*Assumptions!$D$25*Assumptions!$D$15</f>
        <v>221499.71880629333</v>
      </c>
      <c r="F11" s="95">
        <f t="shared" ref="F11:F26" si="2">SUM(D11:E11)</f>
        <v>1336053.1171943487</v>
      </c>
      <c r="G11" s="96">
        <f>F11*(1+0.07)^-(B11-Assumptions!$D$4)</f>
        <v>634749.21157021518</v>
      </c>
      <c r="H11" s="37"/>
    </row>
    <row r="12" spans="2:8" x14ac:dyDescent="0.25">
      <c r="B12" s="2">
        <f t="shared" si="0"/>
        <v>2033</v>
      </c>
      <c r="C12" s="115">
        <f>'Air Quality'!F11</f>
        <v>2883627.215403676</v>
      </c>
      <c r="D12" s="95">
        <f>1*C12*Assumptions!$D$24*Assumptions!$D$14</f>
        <v>1216371.6320015788</v>
      </c>
      <c r="E12" s="95">
        <f>1*C12*Assumptions!$D$25*Assumptions!$D$15</f>
        <v>241734.46946729007</v>
      </c>
      <c r="F12" s="95">
        <f t="shared" si="2"/>
        <v>1458106.1014688688</v>
      </c>
      <c r="G12" s="96">
        <f>F12*(1+0.07)^-(B12-Assumptions!$D$4)</f>
        <v>647416.54689406278</v>
      </c>
      <c r="H12" s="37"/>
    </row>
    <row r="13" spans="2:8" x14ac:dyDescent="0.25">
      <c r="B13" s="2">
        <f t="shared" si="0"/>
        <v>2034</v>
      </c>
      <c r="C13" s="115">
        <f>'Air Quality'!F12</f>
        <v>3125005.608115077</v>
      </c>
      <c r="D13" s="95">
        <f>1*C13*Assumptions!$D$24*Assumptions!$D$14</f>
        <v>1318189.8656151018</v>
      </c>
      <c r="E13" s="95">
        <f>1*C13*Assumptions!$D$25*Assumptions!$D$15</f>
        <v>261969.22012828678</v>
      </c>
      <c r="F13" s="95">
        <f t="shared" si="2"/>
        <v>1580159.0857433886</v>
      </c>
      <c r="G13" s="96">
        <f>F13*(1+0.07)^-(B13-Assumptions!$D$4)</f>
        <v>655709.84259156161</v>
      </c>
      <c r="H13" s="37"/>
    </row>
    <row r="14" spans="2:8" ht="15" customHeight="1" x14ac:dyDescent="0.25">
      <c r="B14" s="2">
        <f t="shared" si="0"/>
        <v>2035</v>
      </c>
      <c r="C14" s="115">
        <f>'Air Quality'!F13</f>
        <v>3366384.000826478</v>
      </c>
      <c r="D14" s="95">
        <f>1*C14*Assumptions!$D$24*Assumptions!$D$14</f>
        <v>1420008.0992286252</v>
      </c>
      <c r="E14" s="95">
        <f>1*C14*Assumptions!$D$25*Assumptions!$D$15</f>
        <v>282203.97078928351</v>
      </c>
      <c r="F14" s="95">
        <f t="shared" si="2"/>
        <v>1702212.0700179087</v>
      </c>
      <c r="G14" s="96">
        <f>F14*(1+0.07)^-(B14-Assumptions!$D$4)</f>
        <v>660147.18862073484</v>
      </c>
      <c r="H14" s="37"/>
    </row>
    <row r="15" spans="2:8" x14ac:dyDescent="0.25">
      <c r="B15" s="2">
        <f t="shared" si="0"/>
        <v>2036</v>
      </c>
      <c r="C15" s="115">
        <f>'Air Quality'!F14</f>
        <v>3607762.3935377598</v>
      </c>
      <c r="D15" s="95">
        <f>1*C15*Assumptions!$D$24*Assumptions!$D$14</f>
        <v>1521826.3328420981</v>
      </c>
      <c r="E15" s="95">
        <f>1*C15*Assumptions!$D$25*Assumptions!$D$15</f>
        <v>302438.72145027027</v>
      </c>
      <c r="F15" s="95">
        <f t="shared" si="2"/>
        <v>1824265.0542923682</v>
      </c>
      <c r="G15" s="96">
        <f>F15*(1+0.07)^-(B15-Assumptions!$D$4)</f>
        <v>661197.60770092206</v>
      </c>
      <c r="H15" s="37"/>
    </row>
    <row r="16" spans="2:8" x14ac:dyDescent="0.25">
      <c r="B16" s="2">
        <f t="shared" si="0"/>
        <v>2037</v>
      </c>
      <c r="C16" s="115">
        <f>'Air Quality'!F15</f>
        <v>3849140.7862491608</v>
      </c>
      <c r="D16" s="95">
        <f>1*C16*Assumptions!$D$24*Assumptions!$D$14</f>
        <v>1623644.566455621</v>
      </c>
      <c r="E16" s="95">
        <f>1*C16*Assumptions!$D$25*Assumptions!$D$15</f>
        <v>322673.47211126698</v>
      </c>
      <c r="F16" s="95">
        <f t="shared" si="2"/>
        <v>1946318.0385668881</v>
      </c>
      <c r="G16" s="96">
        <f>F16*(1+0.07)^-(B16-Assumptions!$D$4)</f>
        <v>659285.25797821814</v>
      </c>
      <c r="H16" s="37"/>
    </row>
    <row r="17" spans="2:8" x14ac:dyDescent="0.25">
      <c r="B17" s="2">
        <f t="shared" si="0"/>
        <v>2038</v>
      </c>
      <c r="C17" s="115">
        <f>'Air Quality'!F16</f>
        <v>4090519.1789605618</v>
      </c>
      <c r="D17" s="95">
        <f>1*C17*Assumptions!$D$24*Assumptions!$D$14</f>
        <v>1725462.8000691442</v>
      </c>
      <c r="E17" s="95">
        <f>1*C17*Assumptions!$D$25*Assumptions!$D$15</f>
        <v>342908.22277226375</v>
      </c>
      <c r="F17" s="95">
        <f t="shared" si="2"/>
        <v>2068371.0228414079</v>
      </c>
      <c r="G17" s="96">
        <f>F17*(1+0.07)^-(B17-Assumptions!$D$4)</f>
        <v>654793.29580964684</v>
      </c>
      <c r="H17" s="37"/>
    </row>
    <row r="18" spans="2:8" x14ac:dyDescent="0.25">
      <c r="B18" s="2">
        <f t="shared" si="0"/>
        <v>2039</v>
      </c>
      <c r="C18" s="115">
        <f>'Air Quality'!F17</f>
        <v>4331897.5716717243</v>
      </c>
      <c r="D18" s="95">
        <f>1*C18*Assumptions!$D$24*Assumptions!$D$14</f>
        <v>1827281.0336825668</v>
      </c>
      <c r="E18" s="95">
        <f>1*C18*Assumptions!$D$25*Assumptions!$D$15</f>
        <v>363142.97343324049</v>
      </c>
      <c r="F18" s="95">
        <f t="shared" si="2"/>
        <v>2190424.0071158074</v>
      </c>
      <c r="G18" s="96">
        <f>F18*(1+0.07)^-(B18-Assumptions!$D$4)</f>
        <v>648067.42515013122</v>
      </c>
      <c r="H18" s="37"/>
    </row>
    <row r="19" spans="2:8" x14ac:dyDescent="0.25">
      <c r="B19" s="2">
        <f t="shared" si="0"/>
        <v>2040</v>
      </c>
      <c r="C19" s="115">
        <f>'Air Quality'!F18</f>
        <v>4573275.9643831253</v>
      </c>
      <c r="D19" s="95">
        <f>1*C19*Assumptions!$D$24*Assumptions!$D$14</f>
        <v>1929099.2672960903</v>
      </c>
      <c r="E19" s="95">
        <f>1*C19*Assumptions!$D$25*Assumptions!$D$15</f>
        <v>383377.7240942372</v>
      </c>
      <c r="F19" s="95">
        <f t="shared" si="2"/>
        <v>2312476.9913903275</v>
      </c>
      <c r="G19" s="96">
        <f>F19*(1+0.07)^-(B19-Assumptions!$D$4)</f>
        <v>639419.15801526082</v>
      </c>
      <c r="H19" s="37"/>
    </row>
    <row r="20" spans="2:8" x14ac:dyDescent="0.25">
      <c r="B20" s="2">
        <f t="shared" si="0"/>
        <v>2041</v>
      </c>
      <c r="C20" s="115">
        <f>'Air Quality'!F19</f>
        <v>4814654.3570946455</v>
      </c>
      <c r="D20" s="95">
        <f>1*C20*Assumptions!$D$24*Assumptions!$D$14</f>
        <v>2030917.5009096635</v>
      </c>
      <c r="E20" s="95">
        <f>1*C20*Assumptions!$D$25*Assumptions!$D$15</f>
        <v>403612.47475524398</v>
      </c>
      <c r="F20" s="95">
        <f t="shared" si="2"/>
        <v>2434529.9756649076</v>
      </c>
      <c r="G20" s="96">
        <f>F20*(1+0.07)^-(B20-Assumptions!$D$4)</f>
        <v>629128.80863179744</v>
      </c>
      <c r="H20" s="37"/>
    </row>
    <row r="21" spans="2:8" x14ac:dyDescent="0.25">
      <c r="B21" s="2">
        <f t="shared" si="0"/>
        <v>2042</v>
      </c>
      <c r="C21" s="115">
        <f>'Air Quality'!F20</f>
        <v>5056032.7498060465</v>
      </c>
      <c r="D21" s="95">
        <f>1*C21*Assumptions!$D$24*Assumptions!$D$14</f>
        <v>2132735.7345231869</v>
      </c>
      <c r="E21" s="95">
        <f>1*C21*Assumptions!$D$25*Assumptions!$D$15</f>
        <v>423847.22541624069</v>
      </c>
      <c r="F21" s="95">
        <f t="shared" si="2"/>
        <v>2556582.9599394277</v>
      </c>
      <c r="G21" s="96">
        <f>F21*(1+0.07)^-(B21-Assumptions!$D$4)</f>
        <v>617448.24216679973</v>
      </c>
      <c r="H21" s="37"/>
    </row>
    <row r="22" spans="2:8" x14ac:dyDescent="0.25">
      <c r="B22" s="2">
        <f t="shared" si="0"/>
        <v>2043</v>
      </c>
      <c r="C22" s="115">
        <f>'Air Quality'!F21</f>
        <v>5297411.1425172091</v>
      </c>
      <c r="D22" s="95">
        <f>1*C22*Assumptions!$D$24*Assumptions!$D$14</f>
        <v>2234553.9681366091</v>
      </c>
      <c r="E22" s="95">
        <f>1*C22*Assumptions!$D$25*Assumptions!$D$15</f>
        <v>444081.97607721749</v>
      </c>
      <c r="F22" s="95">
        <f t="shared" si="2"/>
        <v>2678635.9442138267</v>
      </c>
      <c r="G22" s="96">
        <f>F22*(1+0.07)^-(B22-Assumptions!$D$4)</f>
        <v>604603.39733175188</v>
      </c>
      <c r="H22" s="37"/>
    </row>
    <row r="23" spans="2:8" x14ac:dyDescent="0.25">
      <c r="B23" s="2">
        <f t="shared" si="0"/>
        <v>2044</v>
      </c>
      <c r="C23" s="115">
        <f>'Air Quality'!F22</f>
        <v>5538789.53522861</v>
      </c>
      <c r="D23" s="95">
        <f>1*C23*Assumptions!$D$24*Assumptions!$D$14</f>
        <v>2336372.2017501327</v>
      </c>
      <c r="E23" s="95">
        <f>1*C23*Assumptions!$D$25*Assumptions!$D$15</f>
        <v>464316.7267382142</v>
      </c>
      <c r="F23" s="95">
        <f t="shared" si="2"/>
        <v>2800688.9284883467</v>
      </c>
      <c r="G23" s="96">
        <f>F23*(1+0.07)^-(B23-Assumptions!$D$4)</f>
        <v>590796.60068405839</v>
      </c>
      <c r="H23" s="37"/>
    </row>
    <row r="24" spans="2:8" x14ac:dyDescent="0.25">
      <c r="B24" s="2">
        <f t="shared" si="0"/>
        <v>2045</v>
      </c>
      <c r="C24" s="115">
        <f>'Air Quality'!F23</f>
        <v>5780167.927940011</v>
      </c>
      <c r="D24" s="95">
        <f>1*C24*Assumptions!$D$24*Assumptions!$D$14</f>
        <v>2438190.4353636559</v>
      </c>
      <c r="E24" s="95">
        <f>1*C24*Assumptions!$D$25*Assumptions!$D$15</f>
        <v>484551.47739921091</v>
      </c>
      <c r="F24" s="95">
        <f t="shared" si="2"/>
        <v>2922741.9127628668</v>
      </c>
      <c r="G24" s="96">
        <f>F24*(1+0.07)^-(B24-Assumptions!$D$4)</f>
        <v>576208.68908387912</v>
      </c>
      <c r="H24" s="37"/>
    </row>
    <row r="25" spans="2:8" x14ac:dyDescent="0.25">
      <c r="B25" s="2">
        <f t="shared" si="0"/>
        <v>2046</v>
      </c>
      <c r="C25" s="407">
        <f>'Air Quality'!F24</f>
        <v>5780167.927940011</v>
      </c>
      <c r="D25" s="95">
        <f>1*C25*Assumptions!$D$24*Assumptions!$D$14</f>
        <v>2438190.4353636559</v>
      </c>
      <c r="E25" s="95">
        <f>1*C25*Assumptions!$D$25*Assumptions!$D$15</f>
        <v>484551.47739921091</v>
      </c>
      <c r="F25" s="95">
        <f t="shared" si="2"/>
        <v>2922741.9127628668</v>
      </c>
      <c r="G25" s="96">
        <f>F25*(1+0.07)^-(B25-Assumptions!$D$4)</f>
        <v>538512.79353633546</v>
      </c>
      <c r="H25" s="37"/>
    </row>
    <row r="26" spans="2:8" x14ac:dyDescent="0.25">
      <c r="B26" s="2">
        <f t="shared" si="0"/>
        <v>2047</v>
      </c>
      <c r="C26" s="407">
        <f>'Air Quality'!F25</f>
        <v>5780167.927940011</v>
      </c>
      <c r="D26" s="95">
        <f>1*C26*Assumptions!$D$24*Assumptions!$D$14</f>
        <v>2438190.4353636559</v>
      </c>
      <c r="E26" s="95">
        <f>1*C26*Assumptions!$D$25*Assumptions!$D$15</f>
        <v>484551.47739921091</v>
      </c>
      <c r="F26" s="95">
        <f t="shared" si="2"/>
        <v>2922741.9127628668</v>
      </c>
      <c r="G26" s="96">
        <f>F26*(1+0.07)^-(B26-Assumptions!$D$4)</f>
        <v>503282.98461339774</v>
      </c>
    </row>
    <row r="27" spans="2:8" x14ac:dyDescent="0.25">
      <c r="B27" s="2">
        <f t="shared" si="0"/>
        <v>2048</v>
      </c>
      <c r="C27" s="407">
        <f>'Air Quality'!F26</f>
        <v>5780167.927940011</v>
      </c>
      <c r="D27" s="95">
        <f>1*C27*Assumptions!$D$24*Assumptions!$D$14</f>
        <v>2438190.4353636559</v>
      </c>
      <c r="E27" s="95">
        <f>1*C27*Assumptions!$D$25*Assumptions!$D$15</f>
        <v>484551.47739921091</v>
      </c>
      <c r="F27" s="95">
        <f t="shared" si="1"/>
        <v>2922741.9127628668</v>
      </c>
      <c r="G27" s="96">
        <f>F27*(1+0.07)^-(B27-Assumptions!$D$4)</f>
        <v>470357.92954523145</v>
      </c>
    </row>
    <row r="28" spans="2:8" x14ac:dyDescent="0.25">
      <c r="B28" s="2">
        <f t="shared" si="0"/>
        <v>2049</v>
      </c>
      <c r="C28" s="407">
        <f>'Air Quality'!F27</f>
        <v>5780167.927940011</v>
      </c>
      <c r="D28" s="95">
        <f>1*C28*Assumptions!$D$24*Assumptions!$D$14</f>
        <v>2438190.4353636559</v>
      </c>
      <c r="E28" s="95">
        <f>1*C28*Assumptions!$D$25*Assumptions!$D$15</f>
        <v>484551.47739921091</v>
      </c>
      <c r="F28" s="95">
        <f t="shared" si="1"/>
        <v>2922741.9127628668</v>
      </c>
      <c r="G28" s="96">
        <f>F28*(1+0.07)^-(B28-Assumptions!$D$4)</f>
        <v>439586.85004227242</v>
      </c>
      <c r="H28" s="72"/>
    </row>
    <row r="29" spans="2:8" ht="15" customHeight="1" x14ac:dyDescent="0.25">
      <c r="B29" s="2">
        <f t="shared" si="0"/>
        <v>2050</v>
      </c>
      <c r="C29" s="407">
        <f>'Air Quality'!F28</f>
        <v>5780167.927940011</v>
      </c>
      <c r="D29" s="95">
        <f>1*C29*Assumptions!$D$24*Assumptions!$D$14</f>
        <v>2438190.4353636559</v>
      </c>
      <c r="E29" s="95">
        <f>1*C29*Assumptions!$D$25*Assumptions!$D$15</f>
        <v>484551.47739921091</v>
      </c>
      <c r="F29" s="95">
        <f t="shared" si="1"/>
        <v>2922741.9127628668</v>
      </c>
      <c r="G29" s="96">
        <f>F29*(1+0.07)^-(B29-Assumptions!$D$4)</f>
        <v>410828.8318152079</v>
      </c>
      <c r="H29" s="72"/>
    </row>
    <row r="30" spans="2:8" ht="15" customHeight="1" x14ac:dyDescent="0.25">
      <c r="B30" s="2">
        <f t="shared" si="0"/>
        <v>2051</v>
      </c>
      <c r="C30" s="407">
        <f>'Air Quality'!F29</f>
        <v>5780167.927940011</v>
      </c>
      <c r="D30" s="95">
        <f>1*C30*Assumptions!$D$24*Assumptions!$D$14</f>
        <v>2438190.4353636559</v>
      </c>
      <c r="E30" s="95">
        <f>1*C30*Assumptions!$D$25*Assumptions!$D$15</f>
        <v>484551.47739921091</v>
      </c>
      <c r="F30" s="95">
        <f t="shared" si="1"/>
        <v>2922741.9127628668</v>
      </c>
      <c r="G30" s="96">
        <f>F30*(1+0.07)^-(B30-Assumptions!$D$4)</f>
        <v>383952.17926654947</v>
      </c>
      <c r="H30" s="72"/>
    </row>
    <row r="31" spans="2:8" ht="15" customHeight="1" x14ac:dyDescent="0.25">
      <c r="B31" s="2">
        <f t="shared" si="0"/>
        <v>2052</v>
      </c>
      <c r="C31" s="407">
        <f>'Air Quality'!F30</f>
        <v>5780167.927940011</v>
      </c>
      <c r="D31" s="95">
        <f>1*C31*Assumptions!$D$24*Assumptions!$D$14</f>
        <v>2438190.4353636559</v>
      </c>
      <c r="E31" s="95">
        <f>1*C31*Assumptions!$D$25*Assumptions!$D$15</f>
        <v>484551.47739921091</v>
      </c>
      <c r="F31" s="95">
        <f t="shared" si="1"/>
        <v>2922741.9127628668</v>
      </c>
      <c r="G31" s="96">
        <f>F31*(1+0.07)^-(B31-Assumptions!$D$4)</f>
        <v>358833.81239864422</v>
      </c>
    </row>
    <row r="32" spans="2:8" x14ac:dyDescent="0.25">
      <c r="B32" s="2">
        <f t="shared" si="0"/>
        <v>2053</v>
      </c>
      <c r="C32" s="407">
        <f>'Air Quality'!F31</f>
        <v>5780167.927940011</v>
      </c>
      <c r="D32" s="95">
        <f>1*C32*Assumptions!$D$24*Assumptions!$D$14</f>
        <v>2438190.4353636559</v>
      </c>
      <c r="E32" s="95">
        <f>1*C32*Assumptions!$D$25*Assumptions!$D$15</f>
        <v>484551.47739921091</v>
      </c>
      <c r="F32" s="95">
        <f t="shared" si="1"/>
        <v>2922741.9127628668</v>
      </c>
      <c r="G32" s="96">
        <f>F32*(1+0.07)^-(B32-Assumptions!$D$4)</f>
        <v>335358.70317630307</v>
      </c>
      <c r="H32" s="37"/>
    </row>
    <row r="33" spans="1:8" x14ac:dyDescent="0.25">
      <c r="B33" s="2">
        <f t="shared" si="0"/>
        <v>2054</v>
      </c>
      <c r="C33" s="407">
        <f>'Air Quality'!F32</f>
        <v>5780167.927940011</v>
      </c>
      <c r="D33" s="95">
        <f>1*C33*Assumptions!$D$24*Assumptions!$D$14</f>
        <v>2438190.4353636559</v>
      </c>
      <c r="E33" s="95">
        <f>1*C33*Assumptions!$D$25*Assumptions!$D$15</f>
        <v>484551.47739921091</v>
      </c>
      <c r="F33" s="95">
        <f t="shared" si="1"/>
        <v>2922741.9127628668</v>
      </c>
      <c r="G33" s="96">
        <f>F33*(1+0.07)^-(B33-Assumptions!$D$4)</f>
        <v>313419.3487629001</v>
      </c>
      <c r="H33" s="37"/>
    </row>
    <row r="34" spans="1:8" ht="15" customHeight="1" x14ac:dyDescent="0.25">
      <c r="B34" s="2">
        <f t="shared" si="0"/>
        <v>2055</v>
      </c>
      <c r="C34" s="407">
        <f>'Air Quality'!F33</f>
        <v>5780167.927940011</v>
      </c>
      <c r="D34" s="95">
        <f>1*C34*Assumptions!$D$24*Assumptions!$D$14</f>
        <v>2438190.4353636559</v>
      </c>
      <c r="E34" s="95">
        <f>1*C34*Assumptions!$D$25*Assumptions!$D$15</f>
        <v>484551.47739921091</v>
      </c>
      <c r="F34" s="95">
        <f t="shared" si="1"/>
        <v>2922741.9127628668</v>
      </c>
      <c r="G34" s="96">
        <f>F34*(1+0.07)^-(B34-Assumptions!$D$4)</f>
        <v>292915.27921766363</v>
      </c>
      <c r="H34" s="72"/>
    </row>
    <row r="35" spans="1:8" ht="15.75" thickBot="1" x14ac:dyDescent="0.3">
      <c r="B35" s="3">
        <f t="shared" si="0"/>
        <v>2056</v>
      </c>
      <c r="C35" s="408">
        <f>'Air Quality'!F34</f>
        <v>5780167.927940011</v>
      </c>
      <c r="D35" s="98">
        <f>1*C35*Assumptions!$D$24*Assumptions!$D$14</f>
        <v>2438190.4353636559</v>
      </c>
      <c r="E35" s="98">
        <f>1*C35*Assumptions!$D$25*Assumptions!$D$15</f>
        <v>484551.47739921091</v>
      </c>
      <c r="F35" s="98">
        <f t="shared" si="1"/>
        <v>2922741.9127628668</v>
      </c>
      <c r="G35" s="126">
        <f>F35*(1+0.07)^-(B35-Assumptions!$D$4)</f>
        <v>273752.59739968559</v>
      </c>
      <c r="H35" s="72"/>
    </row>
    <row r="36" spans="1:8" ht="15.75" thickBot="1" x14ac:dyDescent="0.3">
      <c r="B36" s="4"/>
      <c r="C36" s="4"/>
      <c r="D36" s="92" t="s">
        <v>2</v>
      </c>
      <c r="E36" s="92"/>
      <c r="F36" s="37"/>
      <c r="G36" s="69">
        <f>SUM(G6:G35)</f>
        <v>15986959.020107517</v>
      </c>
      <c r="H36" s="72"/>
    </row>
    <row r="37" spans="1:8" x14ac:dyDescent="0.25">
      <c r="H37" s="72"/>
    </row>
    <row r="38" spans="1:8" x14ac:dyDescent="0.25">
      <c r="B38" s="10" t="s">
        <v>3</v>
      </c>
      <c r="C38" s="10"/>
      <c r="D38" s="10"/>
      <c r="E38" s="10"/>
      <c r="H38" s="72"/>
    </row>
    <row r="39" spans="1:8" ht="15" customHeight="1" x14ac:dyDescent="0.25">
      <c r="A39" s="11" t="s">
        <v>30</v>
      </c>
      <c r="B39" s="489" t="str">
        <f>Assumptions!C45</f>
        <v>Vehicle operational costs  were valued in accordance with the Benefit-Cost Analysis Guidance for Discretionary Grant Programs -January 2023 (Revised). The recommended values for travel time were provided in year 2021 dollars.</v>
      </c>
      <c r="C39" s="489"/>
      <c r="D39" s="489"/>
      <c r="E39" s="489"/>
      <c r="F39" s="489"/>
      <c r="G39" s="489"/>
      <c r="H39" s="72"/>
    </row>
    <row r="40" spans="1:8" x14ac:dyDescent="0.25">
      <c r="B40" s="489"/>
      <c r="C40" s="489"/>
      <c r="D40" s="489"/>
      <c r="E40" s="489"/>
      <c r="F40" s="489"/>
      <c r="G40" s="489"/>
      <c r="H40" s="45"/>
    </row>
    <row r="41" spans="1:8" x14ac:dyDescent="0.25">
      <c r="B41" s="489"/>
      <c r="C41" s="489"/>
      <c r="D41" s="489"/>
      <c r="E41" s="489"/>
      <c r="F41" s="489"/>
      <c r="G41" s="489"/>
      <c r="H41" s="44"/>
    </row>
    <row r="42" spans="1:8" x14ac:dyDescent="0.25">
      <c r="B42" s="489"/>
      <c r="C42" s="489"/>
      <c r="D42" s="489"/>
      <c r="E42" s="489"/>
      <c r="F42" s="489"/>
      <c r="G42" s="489"/>
      <c r="H42" s="44"/>
    </row>
    <row r="43" spans="1:8" x14ac:dyDescent="0.25">
      <c r="B43" s="72"/>
      <c r="C43" s="72"/>
      <c r="D43" s="72"/>
      <c r="E43" s="72"/>
      <c r="F43" s="72"/>
      <c r="G43" s="72"/>
      <c r="H43" s="44"/>
    </row>
    <row r="44" spans="1:8" ht="15" customHeight="1" x14ac:dyDescent="0.25">
      <c r="A44" s="11" t="s">
        <v>43</v>
      </c>
      <c r="B44" s="489" t="str">
        <f>Assumptions!C33</f>
        <v>Truck percentage in the project area is estimated based on year 2022 AADT ATR data MnDOT ATR 212 and HCAADT counts performed by MnDOT (https://mndot.maps.arcgis.com/apps/webappviewer/index.html?id=7b3be07daed84e7fa170a91059ce63bb).</v>
      </c>
      <c r="C44" s="489"/>
      <c r="D44" s="489"/>
      <c r="E44" s="489"/>
      <c r="F44" s="489"/>
      <c r="G44" s="489"/>
      <c r="H44" s="44"/>
    </row>
    <row r="45" spans="1:8" x14ac:dyDescent="0.25">
      <c r="B45" s="489"/>
      <c r="C45" s="489"/>
      <c r="D45" s="489"/>
      <c r="E45" s="489"/>
      <c r="F45" s="489"/>
      <c r="G45" s="489"/>
      <c r="H45" s="44"/>
    </row>
    <row r="46" spans="1:8" x14ac:dyDescent="0.25">
      <c r="B46" s="489"/>
      <c r="C46" s="489"/>
      <c r="D46" s="489"/>
      <c r="E46" s="489"/>
      <c r="F46" s="489"/>
      <c r="G46" s="489"/>
      <c r="H46" s="44"/>
    </row>
    <row r="47" spans="1:8" x14ac:dyDescent="0.25">
      <c r="B47" s="72"/>
      <c r="C47" s="72"/>
      <c r="D47" s="72"/>
      <c r="E47" s="72"/>
      <c r="F47" s="72"/>
      <c r="G47" s="72"/>
      <c r="H47" s="44"/>
    </row>
    <row r="48" spans="1:8" ht="15" customHeight="1" x14ac:dyDescent="0.25">
      <c r="A48" s="11" t="s">
        <v>44</v>
      </c>
      <c r="B48" s="489" t="s">
        <v>1129</v>
      </c>
      <c r="C48" s="489"/>
      <c r="D48" s="489"/>
      <c r="E48" s="489"/>
      <c r="F48" s="489"/>
      <c r="G48" s="489"/>
      <c r="H48" s="44"/>
    </row>
    <row r="49" spans="1:7" x14ac:dyDescent="0.25">
      <c r="B49" s="489"/>
      <c r="C49" s="489"/>
      <c r="D49" s="489"/>
      <c r="E49" s="489"/>
      <c r="F49" s="489"/>
      <c r="G49" s="489"/>
    </row>
    <row r="50" spans="1:7" x14ac:dyDescent="0.25">
      <c r="B50" s="489"/>
      <c r="C50" s="489"/>
      <c r="D50" s="489"/>
      <c r="E50" s="489"/>
      <c r="F50" s="489"/>
      <c r="G50" s="489"/>
    </row>
    <row r="51" spans="1:7" x14ac:dyDescent="0.25">
      <c r="B51" s="489"/>
      <c r="C51" s="489"/>
      <c r="D51" s="489"/>
      <c r="E51" s="489"/>
      <c r="F51" s="489"/>
      <c r="G51" s="489"/>
    </row>
    <row r="52" spans="1:7" x14ac:dyDescent="0.25">
      <c r="B52" s="489"/>
      <c r="C52" s="489"/>
      <c r="D52" s="489"/>
      <c r="E52" s="489"/>
      <c r="F52" s="489"/>
      <c r="G52" s="489"/>
    </row>
    <row r="53" spans="1:7" x14ac:dyDescent="0.25">
      <c r="B53" s="489"/>
      <c r="C53" s="489"/>
      <c r="D53" s="489"/>
      <c r="E53" s="489"/>
      <c r="F53" s="489"/>
      <c r="G53" s="489"/>
    </row>
    <row r="54" spans="1:7" x14ac:dyDescent="0.25">
      <c r="B54" s="489"/>
      <c r="C54" s="489"/>
      <c r="D54" s="489"/>
      <c r="E54" s="489"/>
      <c r="F54" s="489"/>
      <c r="G54" s="489"/>
    </row>
    <row r="55" spans="1:7" x14ac:dyDescent="0.25">
      <c r="B55" s="489"/>
      <c r="C55" s="489"/>
      <c r="D55" s="489"/>
      <c r="E55" s="489"/>
      <c r="F55" s="489"/>
      <c r="G55" s="489"/>
    </row>
    <row r="56" spans="1:7" x14ac:dyDescent="0.25">
      <c r="B56" s="28"/>
      <c r="C56" s="28"/>
      <c r="D56" s="28"/>
      <c r="E56" s="28"/>
      <c r="F56" s="28"/>
      <c r="G56" s="28"/>
    </row>
    <row r="57" spans="1:7" x14ac:dyDescent="0.25">
      <c r="B57" s="28"/>
      <c r="C57" s="28"/>
      <c r="D57" s="28"/>
      <c r="E57" s="28"/>
    </row>
    <row r="58" spans="1:7" x14ac:dyDescent="0.25">
      <c r="B58" s="28"/>
      <c r="C58" s="28"/>
      <c r="D58" s="28"/>
      <c r="E58" s="28"/>
    </row>
    <row r="59" spans="1:7" x14ac:dyDescent="0.25">
      <c r="B59" s="28"/>
      <c r="C59" s="28"/>
      <c r="D59" s="28"/>
      <c r="E59" s="28"/>
    </row>
    <row r="60" spans="1:7" x14ac:dyDescent="0.25">
      <c r="A60" s="11"/>
      <c r="B60" s="28"/>
      <c r="C60" s="28"/>
      <c r="D60" s="28"/>
      <c r="E60" s="28"/>
    </row>
    <row r="62" spans="1:7" x14ac:dyDescent="0.25">
      <c r="B62" s="28"/>
      <c r="C62" s="28"/>
      <c r="D62" s="28"/>
      <c r="E62" s="28"/>
    </row>
    <row r="63" spans="1:7" x14ac:dyDescent="0.25">
      <c r="A63" s="11"/>
      <c r="B63" s="28"/>
      <c r="C63" s="28"/>
      <c r="D63" s="28"/>
      <c r="E63" s="28"/>
    </row>
    <row r="64" spans="1:7" x14ac:dyDescent="0.25">
      <c r="B64" s="28"/>
      <c r="C64" s="28"/>
      <c r="D64" s="28"/>
      <c r="E64" s="28"/>
    </row>
    <row r="68" spans="1:1" x14ac:dyDescent="0.25">
      <c r="A68" s="11"/>
    </row>
    <row r="72" spans="1:1" x14ac:dyDescent="0.25">
      <c r="A72" s="11"/>
    </row>
    <row r="74" spans="1:1" x14ac:dyDescent="0.25">
      <c r="A74" s="11"/>
    </row>
    <row r="78" spans="1:1" x14ac:dyDescent="0.25">
      <c r="A78" s="11"/>
    </row>
  </sheetData>
  <mergeCells count="9">
    <mergeCell ref="B44:G46"/>
    <mergeCell ref="B48:G55"/>
    <mergeCell ref="B39:G42"/>
    <mergeCell ref="G4:G5"/>
    <mergeCell ref="E4:E5"/>
    <mergeCell ref="B4:B5"/>
    <mergeCell ref="C4:C5"/>
    <mergeCell ref="D4:D5"/>
    <mergeCell ref="F4:F5"/>
  </mergeCells>
  <pageMargins left="0.25" right="0.25" top="0.75" bottom="0.75" header="0.3" footer="0.3"/>
  <pageSetup paperSize="4"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6E333-3C7D-42CD-91CB-2AB4E8C69892}">
  <sheetPr>
    <tabColor rgb="FF00B050"/>
    <pageSetUpPr fitToPage="1"/>
  </sheetPr>
  <dimension ref="A2:AN171"/>
  <sheetViews>
    <sheetView view="pageBreakPreview" zoomScale="70" zoomScaleNormal="85" zoomScaleSheetLayoutView="70" workbookViewId="0">
      <selection activeCell="F50" sqref="F50"/>
    </sheetView>
  </sheetViews>
  <sheetFormatPr defaultRowHeight="15" x14ac:dyDescent="0.25"/>
  <cols>
    <col min="1" max="1" width="6.28515625" customWidth="1"/>
    <col min="2" max="5" width="22.140625" customWidth="1"/>
    <col min="6" max="6" width="10.85546875" customWidth="1"/>
    <col min="7" max="7" width="11.140625" customWidth="1"/>
    <col min="8" max="8" width="35.5703125" customWidth="1"/>
    <col min="9" max="13" width="18.28515625" customWidth="1"/>
    <col min="14" max="14" width="23.85546875" customWidth="1"/>
    <col min="15" max="15" width="19.7109375" customWidth="1"/>
    <col min="16" max="16" width="20.28515625" bestFit="1" customWidth="1"/>
    <col min="17" max="17" width="9.28515625" customWidth="1"/>
    <col min="19" max="19" width="36.28515625" bestFit="1" customWidth="1"/>
    <col min="20" max="20" width="26.7109375" customWidth="1"/>
    <col min="21" max="22" width="13.85546875" bestFit="1" customWidth="1"/>
    <col min="23" max="23" width="19.140625" bestFit="1" customWidth="1"/>
    <col min="24" max="24" width="18" bestFit="1" customWidth="1"/>
    <col min="25" max="25" width="24.7109375" customWidth="1"/>
    <col min="26" max="26" width="24" customWidth="1"/>
    <col min="27" max="27" width="12.28515625" bestFit="1" customWidth="1"/>
    <col min="29" max="29" width="12.28515625" bestFit="1" customWidth="1"/>
    <col min="31" max="31" width="12.28515625" bestFit="1" customWidth="1"/>
    <col min="32" max="32" width="10.7109375" customWidth="1"/>
    <col min="33" max="33" width="12.28515625" bestFit="1" customWidth="1"/>
    <col min="35" max="35" width="12.85546875" bestFit="1" customWidth="1"/>
    <col min="36" max="36" width="12.28515625" bestFit="1" customWidth="1"/>
    <col min="37" max="37" width="18.42578125" bestFit="1" customWidth="1"/>
    <col min="38" max="38" width="16.28515625" bestFit="1" customWidth="1"/>
    <col min="39" max="39" width="12.28515625" bestFit="1" customWidth="1"/>
    <col min="40" max="40" width="10.7109375" bestFit="1" customWidth="1"/>
  </cols>
  <sheetData>
    <row r="2" spans="2:31" x14ac:dyDescent="0.25">
      <c r="B2" s="10" t="s">
        <v>187</v>
      </c>
    </row>
    <row r="3" spans="2:31" ht="15.75" thickBot="1" x14ac:dyDescent="0.3"/>
    <row r="4" spans="2:31" ht="29.25" customHeight="1" x14ac:dyDescent="0.25">
      <c r="B4" s="501" t="s">
        <v>0</v>
      </c>
      <c r="C4" s="501" t="s">
        <v>223</v>
      </c>
      <c r="D4" s="501" t="s">
        <v>93</v>
      </c>
      <c r="E4" s="510" t="s">
        <v>1</v>
      </c>
      <c r="S4" s="10" t="s">
        <v>1058</v>
      </c>
    </row>
    <row r="5" spans="2:31" ht="29.25" customHeight="1" thickBot="1" x14ac:dyDescent="0.3">
      <c r="B5" s="502"/>
      <c r="C5" s="502"/>
      <c r="D5" s="502"/>
      <c r="E5" s="511"/>
      <c r="H5" s="55" t="s">
        <v>188</v>
      </c>
      <c r="I5" s="54"/>
      <c r="S5" s="335"/>
      <c r="T5" s="336" t="s">
        <v>20</v>
      </c>
      <c r="U5" s="336" t="s">
        <v>21</v>
      </c>
      <c r="V5" s="336" t="s">
        <v>209</v>
      </c>
      <c r="W5" s="111" t="s">
        <v>214</v>
      </c>
    </row>
    <row r="6" spans="2:31" x14ac:dyDescent="0.25">
      <c r="B6" s="222">
        <f>Assumptions!D8</f>
        <v>2027</v>
      </c>
      <c r="C6" s="105">
        <f>TREND($I$135:$J$135,$I$48:$J$48,$B6)</f>
        <v>731757.15425592661</v>
      </c>
      <c r="D6" s="274">
        <f t="shared" ref="D6:D35" si="0">SUM(C6:C6)</f>
        <v>731757.15425592661</v>
      </c>
      <c r="E6" s="223">
        <f>D6*(1+0.07)^-($B6-Assumptions!$D$4)</f>
        <v>487600.68946053693</v>
      </c>
      <c r="F6" s="224"/>
      <c r="H6" s="225" t="s">
        <v>189</v>
      </c>
      <c r="I6" s="226" t="s">
        <v>31</v>
      </c>
      <c r="J6" s="226" t="s">
        <v>32</v>
      </c>
      <c r="K6" s="226" t="s">
        <v>33</v>
      </c>
      <c r="L6" s="43" t="s">
        <v>34</v>
      </c>
      <c r="M6" s="43" t="s">
        <v>35</v>
      </c>
      <c r="N6" s="226" t="s">
        <v>222</v>
      </c>
      <c r="S6" s="64" t="s">
        <v>215</v>
      </c>
      <c r="T6" s="269">
        <f>M41</f>
        <v>293.13870581602606</v>
      </c>
      <c r="U6" s="269">
        <f>T6*L61/J61</f>
        <v>287.85595348460487</v>
      </c>
      <c r="V6" s="269">
        <f>T6-U6</f>
        <v>5.282752331421193</v>
      </c>
      <c r="W6" s="338">
        <f>V6/T6</f>
        <v>1.8021340159482896E-2</v>
      </c>
    </row>
    <row r="7" spans="2:31" x14ac:dyDescent="0.25">
      <c r="B7" s="227">
        <f>B6+1</f>
        <v>2028</v>
      </c>
      <c r="C7" s="179">
        <f t="shared" ref="C7:C24" si="1">TREND($I$135:$J$135,$I$48:$J$48,$B7)</f>
        <v>697018.18439491093</v>
      </c>
      <c r="D7" s="275">
        <f t="shared" si="0"/>
        <v>697018.18439491093</v>
      </c>
      <c r="E7" s="228">
        <f>D7*(1+0.07)^-($B7-Assumptions!$D$4)</f>
        <v>434067.89442079712</v>
      </c>
      <c r="H7" s="52" t="s">
        <v>190</v>
      </c>
      <c r="I7" s="220">
        <v>11800000</v>
      </c>
      <c r="J7" s="220">
        <v>564300</v>
      </c>
      <c r="K7" s="220">
        <v>153700</v>
      </c>
      <c r="L7" s="220">
        <v>78500</v>
      </c>
      <c r="M7" s="220">
        <v>4800</v>
      </c>
      <c r="N7" s="220">
        <v>213900</v>
      </c>
      <c r="S7" s="64" t="s">
        <v>221</v>
      </c>
      <c r="T7" s="269">
        <f>K41</f>
        <v>102.21720826451862</v>
      </c>
      <c r="U7" s="269">
        <f>T7*L61/J61</f>
        <v>100.37511718423103</v>
      </c>
      <c r="V7" s="269">
        <f>T7-U7</f>
        <v>1.8420910802875881</v>
      </c>
      <c r="W7" s="282"/>
    </row>
    <row r="8" spans="2:31" x14ac:dyDescent="0.25">
      <c r="B8" s="227">
        <f t="shared" ref="B8:B35" si="2">B7+1</f>
        <v>2029</v>
      </c>
      <c r="C8" s="179">
        <f t="shared" si="1"/>
        <v>662279.21453389525</v>
      </c>
      <c r="D8" s="275">
        <f t="shared" si="0"/>
        <v>662279.21453389525</v>
      </c>
      <c r="E8" s="228">
        <f>D8*(1+0.07)^-($B8-Assumptions!$D$4)</f>
        <v>385452.53262290935</v>
      </c>
      <c r="S8" s="64" t="s">
        <v>216</v>
      </c>
      <c r="T8" s="337">
        <f>AE80/1000000</f>
        <v>180.1329089079218</v>
      </c>
      <c r="U8" s="337">
        <f>AF80/1000000</f>
        <v>176.88667248257508</v>
      </c>
      <c r="V8" s="337">
        <f>T8-U8</f>
        <v>3.2462364253467229</v>
      </c>
      <c r="W8" s="282"/>
    </row>
    <row r="9" spans="2:31" x14ac:dyDescent="0.25">
      <c r="B9" s="227">
        <f t="shared" si="2"/>
        <v>2030</v>
      </c>
      <c r="C9" s="179">
        <f t="shared" si="1"/>
        <v>627540.24467287958</v>
      </c>
      <c r="D9" s="275">
        <f t="shared" si="0"/>
        <v>627540.24467287958</v>
      </c>
      <c r="E9" s="228">
        <f>D9*(1+0.07)^-($B9-Assumptions!$D$4)</f>
        <v>341340.31390709139</v>
      </c>
      <c r="H9" s="10" t="s">
        <v>1052</v>
      </c>
      <c r="S9" t="s">
        <v>217</v>
      </c>
    </row>
    <row r="10" spans="2:31" ht="15" customHeight="1" x14ac:dyDescent="0.25">
      <c r="B10" s="227">
        <f t="shared" si="2"/>
        <v>2031</v>
      </c>
      <c r="C10" s="179">
        <f t="shared" si="1"/>
        <v>592801.2748118639</v>
      </c>
      <c r="D10" s="275">
        <f t="shared" si="0"/>
        <v>592801.2748118639</v>
      </c>
      <c r="E10" s="228">
        <f>D10*(1+0.07)^-($B10-Assumptions!$D$4)</f>
        <v>301350.10842716933</v>
      </c>
      <c r="G10" s="284"/>
      <c r="H10" s="43" t="s">
        <v>0</v>
      </c>
      <c r="I10" s="43" t="s">
        <v>130</v>
      </c>
      <c r="J10" s="225" t="s">
        <v>1075</v>
      </c>
      <c r="K10" s="46"/>
      <c r="L10" s="10"/>
      <c r="M10" s="10"/>
    </row>
    <row r="11" spans="2:31" x14ac:dyDescent="0.25">
      <c r="B11" s="227">
        <f t="shared" si="2"/>
        <v>2032</v>
      </c>
      <c r="C11" s="179">
        <f t="shared" si="1"/>
        <v>558062.30495083332</v>
      </c>
      <c r="D11" s="275">
        <f t="shared" si="0"/>
        <v>558062.30495083332</v>
      </c>
      <c r="E11" s="228">
        <f>D11*(1+0.07)^-($B11-Assumptions!$D$4)</f>
        <v>265131.38101759355</v>
      </c>
      <c r="G11" s="284"/>
      <c r="H11" s="111">
        <v>2022</v>
      </c>
      <c r="I11" s="273">
        <v>40063</v>
      </c>
      <c r="J11" s="324">
        <f>(I12-I11)/(I11*22)</f>
        <v>2.3642308818156859E-2</v>
      </c>
      <c r="K11" s="231"/>
      <c r="L11" s="46"/>
      <c r="M11" s="46"/>
      <c r="O11" s="230"/>
    </row>
    <row r="12" spans="2:31" x14ac:dyDescent="0.25">
      <c r="B12" s="227">
        <f t="shared" si="2"/>
        <v>2033</v>
      </c>
      <c r="C12" s="179">
        <f t="shared" si="1"/>
        <v>523323.33508981764</v>
      </c>
      <c r="D12" s="275">
        <f t="shared" si="0"/>
        <v>523323.33508981764</v>
      </c>
      <c r="E12" s="228">
        <f>D12*(1+0.07)^-($B12-Assumptions!$D$4)</f>
        <v>232361.81932962575</v>
      </c>
      <c r="G12" s="284"/>
      <c r="H12" s="111">
        <v>2045</v>
      </c>
      <c r="I12" s="273">
        <v>60901</v>
      </c>
      <c r="J12" s="273"/>
      <c r="K12" s="229"/>
      <c r="L12" s="231"/>
      <c r="M12" s="231"/>
      <c r="S12" s="232"/>
    </row>
    <row r="13" spans="2:31" x14ac:dyDescent="0.25">
      <c r="B13" s="227">
        <f t="shared" si="2"/>
        <v>2034</v>
      </c>
      <c r="C13" s="179">
        <f t="shared" si="1"/>
        <v>488584.36522880197</v>
      </c>
      <c r="D13" s="275">
        <f t="shared" si="0"/>
        <v>488584.36522880197</v>
      </c>
      <c r="E13" s="228">
        <f>D13*(1+0.07)^-($B13-Assumptions!$D$4)</f>
        <v>202745.1413641414</v>
      </c>
      <c r="I13" s="233"/>
      <c r="J13" s="233"/>
      <c r="K13" s="233"/>
      <c r="L13" s="233"/>
      <c r="M13" s="233"/>
      <c r="S13" s="232"/>
    </row>
    <row r="14" spans="2:31" x14ac:dyDescent="0.25">
      <c r="B14" s="227">
        <f t="shared" si="2"/>
        <v>2035</v>
      </c>
      <c r="C14" s="179">
        <f t="shared" si="1"/>
        <v>453845.39536778629</v>
      </c>
      <c r="D14" s="275">
        <f t="shared" si="0"/>
        <v>453845.39536778629</v>
      </c>
      <c r="E14" s="228">
        <f>D14*(1+0.07)^-($B14-Assumptions!$D$4)</f>
        <v>176009.06907995188</v>
      </c>
      <c r="H14" s="55" t="s">
        <v>348</v>
      </c>
      <c r="N14" s="286" t="s">
        <v>258</v>
      </c>
      <c r="S14" s="232" t="s">
        <v>1061</v>
      </c>
      <c r="Z14" s="232" t="s">
        <v>1062</v>
      </c>
    </row>
    <row r="15" spans="2:31" x14ac:dyDescent="0.25">
      <c r="B15" s="227">
        <f t="shared" si="2"/>
        <v>2036</v>
      </c>
      <c r="C15" s="179">
        <f t="shared" si="1"/>
        <v>419106.42550677061</v>
      </c>
      <c r="D15" s="275">
        <f t="shared" si="0"/>
        <v>419106.42550677061</v>
      </c>
      <c r="E15" s="228">
        <f>D15*(1+0.07)^-($B15-Assumptions!$D$4)</f>
        <v>151903.45573146612</v>
      </c>
      <c r="H15" s="326" t="s">
        <v>191</v>
      </c>
      <c r="I15" s="326" t="s">
        <v>31</v>
      </c>
      <c r="J15" s="327" t="s">
        <v>32</v>
      </c>
      <c r="K15" s="327" t="s">
        <v>33</v>
      </c>
      <c r="L15" s="327" t="s">
        <v>34</v>
      </c>
      <c r="M15" s="327" t="s">
        <v>35</v>
      </c>
      <c r="N15" s="328" t="s">
        <v>255</v>
      </c>
      <c r="O15" s="80" t="s">
        <v>256</v>
      </c>
      <c r="P15" s="80" t="s">
        <v>257</v>
      </c>
      <c r="S15" s="334" t="s">
        <v>191</v>
      </c>
      <c r="T15" s="43" t="s">
        <v>31</v>
      </c>
      <c r="U15" s="80" t="s">
        <v>32</v>
      </c>
      <c r="V15" s="80" t="s">
        <v>33</v>
      </c>
      <c r="W15" s="80" t="s">
        <v>34</v>
      </c>
      <c r="X15" s="80" t="s">
        <v>35</v>
      </c>
      <c r="Z15" s="334" t="s">
        <v>191</v>
      </c>
      <c r="AA15" s="43" t="s">
        <v>31</v>
      </c>
      <c r="AB15" s="80" t="s">
        <v>32</v>
      </c>
      <c r="AC15" s="80" t="s">
        <v>33</v>
      </c>
      <c r="AD15" s="80" t="s">
        <v>34</v>
      </c>
      <c r="AE15" s="80" t="s">
        <v>35</v>
      </c>
    </row>
    <row r="16" spans="2:31" x14ac:dyDescent="0.25">
      <c r="B16" s="227">
        <f t="shared" si="2"/>
        <v>2037</v>
      </c>
      <c r="C16" s="179">
        <f t="shared" si="1"/>
        <v>384367.45564575493</v>
      </c>
      <c r="D16" s="275">
        <f t="shared" si="0"/>
        <v>384367.45564575493</v>
      </c>
      <c r="E16" s="228">
        <f>D16*(1+0.07)^-($B16-Assumptions!$D$4)</f>
        <v>130198.55549426647</v>
      </c>
      <c r="G16" s="506" t="s">
        <v>250</v>
      </c>
      <c r="H16" s="64" t="s">
        <v>244</v>
      </c>
      <c r="I16" s="64">
        <v>0</v>
      </c>
      <c r="J16" s="64">
        <v>0</v>
      </c>
      <c r="K16" s="64">
        <v>1</v>
      </c>
      <c r="L16" s="64">
        <v>0</v>
      </c>
      <c r="M16" s="64">
        <v>3</v>
      </c>
      <c r="N16" s="285">
        <v>874</v>
      </c>
      <c r="O16" s="256">
        <v>2860</v>
      </c>
      <c r="P16" s="64">
        <v>3495</v>
      </c>
      <c r="S16" s="64" t="s">
        <v>244</v>
      </c>
      <c r="T16" s="64">
        <f>I16/$I$11/5</f>
        <v>0</v>
      </c>
      <c r="U16" s="64">
        <f t="shared" ref="U16:U26" si="3">J16/$I$11/5</f>
        <v>0</v>
      </c>
      <c r="V16" s="64">
        <f t="shared" ref="V16:V26" si="4">K16/$I$11/5</f>
        <v>4.992137383620797E-6</v>
      </c>
      <c r="W16" s="64">
        <f t="shared" ref="W16:W26" si="5">L16/$I$11/5</f>
        <v>0</v>
      </c>
      <c r="X16" s="64">
        <f t="shared" ref="X16:X25" si="6">M16/$I$11/5</f>
        <v>1.4976412150862393E-5</v>
      </c>
      <c r="Z16" s="64" t="s">
        <v>244</v>
      </c>
      <c r="AA16" s="64">
        <f>T16*$I$45</f>
        <v>0</v>
      </c>
      <c r="AB16" s="64">
        <f t="shared" ref="AB16:AE18" si="7">U16*$I$45</f>
        <v>0</v>
      </c>
      <c r="AC16" s="64">
        <f t="shared" si="7"/>
        <v>2.895439682500062E-6</v>
      </c>
      <c r="AD16" s="64">
        <f>W16*$I$45</f>
        <v>0</v>
      </c>
      <c r="AE16" s="64">
        <f>X16*$I$45</f>
        <v>8.6863190475001868E-6</v>
      </c>
    </row>
    <row r="17" spans="2:39" x14ac:dyDescent="0.25">
      <c r="B17" s="227">
        <f t="shared" si="2"/>
        <v>2038</v>
      </c>
      <c r="C17" s="179">
        <f t="shared" si="1"/>
        <v>349628.48578473926</v>
      </c>
      <c r="D17" s="275">
        <f t="shared" si="0"/>
        <v>349628.48578473926</v>
      </c>
      <c r="E17" s="228">
        <f>D17*(1+0.07)^-($B17-Assumptions!$D$4)</f>
        <v>110683.42477619364</v>
      </c>
      <c r="G17" s="506"/>
      <c r="H17" s="64" t="s">
        <v>245</v>
      </c>
      <c r="I17" s="64">
        <v>0</v>
      </c>
      <c r="J17" s="64">
        <v>0</v>
      </c>
      <c r="K17" s="64">
        <v>3</v>
      </c>
      <c r="L17" s="64">
        <v>0</v>
      </c>
      <c r="M17" s="64">
        <v>0</v>
      </c>
      <c r="N17" s="285">
        <v>893</v>
      </c>
      <c r="O17" s="256">
        <v>1967</v>
      </c>
      <c r="P17" s="64">
        <v>3230</v>
      </c>
      <c r="S17" s="64" t="s">
        <v>245</v>
      </c>
      <c r="T17" s="64">
        <f t="shared" ref="T17:T26" si="8">I17/$I$11/5</f>
        <v>0</v>
      </c>
      <c r="U17" s="64">
        <f t="shared" si="3"/>
        <v>0</v>
      </c>
      <c r="V17" s="64">
        <f t="shared" si="4"/>
        <v>1.4976412150862393E-5</v>
      </c>
      <c r="W17" s="64">
        <f t="shared" si="5"/>
        <v>0</v>
      </c>
      <c r="X17" s="64">
        <f t="shared" si="6"/>
        <v>0</v>
      </c>
      <c r="Z17" s="64" t="s">
        <v>245</v>
      </c>
      <c r="AA17" s="64">
        <f t="shared" ref="AA17" si="9">T17*$I$45</f>
        <v>0</v>
      </c>
      <c r="AB17" s="64">
        <f t="shared" si="7"/>
        <v>0</v>
      </c>
      <c r="AC17" s="64">
        <f t="shared" si="7"/>
        <v>8.6863190475001868E-6</v>
      </c>
      <c r="AD17" s="64">
        <f t="shared" si="7"/>
        <v>0</v>
      </c>
      <c r="AE17" s="64">
        <f t="shared" si="7"/>
        <v>0</v>
      </c>
    </row>
    <row r="18" spans="2:39" x14ac:dyDescent="0.25">
      <c r="B18" s="227">
        <f t="shared" si="2"/>
        <v>2039</v>
      </c>
      <c r="C18" s="179">
        <f t="shared" si="1"/>
        <v>314889.51592370868</v>
      </c>
      <c r="D18" s="275">
        <f t="shared" si="0"/>
        <v>314889.51592370868</v>
      </c>
      <c r="E18" s="228">
        <f>D18*(1+0.07)^-($B18-Assumptions!$D$4)</f>
        <v>93164.44538980072</v>
      </c>
      <c r="G18" s="506"/>
      <c r="H18" s="64" t="s">
        <v>246</v>
      </c>
      <c r="I18" s="64">
        <v>1</v>
      </c>
      <c r="J18" s="64">
        <v>0</v>
      </c>
      <c r="K18" s="64">
        <v>6</v>
      </c>
      <c r="L18" s="64">
        <v>7</v>
      </c>
      <c r="M18" s="64">
        <v>28</v>
      </c>
      <c r="N18" s="234">
        <v>5828</v>
      </c>
      <c r="O18" s="256">
        <v>7799</v>
      </c>
      <c r="P18" s="64">
        <v>9015</v>
      </c>
      <c r="S18" s="64" t="s">
        <v>246</v>
      </c>
      <c r="T18" s="64">
        <f t="shared" si="8"/>
        <v>4.992137383620797E-6</v>
      </c>
      <c r="U18" s="64">
        <f t="shared" si="3"/>
        <v>0</v>
      </c>
      <c r="V18" s="64">
        <f t="shared" si="4"/>
        <v>2.9952824301724785E-5</v>
      </c>
      <c r="W18" s="64">
        <f t="shared" si="5"/>
        <v>3.4944961685345577E-5</v>
      </c>
      <c r="X18" s="64">
        <f t="shared" si="6"/>
        <v>1.3977984674138231E-4</v>
      </c>
      <c r="Z18" s="64" t="s">
        <v>246</v>
      </c>
      <c r="AA18" s="64">
        <f>T18*$I$45</f>
        <v>2.895439682500062E-6</v>
      </c>
      <c r="AB18" s="64">
        <f t="shared" si="7"/>
        <v>0</v>
      </c>
      <c r="AC18" s="64">
        <f t="shared" si="7"/>
        <v>1.7372638095000374E-5</v>
      </c>
      <c r="AD18" s="64">
        <f t="shared" si="7"/>
        <v>2.0268077777500433E-5</v>
      </c>
      <c r="AE18" s="64">
        <f t="shared" si="7"/>
        <v>8.1072311110001733E-5</v>
      </c>
    </row>
    <row r="19" spans="2:39" x14ac:dyDescent="0.25">
      <c r="B19" s="227">
        <f t="shared" si="2"/>
        <v>2040</v>
      </c>
      <c r="C19" s="179">
        <f t="shared" si="1"/>
        <v>280150.546062693</v>
      </c>
      <c r="D19" s="275">
        <f t="shared" si="0"/>
        <v>280150.546062693</v>
      </c>
      <c r="E19" s="228">
        <f>D19*(1+0.07)^-($B19-Assumptions!$D$4)</f>
        <v>77463.960483871648</v>
      </c>
      <c r="G19" s="506"/>
      <c r="H19" s="64" t="s">
        <v>247</v>
      </c>
      <c r="I19" s="64">
        <v>0</v>
      </c>
      <c r="J19" s="64">
        <v>0</v>
      </c>
      <c r="K19" s="64">
        <v>2</v>
      </c>
      <c r="L19" s="64">
        <v>2</v>
      </c>
      <c r="M19" s="64">
        <v>4</v>
      </c>
      <c r="N19" s="234">
        <v>5427</v>
      </c>
      <c r="O19" s="256">
        <v>7219</v>
      </c>
      <c r="P19" s="64">
        <v>7650</v>
      </c>
      <c r="S19" s="64" t="s">
        <v>247</v>
      </c>
      <c r="T19" s="64">
        <f t="shared" si="8"/>
        <v>0</v>
      </c>
      <c r="U19" s="64">
        <f t="shared" si="3"/>
        <v>0</v>
      </c>
      <c r="V19" s="64">
        <f t="shared" si="4"/>
        <v>9.984274767241594E-6</v>
      </c>
      <c r="W19" s="64">
        <f t="shared" si="5"/>
        <v>9.984274767241594E-6</v>
      </c>
      <c r="X19" s="64">
        <f t="shared" si="6"/>
        <v>1.9968549534483188E-5</v>
      </c>
      <c r="Z19" s="64" t="s">
        <v>247</v>
      </c>
      <c r="AA19" s="64">
        <f>T19</f>
        <v>0</v>
      </c>
      <c r="AB19" s="64">
        <f t="shared" ref="AB19:AE19" si="10">U19</f>
        <v>0</v>
      </c>
      <c r="AC19" s="64">
        <f t="shared" si="10"/>
        <v>9.984274767241594E-6</v>
      </c>
      <c r="AD19" s="64">
        <f t="shared" si="10"/>
        <v>9.984274767241594E-6</v>
      </c>
      <c r="AE19" s="64">
        <f t="shared" si="10"/>
        <v>1.9968549534483188E-5</v>
      </c>
      <c r="AI19" s="512" t="s">
        <v>1065</v>
      </c>
      <c r="AJ19" s="512"/>
      <c r="AK19" s="512"/>
      <c r="AL19" s="512"/>
      <c r="AM19" s="512"/>
    </row>
    <row r="20" spans="2:39" x14ac:dyDescent="0.25">
      <c r="B20" s="227">
        <f t="shared" si="2"/>
        <v>2041</v>
      </c>
      <c r="C20" s="179">
        <f t="shared" si="1"/>
        <v>245411.57620167732</v>
      </c>
      <c r="D20" s="275">
        <f t="shared" si="0"/>
        <v>245411.57620167732</v>
      </c>
      <c r="E20" s="228">
        <f>D20*(1+0.07)^-($B20-Assumptions!$D$4)</f>
        <v>63419.014801017205</v>
      </c>
      <c r="G20" s="506"/>
      <c r="H20" s="64" t="s">
        <v>248</v>
      </c>
      <c r="I20" s="64">
        <v>0</v>
      </c>
      <c r="J20" s="64">
        <v>0</v>
      </c>
      <c r="K20" s="64">
        <v>2</v>
      </c>
      <c r="L20" s="64">
        <v>8</v>
      </c>
      <c r="M20" s="64">
        <v>15</v>
      </c>
      <c r="N20" s="234">
        <v>5644</v>
      </c>
      <c r="O20" s="256">
        <v>8834</v>
      </c>
      <c r="P20" s="64">
        <v>7465</v>
      </c>
      <c r="S20" s="64" t="s">
        <v>248</v>
      </c>
      <c r="T20" s="64">
        <f t="shared" si="8"/>
        <v>0</v>
      </c>
      <c r="U20" s="64">
        <f t="shared" si="3"/>
        <v>0</v>
      </c>
      <c r="V20" s="64">
        <f t="shared" si="4"/>
        <v>9.984274767241594E-6</v>
      </c>
      <c r="W20" s="64">
        <f t="shared" si="5"/>
        <v>3.9937099068966376E-5</v>
      </c>
      <c r="X20" s="64">
        <f t="shared" si="6"/>
        <v>7.488206075431196E-5</v>
      </c>
      <c r="Z20" s="64" t="s">
        <v>248</v>
      </c>
      <c r="AA20" s="64">
        <f t="shared" ref="AA20:AA25" si="11">T20</f>
        <v>0</v>
      </c>
      <c r="AB20" s="64">
        <f t="shared" ref="AB20:AB25" si="12">U20</f>
        <v>0</v>
      </c>
      <c r="AC20" s="64">
        <f t="shared" ref="AC20:AC25" si="13">V20</f>
        <v>9.984274767241594E-6</v>
      </c>
      <c r="AD20" s="64">
        <f t="shared" ref="AD20:AD25" si="14">W20</f>
        <v>3.9937099068966376E-5</v>
      </c>
      <c r="AE20" s="64">
        <f t="shared" ref="AE20:AE25" si="15">X20</f>
        <v>7.488206075431196E-5</v>
      </c>
      <c r="AI20" s="43" t="s">
        <v>31</v>
      </c>
      <c r="AJ20" s="80" t="s">
        <v>32</v>
      </c>
      <c r="AK20" s="80" t="s">
        <v>33</v>
      </c>
      <c r="AL20" s="80" t="s">
        <v>34</v>
      </c>
      <c r="AM20" s="80" t="s">
        <v>35</v>
      </c>
    </row>
    <row r="21" spans="2:39" ht="17.25" customHeight="1" x14ac:dyDescent="0.25">
      <c r="B21" s="227">
        <f t="shared" si="2"/>
        <v>2042</v>
      </c>
      <c r="C21" s="179">
        <f t="shared" si="1"/>
        <v>210672.60634066164</v>
      </c>
      <c r="D21" s="275">
        <f t="shared" si="0"/>
        <v>210672.60634066164</v>
      </c>
      <c r="E21" s="228">
        <f>D21*(1+0.07)^-($B21-Assumptions!$D$4)</f>
        <v>50880.191449301397</v>
      </c>
      <c r="G21" s="506"/>
      <c r="H21" s="64" t="s">
        <v>249</v>
      </c>
      <c r="I21" s="64">
        <v>0</v>
      </c>
      <c r="J21" s="64">
        <v>1</v>
      </c>
      <c r="K21" s="64">
        <v>4</v>
      </c>
      <c r="L21" s="64">
        <v>2</v>
      </c>
      <c r="M21" s="64">
        <v>13</v>
      </c>
      <c r="N21" s="234">
        <v>5083</v>
      </c>
      <c r="O21" s="256">
        <v>8259</v>
      </c>
      <c r="P21" s="64">
        <v>6935</v>
      </c>
      <c r="S21" s="64" t="s">
        <v>249</v>
      </c>
      <c r="T21" s="64">
        <f t="shared" si="8"/>
        <v>0</v>
      </c>
      <c r="U21" s="64">
        <f t="shared" si="3"/>
        <v>4.992137383620797E-6</v>
      </c>
      <c r="V21" s="64">
        <f t="shared" si="4"/>
        <v>1.9968549534483188E-5</v>
      </c>
      <c r="W21" s="64">
        <f t="shared" si="5"/>
        <v>9.984274767241594E-6</v>
      </c>
      <c r="X21" s="64">
        <f t="shared" si="6"/>
        <v>6.4897785987070363E-5</v>
      </c>
      <c r="Z21" s="64" t="s">
        <v>249</v>
      </c>
      <c r="AA21" s="64">
        <f t="shared" si="11"/>
        <v>0</v>
      </c>
      <c r="AB21" s="64">
        <f t="shared" si="12"/>
        <v>4.992137383620797E-6</v>
      </c>
      <c r="AC21" s="64">
        <f t="shared" si="13"/>
        <v>1.9968549534483188E-5</v>
      </c>
      <c r="AD21" s="64">
        <f t="shared" si="14"/>
        <v>9.984274767241594E-6</v>
      </c>
      <c r="AE21" s="64">
        <f t="shared" si="15"/>
        <v>6.4897785987070363E-5</v>
      </c>
      <c r="AI21">
        <f>SUM(T16:T26)</f>
        <v>4.992137383620797E-6</v>
      </c>
      <c r="AJ21">
        <f t="shared" ref="AJ21:AM21" si="16">SUM(U16:U26)</f>
        <v>4.992137383620797E-6</v>
      </c>
      <c r="AK21">
        <f>SUM(V16:V26)</f>
        <v>1.1481915982327834E-4</v>
      </c>
      <c r="AL21">
        <f t="shared" si="16"/>
        <v>1.4976412150862389E-4</v>
      </c>
      <c r="AM21">
        <f t="shared" si="16"/>
        <v>4.8922946359483818E-4</v>
      </c>
    </row>
    <row r="22" spans="2:39" ht="14.25" customHeight="1" x14ac:dyDescent="0.25">
      <c r="B22" s="227">
        <f t="shared" si="2"/>
        <v>2043</v>
      </c>
      <c r="C22" s="179">
        <f t="shared" si="1"/>
        <v>175933.63647964597</v>
      </c>
      <c r="D22" s="275">
        <f t="shared" si="0"/>
        <v>175933.63647964597</v>
      </c>
      <c r="E22" s="228">
        <f>D22*(1+0.07)^-($B22-Assumptions!$D$4)</f>
        <v>39710.537951338796</v>
      </c>
      <c r="G22" s="517" t="s">
        <v>254</v>
      </c>
      <c r="H22" s="318" t="s">
        <v>500</v>
      </c>
      <c r="I22" s="269">
        <v>0</v>
      </c>
      <c r="J22" s="269">
        <v>0</v>
      </c>
      <c r="K22" s="269">
        <v>1</v>
      </c>
      <c r="L22" s="269">
        <v>0</v>
      </c>
      <c r="M22" s="269">
        <v>2</v>
      </c>
      <c r="N22" s="64"/>
      <c r="S22" s="64" t="s">
        <v>500</v>
      </c>
      <c r="T22" s="64">
        <f t="shared" si="8"/>
        <v>0</v>
      </c>
      <c r="U22" s="64">
        <f t="shared" si="3"/>
        <v>0</v>
      </c>
      <c r="V22" s="64">
        <f t="shared" si="4"/>
        <v>4.992137383620797E-6</v>
      </c>
      <c r="W22" s="64">
        <f t="shared" si="5"/>
        <v>0</v>
      </c>
      <c r="X22" s="64">
        <f t="shared" si="6"/>
        <v>9.984274767241594E-6</v>
      </c>
      <c r="Z22" s="64" t="s">
        <v>500</v>
      </c>
      <c r="AA22" s="64">
        <f t="shared" si="11"/>
        <v>0</v>
      </c>
      <c r="AB22" s="64">
        <f t="shared" si="12"/>
        <v>0</v>
      </c>
      <c r="AC22" s="64">
        <f t="shared" si="13"/>
        <v>4.992137383620797E-6</v>
      </c>
      <c r="AD22" s="64">
        <f t="shared" si="14"/>
        <v>0</v>
      </c>
      <c r="AE22" s="64">
        <f t="shared" si="15"/>
        <v>9.984274767241594E-6</v>
      </c>
      <c r="AI22" s="512" t="s">
        <v>1063</v>
      </c>
      <c r="AJ22" s="512"/>
      <c r="AK22" s="512"/>
      <c r="AL22" s="512"/>
      <c r="AM22" s="512"/>
    </row>
    <row r="23" spans="2:39" ht="15" customHeight="1" x14ac:dyDescent="0.25">
      <c r="B23" s="227">
        <f>B22+1</f>
        <v>2044</v>
      </c>
      <c r="C23" s="179">
        <f t="shared" si="1"/>
        <v>141194.66661863029</v>
      </c>
      <c r="D23" s="275">
        <f t="shared" si="0"/>
        <v>141194.66661863029</v>
      </c>
      <c r="E23" s="228">
        <f>D23*(1+0.07)^-($B23-Assumptions!$D$4)</f>
        <v>29784.574868166317</v>
      </c>
      <c r="G23" s="518"/>
      <c r="H23" s="283" t="s">
        <v>251</v>
      </c>
      <c r="I23" s="64">
        <v>0</v>
      </c>
      <c r="J23" s="64">
        <v>0</v>
      </c>
      <c r="K23" s="64">
        <v>1</v>
      </c>
      <c r="L23" s="64">
        <v>3</v>
      </c>
      <c r="M23" s="64">
        <v>14</v>
      </c>
      <c r="N23" s="288">
        <v>742</v>
      </c>
      <c r="O23" s="256">
        <v>1353</v>
      </c>
      <c r="P23" s="64">
        <v>2995</v>
      </c>
      <c r="S23" s="64" t="s">
        <v>251</v>
      </c>
      <c r="T23" s="64">
        <f t="shared" si="8"/>
        <v>0</v>
      </c>
      <c r="U23" s="64">
        <f t="shared" si="3"/>
        <v>0</v>
      </c>
      <c r="V23" s="64">
        <f t="shared" si="4"/>
        <v>4.992137383620797E-6</v>
      </c>
      <c r="W23" s="64">
        <f t="shared" si="5"/>
        <v>1.4976412150862393E-5</v>
      </c>
      <c r="X23" s="64">
        <f t="shared" si="6"/>
        <v>6.9889923370691155E-5</v>
      </c>
      <c r="Z23" s="64" t="s">
        <v>251</v>
      </c>
      <c r="AA23" s="64">
        <f t="shared" si="11"/>
        <v>0</v>
      </c>
      <c r="AB23" s="64">
        <f t="shared" si="12"/>
        <v>0</v>
      </c>
      <c r="AC23" s="64">
        <f t="shared" si="13"/>
        <v>4.992137383620797E-6</v>
      </c>
      <c r="AD23" s="64">
        <f t="shared" si="14"/>
        <v>1.4976412150862393E-5</v>
      </c>
      <c r="AE23" s="64">
        <f t="shared" si="15"/>
        <v>6.9889923370691155E-5</v>
      </c>
      <c r="AI23" s="43" t="s">
        <v>31</v>
      </c>
      <c r="AJ23" s="80" t="s">
        <v>32</v>
      </c>
      <c r="AK23" s="80" t="s">
        <v>33</v>
      </c>
      <c r="AL23" s="80" t="s">
        <v>34</v>
      </c>
      <c r="AM23" s="80" t="s">
        <v>35</v>
      </c>
    </row>
    <row r="24" spans="2:39" x14ac:dyDescent="0.25">
      <c r="B24" s="227">
        <f t="shared" si="2"/>
        <v>2045</v>
      </c>
      <c r="C24" s="179">
        <f t="shared" si="1"/>
        <v>106455.69675759971</v>
      </c>
      <c r="D24" s="275">
        <f t="shared" si="0"/>
        <v>106455.69675759971</v>
      </c>
      <c r="E24" s="228">
        <f>D24*(1+0.07)^-($B24-Assumptions!$D$4)</f>
        <v>20987.380790054824</v>
      </c>
      <c r="G24" s="518"/>
      <c r="H24" s="283" t="s">
        <v>252</v>
      </c>
      <c r="I24" s="64">
        <v>0</v>
      </c>
      <c r="J24" s="64">
        <v>0</v>
      </c>
      <c r="K24" s="64">
        <v>3</v>
      </c>
      <c r="L24" s="64">
        <v>5</v>
      </c>
      <c r="M24" s="64">
        <v>15</v>
      </c>
      <c r="N24" s="64">
        <v>5337</v>
      </c>
      <c r="O24" s="256">
        <v>7174</v>
      </c>
      <c r="P24" s="64">
        <v>7465</v>
      </c>
      <c r="S24" s="64" t="s">
        <v>252</v>
      </c>
      <c r="T24" s="64">
        <f t="shared" si="8"/>
        <v>0</v>
      </c>
      <c r="U24" s="64">
        <f t="shared" si="3"/>
        <v>0</v>
      </c>
      <c r="V24" s="64">
        <f t="shared" si="4"/>
        <v>1.4976412150862393E-5</v>
      </c>
      <c r="W24" s="64">
        <f t="shared" si="5"/>
        <v>2.4960686918103983E-5</v>
      </c>
      <c r="X24" s="64">
        <f t="shared" si="6"/>
        <v>7.488206075431196E-5</v>
      </c>
      <c r="Z24" s="64" t="s">
        <v>252</v>
      </c>
      <c r="AA24" s="64">
        <f t="shared" si="11"/>
        <v>0</v>
      </c>
      <c r="AB24" s="64">
        <f t="shared" si="12"/>
        <v>0</v>
      </c>
      <c r="AC24" s="64">
        <f t="shared" si="13"/>
        <v>1.4976412150862393E-5</v>
      </c>
      <c r="AD24" s="64">
        <f t="shared" si="14"/>
        <v>2.4960686918103983E-5</v>
      </c>
      <c r="AE24" s="64">
        <f t="shared" si="15"/>
        <v>7.488206075431196E-5</v>
      </c>
      <c r="AI24">
        <f>SUM(T29:T39)</f>
        <v>4.608972271961264E-6</v>
      </c>
      <c r="AJ24">
        <f t="shared" ref="AJ24:AM24" si="17">SUM(U29:U39)</f>
        <v>4.984438880362628E-6</v>
      </c>
      <c r="AK24">
        <f t="shared" si="17"/>
        <v>1.463974018478044E-4</v>
      </c>
      <c r="AL24">
        <f t="shared" si="17"/>
        <v>1.8215538579634014E-4</v>
      </c>
      <c r="AM24">
        <f t="shared" si="17"/>
        <v>6.2452668281804075E-4</v>
      </c>
    </row>
    <row r="25" spans="2:39" x14ac:dyDescent="0.25">
      <c r="B25" s="227">
        <f t="shared" si="2"/>
        <v>2046</v>
      </c>
      <c r="C25" s="409">
        <f t="shared" ref="C25:C26" si="18">C24</f>
        <v>106455.69675759971</v>
      </c>
      <c r="D25" s="276">
        <f t="shared" si="0"/>
        <v>106455.69675759971</v>
      </c>
      <c r="E25" s="240">
        <f>D25*(1+0.07)^-($B25-Assumptions!$D$4)</f>
        <v>19614.374570144693</v>
      </c>
      <c r="G25" s="518"/>
      <c r="H25" s="283" t="s">
        <v>253</v>
      </c>
      <c r="I25" s="64">
        <v>0</v>
      </c>
      <c r="J25" s="64">
        <v>0</v>
      </c>
      <c r="K25" s="64">
        <v>0</v>
      </c>
      <c r="L25" s="64">
        <v>2</v>
      </c>
      <c r="M25" s="64">
        <v>3</v>
      </c>
      <c r="N25" s="64">
        <v>5398</v>
      </c>
      <c r="O25" s="256">
        <v>6948</v>
      </c>
      <c r="P25" s="64">
        <v>7265</v>
      </c>
      <c r="S25" s="64" t="s">
        <v>253</v>
      </c>
      <c r="T25" s="64">
        <f t="shared" si="8"/>
        <v>0</v>
      </c>
      <c r="U25" s="64">
        <f t="shared" si="3"/>
        <v>0</v>
      </c>
      <c r="V25" s="64">
        <f t="shared" si="4"/>
        <v>0</v>
      </c>
      <c r="W25" s="64">
        <f t="shared" si="5"/>
        <v>9.984274767241594E-6</v>
      </c>
      <c r="X25" s="64">
        <f t="shared" si="6"/>
        <v>1.4976412150862393E-5</v>
      </c>
      <c r="Z25" s="64" t="s">
        <v>253</v>
      </c>
      <c r="AA25" s="64">
        <f t="shared" si="11"/>
        <v>0</v>
      </c>
      <c r="AB25" s="64">
        <f t="shared" si="12"/>
        <v>0</v>
      </c>
      <c r="AC25" s="64">
        <f t="shared" si="13"/>
        <v>0</v>
      </c>
      <c r="AD25" s="64">
        <f t="shared" si="14"/>
        <v>9.984274767241594E-6</v>
      </c>
      <c r="AE25" s="64">
        <f t="shared" si="15"/>
        <v>1.4976412150862393E-5</v>
      </c>
      <c r="AI25" s="512" t="s">
        <v>1066</v>
      </c>
      <c r="AJ25" s="512"/>
      <c r="AK25" s="512"/>
      <c r="AL25" s="512"/>
      <c r="AM25" s="512"/>
    </row>
    <row r="26" spans="2:39" x14ac:dyDescent="0.25">
      <c r="B26" s="227">
        <f t="shared" si="2"/>
        <v>2047</v>
      </c>
      <c r="C26" s="409">
        <f t="shared" si="18"/>
        <v>106455.69675759971</v>
      </c>
      <c r="D26" s="276">
        <f t="shared" si="0"/>
        <v>106455.69675759971</v>
      </c>
      <c r="E26" s="240">
        <f>D26*(1+0.07)^-($B26-Assumptions!$D$4)</f>
        <v>18331.191187051118</v>
      </c>
      <c r="G26" s="518"/>
      <c r="H26" s="283" t="s">
        <v>1057</v>
      </c>
      <c r="I26" s="64">
        <v>0</v>
      </c>
      <c r="J26" s="64">
        <v>0</v>
      </c>
      <c r="K26" s="64">
        <v>0</v>
      </c>
      <c r="L26" s="64">
        <v>1</v>
      </c>
      <c r="M26" s="64">
        <v>1</v>
      </c>
      <c r="N26" s="325" t="s">
        <v>1054</v>
      </c>
      <c r="S26" s="64" t="s">
        <v>1057</v>
      </c>
      <c r="T26" s="64">
        <f t="shared" si="8"/>
        <v>0</v>
      </c>
      <c r="U26" s="64">
        <f t="shared" si="3"/>
        <v>0</v>
      </c>
      <c r="V26" s="64">
        <f t="shared" si="4"/>
        <v>0</v>
      </c>
      <c r="W26" s="64">
        <f t="shared" si="5"/>
        <v>4.992137383620797E-6</v>
      </c>
      <c r="X26" s="64">
        <f>M26/$I$11/5</f>
        <v>4.992137383620797E-6</v>
      </c>
      <c r="Z26" s="64" t="s">
        <v>1057</v>
      </c>
      <c r="AA26" s="64">
        <f t="shared" ref="AA26" si="19">T26*$I$45</f>
        <v>0</v>
      </c>
      <c r="AB26" s="64">
        <f t="shared" ref="AB26" si="20">U26*$I$45</f>
        <v>0</v>
      </c>
      <c r="AC26" s="64">
        <f t="shared" ref="AC26" si="21">V26*$I$45</f>
        <v>0</v>
      </c>
      <c r="AD26" s="64">
        <f t="shared" ref="AD26" si="22">W26*$I$45</f>
        <v>2.895439682500062E-6</v>
      </c>
      <c r="AE26" s="64">
        <f t="shared" ref="AE26" si="23">X26*$I$45</f>
        <v>2.895439682500062E-6</v>
      </c>
      <c r="AI26" s="43" t="s">
        <v>31</v>
      </c>
      <c r="AJ26" s="80" t="s">
        <v>32</v>
      </c>
      <c r="AK26" s="80" t="s">
        <v>33</v>
      </c>
      <c r="AL26" s="80" t="s">
        <v>34</v>
      </c>
      <c r="AM26" s="80" t="s">
        <v>35</v>
      </c>
    </row>
    <row r="27" spans="2:39" x14ac:dyDescent="0.25">
      <c r="B27" s="227">
        <f t="shared" si="2"/>
        <v>2048</v>
      </c>
      <c r="C27" s="409">
        <f>C26</f>
        <v>106455.69675759971</v>
      </c>
      <c r="D27" s="276">
        <f t="shared" si="0"/>
        <v>106455.69675759971</v>
      </c>
      <c r="E27" s="240">
        <f>D27*(1+0.07)^-($B27-Assumptions!$D$4)</f>
        <v>17131.954380421601</v>
      </c>
      <c r="G27" s="519"/>
      <c r="H27" s="64" t="s">
        <v>5</v>
      </c>
      <c r="I27" s="325">
        <f>SUM(I16:I26)</f>
        <v>1</v>
      </c>
      <c r="J27" s="325">
        <f t="shared" ref="J27:M27" si="24">SUM(J16:J26)</f>
        <v>1</v>
      </c>
      <c r="K27" s="325">
        <f t="shared" si="24"/>
        <v>23</v>
      </c>
      <c r="L27" s="325">
        <f t="shared" si="24"/>
        <v>30</v>
      </c>
      <c r="M27" s="325">
        <f t="shared" si="24"/>
        <v>98</v>
      </c>
      <c r="N27" s="325">
        <f>SUM(I16:M26)</f>
        <v>153</v>
      </c>
      <c r="S27" s="232" t="s">
        <v>1060</v>
      </c>
      <c r="Z27" s="232" t="s">
        <v>1062</v>
      </c>
      <c r="AI27">
        <f>SUM(AA16:AA26)</f>
        <v>2.895439682500062E-6</v>
      </c>
      <c r="AJ27">
        <f t="shared" ref="AJ27:AM27" si="25">SUM(AB16:AB26)</f>
        <v>4.992137383620797E-6</v>
      </c>
      <c r="AK27">
        <f t="shared" si="25"/>
        <v>9.3852182812070964E-5</v>
      </c>
      <c r="AL27">
        <f t="shared" si="25"/>
        <v>1.3299053989965803E-4</v>
      </c>
      <c r="AM27">
        <f t="shared" si="25"/>
        <v>4.2213513715897463E-4</v>
      </c>
    </row>
    <row r="28" spans="2:39" ht="15" customHeight="1" x14ac:dyDescent="0.25">
      <c r="B28" s="227">
        <f t="shared" si="2"/>
        <v>2049</v>
      </c>
      <c r="C28" s="409">
        <f t="shared" ref="C28:C35" si="26">C27</f>
        <v>106455.69675759971</v>
      </c>
      <c r="D28" s="276">
        <f t="shared" si="0"/>
        <v>106455.69675759971</v>
      </c>
      <c r="E28" s="240">
        <f>D28*(1+0.07)^-($B28-Assumptions!$D$4)</f>
        <v>16011.172318151032</v>
      </c>
      <c r="G28" s="64"/>
      <c r="H28" s="225" t="s">
        <v>1055</v>
      </c>
      <c r="I28" s="64"/>
      <c r="J28" s="64"/>
      <c r="K28" s="64"/>
      <c r="L28" s="64"/>
      <c r="M28" s="64"/>
      <c r="O28" s="224"/>
      <c r="S28" s="334" t="s">
        <v>191</v>
      </c>
      <c r="T28" s="43" t="s">
        <v>31</v>
      </c>
      <c r="U28" s="80" t="s">
        <v>32</v>
      </c>
      <c r="V28" s="80" t="s">
        <v>33</v>
      </c>
      <c r="W28" s="80" t="s">
        <v>34</v>
      </c>
      <c r="X28" s="80" t="s">
        <v>35</v>
      </c>
      <c r="Z28" s="334" t="s">
        <v>191</v>
      </c>
      <c r="AA28" s="43" t="s">
        <v>31</v>
      </c>
      <c r="AB28" s="80" t="s">
        <v>32</v>
      </c>
      <c r="AC28" s="80" t="s">
        <v>33</v>
      </c>
      <c r="AD28" s="80" t="s">
        <v>34</v>
      </c>
      <c r="AE28" s="80" t="s">
        <v>35</v>
      </c>
      <c r="AI28" s="512" t="s">
        <v>1064</v>
      </c>
      <c r="AJ28" s="512"/>
      <c r="AK28" s="512"/>
      <c r="AL28" s="512"/>
      <c r="AM28" s="512"/>
    </row>
    <row r="29" spans="2:39" x14ac:dyDescent="0.25">
      <c r="B29" s="227">
        <f t="shared" si="2"/>
        <v>2050</v>
      </c>
      <c r="C29" s="409">
        <f t="shared" si="26"/>
        <v>106455.69675759971</v>
      </c>
      <c r="D29" s="276">
        <f t="shared" si="0"/>
        <v>106455.69675759971</v>
      </c>
      <c r="E29" s="240">
        <f>D29*(1+0.07)^-($B29-Assumptions!$D$4)</f>
        <v>14963.712446870124</v>
      </c>
      <c r="G29" s="64"/>
      <c r="H29" s="43" t="s">
        <v>191</v>
      </c>
      <c r="I29" s="43" t="s">
        <v>31</v>
      </c>
      <c r="J29" s="80" t="s">
        <v>32</v>
      </c>
      <c r="K29" s="80" t="s">
        <v>33</v>
      </c>
      <c r="L29" s="80" t="s">
        <v>34</v>
      </c>
      <c r="M29" s="80" t="s">
        <v>35</v>
      </c>
      <c r="O29" s="224"/>
      <c r="S29" s="64" t="s">
        <v>244</v>
      </c>
      <c r="T29" s="64">
        <f>I30/$I$12/5</f>
        <v>0</v>
      </c>
      <c r="U29" s="64">
        <f t="shared" ref="U29:X39" si="27">J30/$I$12/5</f>
        <v>0</v>
      </c>
      <c r="V29" s="64">
        <f>K30/$I$12/5</f>
        <v>1.2692287039177896E-5</v>
      </c>
      <c r="W29" s="64">
        <f t="shared" si="27"/>
        <v>0</v>
      </c>
      <c r="X29" s="64">
        <f t="shared" si="27"/>
        <v>3.807686111753369E-5</v>
      </c>
      <c r="Z29" s="64" t="s">
        <v>244</v>
      </c>
      <c r="AA29" s="64">
        <f>T29*$I$45</f>
        <v>0</v>
      </c>
      <c r="AB29" s="64">
        <f t="shared" ref="AB29:AB31" si="28">U29*$I$45</f>
        <v>0</v>
      </c>
      <c r="AC29" s="64">
        <f>V29*$I$45</f>
        <v>7.3615264827231788E-6</v>
      </c>
      <c r="AD29" s="64">
        <f>W29*$I$45</f>
        <v>0</v>
      </c>
      <c r="AE29" s="64">
        <f>X29*$I$45</f>
        <v>2.2084579448169538E-5</v>
      </c>
      <c r="AI29" s="43" t="s">
        <v>31</v>
      </c>
      <c r="AJ29" s="80" t="s">
        <v>32</v>
      </c>
      <c r="AK29" s="80" t="s">
        <v>33</v>
      </c>
      <c r="AL29" s="80" t="s">
        <v>34</v>
      </c>
      <c r="AM29" s="80" t="s">
        <v>35</v>
      </c>
    </row>
    <row r="30" spans="2:39" x14ac:dyDescent="0.25">
      <c r="B30" s="227">
        <f t="shared" si="2"/>
        <v>2051</v>
      </c>
      <c r="C30" s="409">
        <f t="shared" si="26"/>
        <v>106455.69675759971</v>
      </c>
      <c r="D30" s="276">
        <f t="shared" si="0"/>
        <v>106455.69675759971</v>
      </c>
      <c r="E30" s="240">
        <f>D30*(1+0.07)^-($B30-Assumptions!$D$4)</f>
        <v>13984.777987729089</v>
      </c>
      <c r="G30" s="506" t="s">
        <v>250</v>
      </c>
      <c r="H30" s="64" t="s">
        <v>244</v>
      </c>
      <c r="I30" s="287">
        <f>I16*$M65/$I65</f>
        <v>0</v>
      </c>
      <c r="J30" s="287">
        <f t="shared" ref="I30:M35" si="29">J16*$M65/$I65</f>
        <v>0</v>
      </c>
      <c r="K30" s="287">
        <f>K16*$M65/$I65</f>
        <v>3.8648648648648649</v>
      </c>
      <c r="L30" s="287">
        <f t="shared" si="29"/>
        <v>0</v>
      </c>
      <c r="M30" s="287">
        <f t="shared" si="29"/>
        <v>11.594594594594595</v>
      </c>
      <c r="O30" s="224"/>
      <c r="S30" s="64" t="s">
        <v>245</v>
      </c>
      <c r="T30" s="64">
        <f t="shared" ref="T30:T39" si="30">I31/$I$12/5</f>
        <v>0</v>
      </c>
      <c r="U30" s="64">
        <f t="shared" si="27"/>
        <v>0</v>
      </c>
      <c r="V30" s="64">
        <f t="shared" si="27"/>
        <v>2.9185229118638723E-5</v>
      </c>
      <c r="W30" s="64">
        <f t="shared" si="27"/>
        <v>0</v>
      </c>
      <c r="X30" s="64">
        <f t="shared" si="27"/>
        <v>0</v>
      </c>
      <c r="Z30" s="64" t="s">
        <v>245</v>
      </c>
      <c r="AA30" s="64">
        <f t="shared" ref="AA30:AA31" si="31">T30*$I$45</f>
        <v>0</v>
      </c>
      <c r="AB30" s="64">
        <f t="shared" si="28"/>
        <v>0</v>
      </c>
      <c r="AC30" s="64">
        <f t="shared" ref="AC30:AC31" si="32">V30*$I$45</f>
        <v>1.692743288881046E-5</v>
      </c>
      <c r="AD30" s="64">
        <f t="shared" ref="AD30:AD31" si="33">W30*$I$45</f>
        <v>0</v>
      </c>
      <c r="AE30" s="64">
        <f t="shared" ref="AE30:AE31" si="34">X30*$I$45</f>
        <v>0</v>
      </c>
      <c r="AI30">
        <f>SUM(AA29:AA39)</f>
        <v>2.673203917737533E-6</v>
      </c>
      <c r="AJ30">
        <f>SUM(AB29:AB39)</f>
        <v>4.984438880362628E-6</v>
      </c>
      <c r="AK30">
        <f>SUM(AC29:AC39)</f>
        <v>1.1719423493617901E-4</v>
      </c>
      <c r="AL30">
        <f>SUM(AD29:AD39)</f>
        <v>1.67570541544455E-4</v>
      </c>
      <c r="AM30">
        <f>SUM(AE29:AE39)</f>
        <v>5.5329842145809317E-4</v>
      </c>
    </row>
    <row r="31" spans="2:39" x14ac:dyDescent="0.25">
      <c r="B31" s="227">
        <f t="shared" si="2"/>
        <v>2052</v>
      </c>
      <c r="C31" s="409">
        <f t="shared" si="26"/>
        <v>106455.69675759971</v>
      </c>
      <c r="D31" s="276">
        <f t="shared" si="0"/>
        <v>106455.69675759971</v>
      </c>
      <c r="E31" s="240">
        <f>D31*(1+0.07)^-($B31-Assumptions!$D$4)</f>
        <v>13069.885969840265</v>
      </c>
      <c r="G31" s="506"/>
      <c r="H31" s="64" t="s">
        <v>245</v>
      </c>
      <c r="I31" s="287">
        <f t="shared" si="29"/>
        <v>0</v>
      </c>
      <c r="J31" s="287">
        <f t="shared" si="29"/>
        <v>0</v>
      </c>
      <c r="K31" s="287">
        <f t="shared" si="29"/>
        <v>8.8870481927710845</v>
      </c>
      <c r="L31" s="287">
        <f t="shared" si="29"/>
        <v>0</v>
      </c>
      <c r="M31" s="287">
        <f t="shared" si="29"/>
        <v>0</v>
      </c>
      <c r="O31" s="224"/>
      <c r="S31" s="64" t="s">
        <v>246</v>
      </c>
      <c r="T31" s="64">
        <f t="shared" si="30"/>
        <v>4.608972271961264E-6</v>
      </c>
      <c r="U31" s="64">
        <f t="shared" si="27"/>
        <v>0</v>
      </c>
      <c r="V31" s="64">
        <f t="shared" si="27"/>
        <v>2.7653833631767587E-5</v>
      </c>
      <c r="W31" s="64">
        <f t="shared" si="27"/>
        <v>3.2262805903728853E-5</v>
      </c>
      <c r="X31" s="64">
        <f t="shared" si="27"/>
        <v>1.2905122361491541E-4</v>
      </c>
      <c r="Z31" s="64" t="s">
        <v>246</v>
      </c>
      <c r="AA31" s="64">
        <f t="shared" si="31"/>
        <v>2.673203917737533E-6</v>
      </c>
      <c r="AB31" s="64">
        <f t="shared" si="28"/>
        <v>0</v>
      </c>
      <c r="AC31" s="64">
        <f t="shared" si="32"/>
        <v>1.60392235064252E-5</v>
      </c>
      <c r="AD31" s="64">
        <f t="shared" si="33"/>
        <v>1.8712427424162734E-5</v>
      </c>
      <c r="AE31" s="64">
        <f t="shared" si="34"/>
        <v>7.4849709696650935E-5</v>
      </c>
    </row>
    <row r="32" spans="2:39" ht="15" customHeight="1" x14ac:dyDescent="0.25">
      <c r="B32" s="227">
        <f t="shared" si="2"/>
        <v>2053</v>
      </c>
      <c r="C32" s="409">
        <f t="shared" si="26"/>
        <v>106455.69675759971</v>
      </c>
      <c r="D32" s="276">
        <f t="shared" si="0"/>
        <v>106455.69675759971</v>
      </c>
      <c r="E32" s="240">
        <f>D32*(1+0.07)^-($B32-Assumptions!$D$4)</f>
        <v>12214.846700785296</v>
      </c>
      <c r="G32" s="506"/>
      <c r="H32" s="64" t="s">
        <v>246</v>
      </c>
      <c r="I32" s="287">
        <f>I18*$M67/$I67</f>
        <v>1.4034551016735648</v>
      </c>
      <c r="J32" s="287">
        <f t="shared" si="29"/>
        <v>0</v>
      </c>
      <c r="K32" s="287">
        <f t="shared" si="29"/>
        <v>8.4207306100413888</v>
      </c>
      <c r="L32" s="287">
        <f t="shared" si="29"/>
        <v>9.8241857117149536</v>
      </c>
      <c r="M32" s="287">
        <f t="shared" si="29"/>
        <v>39.296742846859814</v>
      </c>
      <c r="O32" s="224"/>
      <c r="S32" s="64" t="s">
        <v>247</v>
      </c>
      <c r="T32" s="64">
        <f t="shared" si="30"/>
        <v>0</v>
      </c>
      <c r="U32" s="64">
        <f t="shared" si="27"/>
        <v>0</v>
      </c>
      <c r="V32" s="64">
        <f t="shared" si="27"/>
        <v>1.1864442143436786E-5</v>
      </c>
      <c r="W32" s="64">
        <f t="shared" si="27"/>
        <v>1.1864442143436786E-5</v>
      </c>
      <c r="X32" s="64">
        <f t="shared" si="27"/>
        <v>2.3728884286873571E-5</v>
      </c>
      <c r="Z32" s="64" t="s">
        <v>247</v>
      </c>
      <c r="AA32" s="64">
        <f>T32</f>
        <v>0</v>
      </c>
      <c r="AB32" s="64">
        <f t="shared" ref="AB32:AB38" si="35">U32</f>
        <v>0</v>
      </c>
      <c r="AC32" s="64">
        <f t="shared" ref="AC32:AC38" si="36">V32</f>
        <v>1.1864442143436786E-5</v>
      </c>
      <c r="AD32" s="64">
        <f t="shared" ref="AD32:AD38" si="37">W32</f>
        <v>1.1864442143436786E-5</v>
      </c>
      <c r="AE32" s="64">
        <f t="shared" ref="AE32:AE38" si="38">X32</f>
        <v>2.3728884286873571E-5</v>
      </c>
      <c r="AI32" s="520" t="s">
        <v>1067</v>
      </c>
      <c r="AJ32" s="520"/>
      <c r="AK32" s="520"/>
      <c r="AL32" s="520"/>
      <c r="AM32" s="520"/>
    </row>
    <row r="33" spans="1:40" x14ac:dyDescent="0.25">
      <c r="B33" s="239">
        <f t="shared" si="2"/>
        <v>2054</v>
      </c>
      <c r="C33" s="409">
        <f t="shared" si="26"/>
        <v>106455.69675759971</v>
      </c>
      <c r="D33" s="276">
        <f t="shared" si="0"/>
        <v>106455.69675759971</v>
      </c>
      <c r="E33" s="240">
        <f>D33*(1+0.07)^-($B33-Assumptions!$D$4)</f>
        <v>11415.744580173176</v>
      </c>
      <c r="G33" s="506"/>
      <c r="H33" s="64" t="s">
        <v>247</v>
      </c>
      <c r="I33" s="287">
        <f t="shared" si="29"/>
        <v>0</v>
      </c>
      <c r="J33" s="287">
        <f t="shared" si="29"/>
        <v>0</v>
      </c>
      <c r="K33" s="287">
        <f t="shared" si="29"/>
        <v>3.6127819548872182</v>
      </c>
      <c r="L33" s="287">
        <f t="shared" si="29"/>
        <v>3.6127819548872182</v>
      </c>
      <c r="M33" s="287">
        <f t="shared" si="29"/>
        <v>7.2255639097744364</v>
      </c>
      <c r="O33" s="224"/>
      <c r="S33" s="64" t="s">
        <v>248</v>
      </c>
      <c r="T33" s="64">
        <f t="shared" si="30"/>
        <v>0</v>
      </c>
      <c r="U33" s="64">
        <f t="shared" si="27"/>
        <v>0</v>
      </c>
      <c r="V33" s="64">
        <f t="shared" si="27"/>
        <v>9.6464565345032663E-6</v>
      </c>
      <c r="W33" s="64">
        <f t="shared" si="27"/>
        <v>3.8585826138013065E-5</v>
      </c>
      <c r="X33" s="64">
        <f t="shared" si="27"/>
        <v>7.2348424008774495E-5</v>
      </c>
      <c r="Z33" s="64" t="s">
        <v>248</v>
      </c>
      <c r="AA33" s="64">
        <f t="shared" ref="AA33:AA38" si="39">T33</f>
        <v>0</v>
      </c>
      <c r="AB33" s="64">
        <f t="shared" si="35"/>
        <v>0</v>
      </c>
      <c r="AC33" s="64">
        <f t="shared" si="36"/>
        <v>9.6464565345032663E-6</v>
      </c>
      <c r="AD33" s="64">
        <f t="shared" si="37"/>
        <v>3.8585826138013065E-5</v>
      </c>
      <c r="AE33" s="64">
        <f t="shared" si="38"/>
        <v>7.2348424008774495E-5</v>
      </c>
      <c r="AH33">
        <v>2022</v>
      </c>
      <c r="AI33">
        <f>AI21-AI27</f>
        <v>2.096697701120735E-6</v>
      </c>
      <c r="AJ33">
        <f t="shared" ref="AJ33:AM33" si="40">AJ21-AJ27</f>
        <v>0</v>
      </c>
      <c r="AK33">
        <f t="shared" si="40"/>
        <v>2.0966977011207372E-5</v>
      </c>
      <c r="AL33">
        <f t="shared" si="40"/>
        <v>1.677358160896586E-5</v>
      </c>
      <c r="AM33">
        <f t="shared" si="40"/>
        <v>6.7094326435863548E-5</v>
      </c>
    </row>
    <row r="34" spans="1:40" ht="15" customHeight="1" x14ac:dyDescent="0.25">
      <c r="B34" s="239">
        <f t="shared" si="2"/>
        <v>2055</v>
      </c>
      <c r="C34" s="409">
        <f t="shared" si="26"/>
        <v>106455.69675759971</v>
      </c>
      <c r="D34" s="276">
        <f t="shared" si="0"/>
        <v>106455.69675759971</v>
      </c>
      <c r="E34" s="240">
        <f>D34*(1+0.07)^-($B34-Assumptions!$D$4)</f>
        <v>10668.920168386145</v>
      </c>
      <c r="G34" s="506"/>
      <c r="H34" s="64" t="s">
        <v>248</v>
      </c>
      <c r="I34" s="287">
        <f t="shared" si="29"/>
        <v>0</v>
      </c>
      <c r="J34" s="287">
        <f t="shared" si="29"/>
        <v>0</v>
      </c>
      <c r="K34" s="287">
        <f t="shared" si="29"/>
        <v>2.9373942470389172</v>
      </c>
      <c r="L34" s="287">
        <f t="shared" si="29"/>
        <v>11.749576988155669</v>
      </c>
      <c r="M34" s="287">
        <f t="shared" si="29"/>
        <v>22.030456852791879</v>
      </c>
      <c r="O34" s="224"/>
      <c r="S34" s="64" t="s">
        <v>249</v>
      </c>
      <c r="T34" s="64">
        <f t="shared" si="30"/>
        <v>0</v>
      </c>
      <c r="U34" s="64">
        <f t="shared" si="27"/>
        <v>4.984438880362628E-6</v>
      </c>
      <c r="V34" s="64">
        <f t="shared" si="27"/>
        <v>1.9937755521450512E-5</v>
      </c>
      <c r="W34" s="64">
        <f t="shared" si="27"/>
        <v>9.968877760725256E-6</v>
      </c>
      <c r="X34" s="64">
        <f t="shared" si="27"/>
        <v>6.4797705444714169E-5</v>
      </c>
      <c r="Z34" s="64" t="s">
        <v>249</v>
      </c>
      <c r="AA34" s="64">
        <f t="shared" si="39"/>
        <v>0</v>
      </c>
      <c r="AB34" s="64">
        <f t="shared" si="35"/>
        <v>4.984438880362628E-6</v>
      </c>
      <c r="AC34" s="64">
        <f t="shared" si="36"/>
        <v>1.9937755521450512E-5</v>
      </c>
      <c r="AD34" s="64">
        <f t="shared" si="37"/>
        <v>9.968877760725256E-6</v>
      </c>
      <c r="AE34" s="64">
        <f t="shared" si="38"/>
        <v>6.4797705444714169E-5</v>
      </c>
      <c r="AH34">
        <v>2045</v>
      </c>
      <c r="AI34">
        <f>AI24-AI30</f>
        <v>1.935768354223731E-6</v>
      </c>
      <c r="AJ34">
        <f>AJ24-AJ30</f>
        <v>0</v>
      </c>
      <c r="AK34">
        <f>AK24-AK30</f>
        <v>2.9203166911625388E-5</v>
      </c>
      <c r="AL34">
        <f>AL24-AL30</f>
        <v>1.4584844251885139E-5</v>
      </c>
      <c r="AM34">
        <f>AM24-AM30</f>
        <v>7.1228261359947576E-5</v>
      </c>
    </row>
    <row r="35" spans="1:40" ht="15.75" customHeight="1" thickBot="1" x14ac:dyDescent="0.3">
      <c r="B35" s="235">
        <f t="shared" si="2"/>
        <v>2056</v>
      </c>
      <c r="C35" s="410">
        <f t="shared" si="26"/>
        <v>106455.69675759971</v>
      </c>
      <c r="D35" s="277">
        <f t="shared" si="0"/>
        <v>106455.69675759971</v>
      </c>
      <c r="E35" s="236">
        <f>D35*(1+0.07)^-($B35-Assumptions!$D$4)</f>
        <v>9970.9534283982648</v>
      </c>
      <c r="G35" s="506"/>
      <c r="H35" s="64" t="s">
        <v>249</v>
      </c>
      <c r="I35" s="287">
        <f t="shared" si="29"/>
        <v>0</v>
      </c>
      <c r="J35" s="287">
        <f t="shared" si="29"/>
        <v>1.517786561264822</v>
      </c>
      <c r="K35" s="287">
        <f t="shared" si="29"/>
        <v>6.0711462450592881</v>
      </c>
      <c r="L35" s="287">
        <f t="shared" si="29"/>
        <v>3.0355731225296441</v>
      </c>
      <c r="M35" s="287">
        <f t="shared" si="29"/>
        <v>19.731225296442688</v>
      </c>
      <c r="O35" s="224"/>
      <c r="S35" s="64" t="s">
        <v>500</v>
      </c>
      <c r="T35" s="64">
        <f t="shared" si="30"/>
        <v>0</v>
      </c>
      <c r="U35" s="64">
        <f t="shared" si="27"/>
        <v>0</v>
      </c>
      <c r="V35" s="64">
        <f t="shared" si="27"/>
        <v>4.608972271961264E-6</v>
      </c>
      <c r="W35" s="64">
        <f t="shared" si="27"/>
        <v>0</v>
      </c>
      <c r="X35" s="64">
        <f t="shared" si="27"/>
        <v>9.2179445439225279E-6</v>
      </c>
      <c r="Z35" s="64" t="s">
        <v>500</v>
      </c>
      <c r="AA35" s="64">
        <f t="shared" si="39"/>
        <v>0</v>
      </c>
      <c r="AB35" s="64">
        <f t="shared" si="35"/>
        <v>0</v>
      </c>
      <c r="AC35" s="64">
        <f t="shared" si="36"/>
        <v>4.608972271961264E-6</v>
      </c>
      <c r="AD35" s="64">
        <f t="shared" si="37"/>
        <v>0</v>
      </c>
      <c r="AE35" s="64">
        <f t="shared" si="38"/>
        <v>9.2179445439225279E-6</v>
      </c>
    </row>
    <row r="36" spans="1:40" ht="15.75" thickBot="1" x14ac:dyDescent="0.3">
      <c r="B36" s="4"/>
      <c r="C36" s="92" t="s">
        <v>2</v>
      </c>
      <c r="D36" s="92"/>
      <c r="E36" s="99">
        <f>SUM(E6:E35)</f>
        <v>3751632.0251032454</v>
      </c>
      <c r="G36" s="517" t="s">
        <v>254</v>
      </c>
      <c r="H36" s="318" t="s">
        <v>500</v>
      </c>
      <c r="I36" s="287">
        <f>I22*$M$67/$I$67</f>
        <v>0</v>
      </c>
      <c r="J36" s="287">
        <f>J22*$M$67/$I$67</f>
        <v>0</v>
      </c>
      <c r="K36" s="287">
        <f>K22*$M$67/$I$67</f>
        <v>1.4034551016735648</v>
      </c>
      <c r="L36" s="287">
        <f>L22*$M$67/$I$67</f>
        <v>0</v>
      </c>
      <c r="M36" s="287">
        <f>M22*$M$67/$I$67</f>
        <v>2.8069102033471296</v>
      </c>
      <c r="O36" s="224"/>
      <c r="S36" s="64" t="s">
        <v>251</v>
      </c>
      <c r="T36" s="64">
        <f t="shared" si="30"/>
        <v>0</v>
      </c>
      <c r="U36" s="64">
        <f t="shared" si="27"/>
        <v>0</v>
      </c>
      <c r="V36" s="64">
        <f t="shared" si="27"/>
        <v>1.1043704561470011E-5</v>
      </c>
      <c r="W36" s="64">
        <f t="shared" si="27"/>
        <v>3.3131113684410035E-5</v>
      </c>
      <c r="X36" s="64">
        <f t="shared" si="27"/>
        <v>1.5461186386058016E-4</v>
      </c>
      <c r="Z36" s="64" t="s">
        <v>251</v>
      </c>
      <c r="AA36" s="64">
        <f t="shared" si="39"/>
        <v>0</v>
      </c>
      <c r="AB36" s="64">
        <f t="shared" si="35"/>
        <v>0</v>
      </c>
      <c r="AC36" s="64">
        <f t="shared" si="36"/>
        <v>1.1043704561470011E-5</v>
      </c>
      <c r="AD36" s="64">
        <f t="shared" si="37"/>
        <v>3.3131113684410035E-5</v>
      </c>
      <c r="AE36" s="64">
        <f t="shared" si="38"/>
        <v>1.5461186386058016E-4</v>
      </c>
    </row>
    <row r="37" spans="1:40" ht="15" customHeight="1" x14ac:dyDescent="0.25">
      <c r="G37" s="518"/>
      <c r="H37" s="283" t="s">
        <v>251</v>
      </c>
      <c r="I37" s="287">
        <f>I23*$M$104/$M$74</f>
        <v>0</v>
      </c>
      <c r="J37" s="287">
        <f>J23*$M$104/$M$74</f>
        <v>0</v>
      </c>
      <c r="K37" s="287">
        <f>K23*$M$104/$M$74</f>
        <v>3.3628632574904258</v>
      </c>
      <c r="L37" s="287">
        <f>L23*$M$104/$M$74</f>
        <v>10.088589772471277</v>
      </c>
      <c r="M37" s="287">
        <f>M23*$M$104/$M$74</f>
        <v>47.080085604865964</v>
      </c>
      <c r="O37" s="224"/>
      <c r="S37" s="64" t="s">
        <v>252</v>
      </c>
      <c r="T37" s="64">
        <f t="shared" si="30"/>
        <v>0</v>
      </c>
      <c r="U37" s="64">
        <f t="shared" si="27"/>
        <v>0</v>
      </c>
      <c r="V37" s="64">
        <f t="shared" si="27"/>
        <v>1.9764721025398352E-5</v>
      </c>
      <c r="W37" s="64">
        <f t="shared" si="27"/>
        <v>3.2941201708997265E-5</v>
      </c>
      <c r="X37" s="64">
        <f t="shared" si="27"/>
        <v>9.8823605126991781E-5</v>
      </c>
      <c r="Z37" s="64" t="s">
        <v>252</v>
      </c>
      <c r="AA37" s="64">
        <f t="shared" si="39"/>
        <v>0</v>
      </c>
      <c r="AB37" s="64">
        <f t="shared" si="35"/>
        <v>0</v>
      </c>
      <c r="AC37" s="64">
        <f t="shared" si="36"/>
        <v>1.9764721025398352E-5</v>
      </c>
      <c r="AD37" s="64">
        <f t="shared" si="37"/>
        <v>3.2941201708997265E-5</v>
      </c>
      <c r="AE37" s="64">
        <f t="shared" si="38"/>
        <v>9.8823605126991781E-5</v>
      </c>
      <c r="AI37" t="s">
        <v>5</v>
      </c>
      <c r="AJ37" s="29">
        <f>SUM(AJ39:AJ68)</f>
        <v>3.2976384024482144</v>
      </c>
      <c r="AK37" s="29">
        <f t="shared" ref="AK37:AN37" si="41">SUM(AK39:AK68)</f>
        <v>0</v>
      </c>
      <c r="AL37" s="29">
        <f t="shared" si="41"/>
        <v>46.414691886639801</v>
      </c>
      <c r="AM37" s="29">
        <f t="shared" si="41"/>
        <v>25.150900319815673</v>
      </c>
      <c r="AN37" s="29">
        <f t="shared" si="41"/>
        <v>118.19591131920684</v>
      </c>
    </row>
    <row r="38" spans="1:40" ht="15" customHeight="1" x14ac:dyDescent="0.25">
      <c r="B38" s="10" t="s">
        <v>3</v>
      </c>
      <c r="G38" s="518"/>
      <c r="H38" s="283" t="s">
        <v>252</v>
      </c>
      <c r="I38" s="287">
        <f>I24*$M$107/$M$77</f>
        <v>0</v>
      </c>
      <c r="J38" s="287">
        <f>J24*$M$107/$M$77</f>
        <v>0</v>
      </c>
      <c r="K38" s="287">
        <f>K24*$M$107/$M$77</f>
        <v>6.0184563758389258</v>
      </c>
      <c r="L38" s="287">
        <f>L24*$M$107/$M$77</f>
        <v>10.030760626398211</v>
      </c>
      <c r="M38" s="287">
        <f>M24*$M$107/$M$77</f>
        <v>30.09228187919463</v>
      </c>
      <c r="O38" s="224"/>
      <c r="S38" s="64" t="s">
        <v>253</v>
      </c>
      <c r="T38" s="64">
        <f t="shared" si="30"/>
        <v>0</v>
      </c>
      <c r="U38" s="64">
        <f t="shared" si="27"/>
        <v>0</v>
      </c>
      <c r="V38" s="64">
        <f t="shared" si="27"/>
        <v>0</v>
      </c>
      <c r="W38" s="64">
        <f t="shared" si="27"/>
        <v>2.0938104713412178E-5</v>
      </c>
      <c r="X38" s="64">
        <f t="shared" si="27"/>
        <v>3.140715707011827E-5</v>
      </c>
      <c r="Z38" s="64" t="s">
        <v>253</v>
      </c>
      <c r="AA38" s="64">
        <f t="shared" si="39"/>
        <v>0</v>
      </c>
      <c r="AB38" s="64">
        <f t="shared" si="35"/>
        <v>0</v>
      </c>
      <c r="AC38" s="64">
        <f t="shared" si="36"/>
        <v>0</v>
      </c>
      <c r="AD38" s="64">
        <f t="shared" si="37"/>
        <v>2.0938104713412178E-5</v>
      </c>
      <c r="AE38" s="64">
        <f t="shared" si="38"/>
        <v>3.140715707011827E-5</v>
      </c>
      <c r="AI38" s="64"/>
      <c r="AJ38" s="43" t="s">
        <v>31</v>
      </c>
      <c r="AK38" s="80" t="s">
        <v>32</v>
      </c>
      <c r="AL38" s="80" t="s">
        <v>33</v>
      </c>
      <c r="AM38" s="80" t="s">
        <v>34</v>
      </c>
      <c r="AN38" s="80" t="s">
        <v>35</v>
      </c>
    </row>
    <row r="39" spans="1:40" ht="15" customHeight="1" x14ac:dyDescent="0.25">
      <c r="A39" s="11" t="s">
        <v>30</v>
      </c>
      <c r="B39" s="489" t="s">
        <v>1130</v>
      </c>
      <c r="C39" s="489"/>
      <c r="D39" s="489"/>
      <c r="E39" s="489"/>
      <c r="G39" s="518"/>
      <c r="H39" s="283" t="s">
        <v>253</v>
      </c>
      <c r="I39" s="287">
        <f>I25*$M$110/$M$80</f>
        <v>0</v>
      </c>
      <c r="J39" s="287">
        <f>J25*$M$110/$M$80</f>
        <v>0</v>
      </c>
      <c r="K39" s="287">
        <f>K25*$M$110/$M$80</f>
        <v>0</v>
      </c>
      <c r="L39" s="287">
        <f>L25*$M$110/$M$80</f>
        <v>6.375757575757576</v>
      </c>
      <c r="M39" s="287">
        <f>M25*$M$110/$M$80</f>
        <v>9.5636363636363644</v>
      </c>
      <c r="O39" s="224"/>
      <c r="S39" s="64" t="s">
        <v>1057</v>
      </c>
      <c r="T39" s="64">
        <f t="shared" si="30"/>
        <v>0</v>
      </c>
      <c r="U39" s="64">
        <f t="shared" si="27"/>
        <v>0</v>
      </c>
      <c r="V39" s="64">
        <f t="shared" si="27"/>
        <v>0</v>
      </c>
      <c r="W39" s="64">
        <f t="shared" si="27"/>
        <v>2.4630137436166895E-6</v>
      </c>
      <c r="X39" s="64">
        <f t="shared" si="27"/>
        <v>2.4630137436166895E-6</v>
      </c>
      <c r="Z39" s="64" t="s">
        <v>1057</v>
      </c>
      <c r="AA39" s="64">
        <f t="shared" ref="AA39" si="42">T39*$I$45</f>
        <v>0</v>
      </c>
      <c r="AB39" s="64">
        <f t="shared" ref="AB39" si="43">U39*$I$45</f>
        <v>0</v>
      </c>
      <c r="AC39" s="64">
        <f t="shared" ref="AC39" si="44">V39*$I$45</f>
        <v>0</v>
      </c>
      <c r="AD39" s="64">
        <f t="shared" ref="AD39" si="45">W39*$I$45</f>
        <v>1.4285479712976798E-6</v>
      </c>
      <c r="AE39" s="64">
        <f t="shared" ref="AE39" si="46">X39*$I$45</f>
        <v>1.4285479712976798E-6</v>
      </c>
      <c r="AI39" s="64">
        <v>2025</v>
      </c>
      <c r="AJ39" s="331">
        <f>_xlfn.FORECAST.LINEAR($AI39,AI$33:AI$34,$AH$33:$AH$34)*_xlfn.FORECAST.LINEAR($AI39,$I$11:$I$12,$H$11:$H$12)</f>
        <v>8.8800817605176441E-2</v>
      </c>
      <c r="AK39" s="331">
        <f t="shared" ref="AK39:AN39" si="47">_xlfn.FORECAST.LINEAR($AI39,AJ$33:AJ$34,$AH$33:$AH$34)*_xlfn.FORECAST.LINEAR($AI39,$I$11:$I$12,$H$11:$H$12)</f>
        <v>0</v>
      </c>
      <c r="AL39" s="331">
        <f t="shared" si="47"/>
        <v>0.94294725744643804</v>
      </c>
      <c r="AM39" s="331">
        <f t="shared" si="47"/>
        <v>0.70537715487317787</v>
      </c>
      <c r="AN39" s="331">
        <f t="shared" si="47"/>
        <v>2.8934302753379706</v>
      </c>
    </row>
    <row r="40" spans="1:40" x14ac:dyDescent="0.25">
      <c r="B40" s="489"/>
      <c r="C40" s="489"/>
      <c r="D40" s="489"/>
      <c r="E40" s="489"/>
      <c r="G40" s="519"/>
      <c r="H40" s="283" t="s">
        <v>1057</v>
      </c>
      <c r="I40" s="287">
        <f>I26*I46</f>
        <v>0</v>
      </c>
      <c r="J40" s="287">
        <f t="shared" ref="J40:M40" si="48">J26*J46</f>
        <v>0</v>
      </c>
      <c r="K40" s="287">
        <f t="shared" si="48"/>
        <v>0</v>
      </c>
      <c r="L40" s="287">
        <f t="shared" si="48"/>
        <v>0.75</v>
      </c>
      <c r="M40" s="287">
        <f t="shared" si="48"/>
        <v>0.75</v>
      </c>
      <c r="O40" s="224"/>
      <c r="AI40" s="64">
        <v>2026</v>
      </c>
      <c r="AJ40" s="331">
        <f t="shared" ref="AJ40:AN40" si="49">_xlfn.FORECAST.LINEAR($AI40,AI$33:AI$34,$AH$33:$AH$34)*_xlfn.FORECAST.LINEAR($AI40,$I$11:$I$12,$H$11:$H$12)</f>
        <v>9.0375733272706829E-2</v>
      </c>
      <c r="AK40" s="331">
        <f t="shared" si="49"/>
        <v>0</v>
      </c>
      <c r="AL40" s="331">
        <f t="shared" si="49"/>
        <v>0.97856074698071605</v>
      </c>
      <c r="AM40" s="331">
        <f t="shared" si="49"/>
        <v>0.71615800428675613</v>
      </c>
      <c r="AN40" s="331">
        <f t="shared" si="49"/>
        <v>2.9625583981389561</v>
      </c>
    </row>
    <row r="41" spans="1:40" x14ac:dyDescent="0.25">
      <c r="B41" s="489"/>
      <c r="C41" s="489"/>
      <c r="D41" s="489"/>
      <c r="E41" s="489"/>
      <c r="G41" s="64"/>
      <c r="H41" s="64"/>
      <c r="I41" s="329"/>
      <c r="J41" s="325" t="s">
        <v>1056</v>
      </c>
      <c r="K41" s="329">
        <f>SUM(I30:L39)</f>
        <v>102.21720826451862</v>
      </c>
      <c r="L41" s="325" t="s">
        <v>1054</v>
      </c>
      <c r="M41" s="330">
        <f>SUM(I30:M40)</f>
        <v>293.13870581602606</v>
      </c>
      <c r="O41" s="224"/>
      <c r="AI41" s="64">
        <v>2027</v>
      </c>
      <c r="AJ41" s="331">
        <f t="shared" ref="AJ41:AN41" si="50">_xlfn.FORECAST.LINEAR($AI41,AI$33:AI$34,$AH$33:$AH$34)*_xlfn.FORECAST.LINEAR($AI41,$I$11:$I$12,$H$11:$H$12)</f>
        <v>9.1937970506472969E-2</v>
      </c>
      <c r="AK41" s="331">
        <f t="shared" si="50"/>
        <v>0</v>
      </c>
      <c r="AL41" s="331">
        <f t="shared" si="50"/>
        <v>1.0148231050410665</v>
      </c>
      <c r="AM41" s="331">
        <f t="shared" si="50"/>
        <v>0.72676641926159391</v>
      </c>
      <c r="AN41" s="331">
        <f t="shared" si="50"/>
        <v>3.0320122031174361</v>
      </c>
    </row>
    <row r="42" spans="1:40" x14ac:dyDescent="0.25">
      <c r="B42" s="489"/>
      <c r="C42" s="489"/>
      <c r="D42" s="489"/>
      <c r="E42" s="489"/>
      <c r="I42" s="184"/>
      <c r="J42" s="184"/>
      <c r="K42" s="184"/>
      <c r="L42" s="184"/>
      <c r="M42" s="184"/>
      <c r="AI42" s="64">
        <v>2028</v>
      </c>
      <c r="AJ42" s="331">
        <f t="shared" ref="AJ42:AN42" si="51">_xlfn.FORECAST.LINEAR($AI42,AI$33:AI$34,$AH$33:$AH$34)*_xlfn.FORECAST.LINEAR($AI42,$I$11:$I$12,$H$11:$H$12)</f>
        <v>9.3487529306474887E-2</v>
      </c>
      <c r="AK42" s="331">
        <f t="shared" si="51"/>
        <v>0</v>
      </c>
      <c r="AL42" s="331">
        <f t="shared" si="51"/>
        <v>1.0517343316274801</v>
      </c>
      <c r="AM42" s="331">
        <f t="shared" si="51"/>
        <v>0.73720239979769131</v>
      </c>
      <c r="AN42" s="331">
        <f t="shared" si="51"/>
        <v>3.1017916902734166</v>
      </c>
    </row>
    <row r="43" spans="1:40" ht="17.25" x14ac:dyDescent="0.25">
      <c r="B43" s="489"/>
      <c r="C43" s="489"/>
      <c r="D43" s="489"/>
      <c r="E43" s="489"/>
      <c r="H43" s="10" t="s">
        <v>192</v>
      </c>
      <c r="AI43" s="64">
        <v>2029</v>
      </c>
      <c r="AJ43" s="331">
        <f t="shared" ref="AJ43:AN43" si="52">_xlfn.FORECAST.LINEAR($AI43,AI$33:AI$34,$AH$33:$AH$34)*_xlfn.FORECAST.LINEAR($AI43,$I$11:$I$12,$H$11:$H$12)</f>
        <v>9.5024409672712487E-2</v>
      </c>
      <c r="AK43" s="331">
        <f t="shared" si="52"/>
        <v>0</v>
      </c>
      <c r="AL43" s="331">
        <f t="shared" si="52"/>
        <v>1.0892944267399611</v>
      </c>
      <c r="AM43" s="331">
        <f t="shared" si="52"/>
        <v>0.74746594589504822</v>
      </c>
      <c r="AN43" s="331">
        <f t="shared" si="52"/>
        <v>3.1718968596068939</v>
      </c>
    </row>
    <row r="44" spans="1:40" x14ac:dyDescent="0.25">
      <c r="B44" s="489"/>
      <c r="C44" s="489"/>
      <c r="D44" s="489"/>
      <c r="E44" s="489"/>
      <c r="H44" s="27" t="s">
        <v>193</v>
      </c>
      <c r="I44" s="43" t="s">
        <v>31</v>
      </c>
      <c r="J44" s="80" t="s">
        <v>32</v>
      </c>
      <c r="K44" s="80" t="s">
        <v>33</v>
      </c>
      <c r="L44" s="80" t="s">
        <v>34</v>
      </c>
      <c r="M44" s="80" t="s">
        <v>35</v>
      </c>
      <c r="N44" s="521" t="s">
        <v>194</v>
      </c>
      <c r="O44" s="505"/>
      <c r="AI44" s="64">
        <v>2030</v>
      </c>
      <c r="AJ44" s="331">
        <f t="shared" ref="AJ44:AN44" si="53">_xlfn.FORECAST.LINEAR($AI44,AI$33:AI$34,$AH$33:$AH$34)*_xlfn.FORECAST.LINEAR($AI44,$I$11:$I$12,$H$11:$H$12)</f>
        <v>9.6548611605185936E-2</v>
      </c>
      <c r="AK44" s="331">
        <f t="shared" si="53"/>
        <v>0</v>
      </c>
      <c r="AL44" s="331">
        <f t="shared" si="53"/>
        <v>1.1275033903785148</v>
      </c>
      <c r="AM44" s="331">
        <f t="shared" si="53"/>
        <v>0.75755705755366476</v>
      </c>
      <c r="AN44" s="331">
        <f t="shared" si="53"/>
        <v>3.2423277111178663</v>
      </c>
    </row>
    <row r="45" spans="1:40" ht="30" x14ac:dyDescent="0.25">
      <c r="B45" s="28"/>
      <c r="C45" s="28"/>
      <c r="D45" s="28"/>
      <c r="E45" s="28"/>
      <c r="H45" s="339" t="s">
        <v>198</v>
      </c>
      <c r="I45" s="111">
        <v>0.57999999999999996</v>
      </c>
      <c r="J45" s="111">
        <v>0.57999999999999996</v>
      </c>
      <c r="K45" s="111">
        <v>0.57999999999999996</v>
      </c>
      <c r="L45" s="111">
        <v>0.57999999999999996</v>
      </c>
      <c r="M45" s="111">
        <v>0.57999999999999996</v>
      </c>
      <c r="N45" s="245" t="s">
        <v>196</v>
      </c>
      <c r="O45" s="278" t="s">
        <v>197</v>
      </c>
      <c r="U45" s="520" t="s">
        <v>20</v>
      </c>
      <c r="V45" s="520"/>
      <c r="W45" s="520"/>
      <c r="X45" s="520"/>
      <c r="Y45" s="520"/>
      <c r="Z45" s="520" t="s">
        <v>21</v>
      </c>
      <c r="AA45" s="520"/>
      <c r="AB45" s="520"/>
      <c r="AC45" s="520"/>
      <c r="AD45" s="520"/>
      <c r="AI45" s="64">
        <v>2031</v>
      </c>
      <c r="AJ45" s="331">
        <f t="shared" ref="AJ45:AN45" si="54">_xlfn.FORECAST.LINEAR($AI45,AI$33:AI$34,$AH$33:$AH$34)*_xlfn.FORECAST.LINEAR($AI45,$I$11:$I$12,$H$11:$H$12)</f>
        <v>9.8060135103895163E-2</v>
      </c>
      <c r="AK45" s="331">
        <f t="shared" si="54"/>
        <v>0</v>
      </c>
      <c r="AL45" s="331">
        <f t="shared" si="54"/>
        <v>1.1663612225431312</v>
      </c>
      <c r="AM45" s="331">
        <f t="shared" si="54"/>
        <v>0.76747573477354081</v>
      </c>
      <c r="AN45" s="331">
        <f t="shared" si="54"/>
        <v>3.3130842448063391</v>
      </c>
    </row>
    <row r="46" spans="1:40" x14ac:dyDescent="0.25">
      <c r="H46" s="64" t="s">
        <v>1059</v>
      </c>
      <c r="I46" s="111">
        <v>0.75</v>
      </c>
      <c r="J46" s="111">
        <v>0.75</v>
      </c>
      <c r="K46" s="111">
        <v>0.75</v>
      </c>
      <c r="L46" s="111">
        <v>0.75</v>
      </c>
      <c r="M46" s="111">
        <v>0.75</v>
      </c>
      <c r="T46" s="64"/>
      <c r="U46" s="64" t="s">
        <v>261</v>
      </c>
      <c r="V46" s="64"/>
      <c r="W46" s="64"/>
      <c r="X46" s="64"/>
      <c r="Y46" s="64"/>
      <c r="Z46" s="64" t="s">
        <v>261</v>
      </c>
      <c r="AA46" s="64"/>
      <c r="AB46" s="64"/>
      <c r="AC46" s="64"/>
      <c r="AD46" s="64"/>
      <c r="AE46" s="64"/>
      <c r="AF46" s="64"/>
      <c r="AI46" s="64">
        <v>2032</v>
      </c>
      <c r="AJ46" s="331">
        <f t="shared" ref="AJ46:AN46" si="55">_xlfn.FORECAST.LINEAR($AI46,AI$33:AI$34,$AH$33:$AH$34)*_xlfn.FORECAST.LINEAR($AI46,$I$11:$I$12,$H$11:$H$12)</f>
        <v>9.9558980168840142E-2</v>
      </c>
      <c r="AK46" s="331">
        <f t="shared" si="55"/>
        <v>0</v>
      </c>
      <c r="AL46" s="331">
        <f t="shared" si="55"/>
        <v>1.2058679232338207</v>
      </c>
      <c r="AM46" s="331">
        <f t="shared" si="55"/>
        <v>0.77722197755467637</v>
      </c>
      <c r="AN46" s="331">
        <f t="shared" si="55"/>
        <v>3.3841664606723088</v>
      </c>
    </row>
    <row r="47" spans="1:40" ht="15" customHeight="1" x14ac:dyDescent="0.25">
      <c r="A47" s="11" t="s">
        <v>43</v>
      </c>
      <c r="B47" s="489" t="s">
        <v>1131</v>
      </c>
      <c r="C47" s="489"/>
      <c r="D47" s="489"/>
      <c r="E47" s="489"/>
      <c r="T47" s="64"/>
      <c r="U47" s="43" t="s">
        <v>31</v>
      </c>
      <c r="V47" s="43" t="s">
        <v>32</v>
      </c>
      <c r="W47" s="43" t="s">
        <v>33</v>
      </c>
      <c r="X47" s="43" t="s">
        <v>34</v>
      </c>
      <c r="Y47" s="43" t="s">
        <v>35</v>
      </c>
      <c r="Z47" s="43" t="s">
        <v>31</v>
      </c>
      <c r="AA47" s="43" t="s">
        <v>32</v>
      </c>
      <c r="AB47" s="43" t="s">
        <v>33</v>
      </c>
      <c r="AC47" s="43" t="s">
        <v>34</v>
      </c>
      <c r="AD47" s="43" t="s">
        <v>35</v>
      </c>
      <c r="AE47" s="43" t="s">
        <v>218</v>
      </c>
      <c r="AF47" s="43" t="s">
        <v>219</v>
      </c>
      <c r="AI47" s="64">
        <v>2033</v>
      </c>
      <c r="AJ47" s="331">
        <f t="shared" ref="AJ47:AN47" si="56">_xlfn.FORECAST.LINEAR($AI47,AI$33:AI$34,$AH$33:$AH$34)*_xlfn.FORECAST.LINEAR($AI47,$I$11:$I$12,$H$11:$H$12)</f>
        <v>0.1010451468000208</v>
      </c>
      <c r="AK47" s="331">
        <f t="shared" si="56"/>
        <v>0</v>
      </c>
      <c r="AL47" s="331">
        <f t="shared" si="56"/>
        <v>1.2460234924505724</v>
      </c>
      <c r="AM47" s="331">
        <f t="shared" si="56"/>
        <v>0.78679578589707155</v>
      </c>
      <c r="AN47" s="331">
        <f t="shared" si="56"/>
        <v>3.4555743587157735</v>
      </c>
    </row>
    <row r="48" spans="1:40" x14ac:dyDescent="0.25">
      <c r="B48" s="489"/>
      <c r="C48" s="489"/>
      <c r="D48" s="489"/>
      <c r="E48" s="489"/>
      <c r="H48" s="55" t="s">
        <v>260</v>
      </c>
      <c r="I48">
        <v>2022</v>
      </c>
      <c r="J48" s="15">
        <v>2045</v>
      </c>
      <c r="K48">
        <v>2022</v>
      </c>
      <c r="L48">
        <v>2045</v>
      </c>
      <c r="T48" s="64">
        <v>2022</v>
      </c>
      <c r="U48" s="332">
        <f>I27/5</f>
        <v>0.2</v>
      </c>
      <c r="V48" s="332">
        <f>J27/5</f>
        <v>0.2</v>
      </c>
      <c r="W48" s="332">
        <f>K27/5</f>
        <v>4.5999999999999996</v>
      </c>
      <c r="X48" s="332">
        <f>L27/5</f>
        <v>6</v>
      </c>
      <c r="Y48" s="332">
        <f>M27/5</f>
        <v>19.600000000000001</v>
      </c>
      <c r="Z48" s="332">
        <f>U48*$K$61/$I$61</f>
        <v>0.15164423633037322</v>
      </c>
      <c r="AA48" s="332">
        <f>V48*$K$61/$I$61</f>
        <v>0.15164423633037322</v>
      </c>
      <c r="AB48" s="332">
        <f>W48*$K$61/$I$61</f>
        <v>3.4878174355985836</v>
      </c>
      <c r="AC48" s="332">
        <f>X48*$K$61/$I$61</f>
        <v>4.5493270899111957</v>
      </c>
      <c r="AD48" s="332">
        <f>Y48*$K$61/$I$61</f>
        <v>14.861135160376575</v>
      </c>
      <c r="AE48" s="332">
        <f>SUMPRODUCT(U48:Y48,$I$7:$M$7)</f>
        <v>3744960</v>
      </c>
      <c r="AF48" s="332">
        <f>SUMPRODUCT(Z48:AD48,$I$7:$M$7)</f>
        <v>2839507.9964389722</v>
      </c>
      <c r="AI48" s="64">
        <v>2034</v>
      </c>
      <c r="AJ48" s="331">
        <f t="shared" ref="AJ48:AN48" si="57">_xlfn.FORECAST.LINEAR($AI48,AI$33:AI$34,$AH$33:$AH$34)*_xlfn.FORECAST.LINEAR($AI48,$I$11:$I$12,$H$11:$H$12)</f>
        <v>0.10251863499743732</v>
      </c>
      <c r="AK48" s="331">
        <f t="shared" si="57"/>
        <v>0</v>
      </c>
      <c r="AL48" s="331">
        <f t="shared" si="57"/>
        <v>1.286827930193392</v>
      </c>
      <c r="AM48" s="331">
        <f t="shared" si="57"/>
        <v>0.79619715980072625</v>
      </c>
      <c r="AN48" s="331">
        <f t="shared" si="57"/>
        <v>3.5273079389367381</v>
      </c>
    </row>
    <row r="49" spans="1:40" x14ac:dyDescent="0.25">
      <c r="B49" s="489"/>
      <c r="C49" s="489"/>
      <c r="D49" s="489"/>
      <c r="E49" s="489"/>
      <c r="G49" s="320"/>
      <c r="H49" s="27" t="s">
        <v>131</v>
      </c>
      <c r="I49" s="43" t="s">
        <v>195</v>
      </c>
      <c r="J49" s="43" t="s">
        <v>259</v>
      </c>
      <c r="K49" s="27" t="s">
        <v>263</v>
      </c>
      <c r="L49" s="225" t="s">
        <v>262</v>
      </c>
      <c r="M49" s="10"/>
      <c r="T49" s="64">
        <v>2045</v>
      </c>
      <c r="U49" s="332">
        <f>U48*(1+$J$11)^($T$49-$T$48)</f>
        <v>0.34232548532758056</v>
      </c>
      <c r="V49" s="332">
        <f>V48*(1+$J$11)^($T$49-$T$48)</f>
        <v>0.34232548532758056</v>
      </c>
      <c r="W49" s="332">
        <f>W48*(1+$J$11)^($T$49-$T$48)</f>
        <v>7.8734861625343511</v>
      </c>
      <c r="X49" s="332">
        <f>X48*(1+$J$11)^($T$49-$T$48)</f>
        <v>10.269764559827415</v>
      </c>
      <c r="Y49" s="332">
        <f>Y48*(1+$J$11)^($T$49-$T$48)</f>
        <v>33.547897562102889</v>
      </c>
      <c r="Z49" s="332">
        <f t="shared" ref="Z49:Z79" si="58">U49*$L$61/$J$61</f>
        <v>0.33615632131123219</v>
      </c>
      <c r="AA49" s="332">
        <f t="shared" ref="AA49:AA79" si="59">V49*$L$61/$J$61</f>
        <v>0.33615632131123219</v>
      </c>
      <c r="AB49" s="332">
        <f t="shared" ref="AB49:AB79" si="60">W49*$L$61/$J$61</f>
        <v>7.7315953901583381</v>
      </c>
      <c r="AC49" s="332">
        <f t="shared" ref="AC49:AC79" si="61">X49*$L$61/$J$61</f>
        <v>10.084689639336965</v>
      </c>
      <c r="AD49" s="332">
        <f t="shared" ref="AD49:AD79" si="62">Y49*$L$61/$J$61</f>
        <v>32.943319488500748</v>
      </c>
      <c r="AE49" s="332">
        <f t="shared" ref="AE49:AE79" si="63">SUMPRODUCT(U49:Y49,$I$7:$M$7)</f>
        <v>6409976.2476618793</v>
      </c>
      <c r="AF49" s="332">
        <f t="shared" ref="AF49:AF79" si="64">SUMPRODUCT(Z49:AD49,$I$7:$M$7)</f>
        <v>6294459.8852885598</v>
      </c>
      <c r="AI49" s="64">
        <v>2035</v>
      </c>
      <c r="AJ49" s="331">
        <f t="shared" ref="AJ49:AN49" si="65">_xlfn.FORECAST.LINEAR($AI49,AI$33:AI$34,$AH$33:$AH$34)*_xlfn.FORECAST.LINEAR($AI49,$I$11:$I$12,$H$11:$H$12)</f>
        <v>0.1039794447610896</v>
      </c>
      <c r="AK49" s="331">
        <f t="shared" si="65"/>
        <v>0</v>
      </c>
      <c r="AL49" s="331">
        <f t="shared" si="65"/>
        <v>1.3282812364622847</v>
      </c>
      <c r="AM49" s="331">
        <f t="shared" si="65"/>
        <v>0.80542609926564046</v>
      </c>
      <c r="AN49" s="331">
        <f t="shared" si="65"/>
        <v>3.5993672013352001</v>
      </c>
    </row>
    <row r="50" spans="1:40" ht="15" customHeight="1" x14ac:dyDescent="0.25">
      <c r="B50" s="489"/>
      <c r="C50" s="489"/>
      <c r="D50" s="489"/>
      <c r="E50" s="489"/>
      <c r="G50" s="517" t="s">
        <v>250</v>
      </c>
      <c r="H50" s="64" t="s">
        <v>244</v>
      </c>
      <c r="I50" s="195">
        <f>(SUMPRODUCT($I16:$M16,$I$7:$M$7))/5</f>
        <v>33620</v>
      </c>
      <c r="J50" s="195">
        <f>(SUMPRODUCT($I30:$M30,$I$7:$M$7))/5</f>
        <v>129936.75675675676</v>
      </c>
      <c r="K50" s="195">
        <f>I50*$I$45*(1+$L65)</f>
        <v>23030.608648648646</v>
      </c>
      <c r="L50" s="195">
        <f>J50*$I$45*(1+$P65)</f>
        <v>92096.083783783775</v>
      </c>
      <c r="M50" s="10"/>
      <c r="T50" s="64">
        <f>B6</f>
        <v>2027</v>
      </c>
      <c r="U50" s="332" cm="1">
        <f t="array" ref="U50">TREND(U$48:U$49,$T$48:$T$49,$T50)</f>
        <v>0.23094032289730038</v>
      </c>
      <c r="V50" s="332" cm="1">
        <f t="array" ref="V50">TREND(V$48:V$49,$T$48:$T$49,$T50)</f>
        <v>0.23094032289730038</v>
      </c>
      <c r="W50" s="332" cm="1">
        <f t="array" ref="W50">TREND(W$48:W$49,$T$48:$T$49,$T50)</f>
        <v>5.3116274266378696</v>
      </c>
      <c r="X50" s="332" cm="1">
        <f t="array" ref="X50">TREND(X$48:X$49,$T$48:$T$49,$T50)</f>
        <v>6.92820968691899</v>
      </c>
      <c r="Y50" s="332" cm="1">
        <f t="array" ref="Y50">TREND(Y$48:Y$49,$T$48:$T$49,$T50)</f>
        <v>22.632151643935458</v>
      </c>
      <c r="Z50" s="332">
        <f t="shared" si="58"/>
        <v>0.22677846878182731</v>
      </c>
      <c r="AA50" s="332">
        <f t="shared" si="59"/>
        <v>0.22677846878182731</v>
      </c>
      <c r="AB50" s="332">
        <f t="shared" si="60"/>
        <v>5.2159047819819904</v>
      </c>
      <c r="AC50" s="332">
        <f t="shared" si="61"/>
        <v>6.8033540634547984</v>
      </c>
      <c r="AD50" s="332">
        <f t="shared" si="62"/>
        <v>22.224289940619098</v>
      </c>
      <c r="AE50" s="332">
        <f t="shared" si="63"/>
        <v>4324311.3581873626</v>
      </c>
      <c r="AF50" s="332">
        <f t="shared" si="64"/>
        <v>4246381.472245953</v>
      </c>
      <c r="AI50" s="64">
        <v>2036</v>
      </c>
      <c r="AJ50" s="331">
        <f t="shared" ref="AJ50:AN50" si="66">_xlfn.FORECAST.LINEAR($AI50,AI$33:AI$34,$AH$33:$AH$34)*_xlfn.FORECAST.LINEAR($AI50,$I$11:$I$12,$H$11:$H$12)</f>
        <v>0.10542757609097765</v>
      </c>
      <c r="AK50" s="331">
        <f t="shared" si="66"/>
        <v>0</v>
      </c>
      <c r="AL50" s="331">
        <f t="shared" si="66"/>
        <v>1.3703834112572395</v>
      </c>
      <c r="AM50" s="331">
        <f t="shared" si="66"/>
        <v>0.81448260429181429</v>
      </c>
      <c r="AN50" s="331">
        <f t="shared" si="66"/>
        <v>3.6717521459111571</v>
      </c>
    </row>
    <row r="51" spans="1:40" x14ac:dyDescent="0.25">
      <c r="B51" s="489"/>
      <c r="C51" s="489"/>
      <c r="D51" s="489"/>
      <c r="E51" s="489"/>
      <c r="G51" s="518"/>
      <c r="H51" s="64" t="s">
        <v>245</v>
      </c>
      <c r="I51" s="195">
        <f t="shared" ref="I51:I60" si="67">(SUMPRODUCT($I17:$M17,$I$7:$M$7))/5</f>
        <v>92220</v>
      </c>
      <c r="J51" s="195">
        <f t="shared" ref="J51:J60" si="68">(SUMPRODUCT($I31:$M31,$I$7:$M$7))/5</f>
        <v>273187.86144578311</v>
      </c>
      <c r="K51" s="195">
        <f>I51*$I$45*(1+$L66)</f>
        <v>86514.581927710853</v>
      </c>
      <c r="L51" s="195">
        <f>J51*$I$45*(1+$P65)</f>
        <v>193629.06081704437</v>
      </c>
      <c r="M51" s="10"/>
      <c r="T51" s="64">
        <f>T50+1</f>
        <v>2028</v>
      </c>
      <c r="U51" s="332" cm="1">
        <f t="array" ref="U51">TREND(U$48:U$49,$T$48:$T$49,$T51)</f>
        <v>0.23712838747676024</v>
      </c>
      <c r="V51" s="332" cm="1">
        <f t="array" ref="V51">TREND(V$48:V$49,$T$48:$T$49,$T51)</f>
        <v>0.23712838747676024</v>
      </c>
      <c r="W51" s="332" cm="1">
        <f t="array" ref="W51">TREND(W$48:W$49,$T$48:$T$49,$T51)</f>
        <v>5.453952911965473</v>
      </c>
      <c r="X51" s="332" cm="1">
        <f t="array" ref="X51">TREND(X$48:X$49,$T$48:$T$49,$T51)</f>
        <v>7.1138516243028107</v>
      </c>
      <c r="Y51" s="332" cm="1">
        <f t="array" ref="Y51">TREND(Y$48:Y$49,$T$48:$T$49,$T51)</f>
        <v>23.238581972722386</v>
      </c>
      <c r="Z51" s="332">
        <f t="shared" si="58"/>
        <v>0.23285501614457188</v>
      </c>
      <c r="AA51" s="332">
        <f t="shared" si="59"/>
        <v>0.23285501614457188</v>
      </c>
      <c r="AB51" s="332">
        <f t="shared" si="60"/>
        <v>5.3556653713251414</v>
      </c>
      <c r="AC51" s="332">
        <f t="shared" si="61"/>
        <v>6.9856504843371603</v>
      </c>
      <c r="AD51" s="332">
        <f t="shared" si="62"/>
        <v>22.81979158216793</v>
      </c>
      <c r="AE51" s="332">
        <f>SUMPRODUCT(U51:Y51,$I$7:$M$7)</f>
        <v>4440181.6298248377</v>
      </c>
      <c r="AF51" s="332">
        <f t="shared" si="64"/>
        <v>4360163.6063038772</v>
      </c>
      <c r="AI51" s="64">
        <v>2037</v>
      </c>
      <c r="AJ51" s="331">
        <f t="shared" ref="AJ51:AN51" si="69">_xlfn.FORECAST.LINEAR($AI51,AI$33:AI$34,$AH$33:$AH$34)*_xlfn.FORECAST.LINEAR($AI51,$I$11:$I$12,$H$11:$H$12)</f>
        <v>0.10686302898710147</v>
      </c>
      <c r="AK51" s="331">
        <f t="shared" si="69"/>
        <v>0</v>
      </c>
      <c r="AL51" s="331">
        <f t="shared" si="69"/>
        <v>1.4131344545782676</v>
      </c>
      <c r="AM51" s="331">
        <f t="shared" si="69"/>
        <v>0.82336667487924764</v>
      </c>
      <c r="AN51" s="331">
        <f t="shared" si="69"/>
        <v>3.744462772664614</v>
      </c>
    </row>
    <row r="52" spans="1:40" x14ac:dyDescent="0.25">
      <c r="B52" s="489"/>
      <c r="C52" s="489"/>
      <c r="D52" s="489"/>
      <c r="E52" s="489"/>
      <c r="G52" s="518"/>
      <c r="H52" s="64" t="s">
        <v>246</v>
      </c>
      <c r="I52" s="195">
        <f t="shared" si="67"/>
        <v>2681220</v>
      </c>
      <c r="J52" s="195">
        <f t="shared" si="68"/>
        <v>3762971.8877091953</v>
      </c>
      <c r="K52" s="195">
        <f>I52*$I$45*(1+$L67)</f>
        <v>1644378.6679143419</v>
      </c>
      <c r="L52" s="195">
        <f>J52*$I$45*(1+$P66)</f>
        <v>3583910.2869519093</v>
      </c>
      <c r="T52" s="64">
        <f t="shared" ref="T52:T79" si="70">T51+1</f>
        <v>2029</v>
      </c>
      <c r="U52" s="332" cm="1">
        <f t="array" ref="U52">TREND(U$48:U$49,$T$48:$T$49,$T52)</f>
        <v>0.2433164520562201</v>
      </c>
      <c r="V52" s="332" cm="1">
        <f t="array" ref="V52">TREND(V$48:V$49,$T$48:$T$49,$T52)</f>
        <v>0.2433164520562201</v>
      </c>
      <c r="W52" s="332" cm="1">
        <f t="array" ref="W52">TREND(W$48:W$49,$T$48:$T$49,$T52)</f>
        <v>5.5962783972930765</v>
      </c>
      <c r="X52" s="332" cm="1">
        <f t="array" ref="X52">TREND(X$48:X$49,$T$48:$T$49,$T52)</f>
        <v>7.2994935616866314</v>
      </c>
      <c r="Y52" s="332" cm="1">
        <f t="array" ref="Y52">TREND(Y$48:Y$49,$T$48:$T$49,$T52)</f>
        <v>23.845012301509541</v>
      </c>
      <c r="Z52" s="332">
        <f t="shared" si="58"/>
        <v>0.23893156350731645</v>
      </c>
      <c r="AA52" s="332">
        <f t="shared" si="59"/>
        <v>0.23893156350731645</v>
      </c>
      <c r="AB52" s="332">
        <f t="shared" si="60"/>
        <v>5.4954259606682925</v>
      </c>
      <c r="AC52" s="332">
        <f t="shared" si="61"/>
        <v>7.1679469052195213</v>
      </c>
      <c r="AD52" s="332">
        <f t="shared" si="62"/>
        <v>23.415293223716983</v>
      </c>
      <c r="AE52" s="332">
        <f t="shared" si="63"/>
        <v>4556051.9014623137</v>
      </c>
      <c r="AF52" s="332">
        <f t="shared" si="64"/>
        <v>4473945.7403618032</v>
      </c>
      <c r="AI52" s="64">
        <v>2038</v>
      </c>
      <c r="AJ52" s="331">
        <f t="shared" ref="AJ52:AN52" si="71">_xlfn.FORECAST.LINEAR($AI52,AI$33:AI$34,$AH$33:$AH$34)*_xlfn.FORECAST.LINEAR($AI52,$I$11:$I$12,$H$11:$H$12)</f>
        <v>0.10828580344946095</v>
      </c>
      <c r="AK52" s="331">
        <f t="shared" si="71"/>
        <v>0</v>
      </c>
      <c r="AL52" s="331">
        <f t="shared" si="71"/>
        <v>1.4565343664253578</v>
      </c>
      <c r="AM52" s="331">
        <f t="shared" si="71"/>
        <v>0.83207831102794061</v>
      </c>
      <c r="AN52" s="331">
        <f t="shared" si="71"/>
        <v>3.8174990815955652</v>
      </c>
    </row>
    <row r="53" spans="1:40" ht="15" customHeight="1" x14ac:dyDescent="0.25">
      <c r="B53" s="489"/>
      <c r="C53" s="489"/>
      <c r="D53" s="489"/>
      <c r="E53" s="489"/>
      <c r="G53" s="518"/>
      <c r="H53" s="64" t="s">
        <v>247</v>
      </c>
      <c r="I53" s="195">
        <f t="shared" si="67"/>
        <v>96720</v>
      </c>
      <c r="J53" s="195">
        <f t="shared" si="68"/>
        <v>174714.13533834589</v>
      </c>
      <c r="K53" s="195">
        <f>I53*(1+$L68)</f>
        <v>95992.781954887207</v>
      </c>
      <c r="L53" s="195">
        <f>J53*(1+$P67)</f>
        <v>201955.1134857274</v>
      </c>
      <c r="T53" s="64">
        <f t="shared" si="70"/>
        <v>2030</v>
      </c>
      <c r="U53" s="332" cm="1">
        <f t="array" ref="U53">TREND(U$48:U$49,$T$48:$T$49,$T53)</f>
        <v>0.24950451663567996</v>
      </c>
      <c r="V53" s="332" cm="1">
        <f t="array" ref="V53">TREND(V$48:V$49,$T$48:$T$49,$T53)</f>
        <v>0.24950451663567996</v>
      </c>
      <c r="W53" s="332" cm="1">
        <f t="array" ref="W53">TREND(W$48:W$49,$T$48:$T$49,$T53)</f>
        <v>5.7386038826206232</v>
      </c>
      <c r="X53" s="332" cm="1">
        <f t="array" ref="X53">TREND(X$48:X$49,$T$48:$T$49,$T53)</f>
        <v>7.4851354990703953</v>
      </c>
      <c r="Y53" s="332" cm="1">
        <f t="array" ref="Y53">TREND(Y$48:Y$49,$T$48:$T$49,$T53)</f>
        <v>24.451442630296697</v>
      </c>
      <c r="Z53" s="332">
        <f t="shared" si="58"/>
        <v>0.24500811087006102</v>
      </c>
      <c r="AA53" s="332">
        <f t="shared" si="59"/>
        <v>0.24500811087006102</v>
      </c>
      <c r="AB53" s="332">
        <f t="shared" si="60"/>
        <v>5.6351865500113885</v>
      </c>
      <c r="AC53" s="332">
        <f t="shared" si="61"/>
        <v>7.3502433261018272</v>
      </c>
      <c r="AD53" s="332">
        <f t="shared" si="62"/>
        <v>24.010794865266043</v>
      </c>
      <c r="AE53" s="332">
        <f t="shared" si="63"/>
        <v>4671922.1730997777</v>
      </c>
      <c r="AF53" s="332">
        <f t="shared" si="64"/>
        <v>4587727.8744197171</v>
      </c>
      <c r="AI53" s="64">
        <v>2039</v>
      </c>
      <c r="AJ53" s="331">
        <f t="shared" ref="AJ53:AN53" si="72">_xlfn.FORECAST.LINEAR($AI53,AI$33:AI$34,$AH$33:$AH$34)*_xlfn.FORECAST.LINEAR($AI53,$I$11:$I$12,$H$11:$H$12)</f>
        <v>0.10969589947805632</v>
      </c>
      <c r="AK53" s="331">
        <f t="shared" si="72"/>
        <v>0</v>
      </c>
      <c r="AL53" s="331">
        <f t="shared" si="72"/>
        <v>1.5005831467985158</v>
      </c>
      <c r="AM53" s="331">
        <f t="shared" si="72"/>
        <v>0.84061751273789298</v>
      </c>
      <c r="AN53" s="331">
        <f t="shared" si="72"/>
        <v>3.8908610727040172</v>
      </c>
    </row>
    <row r="54" spans="1:40" x14ac:dyDescent="0.25">
      <c r="B54" s="28"/>
      <c r="C54" s="28"/>
      <c r="D54" s="28"/>
      <c r="E54" s="28"/>
      <c r="G54" s="518"/>
      <c r="H54" s="64" t="s">
        <v>248</v>
      </c>
      <c r="I54" s="195">
        <f t="shared" si="67"/>
        <v>201480</v>
      </c>
      <c r="J54" s="195">
        <f t="shared" si="68"/>
        <v>295913.09644670051</v>
      </c>
      <c r="K54" s="195">
        <f>I54*(1+$L69)</f>
        <v>193184.4331641286</v>
      </c>
      <c r="L54" s="195">
        <f>J54*(1+$P68)</f>
        <v>295605.17439004418</v>
      </c>
      <c r="T54" s="64">
        <f t="shared" si="70"/>
        <v>2031</v>
      </c>
      <c r="U54" s="332" cm="1">
        <f t="array" ref="U54">TREND(U$48:U$49,$T$48:$T$49,$T54)</f>
        <v>0.25569258121513982</v>
      </c>
      <c r="V54" s="332" cm="1">
        <f t="array" ref="V54">TREND(V$48:V$49,$T$48:$T$49,$T54)</f>
        <v>0.25569258121513982</v>
      </c>
      <c r="W54" s="332" cm="1">
        <f t="array" ref="W54">TREND(W$48:W$49,$T$48:$T$49,$T54)</f>
        <v>5.8809293679482266</v>
      </c>
      <c r="X54" s="332" cm="1">
        <f t="array" ref="X54">TREND(X$48:X$49,$T$48:$T$49,$T54)</f>
        <v>7.6707774364542161</v>
      </c>
      <c r="Y54" s="332" cm="1">
        <f t="array" ref="Y54">TREND(Y$48:Y$49,$T$48:$T$49,$T54)</f>
        <v>25.057872959083625</v>
      </c>
      <c r="Z54" s="332">
        <f t="shared" si="58"/>
        <v>0.25108465823280562</v>
      </c>
      <c r="AA54" s="332">
        <f t="shared" si="59"/>
        <v>0.25108465823280562</v>
      </c>
      <c r="AB54" s="332">
        <f t="shared" si="60"/>
        <v>5.7749471393545386</v>
      </c>
      <c r="AC54" s="332">
        <f t="shared" si="61"/>
        <v>7.532539746984189</v>
      </c>
      <c r="AD54" s="332">
        <f t="shared" si="62"/>
        <v>24.606296506814875</v>
      </c>
      <c r="AE54" s="332">
        <f t="shared" si="63"/>
        <v>4787792.4447372528</v>
      </c>
      <c r="AF54" s="332">
        <f t="shared" si="64"/>
        <v>4701510.0084776413</v>
      </c>
      <c r="AI54" s="64">
        <v>2040</v>
      </c>
      <c r="AJ54" s="331">
        <f t="shared" ref="AJ54:AN54" si="73">_xlfn.FORECAST.LINEAR($AI54,AI$33:AI$34,$AH$33:$AH$34)*_xlfn.FORECAST.LINEAR($AI54,$I$11:$I$12,$H$11:$H$12)</f>
        <v>0.11109331707288743</v>
      </c>
      <c r="AK54" s="331">
        <f t="shared" si="73"/>
        <v>0</v>
      </c>
      <c r="AL54" s="331">
        <f t="shared" si="73"/>
        <v>1.5452807956977472</v>
      </c>
      <c r="AM54" s="331">
        <f t="shared" si="73"/>
        <v>0.84898428000910509</v>
      </c>
      <c r="AN54" s="331">
        <f t="shared" si="73"/>
        <v>3.9645487459899664</v>
      </c>
    </row>
    <row r="55" spans="1:40" ht="15" customHeight="1" x14ac:dyDescent="0.25">
      <c r="A55" s="11" t="s">
        <v>44</v>
      </c>
      <c r="B55" s="489" t="s">
        <v>241</v>
      </c>
      <c r="C55" s="489"/>
      <c r="D55" s="489"/>
      <c r="E55" s="489"/>
      <c r="G55" s="518"/>
      <c r="H55" s="64" t="s">
        <v>249</v>
      </c>
      <c r="I55" s="195">
        <f t="shared" si="67"/>
        <v>279700</v>
      </c>
      <c r="J55" s="195">
        <f t="shared" si="68"/>
        <v>424524.90118577069</v>
      </c>
      <c r="K55" s="195">
        <f>I55*(1+$L70)</f>
        <v>266249.34123847168</v>
      </c>
      <c r="L55" s="195">
        <f>J55*(1+$P69)</f>
        <v>366812.99065590784</v>
      </c>
      <c r="T55" s="64">
        <f t="shared" si="70"/>
        <v>2032</v>
      </c>
      <c r="U55" s="332" cm="1">
        <f t="array" ref="U55">TREND(U$48:U$49,$T$48:$T$49,$T55)</f>
        <v>0.26188064579460146</v>
      </c>
      <c r="V55" s="332" cm="1">
        <f t="array" ref="V55">TREND(V$48:V$49,$T$48:$T$49,$T55)</f>
        <v>0.26188064579460146</v>
      </c>
      <c r="W55" s="332" cm="1">
        <f t="array" ref="W55">TREND(W$48:W$49,$T$48:$T$49,$T55)</f>
        <v>6.0232548532757733</v>
      </c>
      <c r="X55" s="332" cm="1">
        <f t="array" ref="X55">TREND(X$48:X$49,$T$48:$T$49,$T55)</f>
        <v>7.8564193738380368</v>
      </c>
      <c r="Y55" s="332" cm="1">
        <f t="array" ref="Y55">TREND(Y$48:Y$49,$T$48:$T$49,$T55)</f>
        <v>25.66430328787078</v>
      </c>
      <c r="Z55" s="332">
        <f t="shared" si="58"/>
        <v>0.25716120559555194</v>
      </c>
      <c r="AA55" s="332">
        <f t="shared" si="59"/>
        <v>0.25716120559555194</v>
      </c>
      <c r="AB55" s="332">
        <f t="shared" si="60"/>
        <v>5.9147077286976346</v>
      </c>
      <c r="AC55" s="332">
        <f t="shared" si="61"/>
        <v>7.71483616786655</v>
      </c>
      <c r="AD55" s="332">
        <f t="shared" si="62"/>
        <v>25.201798148363928</v>
      </c>
      <c r="AE55" s="332">
        <f t="shared" si="63"/>
        <v>4903662.7163747428</v>
      </c>
      <c r="AF55" s="332">
        <f t="shared" si="64"/>
        <v>4815292.1425355803</v>
      </c>
      <c r="AI55" s="64">
        <v>2041</v>
      </c>
      <c r="AJ55" s="331">
        <f t="shared" ref="AJ55:AN55" si="74">_xlfn.FORECAST.LINEAR($AI55,AI$33:AI$34,$AH$33:$AH$34)*_xlfn.FORECAST.LINEAR($AI55,$I$11:$I$12,$H$11:$H$12)</f>
        <v>0.11247805623395431</v>
      </c>
      <c r="AK55" s="331">
        <f t="shared" si="74"/>
        <v>0</v>
      </c>
      <c r="AL55" s="331">
        <f t="shared" si="74"/>
        <v>1.5906273131230404</v>
      </c>
      <c r="AM55" s="331">
        <f t="shared" si="74"/>
        <v>0.85717861284157659</v>
      </c>
      <c r="AN55" s="331">
        <f t="shared" si="74"/>
        <v>4.0385621014534099</v>
      </c>
    </row>
    <row r="56" spans="1:40" ht="15" customHeight="1" x14ac:dyDescent="0.25">
      <c r="A56" s="11"/>
      <c r="B56" s="489"/>
      <c r="C56" s="489"/>
      <c r="D56" s="489"/>
      <c r="E56" s="489"/>
      <c r="G56" s="519"/>
      <c r="H56" s="318" t="s">
        <v>500</v>
      </c>
      <c r="I56" s="195">
        <f t="shared" si="67"/>
        <v>32660</v>
      </c>
      <c r="J56" s="195">
        <f t="shared" si="68"/>
        <v>45836.843620658627</v>
      </c>
      <c r="K56" s="195">
        <f>I56*$I$45*(1+$L71)</f>
        <v>18942.8</v>
      </c>
      <c r="L56" s="195">
        <f>J56*$I$45*(1+$P70)</f>
        <v>22500.638079411849</v>
      </c>
      <c r="T56" s="64">
        <f t="shared" si="70"/>
        <v>2033</v>
      </c>
      <c r="U56" s="332" cm="1">
        <f t="array" ref="U56">TREND(U$48:U$49,$T$48:$T$49,$T56)</f>
        <v>0.26806871037406133</v>
      </c>
      <c r="V56" s="332" cm="1">
        <f t="array" ref="V56">TREND(V$48:V$49,$T$48:$T$49,$T56)</f>
        <v>0.26806871037406133</v>
      </c>
      <c r="W56" s="332" cm="1">
        <f t="array" ref="W56">TREND(W$48:W$49,$T$48:$T$49,$T56)</f>
        <v>6.1655803386033767</v>
      </c>
      <c r="X56" s="332" cm="1">
        <f t="array" ref="X56">TREND(X$48:X$49,$T$48:$T$49,$T56)</f>
        <v>8.0420613112218007</v>
      </c>
      <c r="Y56" s="332" cm="1">
        <f t="array" ref="Y56">TREND(Y$48:Y$49,$T$48:$T$49,$T56)</f>
        <v>26.270733616657935</v>
      </c>
      <c r="Z56" s="332">
        <f t="shared" si="58"/>
        <v>0.26323775295829649</v>
      </c>
      <c r="AA56" s="332">
        <f t="shared" si="59"/>
        <v>0.26323775295829649</v>
      </c>
      <c r="AB56" s="332">
        <f t="shared" si="60"/>
        <v>6.0544683180407857</v>
      </c>
      <c r="AC56" s="332">
        <f t="shared" si="61"/>
        <v>7.8971325887488559</v>
      </c>
      <c r="AD56" s="332">
        <f t="shared" si="62"/>
        <v>25.797299789912984</v>
      </c>
      <c r="AE56" s="332">
        <f t="shared" si="63"/>
        <v>5019532.9880122151</v>
      </c>
      <c r="AF56" s="332">
        <f t="shared" si="64"/>
        <v>4929074.2765935017</v>
      </c>
      <c r="AI56" s="64">
        <v>2042</v>
      </c>
      <c r="AJ56" s="331">
        <f t="shared" ref="AJ56:AN56" si="75">_xlfn.FORECAST.LINEAR($AI56,AI$33:AI$34,$AH$33:$AH$34)*_xlfn.FORECAST.LINEAR($AI56,$I$11:$I$12,$H$11:$H$12)</f>
        <v>0.11385011696125687</v>
      </c>
      <c r="AK56" s="331">
        <f t="shared" si="75"/>
        <v>0</v>
      </c>
      <c r="AL56" s="331">
        <f t="shared" si="75"/>
        <v>1.6366226990744075</v>
      </c>
      <c r="AM56" s="331">
        <f t="shared" si="75"/>
        <v>0.86520051123530772</v>
      </c>
      <c r="AN56" s="331">
        <f t="shared" si="75"/>
        <v>4.1129011390943537</v>
      </c>
    </row>
    <row r="57" spans="1:40" ht="15" customHeight="1" x14ac:dyDescent="0.25">
      <c r="A57" s="11"/>
      <c r="B57" s="489"/>
      <c r="C57" s="489"/>
      <c r="D57" s="489"/>
      <c r="E57" s="489"/>
      <c r="G57" s="514" t="s">
        <v>254</v>
      </c>
      <c r="H57" s="283" t="s">
        <v>251</v>
      </c>
      <c r="I57" s="195">
        <f t="shared" si="67"/>
        <v>91280</v>
      </c>
      <c r="J57" s="195">
        <f t="shared" si="68"/>
        <v>306962.15814372606</v>
      </c>
      <c r="K57" s="195">
        <f>I57*N74/M74</f>
        <v>152686.82586168055</v>
      </c>
      <c r="L57" s="195">
        <f>J57*N104/M104</f>
        <v>537547.48817301204</v>
      </c>
      <c r="T57" s="64">
        <f t="shared" si="70"/>
        <v>2034</v>
      </c>
      <c r="U57" s="332" cm="1">
        <f t="array" ref="U57">TREND(U$48:U$49,$T$48:$T$49,$T57)</f>
        <v>0.27425677495352119</v>
      </c>
      <c r="V57" s="332" cm="1">
        <f t="array" ref="V57">TREND(V$48:V$49,$T$48:$T$49,$T57)</f>
        <v>0.27425677495352119</v>
      </c>
      <c r="W57" s="332" cm="1">
        <f t="array" ref="W57">TREND(W$48:W$49,$T$48:$T$49,$T57)</f>
        <v>6.3079058239309802</v>
      </c>
      <c r="X57" s="332" cm="1">
        <f t="array" ref="X57">TREND(X$48:X$49,$T$48:$T$49,$T57)</f>
        <v>8.2277032486056214</v>
      </c>
      <c r="Y57" s="332" cm="1">
        <f t="array" ref="Y57">TREND(Y$48:Y$49,$T$48:$T$49,$T57)</f>
        <v>26.877163945445091</v>
      </c>
      <c r="Z57" s="332">
        <f t="shared" si="58"/>
        <v>0.26931430032104103</v>
      </c>
      <c r="AA57" s="332">
        <f t="shared" si="59"/>
        <v>0.26931430032104103</v>
      </c>
      <c r="AB57" s="332">
        <f t="shared" si="60"/>
        <v>6.1942289073839367</v>
      </c>
      <c r="AC57" s="332">
        <f t="shared" si="61"/>
        <v>8.0794290096312178</v>
      </c>
      <c r="AD57" s="332">
        <f t="shared" si="62"/>
        <v>26.392801431462036</v>
      </c>
      <c r="AE57" s="332">
        <f t="shared" si="63"/>
        <v>5135403.2596496912</v>
      </c>
      <c r="AF57" s="332">
        <f t="shared" si="64"/>
        <v>5042856.4106514277</v>
      </c>
      <c r="AI57" s="64">
        <v>2043</v>
      </c>
      <c r="AJ57" s="331">
        <f t="shared" ref="AJ57:AN57" si="76">_xlfn.FORECAST.LINEAR($AI57,AI$33:AI$34,$AH$33:$AH$34)*_xlfn.FORECAST.LINEAR($AI57,$I$11:$I$12,$H$11:$H$12)</f>
        <v>0.11520949925479528</v>
      </c>
      <c r="AK57" s="331">
        <f t="shared" si="76"/>
        <v>0</v>
      </c>
      <c r="AL57" s="331">
        <f t="shared" si="76"/>
        <v>1.6832669535518361</v>
      </c>
      <c r="AM57" s="331">
        <f t="shared" si="76"/>
        <v>0.87304997519029848</v>
      </c>
      <c r="AN57" s="331">
        <f t="shared" si="76"/>
        <v>4.1875658589127953</v>
      </c>
    </row>
    <row r="58" spans="1:40" x14ac:dyDescent="0.25">
      <c r="A58" s="11"/>
      <c r="B58" s="489"/>
      <c r="C58" s="489"/>
      <c r="D58" s="489"/>
      <c r="E58" s="489"/>
      <c r="G58" s="515"/>
      <c r="H58" s="283" t="s">
        <v>252</v>
      </c>
      <c r="I58" s="195">
        <f t="shared" si="67"/>
        <v>185120</v>
      </c>
      <c r="J58" s="195">
        <f t="shared" si="68"/>
        <v>371378.88143176737</v>
      </c>
      <c r="K58" s="195">
        <f>I58*N77/M77</f>
        <v>271882.05816554808</v>
      </c>
      <c r="L58" s="195">
        <f>J58*N107/M107</f>
        <v>386443.17673378083</v>
      </c>
      <c r="T58" s="64">
        <f t="shared" si="70"/>
        <v>2035</v>
      </c>
      <c r="U58" s="332" cm="1">
        <f t="array" ref="U58">TREND(U$48:U$49,$T$48:$T$49,$T58)</f>
        <v>0.28044483953298105</v>
      </c>
      <c r="V58" s="332" cm="1">
        <f t="array" ref="V58">TREND(V$48:V$49,$T$48:$T$49,$T58)</f>
        <v>0.28044483953298105</v>
      </c>
      <c r="W58" s="332" cm="1">
        <f t="array" ref="W58">TREND(W$48:W$49,$T$48:$T$49,$T58)</f>
        <v>6.4502313092585268</v>
      </c>
      <c r="X58" s="332" cm="1">
        <f t="array" ref="X58">TREND(X$48:X$49,$T$48:$T$49,$T58)</f>
        <v>8.4133451859894421</v>
      </c>
      <c r="Y58" s="332" cm="1">
        <f t="array" ref="Y58">TREND(Y$48:Y$49,$T$48:$T$49,$T58)</f>
        <v>27.483594274232019</v>
      </c>
      <c r="Z58" s="332">
        <f t="shared" si="58"/>
        <v>0.27539084768378558</v>
      </c>
      <c r="AA58" s="332">
        <f t="shared" si="59"/>
        <v>0.27539084768378558</v>
      </c>
      <c r="AB58" s="332">
        <f t="shared" si="60"/>
        <v>6.3339894967270318</v>
      </c>
      <c r="AC58" s="332">
        <f t="shared" si="61"/>
        <v>8.2617254305135788</v>
      </c>
      <c r="AD58" s="332">
        <f t="shared" si="62"/>
        <v>26.988303073010869</v>
      </c>
      <c r="AE58" s="332">
        <f t="shared" si="63"/>
        <v>5251273.5312871579</v>
      </c>
      <c r="AF58" s="332">
        <f t="shared" si="64"/>
        <v>5156638.5447093435</v>
      </c>
      <c r="AI58" s="64">
        <v>2044</v>
      </c>
      <c r="AJ58" s="331">
        <f t="shared" ref="AJ58:AN58" si="77">_xlfn.FORECAST.LINEAR($AI58,AI$33:AI$34,$AH$33:$AH$34)*_xlfn.FORECAST.LINEAR($AI58,$I$11:$I$12,$H$11:$H$12)</f>
        <v>0.11655620311456946</v>
      </c>
      <c r="AK58" s="331">
        <f t="shared" si="77"/>
        <v>0</v>
      </c>
      <c r="AL58" s="331">
        <f t="shared" si="77"/>
        <v>1.7305600765553324</v>
      </c>
      <c r="AM58" s="331">
        <f t="shared" si="77"/>
        <v>0.88072700470654863</v>
      </c>
      <c r="AN58" s="331">
        <f t="shared" si="77"/>
        <v>4.2625562609087311</v>
      </c>
    </row>
    <row r="59" spans="1:40" x14ac:dyDescent="0.25">
      <c r="A59" s="11"/>
      <c r="B59" s="489"/>
      <c r="C59" s="489"/>
      <c r="D59" s="489"/>
      <c r="E59" s="489"/>
      <c r="G59" s="515"/>
      <c r="H59" s="283" t="s">
        <v>253</v>
      </c>
      <c r="I59" s="195">
        <f t="shared" si="67"/>
        <v>34280</v>
      </c>
      <c r="J59" s="195">
        <f t="shared" si="68"/>
        <v>109280.48484848486</v>
      </c>
      <c r="K59" s="195">
        <f>I59*$I$45*N80/M80</f>
        <v>62177.687272727264</v>
      </c>
      <c r="L59" s="195">
        <f>J59*$I$45*N110/M110</f>
        <v>107244.4606060606</v>
      </c>
      <c r="T59" s="64">
        <f t="shared" si="70"/>
        <v>2036</v>
      </c>
      <c r="U59" s="332" cm="1">
        <f t="array" ref="U59">TREND(U$48:U$49,$T$48:$T$49,$T59)</f>
        <v>0.28663290411244091</v>
      </c>
      <c r="V59" s="332" cm="1">
        <f t="array" ref="V59">TREND(V$48:V$49,$T$48:$T$49,$T59)</f>
        <v>0.28663290411244091</v>
      </c>
      <c r="W59" s="332" cm="1">
        <f t="array" ref="W59">TREND(W$48:W$49,$T$48:$T$49,$T59)</f>
        <v>6.5925567945861303</v>
      </c>
      <c r="X59" s="332" cm="1">
        <f t="array" ref="X59">TREND(X$48:X$49,$T$48:$T$49,$T59)</f>
        <v>8.598987123373206</v>
      </c>
      <c r="Y59" s="332" cm="1">
        <f t="array" ref="Y59">TREND(Y$48:Y$49,$T$48:$T$49,$T59)</f>
        <v>28.090024603019174</v>
      </c>
      <c r="Z59" s="332">
        <f t="shared" si="58"/>
        <v>0.28146739504653018</v>
      </c>
      <c r="AA59" s="332">
        <f t="shared" si="59"/>
        <v>0.28146739504653018</v>
      </c>
      <c r="AB59" s="332">
        <f t="shared" si="60"/>
        <v>6.4737500860701838</v>
      </c>
      <c r="AC59" s="332">
        <f t="shared" si="61"/>
        <v>8.4440218513958847</v>
      </c>
      <c r="AD59" s="332">
        <f t="shared" si="62"/>
        <v>27.583804714559921</v>
      </c>
      <c r="AE59" s="332">
        <f t="shared" si="63"/>
        <v>5367143.8029246302</v>
      </c>
      <c r="AF59" s="332">
        <f t="shared" si="64"/>
        <v>5270420.6787672648</v>
      </c>
      <c r="AI59" s="64">
        <v>2045</v>
      </c>
      <c r="AJ59" s="331">
        <f t="shared" ref="AJ59:AN59" si="78">_xlfn.FORECAST.LINEAR($AI59,AI$33:AI$34,$AH$33:$AH$34)*_xlfn.FORECAST.LINEAR($AI59,$I$11:$I$12,$H$11:$H$12)</f>
        <v>0.11789022854057941</v>
      </c>
      <c r="AK59" s="331">
        <f t="shared" si="78"/>
        <v>0</v>
      </c>
      <c r="AL59" s="331">
        <f t="shared" si="78"/>
        <v>1.7785020680849026</v>
      </c>
      <c r="AM59" s="331">
        <f t="shared" si="78"/>
        <v>0.88823159978405852</v>
      </c>
      <c r="AN59" s="331">
        <f t="shared" si="78"/>
        <v>4.3378723450821672</v>
      </c>
    </row>
    <row r="60" spans="1:40" x14ac:dyDescent="0.25">
      <c r="A60" s="11"/>
      <c r="B60" s="489"/>
      <c r="C60" s="489"/>
      <c r="D60" s="489"/>
      <c r="E60" s="489"/>
      <c r="G60" s="516"/>
      <c r="H60" s="283" t="s">
        <v>1057</v>
      </c>
      <c r="I60" s="195">
        <f t="shared" si="67"/>
        <v>16660</v>
      </c>
      <c r="J60" s="195">
        <f t="shared" si="68"/>
        <v>12495</v>
      </c>
      <c r="K60" s="321">
        <f>I60*N77/M77</f>
        <v>24468.210290827741</v>
      </c>
      <c r="L60" s="321">
        <f>J60*N107/M107</f>
        <v>13001.836492890996</v>
      </c>
      <c r="T60" s="64">
        <f t="shared" si="70"/>
        <v>2037</v>
      </c>
      <c r="U60" s="332" cm="1">
        <f t="array" ref="U60">TREND(U$48:U$49,$T$48:$T$49,$T60)</f>
        <v>0.29282096869190077</v>
      </c>
      <c r="V60" s="332" cm="1">
        <f t="array" ref="V60">TREND(V$48:V$49,$T$48:$T$49,$T60)</f>
        <v>0.29282096869190077</v>
      </c>
      <c r="W60" s="332" cm="1">
        <f t="array" ref="W60">TREND(W$48:W$49,$T$48:$T$49,$T60)</f>
        <v>6.7348822799136769</v>
      </c>
      <c r="X60" s="332" cm="1">
        <f t="array" ref="X60">TREND(X$48:X$49,$T$48:$T$49,$T60)</f>
        <v>8.7846290607570268</v>
      </c>
      <c r="Y60" s="332" cm="1">
        <f t="array" ref="Y60">TREND(Y$48:Y$49,$T$48:$T$49,$T60)</f>
        <v>28.696454931806329</v>
      </c>
      <c r="Z60" s="332">
        <f t="shared" si="58"/>
        <v>0.28754394240927478</v>
      </c>
      <c r="AA60" s="332">
        <f t="shared" si="59"/>
        <v>0.28754394240927478</v>
      </c>
      <c r="AB60" s="332">
        <f t="shared" si="60"/>
        <v>6.6135106754132789</v>
      </c>
      <c r="AC60" s="332">
        <f t="shared" si="61"/>
        <v>8.6263182722782457</v>
      </c>
      <c r="AD60" s="332">
        <f t="shared" si="62"/>
        <v>28.179306356108977</v>
      </c>
      <c r="AE60" s="332">
        <f t="shared" si="63"/>
        <v>5483014.0745620979</v>
      </c>
      <c r="AF60" s="332">
        <f t="shared" si="64"/>
        <v>5384202.8128251825</v>
      </c>
      <c r="AI60" s="64">
        <v>2046</v>
      </c>
      <c r="AJ60" s="331">
        <f t="shared" ref="AJ60:AN60" si="79">_xlfn.FORECAST.LINEAR($AI60,AI$33:AI$34,$AH$33:$AH$34)*_xlfn.FORECAST.LINEAR($AI60,$I$11:$I$12,$H$11:$H$12)</f>
        <v>0.11921157553282503</v>
      </c>
      <c r="AK60" s="331">
        <f t="shared" si="79"/>
        <v>0</v>
      </c>
      <c r="AL60" s="331">
        <f t="shared" si="79"/>
        <v>1.8270929281405344</v>
      </c>
      <c r="AM60" s="331">
        <f t="shared" si="79"/>
        <v>0.89556376042282781</v>
      </c>
      <c r="AN60" s="331">
        <f t="shared" si="79"/>
        <v>4.4135141114331011</v>
      </c>
    </row>
    <row r="61" spans="1:40" ht="15" customHeight="1" x14ac:dyDescent="0.25">
      <c r="B61" s="489"/>
      <c r="C61" s="489"/>
      <c r="D61" s="489"/>
      <c r="E61" s="489"/>
      <c r="G61" s="64"/>
      <c r="H61" s="90" t="s">
        <v>5</v>
      </c>
      <c r="I61" s="220">
        <f>SUM(I50:I60)</f>
        <v>3744960</v>
      </c>
      <c r="J61" s="220">
        <f t="shared" ref="J61:L61" si="80">SUM(J50:J60)</f>
        <v>5907202.0069271885</v>
      </c>
      <c r="K61" s="220">
        <f t="shared" si="80"/>
        <v>2839507.9964389722</v>
      </c>
      <c r="L61" s="220">
        <f t="shared" si="80"/>
        <v>5800746.3101695739</v>
      </c>
      <c r="M61" s="15"/>
      <c r="T61" s="64">
        <f t="shared" si="70"/>
        <v>2038</v>
      </c>
      <c r="U61" s="332" cm="1">
        <f t="array" ref="U61">TREND(U$48:U$49,$T$48:$T$49,$T61)</f>
        <v>0.29900903327136064</v>
      </c>
      <c r="V61" s="332" cm="1">
        <f t="array" ref="V61">TREND(V$48:V$49,$T$48:$T$49,$T61)</f>
        <v>0.29900903327136064</v>
      </c>
      <c r="W61" s="332" cm="1">
        <f t="array" ref="W61">TREND(W$48:W$49,$T$48:$T$49,$T61)</f>
        <v>6.8772077652412804</v>
      </c>
      <c r="X61" s="332" cm="1">
        <f t="array" ref="X61">TREND(X$48:X$49,$T$48:$T$49,$T61)</f>
        <v>8.9702709981408475</v>
      </c>
      <c r="Y61" s="332" cm="1">
        <f t="array" ref="Y61">TREND(Y$48:Y$49,$T$48:$T$49,$T61)</f>
        <v>29.302885260593257</v>
      </c>
      <c r="Z61" s="332">
        <f t="shared" si="58"/>
        <v>0.29362048977201932</v>
      </c>
      <c r="AA61" s="332">
        <f t="shared" si="59"/>
        <v>0.29362048977201932</v>
      </c>
      <c r="AB61" s="332">
        <f t="shared" si="60"/>
        <v>6.7532712647564299</v>
      </c>
      <c r="AC61" s="332">
        <f t="shared" si="61"/>
        <v>8.8086146931606066</v>
      </c>
      <c r="AD61" s="332">
        <f t="shared" si="62"/>
        <v>28.774807997657806</v>
      </c>
      <c r="AE61" s="332">
        <f t="shared" si="63"/>
        <v>5598884.346199573</v>
      </c>
      <c r="AF61" s="332">
        <f t="shared" si="64"/>
        <v>5497984.9468831057</v>
      </c>
      <c r="AI61" s="64">
        <v>2047</v>
      </c>
      <c r="AJ61" s="331">
        <f t="shared" ref="AJ61:AN61" si="81">_xlfn.FORECAST.LINEAR($AI61,AI$33:AI$34,$AH$33:$AH$34)*_xlfn.FORECAST.LINEAR($AI61,$I$11:$I$12,$H$11:$H$12)</f>
        <v>0.12052024409130652</v>
      </c>
      <c r="AK61" s="331">
        <f t="shared" si="81"/>
        <v>0</v>
      </c>
      <c r="AL61" s="331">
        <f t="shared" si="81"/>
        <v>1.8763326567222403</v>
      </c>
      <c r="AM61" s="331">
        <f t="shared" si="81"/>
        <v>0.90272348662285673</v>
      </c>
      <c r="AN61" s="331">
        <f t="shared" si="81"/>
        <v>4.4894815599615292</v>
      </c>
    </row>
    <row r="62" spans="1:40" x14ac:dyDescent="0.25">
      <c r="B62" s="489"/>
      <c r="C62" s="489"/>
      <c r="D62" s="489"/>
      <c r="E62" s="489"/>
      <c r="L62" s="68"/>
      <c r="N62" s="399"/>
      <c r="O62" s="399"/>
      <c r="P62" s="399"/>
      <c r="T62" s="64">
        <f t="shared" si="70"/>
        <v>2039</v>
      </c>
      <c r="U62" s="332" cm="1">
        <f t="array" ref="U62">TREND(U$48:U$49,$T$48:$T$49,$T62)</f>
        <v>0.3051970978508205</v>
      </c>
      <c r="V62" s="332" cm="1">
        <f t="array" ref="V62">TREND(V$48:V$49,$T$48:$T$49,$T62)</f>
        <v>0.3051970978508205</v>
      </c>
      <c r="W62" s="332" cm="1">
        <f t="array" ref="W62">TREND(W$48:W$49,$T$48:$T$49,$T62)</f>
        <v>7.0195332505688839</v>
      </c>
      <c r="X62" s="332" cm="1">
        <f t="array" ref="X62">TREND(X$48:X$49,$T$48:$T$49,$T62)</f>
        <v>9.1559129355246114</v>
      </c>
      <c r="Y62" s="332" cm="1">
        <f t="array" ref="Y62">TREND(Y$48:Y$49,$T$48:$T$49,$T62)</f>
        <v>29.909315589380412</v>
      </c>
      <c r="Z62" s="332">
        <f t="shared" si="58"/>
        <v>0.29969703713476392</v>
      </c>
      <c r="AA62" s="332">
        <f t="shared" si="59"/>
        <v>0.29969703713476392</v>
      </c>
      <c r="AB62" s="332">
        <f t="shared" si="60"/>
        <v>6.893031854099581</v>
      </c>
      <c r="AC62" s="332">
        <f t="shared" si="61"/>
        <v>8.9909111140429125</v>
      </c>
      <c r="AD62" s="332">
        <f t="shared" si="62"/>
        <v>29.370309639206866</v>
      </c>
      <c r="AE62" s="332">
        <f t="shared" si="63"/>
        <v>5714754.6178370453</v>
      </c>
      <c r="AF62" s="332">
        <f t="shared" si="64"/>
        <v>5611767.080941028</v>
      </c>
      <c r="AI62" s="64">
        <v>2048</v>
      </c>
      <c r="AJ62" s="331">
        <f t="shared" ref="AJ62:AN62" si="82">_xlfn.FORECAST.LINEAR($AI62,AI$33:AI$34,$AH$33:$AH$34)*_xlfn.FORECAST.LINEAR($AI62,$I$11:$I$12,$H$11:$H$12)</f>
        <v>0.12181623421602376</v>
      </c>
      <c r="AK62" s="331">
        <f t="shared" si="82"/>
        <v>0</v>
      </c>
      <c r="AL62" s="331">
        <f t="shared" si="82"/>
        <v>1.9262212538300072</v>
      </c>
      <c r="AM62" s="331">
        <f t="shared" si="82"/>
        <v>0.90971077838414516</v>
      </c>
      <c r="AN62" s="331">
        <f t="shared" si="82"/>
        <v>4.5657746906674577</v>
      </c>
    </row>
    <row r="63" spans="1:40" ht="15" customHeight="1" x14ac:dyDescent="0.25">
      <c r="G63" s="320"/>
      <c r="H63" s="27" t="s">
        <v>351</v>
      </c>
      <c r="I63" s="513">
        <v>2022</v>
      </c>
      <c r="J63" s="513"/>
      <c r="K63" s="513"/>
      <c r="L63" s="513"/>
      <c r="M63" s="522">
        <v>2045</v>
      </c>
      <c r="N63" s="523"/>
      <c r="O63" s="523"/>
      <c r="P63" s="523"/>
      <c r="Q63" s="402"/>
      <c r="T63" s="64">
        <f t="shared" si="70"/>
        <v>2040</v>
      </c>
      <c r="U63" s="332" cm="1">
        <f t="array" ref="U63">TREND(U$48:U$49,$T$48:$T$49,$T63)</f>
        <v>0.31138516243028036</v>
      </c>
      <c r="V63" s="332" cm="1">
        <f t="array" ref="V63">TREND(V$48:V$49,$T$48:$T$49,$T63)</f>
        <v>0.31138516243028036</v>
      </c>
      <c r="W63" s="332" cm="1">
        <f t="array" ref="W63">TREND(W$48:W$49,$T$48:$T$49,$T63)</f>
        <v>7.1618587358964305</v>
      </c>
      <c r="X63" s="332" cm="1">
        <f t="array" ref="X63">TREND(X$48:X$49,$T$48:$T$49,$T63)</f>
        <v>9.3415548729084321</v>
      </c>
      <c r="Y63" s="332" cm="1">
        <f t="array" ref="Y63">TREND(Y$48:Y$49,$T$48:$T$49,$T63)</f>
        <v>30.515745918167568</v>
      </c>
      <c r="Z63" s="332">
        <f t="shared" si="58"/>
        <v>0.30577358449750847</v>
      </c>
      <c r="AA63" s="332">
        <f t="shared" si="59"/>
        <v>0.30577358449750847</v>
      </c>
      <c r="AB63" s="332">
        <f t="shared" si="60"/>
        <v>7.032792443442677</v>
      </c>
      <c r="AC63" s="332">
        <f t="shared" si="61"/>
        <v>9.1732075349252753</v>
      </c>
      <c r="AD63" s="332">
        <f t="shared" si="62"/>
        <v>29.965811280755922</v>
      </c>
      <c r="AE63" s="332">
        <f t="shared" si="63"/>
        <v>5830624.889474513</v>
      </c>
      <c r="AF63" s="332">
        <f t="shared" si="64"/>
        <v>5725549.2149989456</v>
      </c>
      <c r="AI63" s="64">
        <v>2049</v>
      </c>
      <c r="AJ63" s="331">
        <f t="shared" ref="AJ63:AN63" si="83">_xlfn.FORECAST.LINEAR($AI63,AI$33:AI$34,$AH$33:$AH$34)*_xlfn.FORECAST.LINEAR($AI63,$I$11:$I$12,$H$11:$H$12)</f>
        <v>0.12309954590697678</v>
      </c>
      <c r="AK63" s="331">
        <f t="shared" si="83"/>
        <v>0</v>
      </c>
      <c r="AL63" s="331">
        <f t="shared" si="83"/>
        <v>1.9767587194638419</v>
      </c>
      <c r="AM63" s="331">
        <f t="shared" si="83"/>
        <v>0.91652563570669321</v>
      </c>
      <c r="AN63" s="331">
        <f t="shared" si="83"/>
        <v>4.642393503550883</v>
      </c>
    </row>
    <row r="64" spans="1:40" ht="17.25" customHeight="1" x14ac:dyDescent="0.25">
      <c r="A64" s="11" t="s">
        <v>45</v>
      </c>
      <c r="B64" s="489" t="s">
        <v>1132</v>
      </c>
      <c r="C64" s="489"/>
      <c r="D64" s="489"/>
      <c r="E64" s="489"/>
      <c r="G64" s="64"/>
      <c r="H64" s="27" t="s">
        <v>131</v>
      </c>
      <c r="I64" s="27" t="s">
        <v>352</v>
      </c>
      <c r="J64" s="27" t="s">
        <v>353</v>
      </c>
      <c r="K64" s="27" t="s">
        <v>350</v>
      </c>
      <c r="L64" s="27" t="s">
        <v>349</v>
      </c>
      <c r="M64" s="27" t="s">
        <v>352</v>
      </c>
      <c r="N64" s="27" t="s">
        <v>353</v>
      </c>
      <c r="O64" s="27" t="s">
        <v>350</v>
      </c>
      <c r="P64" s="400" t="s">
        <v>349</v>
      </c>
      <c r="Q64" s="402"/>
      <c r="T64" s="64">
        <f t="shared" si="70"/>
        <v>2041</v>
      </c>
      <c r="U64" s="332" cm="1">
        <f t="array" ref="U64">TREND(U$48:U$49,$T$48:$T$49,$T64)</f>
        <v>0.31757322700974022</v>
      </c>
      <c r="V64" s="332" cm="1">
        <f t="array" ref="V64">TREND(V$48:V$49,$T$48:$T$49,$T64)</f>
        <v>0.31757322700974022</v>
      </c>
      <c r="W64" s="332" cm="1">
        <f t="array" ref="W64">TREND(W$48:W$49,$T$48:$T$49,$T64)</f>
        <v>7.304184221224034</v>
      </c>
      <c r="X64" s="332" cm="1">
        <f t="array" ref="X64">TREND(X$48:X$49,$T$48:$T$49,$T64)</f>
        <v>9.527196810292196</v>
      </c>
      <c r="Y64" s="332" cm="1">
        <f t="array" ref="Y64">TREND(Y$48:Y$49,$T$48:$T$49,$T64)</f>
        <v>31.122176246954496</v>
      </c>
      <c r="Z64" s="332">
        <f t="shared" si="58"/>
        <v>0.31185013186025301</v>
      </c>
      <c r="AA64" s="332">
        <f t="shared" si="59"/>
        <v>0.31185013186025301</v>
      </c>
      <c r="AB64" s="332">
        <f t="shared" si="60"/>
        <v>7.172553032785828</v>
      </c>
      <c r="AC64" s="332">
        <f t="shared" si="61"/>
        <v>9.3555039558075812</v>
      </c>
      <c r="AD64" s="332">
        <f t="shared" si="62"/>
        <v>30.561312922304751</v>
      </c>
      <c r="AE64" s="332">
        <f t="shared" si="63"/>
        <v>5946495.1611119844</v>
      </c>
      <c r="AF64" s="332">
        <f t="shared" si="64"/>
        <v>5839331.349056866</v>
      </c>
      <c r="AI64" s="64">
        <v>2050</v>
      </c>
      <c r="AJ64" s="331">
        <f t="shared" ref="AJ64:AN64" si="84">_xlfn.FORECAST.LINEAR($AI64,AI$33:AI$34,$AH$33:$AH$34)*_xlfn.FORECAST.LINEAR($AI64,$I$11:$I$12,$H$11:$H$12)</f>
        <v>0.12437017916416557</v>
      </c>
      <c r="AK64" s="331">
        <f t="shared" si="84"/>
        <v>0</v>
      </c>
      <c r="AL64" s="331">
        <f t="shared" si="84"/>
        <v>2.0279450536237511</v>
      </c>
      <c r="AM64" s="331">
        <f t="shared" si="84"/>
        <v>0.92316805859050077</v>
      </c>
      <c r="AN64" s="331">
        <f t="shared" si="84"/>
        <v>4.7193379986118034</v>
      </c>
    </row>
    <row r="65" spans="1:40" x14ac:dyDescent="0.25">
      <c r="A65" s="11"/>
      <c r="B65" s="489"/>
      <c r="C65" s="489"/>
      <c r="D65" s="489"/>
      <c r="E65" s="489"/>
      <c r="G65" s="506" t="s">
        <v>250</v>
      </c>
      <c r="H65" s="64" t="s">
        <v>244</v>
      </c>
      <c r="I65" s="64">
        <v>740</v>
      </c>
      <c r="J65" s="64">
        <v>874</v>
      </c>
      <c r="K65" s="64">
        <f>J65-I65</f>
        <v>134</v>
      </c>
      <c r="L65" s="298">
        <f t="shared" ref="L65:L70" si="85">K65/I65</f>
        <v>0.18108108108108109</v>
      </c>
      <c r="M65" s="299">
        <v>2860</v>
      </c>
      <c r="N65" s="299">
        <v>3495</v>
      </c>
      <c r="O65" s="299">
        <f>N65-M65</f>
        <v>635</v>
      </c>
      <c r="P65" s="401">
        <f>O65/M65</f>
        <v>0.22202797202797203</v>
      </c>
      <c r="Q65" s="402"/>
      <c r="T65" s="64">
        <f t="shared" si="70"/>
        <v>2042</v>
      </c>
      <c r="U65" s="332" cm="1">
        <f t="array" ref="U65">TREND(U$48:U$49,$T$48:$T$49,$T65)</f>
        <v>0.32376129158920008</v>
      </c>
      <c r="V65" s="332" cm="1">
        <f t="array" ref="V65">TREND(V$48:V$49,$T$48:$T$49,$T65)</f>
        <v>0.32376129158920008</v>
      </c>
      <c r="W65" s="332" cm="1">
        <f t="array" ref="W65">TREND(W$48:W$49,$T$48:$T$49,$T65)</f>
        <v>7.4465097065515806</v>
      </c>
      <c r="X65" s="332" cm="1">
        <f t="array" ref="X65">TREND(X$48:X$49,$T$48:$T$49,$T65)</f>
        <v>9.7128387476760167</v>
      </c>
      <c r="Y65" s="332" cm="1">
        <f t="array" ref="Y65">TREND(Y$48:Y$49,$T$48:$T$49,$T65)</f>
        <v>31.728606575741651</v>
      </c>
      <c r="Z65" s="332">
        <f t="shared" si="58"/>
        <v>0.31792667922299761</v>
      </c>
      <c r="AA65" s="332">
        <f t="shared" si="59"/>
        <v>0.31792667922299761</v>
      </c>
      <c r="AB65" s="332">
        <f t="shared" si="60"/>
        <v>7.312313622128924</v>
      </c>
      <c r="AC65" s="332">
        <f t="shared" si="61"/>
        <v>9.5378003766899422</v>
      </c>
      <c r="AD65" s="332">
        <f t="shared" si="62"/>
        <v>31.156814563853807</v>
      </c>
      <c r="AE65" s="332">
        <f t="shared" si="63"/>
        <v>6062365.4327494511</v>
      </c>
      <c r="AF65" s="332">
        <f t="shared" si="64"/>
        <v>5953113.4831147837</v>
      </c>
      <c r="AI65" s="64">
        <v>2051</v>
      </c>
      <c r="AJ65" s="331">
        <f t="shared" ref="AJ65:AN65" si="86">_xlfn.FORECAST.LINEAR($AI65,AI$33:AI$34,$AH$33:$AH$34)*_xlfn.FORECAST.LINEAR($AI65,$I$11:$I$12,$H$11:$H$12)</f>
        <v>0.12562813398759001</v>
      </c>
      <c r="AK65" s="331">
        <f t="shared" si="86"/>
        <v>0</v>
      </c>
      <c r="AL65" s="331">
        <f t="shared" si="86"/>
        <v>2.079780256309721</v>
      </c>
      <c r="AM65" s="331">
        <f t="shared" si="86"/>
        <v>0.92963804703556785</v>
      </c>
      <c r="AN65" s="331">
        <f t="shared" si="86"/>
        <v>4.7966081758502241</v>
      </c>
    </row>
    <row r="66" spans="1:40" ht="15" customHeight="1" x14ac:dyDescent="0.25">
      <c r="A66" s="11"/>
      <c r="B66" s="489"/>
      <c r="C66" s="489"/>
      <c r="D66" s="489"/>
      <c r="E66" s="489"/>
      <c r="G66" s="506"/>
      <c r="H66" s="64" t="s">
        <v>245</v>
      </c>
      <c r="I66" s="64">
        <v>664</v>
      </c>
      <c r="J66" s="64">
        <v>1074</v>
      </c>
      <c r="K66" s="64">
        <f t="shared" ref="K66:K70" si="87">J66-I66</f>
        <v>410</v>
      </c>
      <c r="L66" s="298">
        <f t="shared" si="85"/>
        <v>0.61746987951807231</v>
      </c>
      <c r="M66" s="299">
        <v>1967</v>
      </c>
      <c r="N66" s="299">
        <v>3230</v>
      </c>
      <c r="O66" s="299">
        <f t="shared" ref="O66:O70" si="88">N66-M66</f>
        <v>1263</v>
      </c>
      <c r="P66" s="401">
        <f t="shared" ref="P66:P70" si="89">O66/M66</f>
        <v>0.64209456024402645</v>
      </c>
      <c r="Q66" s="402"/>
      <c r="T66" s="64">
        <f t="shared" si="70"/>
        <v>2043</v>
      </c>
      <c r="U66" s="332" cm="1">
        <f t="array" ref="U66">TREND(U$48:U$49,$T$48:$T$49,$T66)</f>
        <v>0.32994935616866172</v>
      </c>
      <c r="V66" s="332" cm="1">
        <f t="array" ref="V66">TREND(V$48:V$49,$T$48:$T$49,$T66)</f>
        <v>0.32994935616866172</v>
      </c>
      <c r="W66" s="332" cm="1">
        <f t="array" ref="W66">TREND(W$48:W$49,$T$48:$T$49,$T66)</f>
        <v>7.5888351918791841</v>
      </c>
      <c r="X66" s="332" cm="1">
        <f t="array" ref="X66">TREND(X$48:X$49,$T$48:$T$49,$T66)</f>
        <v>9.8984806850598375</v>
      </c>
      <c r="Y66" s="332" cm="1">
        <f t="array" ref="Y66">TREND(Y$48:Y$49,$T$48:$T$49,$T66)</f>
        <v>32.335036904528806</v>
      </c>
      <c r="Z66" s="332">
        <f t="shared" si="58"/>
        <v>0.32400322658574388</v>
      </c>
      <c r="AA66" s="332">
        <f t="shared" si="59"/>
        <v>0.32400322658574388</v>
      </c>
      <c r="AB66" s="332">
        <f t="shared" si="60"/>
        <v>7.452074211472075</v>
      </c>
      <c r="AC66" s="332">
        <f t="shared" si="61"/>
        <v>9.7200967975723032</v>
      </c>
      <c r="AD66" s="332">
        <f t="shared" si="62"/>
        <v>31.75231620540286</v>
      </c>
      <c r="AE66" s="332">
        <f t="shared" si="63"/>
        <v>6178235.7043869505</v>
      </c>
      <c r="AF66" s="332">
        <f t="shared" si="64"/>
        <v>6066895.6171727302</v>
      </c>
      <c r="AI66" s="64">
        <v>2052</v>
      </c>
      <c r="AJ66" s="331">
        <f t="shared" ref="AJ66:AN66" si="90">_xlfn.FORECAST.LINEAR($AI66,AI$33:AI$34,$AH$33:$AH$34)*_xlfn.FORECAST.LINEAR($AI66,$I$11:$I$12,$H$11:$H$12)</f>
        <v>0.12687341037725033</v>
      </c>
      <c r="AK66" s="331">
        <f t="shared" si="90"/>
        <v>0</v>
      </c>
      <c r="AL66" s="331">
        <f t="shared" si="90"/>
        <v>2.1322643275217659</v>
      </c>
      <c r="AM66" s="331">
        <f t="shared" si="90"/>
        <v>0.93593560104189455</v>
      </c>
      <c r="AN66" s="331">
        <f t="shared" si="90"/>
        <v>4.8742040352661427</v>
      </c>
    </row>
    <row r="67" spans="1:40" ht="15" customHeight="1" x14ac:dyDescent="0.25">
      <c r="A67" s="11"/>
      <c r="B67" s="489"/>
      <c r="C67" s="489"/>
      <c r="D67" s="489"/>
      <c r="E67" s="489"/>
      <c r="G67" s="506"/>
      <c r="H67" s="64" t="s">
        <v>246</v>
      </c>
      <c r="I67" s="64">
        <v>5557</v>
      </c>
      <c r="J67" s="64">
        <v>5876</v>
      </c>
      <c r="K67" s="64">
        <f t="shared" si="87"/>
        <v>319</v>
      </c>
      <c r="L67" s="298">
        <f t="shared" si="85"/>
        <v>5.7405074680583049E-2</v>
      </c>
      <c r="M67" s="299">
        <v>7799</v>
      </c>
      <c r="N67" s="299">
        <v>9015</v>
      </c>
      <c r="O67" s="299">
        <f t="shared" si="88"/>
        <v>1216</v>
      </c>
      <c r="P67" s="401">
        <f t="shared" si="89"/>
        <v>0.1559174253109373</v>
      </c>
      <c r="Q67" s="402"/>
      <c r="T67" s="64">
        <f t="shared" ref="T67:T70" si="91">T66+1</f>
        <v>2044</v>
      </c>
      <c r="U67" s="332" cm="1">
        <f t="array" ref="U67">TREND(U$48:U$49,$T$48:$T$49,$T67)</f>
        <v>0.33613742074812158</v>
      </c>
      <c r="V67" s="332" cm="1">
        <f t="array" ref="V67">TREND(V$48:V$49,$T$48:$T$49,$T67)</f>
        <v>0.33613742074812158</v>
      </c>
      <c r="W67" s="332" cm="1">
        <f t="array" ref="W67">TREND(W$48:W$49,$T$48:$T$49,$T67)</f>
        <v>7.7311606772067876</v>
      </c>
      <c r="X67" s="332" cm="1">
        <f t="array" ref="X67">TREND(X$48:X$49,$T$48:$T$49,$T67)</f>
        <v>10.084122622443601</v>
      </c>
      <c r="Y67" s="332" cm="1">
        <f t="array" ref="Y67">TREND(Y$48:Y$49,$T$48:$T$49,$T67)</f>
        <v>32.941467233315734</v>
      </c>
      <c r="Z67" s="332">
        <f t="shared" si="58"/>
        <v>0.33007977394848848</v>
      </c>
      <c r="AA67" s="332">
        <f t="shared" si="59"/>
        <v>0.33007977394848848</v>
      </c>
      <c r="AB67" s="332">
        <f t="shared" si="60"/>
        <v>7.5918348008152261</v>
      </c>
      <c r="AC67" s="332">
        <f t="shared" si="61"/>
        <v>9.9023932184546091</v>
      </c>
      <c r="AD67" s="332">
        <f t="shared" si="62"/>
        <v>32.347817846951692</v>
      </c>
      <c r="AE67" s="332">
        <f t="shared" si="63"/>
        <v>6294105.9760244209</v>
      </c>
      <c r="AF67" s="332">
        <f t="shared" si="64"/>
        <v>6180677.7512306515</v>
      </c>
      <c r="AI67" s="64">
        <v>2053</v>
      </c>
      <c r="AJ67" s="331">
        <f t="shared" ref="AJ67:AN67" si="92">_xlfn.FORECAST.LINEAR($AI67,AI$33:AI$34,$AH$33:$AH$34)*_xlfn.FORECAST.LINEAR($AI67,$I$11:$I$12,$H$11:$H$12)</f>
        <v>0.12810600833314642</v>
      </c>
      <c r="AK67" s="331">
        <f t="shared" si="92"/>
        <v>0</v>
      </c>
      <c r="AL67" s="331">
        <f t="shared" si="92"/>
        <v>2.1853972672598712</v>
      </c>
      <c r="AM67" s="331">
        <f t="shared" si="92"/>
        <v>0.94206072060948076</v>
      </c>
      <c r="AN67" s="331">
        <f t="shared" si="92"/>
        <v>4.9521255768595545</v>
      </c>
    </row>
    <row r="68" spans="1:40" ht="15" customHeight="1" x14ac:dyDescent="0.25">
      <c r="A68" s="11"/>
      <c r="B68" s="489"/>
      <c r="C68" s="489"/>
      <c r="D68" s="489"/>
      <c r="E68" s="489"/>
      <c r="G68" s="506"/>
      <c r="H68" s="64" t="s">
        <v>247</v>
      </c>
      <c r="I68" s="64">
        <v>532</v>
      </c>
      <c r="J68" s="64">
        <v>528</v>
      </c>
      <c r="K68" s="64">
        <f t="shared" si="87"/>
        <v>-4</v>
      </c>
      <c r="L68" s="298">
        <f t="shared" si="85"/>
        <v>-7.5187969924812026E-3</v>
      </c>
      <c r="M68" s="299">
        <v>961</v>
      </c>
      <c r="N68" s="299">
        <v>960</v>
      </c>
      <c r="O68" s="299">
        <f t="shared" si="88"/>
        <v>-1</v>
      </c>
      <c r="P68" s="401">
        <f t="shared" si="89"/>
        <v>-1.0405827263267431E-3</v>
      </c>
      <c r="Q68" s="402"/>
      <c r="T68" s="64">
        <f t="shared" si="91"/>
        <v>2045</v>
      </c>
      <c r="U68" s="332" cm="1">
        <f t="array" ref="U68">TREND(U$48:U$49,$T$48:$T$49,$T68)</f>
        <v>0.34232548532758145</v>
      </c>
      <c r="V68" s="332" cm="1">
        <f t="array" ref="V68">TREND(V$48:V$49,$T$48:$T$49,$T68)</f>
        <v>0.34232548532758145</v>
      </c>
      <c r="W68" s="332" cm="1">
        <f t="array" ref="W68">TREND(W$48:W$49,$T$48:$T$49,$T68)</f>
        <v>7.8734861625343342</v>
      </c>
      <c r="X68" s="332" cm="1">
        <f t="array" ref="X68">TREND(X$48:X$49,$T$48:$T$49,$T68)</f>
        <v>10.269764559827422</v>
      </c>
      <c r="Y68" s="332" cm="1">
        <f t="array" ref="Y68">TREND(Y$48:Y$49,$T$48:$T$49,$T68)</f>
        <v>33.547897562102889</v>
      </c>
      <c r="Z68" s="332">
        <f t="shared" si="58"/>
        <v>0.33615632131123302</v>
      </c>
      <c r="AA68" s="332">
        <f t="shared" si="59"/>
        <v>0.33615632131123302</v>
      </c>
      <c r="AB68" s="332">
        <f t="shared" si="60"/>
        <v>7.7315953901583221</v>
      </c>
      <c r="AC68" s="332">
        <f t="shared" si="61"/>
        <v>10.08468963933697</v>
      </c>
      <c r="AD68" s="332">
        <f t="shared" si="62"/>
        <v>32.943319488500748</v>
      </c>
      <c r="AE68" s="332">
        <f t="shared" si="63"/>
        <v>6409976.2476618895</v>
      </c>
      <c r="AF68" s="332">
        <f t="shared" si="64"/>
        <v>6294459.8852885682</v>
      </c>
      <c r="AI68" s="64">
        <v>2054</v>
      </c>
      <c r="AJ68" s="331">
        <f t="shared" ref="AJ68:AN68" si="93">_xlfn.FORECAST.LINEAR($AI68,AI$33:AI$34,$AH$33:$AH$34)*_xlfn.FORECAST.LINEAR($AI68,$I$11:$I$12,$H$11:$H$12)</f>
        <v>0.12932592785527827</v>
      </c>
      <c r="AK68" s="331">
        <f t="shared" si="93"/>
        <v>0</v>
      </c>
      <c r="AL68" s="331">
        <f t="shared" si="93"/>
        <v>2.2391790755240439</v>
      </c>
      <c r="AM68" s="331">
        <f t="shared" si="93"/>
        <v>0.94801340573832649</v>
      </c>
      <c r="AN68" s="331">
        <f t="shared" si="93"/>
        <v>5.0303728006304675</v>
      </c>
    </row>
    <row r="69" spans="1:40" ht="15" customHeight="1" x14ac:dyDescent="0.25">
      <c r="A69" s="11"/>
      <c r="B69" s="489"/>
      <c r="C69" s="489"/>
      <c r="D69" s="489"/>
      <c r="E69" s="489"/>
      <c r="G69" s="506"/>
      <c r="H69" s="64" t="s">
        <v>248</v>
      </c>
      <c r="I69" s="64">
        <v>3546</v>
      </c>
      <c r="J69" s="64">
        <v>3400</v>
      </c>
      <c r="K69" s="64">
        <f t="shared" si="87"/>
        <v>-146</v>
      </c>
      <c r="L69" s="298">
        <f t="shared" si="85"/>
        <v>-4.117315284827975E-2</v>
      </c>
      <c r="M69" s="299">
        <v>5208</v>
      </c>
      <c r="N69" s="299">
        <v>4500</v>
      </c>
      <c r="O69" s="299">
        <f t="shared" si="88"/>
        <v>-708</v>
      </c>
      <c r="P69" s="401">
        <f t="shared" si="89"/>
        <v>-0.13594470046082949</v>
      </c>
      <c r="Q69" s="402"/>
      <c r="T69" s="64">
        <f t="shared" si="91"/>
        <v>2046</v>
      </c>
      <c r="U69" s="332" cm="1">
        <f t="array" ref="U69">TREND(U$48:U$49,$T$48:$T$49,$T69)</f>
        <v>0.34851354990704131</v>
      </c>
      <c r="V69" s="332" cm="1">
        <f t="array" ref="V69">TREND(V$48:V$49,$T$48:$T$49,$T69)</f>
        <v>0.34851354990704131</v>
      </c>
      <c r="W69" s="332" cm="1">
        <f t="array" ref="W69">TREND(W$48:W$49,$T$48:$T$49,$T69)</f>
        <v>8.0158116478619377</v>
      </c>
      <c r="X69" s="332" cm="1">
        <f t="array" ref="X69">TREND(X$48:X$49,$T$48:$T$49,$T69)</f>
        <v>10.455406497211243</v>
      </c>
      <c r="Y69" s="332" cm="1">
        <f t="array" ref="Y69">TREND(Y$48:Y$49,$T$48:$T$49,$T69)</f>
        <v>34.154327890890045</v>
      </c>
      <c r="Z69" s="332">
        <f t="shared" si="58"/>
        <v>0.34223286867397762</v>
      </c>
      <c r="AA69" s="332">
        <f t="shared" si="59"/>
        <v>0.34223286867397762</v>
      </c>
      <c r="AB69" s="332">
        <f t="shared" si="60"/>
        <v>7.8713559795014731</v>
      </c>
      <c r="AC69" s="332">
        <f t="shared" si="61"/>
        <v>10.266986060219331</v>
      </c>
      <c r="AD69" s="332">
        <f t="shared" si="62"/>
        <v>33.538821130049804</v>
      </c>
      <c r="AE69" s="332">
        <f t="shared" si="63"/>
        <v>6525846.5192993656</v>
      </c>
      <c r="AF69" s="332">
        <f t="shared" si="64"/>
        <v>6408242.0193464952</v>
      </c>
    </row>
    <row r="70" spans="1:40" ht="15" customHeight="1" x14ac:dyDescent="0.25">
      <c r="A70" s="11"/>
      <c r="B70" s="489"/>
      <c r="C70" s="489"/>
      <c r="D70" s="489"/>
      <c r="E70" s="489"/>
      <c r="G70" s="506"/>
      <c r="H70" s="64" t="s">
        <v>249</v>
      </c>
      <c r="I70" s="64">
        <v>3036</v>
      </c>
      <c r="J70" s="64">
        <v>2890</v>
      </c>
      <c r="K70" s="64">
        <f t="shared" si="87"/>
        <v>-146</v>
      </c>
      <c r="L70" s="298">
        <f t="shared" si="85"/>
        <v>-4.808959156785244E-2</v>
      </c>
      <c r="M70" s="299">
        <v>4608</v>
      </c>
      <c r="N70" s="299">
        <v>3900</v>
      </c>
      <c r="O70" s="299">
        <f t="shared" si="88"/>
        <v>-708</v>
      </c>
      <c r="P70" s="401">
        <f t="shared" si="89"/>
        <v>-0.15364583333333334</v>
      </c>
      <c r="Q70" s="402"/>
      <c r="T70" s="64">
        <f t="shared" si="91"/>
        <v>2047</v>
      </c>
      <c r="U70" s="332" cm="1">
        <f t="array" ref="U70">TREND(U$48:U$49,$T$48:$T$49,$T70)</f>
        <v>0.35470161448650117</v>
      </c>
      <c r="V70" s="332" cm="1">
        <f t="array" ref="V70">TREND(V$48:V$49,$T$48:$T$49,$T70)</f>
        <v>0.35470161448650117</v>
      </c>
      <c r="W70" s="332" cm="1">
        <f t="array" ref="W70">TREND(W$48:W$49,$T$48:$T$49,$T70)</f>
        <v>8.1581371331894843</v>
      </c>
      <c r="X70" s="332" cm="1">
        <f t="array" ref="X70">TREND(X$48:X$49,$T$48:$T$49,$T70)</f>
        <v>10.641048434595007</v>
      </c>
      <c r="Y70" s="332" cm="1">
        <f t="array" ref="Y70">TREND(Y$48:Y$49,$T$48:$T$49,$T70)</f>
        <v>34.760758219676973</v>
      </c>
      <c r="Z70" s="332">
        <f t="shared" si="58"/>
        <v>0.34830941603672222</v>
      </c>
      <c r="AA70" s="332">
        <f t="shared" si="59"/>
        <v>0.34830941603672222</v>
      </c>
      <c r="AB70" s="332">
        <f t="shared" si="60"/>
        <v>8.0111165688445691</v>
      </c>
      <c r="AC70" s="332">
        <f t="shared" si="61"/>
        <v>10.449282481101637</v>
      </c>
      <c r="AD70" s="332">
        <f t="shared" si="62"/>
        <v>34.134322771598633</v>
      </c>
      <c r="AE70" s="332">
        <f t="shared" si="63"/>
        <v>6641716.7909368267</v>
      </c>
      <c r="AF70" s="332">
        <f t="shared" si="64"/>
        <v>6522024.1534044063</v>
      </c>
    </row>
    <row r="71" spans="1:40" ht="15" customHeight="1" x14ac:dyDescent="0.25">
      <c r="A71" s="11"/>
      <c r="B71" s="489"/>
      <c r="C71" s="489"/>
      <c r="D71" s="489"/>
      <c r="E71" s="489"/>
      <c r="T71" s="64">
        <f t="shared" si="70"/>
        <v>2048</v>
      </c>
      <c r="U71" s="332" cm="1">
        <f t="array" ref="U71">TREND(U$48:U$49,$T$48:$T$49,$T71)</f>
        <v>0.36088967906596103</v>
      </c>
      <c r="V71" s="332" cm="1">
        <f t="array" ref="V71">TREND(V$48:V$49,$T$48:$T$49,$T71)</f>
        <v>0.36088967906596103</v>
      </c>
      <c r="W71" s="332" cm="1">
        <f t="array" ref="W71">TREND(W$48:W$49,$T$48:$T$49,$T71)</f>
        <v>8.3004626185170878</v>
      </c>
      <c r="X71" s="332" cm="1">
        <f t="array" ref="X71">TREND(X$48:X$49,$T$48:$T$49,$T71)</f>
        <v>10.826690371978827</v>
      </c>
      <c r="Y71" s="332" cm="1">
        <f t="array" ref="Y71">TREND(Y$48:Y$49,$T$48:$T$49,$T71)</f>
        <v>35.367188548464128</v>
      </c>
      <c r="Z71" s="332">
        <f t="shared" si="58"/>
        <v>0.35438596339946676</v>
      </c>
      <c r="AA71" s="332">
        <f t="shared" si="59"/>
        <v>0.35438596339946676</v>
      </c>
      <c r="AB71" s="332">
        <f t="shared" si="60"/>
        <v>8.1508771581877202</v>
      </c>
      <c r="AC71" s="332">
        <f t="shared" si="61"/>
        <v>10.631578901984</v>
      </c>
      <c r="AD71" s="332">
        <f t="shared" si="62"/>
        <v>34.729824413147689</v>
      </c>
      <c r="AE71" s="332">
        <f t="shared" si="63"/>
        <v>6757587.0625743046</v>
      </c>
      <c r="AF71" s="332">
        <f t="shared" si="64"/>
        <v>6635806.2874623323</v>
      </c>
    </row>
    <row r="72" spans="1:40" ht="15" customHeight="1" x14ac:dyDescent="0.25">
      <c r="A72" s="11"/>
      <c r="B72" s="489"/>
      <c r="C72" s="489"/>
      <c r="D72" s="489"/>
      <c r="E72" s="489"/>
      <c r="G72" s="320"/>
      <c r="H72" s="290" t="s">
        <v>354</v>
      </c>
      <c r="I72" s="505" t="s">
        <v>352</v>
      </c>
      <c r="J72" s="505"/>
      <c r="K72" s="505" t="s">
        <v>353</v>
      </c>
      <c r="L72" s="505"/>
      <c r="T72" s="64">
        <f t="shared" si="70"/>
        <v>2049</v>
      </c>
      <c r="U72" s="332" cm="1">
        <f t="array" ref="U72">TREND(U$48:U$49,$T$48:$T$49,$T72)</f>
        <v>0.3670777436454209</v>
      </c>
      <c r="V72" s="332" cm="1">
        <f t="array" ref="V72">TREND(V$48:V$49,$T$48:$T$49,$T72)</f>
        <v>0.3670777436454209</v>
      </c>
      <c r="W72" s="332" cm="1">
        <f t="array" ref="W72">TREND(W$48:W$49,$T$48:$T$49,$T72)</f>
        <v>8.4427881038446912</v>
      </c>
      <c r="X72" s="332" cm="1">
        <f t="array" ref="X72">TREND(X$48:X$49,$T$48:$T$49,$T72)</f>
        <v>11.012332309362648</v>
      </c>
      <c r="Y72" s="332" cm="1">
        <f t="array" ref="Y72">TREND(Y$48:Y$49,$T$48:$T$49,$T72)</f>
        <v>35.973618877251283</v>
      </c>
      <c r="Z72" s="332">
        <f t="shared" si="58"/>
        <v>0.36046251076221136</v>
      </c>
      <c r="AA72" s="332">
        <f t="shared" si="59"/>
        <v>0.36046251076221136</v>
      </c>
      <c r="AB72" s="332">
        <f t="shared" si="60"/>
        <v>8.2906377475308712</v>
      </c>
      <c r="AC72" s="332">
        <f t="shared" si="61"/>
        <v>10.813875322866361</v>
      </c>
      <c r="AD72" s="332">
        <f t="shared" si="62"/>
        <v>35.325326054696745</v>
      </c>
      <c r="AE72" s="332">
        <f t="shared" si="63"/>
        <v>6873457.3342117816</v>
      </c>
      <c r="AF72" s="332">
        <f t="shared" si="64"/>
        <v>6749588.4215202583</v>
      </c>
    </row>
    <row r="73" spans="1:40" ht="15" customHeight="1" x14ac:dyDescent="0.25">
      <c r="B73" s="489"/>
      <c r="C73" s="489"/>
      <c r="D73" s="489"/>
      <c r="E73" s="489"/>
      <c r="G73" s="506" t="s">
        <v>254</v>
      </c>
      <c r="I73" s="90" t="s">
        <v>355</v>
      </c>
      <c r="J73" s="90" t="s">
        <v>356</v>
      </c>
      <c r="K73" s="90" t="s">
        <v>355</v>
      </c>
      <c r="L73" s="90" t="s">
        <v>356</v>
      </c>
      <c r="M73" s="80" t="s">
        <v>357</v>
      </c>
      <c r="N73" s="80" t="s">
        <v>358</v>
      </c>
      <c r="P73" s="80" t="s">
        <v>492</v>
      </c>
      <c r="Q73" s="80" t="s">
        <v>361</v>
      </c>
      <c r="T73" s="64">
        <f t="shared" si="70"/>
        <v>2050</v>
      </c>
      <c r="U73" s="332" cm="1">
        <f t="array" ref="U73">TREND(U$48:U$49,$T$48:$T$49,$T73)</f>
        <v>0.37326580822488076</v>
      </c>
      <c r="V73" s="332" cm="1">
        <f t="array" ref="V73">TREND(V$48:V$49,$T$48:$T$49,$T73)</f>
        <v>0.37326580822488076</v>
      </c>
      <c r="W73" s="332" cm="1">
        <f t="array" ref="W73">TREND(W$48:W$49,$T$48:$T$49,$T73)</f>
        <v>8.5851135891722379</v>
      </c>
      <c r="X73" s="332" cm="1">
        <f t="array" ref="X73">TREND(X$48:X$49,$T$48:$T$49,$T73)</f>
        <v>11.197974246746412</v>
      </c>
      <c r="Y73" s="332" cm="1">
        <f t="array" ref="Y73">TREND(Y$48:Y$49,$T$48:$T$49,$T73)</f>
        <v>36.580049206038211</v>
      </c>
      <c r="Z73" s="332">
        <f t="shared" si="58"/>
        <v>0.36653905812495591</v>
      </c>
      <c r="AA73" s="332">
        <f t="shared" si="59"/>
        <v>0.36653905812495591</v>
      </c>
      <c r="AB73" s="332">
        <f t="shared" si="60"/>
        <v>8.4303983368739672</v>
      </c>
      <c r="AC73" s="332">
        <f t="shared" si="61"/>
        <v>10.996171743748667</v>
      </c>
      <c r="AD73" s="332">
        <f t="shared" si="62"/>
        <v>35.920827696245574</v>
      </c>
      <c r="AE73" s="332">
        <f t="shared" si="63"/>
        <v>6989327.6058492428</v>
      </c>
      <c r="AF73" s="332">
        <f t="shared" si="64"/>
        <v>6863370.5555781703</v>
      </c>
    </row>
    <row r="74" spans="1:40" ht="15" customHeight="1" x14ac:dyDescent="0.25">
      <c r="B74" s="28"/>
      <c r="G74" s="506"/>
      <c r="H74" s="303" t="s">
        <v>251</v>
      </c>
      <c r="I74" s="300">
        <v>388</v>
      </c>
      <c r="J74" s="301">
        <v>524</v>
      </c>
      <c r="K74" s="301">
        <v>923</v>
      </c>
      <c r="L74" s="301">
        <v>745</v>
      </c>
      <c r="M74" s="301">
        <f>(I74*$Q$74+J74*$Q$75)*365</f>
        <v>129618.8</v>
      </c>
      <c r="N74" s="301">
        <f>(K74*Q74+L74*Q75)*365</f>
        <v>216817.3</v>
      </c>
      <c r="P74" s="90" t="s">
        <v>355</v>
      </c>
      <c r="Q74" s="90">
        <v>0.24</v>
      </c>
      <c r="T74" s="64">
        <f t="shared" si="70"/>
        <v>2051</v>
      </c>
      <c r="U74" s="332" cm="1">
        <f t="array" ref="U74">TREND(U$48:U$49,$T$48:$T$49,$T74)</f>
        <v>0.37945387280434062</v>
      </c>
      <c r="V74" s="332" cm="1">
        <f t="array" ref="V74">TREND(V$48:V$49,$T$48:$T$49,$T74)</f>
        <v>0.37945387280434062</v>
      </c>
      <c r="W74" s="332" cm="1">
        <f t="array" ref="W74">TREND(W$48:W$49,$T$48:$T$49,$T74)</f>
        <v>8.7274390744998414</v>
      </c>
      <c r="X74" s="332" cm="1">
        <f t="array" ref="X74">TREND(X$48:X$49,$T$48:$T$49,$T74)</f>
        <v>11.383616184130233</v>
      </c>
      <c r="Y74" s="332" cm="1">
        <f t="array" ref="Y74">TREND(Y$48:Y$49,$T$48:$T$49,$T74)</f>
        <v>37.186479534825366</v>
      </c>
      <c r="Z74" s="332">
        <f t="shared" si="58"/>
        <v>0.37261560548770051</v>
      </c>
      <c r="AA74" s="332">
        <f t="shared" si="59"/>
        <v>0.37261560548770051</v>
      </c>
      <c r="AB74" s="332">
        <f t="shared" si="60"/>
        <v>8.5701589262171183</v>
      </c>
      <c r="AC74" s="332">
        <f t="shared" si="61"/>
        <v>11.178468164631028</v>
      </c>
      <c r="AD74" s="332">
        <f t="shared" si="62"/>
        <v>36.51632933779463</v>
      </c>
      <c r="AE74" s="332">
        <f t="shared" si="63"/>
        <v>7105197.8774867188</v>
      </c>
      <c r="AF74" s="332">
        <f t="shared" si="64"/>
        <v>6977152.6896360973</v>
      </c>
    </row>
    <row r="75" spans="1:40" ht="15" customHeight="1" x14ac:dyDescent="0.25">
      <c r="B75" s="28"/>
      <c r="G75" s="506"/>
      <c r="H75" s="302"/>
      <c r="I75" s="302"/>
      <c r="J75" s="302"/>
      <c r="K75" s="302"/>
      <c r="L75" s="302"/>
      <c r="M75" s="302"/>
      <c r="N75" s="302"/>
      <c r="P75" s="90" t="s">
        <v>356</v>
      </c>
      <c r="Q75" s="90">
        <v>0.5</v>
      </c>
      <c r="T75" s="64">
        <f>T74+1</f>
        <v>2052</v>
      </c>
      <c r="U75" s="332" cm="1">
        <f t="array" ref="U75">TREND(U$48:U$49,$T$48:$T$49,$T75)</f>
        <v>0.38564193738380048</v>
      </c>
      <c r="V75" s="332" cm="1">
        <f t="array" ref="V75">TREND(V$48:V$49,$T$48:$T$49,$T75)</f>
        <v>0.38564193738380048</v>
      </c>
      <c r="W75" s="332" cm="1">
        <f t="array" ref="W75">TREND(W$48:W$49,$T$48:$T$49,$T75)</f>
        <v>8.869764559827388</v>
      </c>
      <c r="X75" s="332" cm="1">
        <f t="array" ref="X75">TREND(X$48:X$49,$T$48:$T$49,$T75)</f>
        <v>11.569258121514054</v>
      </c>
      <c r="Y75" s="332" cm="1">
        <f t="array" ref="Y75">TREND(Y$48:Y$49,$T$48:$T$49,$T75)</f>
        <v>37.792909863612522</v>
      </c>
      <c r="Z75" s="332">
        <f t="shared" si="58"/>
        <v>0.378692152850445</v>
      </c>
      <c r="AA75" s="332">
        <f t="shared" si="59"/>
        <v>0.378692152850445</v>
      </c>
      <c r="AB75" s="332">
        <f t="shared" si="60"/>
        <v>8.7099195155602125</v>
      </c>
      <c r="AC75" s="332">
        <f t="shared" si="61"/>
        <v>11.36076458551339</v>
      </c>
      <c r="AD75" s="332">
        <f t="shared" si="62"/>
        <v>37.111830979343686</v>
      </c>
      <c r="AE75" s="332">
        <f t="shared" si="63"/>
        <v>7221068.1491241865</v>
      </c>
      <c r="AF75" s="332">
        <f t="shared" si="64"/>
        <v>7090934.823694014</v>
      </c>
    </row>
    <row r="76" spans="1:40" x14ac:dyDescent="0.25">
      <c r="B76" s="28"/>
      <c r="G76" s="506"/>
      <c r="H76" s="302"/>
      <c r="I76" s="188" t="s">
        <v>352</v>
      </c>
      <c r="J76" s="80" t="s">
        <v>353</v>
      </c>
      <c r="M76" s="80" t="s">
        <v>357</v>
      </c>
      <c r="N76" s="80" t="s">
        <v>358</v>
      </c>
      <c r="P76" s="64" t="s">
        <v>359</v>
      </c>
      <c r="Q76" s="111">
        <v>0.75</v>
      </c>
      <c r="T76" s="64">
        <f>T75+1</f>
        <v>2053</v>
      </c>
      <c r="U76" s="332" cm="1">
        <f t="array" ref="U76">TREND(U$48:U$49,$T$48:$T$49,$T76)</f>
        <v>0.39183000196326034</v>
      </c>
      <c r="V76" s="332" cm="1">
        <f t="array" ref="V76">TREND(V$48:V$49,$T$48:$T$49,$T76)</f>
        <v>0.39183000196326034</v>
      </c>
      <c r="W76" s="332" cm="1">
        <f t="array" ref="W76">TREND(W$48:W$49,$T$48:$T$49,$T76)</f>
        <v>9.0120900451549915</v>
      </c>
      <c r="X76" s="332" cm="1">
        <f t="array" ref="X76">TREND(X$48:X$49,$T$48:$T$49,$T76)</f>
        <v>11.754900058897817</v>
      </c>
      <c r="Y76" s="332" cm="1">
        <f t="array" ref="Y76">TREND(Y$48:Y$49,$T$48:$T$49,$T76)</f>
        <v>38.39934019239945</v>
      </c>
      <c r="Z76" s="332">
        <f t="shared" si="58"/>
        <v>0.38476870021318954</v>
      </c>
      <c r="AA76" s="332">
        <f t="shared" si="59"/>
        <v>0.38476870021318954</v>
      </c>
      <c r="AB76" s="332">
        <f t="shared" si="60"/>
        <v>8.8496801049033653</v>
      </c>
      <c r="AC76" s="332">
        <f t="shared" si="61"/>
        <v>11.543061006395694</v>
      </c>
      <c r="AD76" s="332">
        <f t="shared" si="62"/>
        <v>37.707332620892515</v>
      </c>
      <c r="AE76" s="332">
        <f t="shared" si="63"/>
        <v>7336938.4207616579</v>
      </c>
      <c r="AF76" s="332">
        <f t="shared" si="64"/>
        <v>7204716.9577519326</v>
      </c>
    </row>
    <row r="77" spans="1:40" x14ac:dyDescent="0.25">
      <c r="B77" s="28"/>
      <c r="G77" s="506"/>
      <c r="H77" s="304" t="s">
        <v>252</v>
      </c>
      <c r="I77" s="301">
        <v>5364</v>
      </c>
      <c r="J77" s="301">
        <v>5252</v>
      </c>
      <c r="M77" s="301">
        <f>I77*Q75*365</f>
        <v>978930</v>
      </c>
      <c r="N77" s="301">
        <f>J77*Q76*365</f>
        <v>1437735</v>
      </c>
      <c r="P77" s="90" t="s">
        <v>360</v>
      </c>
      <c r="Q77" s="90">
        <v>1.5</v>
      </c>
      <c r="T77" s="64">
        <f t="shared" si="70"/>
        <v>2054</v>
      </c>
      <c r="U77" s="332" cm="1">
        <f t="array" ref="U77">TREND(U$48:U$49,$T$48:$T$49,$T77)</f>
        <v>0.39801806654272198</v>
      </c>
      <c r="V77" s="332" cm="1">
        <f t="array" ref="V77">TREND(V$48:V$49,$T$48:$T$49,$T77)</f>
        <v>0.39801806654272198</v>
      </c>
      <c r="W77" s="332" cm="1">
        <f t="array" ref="W77">TREND(W$48:W$49,$T$48:$T$49,$T77)</f>
        <v>9.1544155304825949</v>
      </c>
      <c r="X77" s="332" cm="1">
        <f t="array" ref="X77">TREND(X$48:X$49,$T$48:$T$49,$T77)</f>
        <v>11.940541996281638</v>
      </c>
      <c r="Y77" s="332" cm="1">
        <f t="array" ref="Y77">TREND(Y$48:Y$49,$T$48:$T$49,$T77)</f>
        <v>39.005770521186605</v>
      </c>
      <c r="Z77" s="332">
        <f t="shared" si="58"/>
        <v>0.39084524757593586</v>
      </c>
      <c r="AA77" s="332">
        <f t="shared" si="59"/>
        <v>0.39084524757593586</v>
      </c>
      <c r="AB77" s="332">
        <f t="shared" si="60"/>
        <v>8.9894406942465164</v>
      </c>
      <c r="AC77" s="332">
        <f t="shared" si="61"/>
        <v>11.725357427278057</v>
      </c>
      <c r="AD77" s="332">
        <f t="shared" si="62"/>
        <v>38.302834262441571</v>
      </c>
      <c r="AE77" s="332">
        <f t="shared" si="63"/>
        <v>7452808.6923991563</v>
      </c>
      <c r="AF77" s="332">
        <f t="shared" si="64"/>
        <v>7318499.0918098809</v>
      </c>
    </row>
    <row r="78" spans="1:40" x14ac:dyDescent="0.25">
      <c r="B78" s="28"/>
      <c r="G78" s="506"/>
      <c r="H78" s="302"/>
      <c r="I78" s="302"/>
      <c r="J78" s="302"/>
      <c r="M78" s="302"/>
      <c r="N78" s="302"/>
      <c r="P78" s="90" t="s">
        <v>485</v>
      </c>
      <c r="Q78" s="90">
        <v>0.37</v>
      </c>
      <c r="T78" s="64">
        <f t="shared" si="70"/>
        <v>2055</v>
      </c>
      <c r="U78" s="332" cm="1">
        <f t="array" ref="U78">TREND(U$48:U$49,$T$48:$T$49,$T78)</f>
        <v>0.40420613112218184</v>
      </c>
      <c r="V78" s="332" cm="1">
        <f t="array" ref="V78">TREND(V$48:V$49,$T$48:$T$49,$T78)</f>
        <v>0.40420613112218184</v>
      </c>
      <c r="W78" s="332" cm="1">
        <f t="array" ref="W78">TREND(W$48:W$49,$T$48:$T$49,$T78)</f>
        <v>9.2967410158101416</v>
      </c>
      <c r="X78" s="332" cm="1">
        <f t="array" ref="X78">TREND(X$48:X$49,$T$48:$T$49,$T78)</f>
        <v>12.126183933665459</v>
      </c>
      <c r="Y78" s="332" cm="1">
        <f t="array" ref="Y78">TREND(Y$48:Y$49,$T$48:$T$49,$T78)</f>
        <v>39.61220084997376</v>
      </c>
      <c r="Z78" s="332">
        <f t="shared" si="58"/>
        <v>0.39692179493868046</v>
      </c>
      <c r="AA78" s="332">
        <f t="shared" si="59"/>
        <v>0.39692179493868046</v>
      </c>
      <c r="AB78" s="332">
        <f t="shared" si="60"/>
        <v>9.1292012835896106</v>
      </c>
      <c r="AC78" s="332">
        <f t="shared" si="61"/>
        <v>11.907653848160418</v>
      </c>
      <c r="AD78" s="332">
        <f t="shared" si="62"/>
        <v>38.898335903990628</v>
      </c>
      <c r="AE78" s="332">
        <f t="shared" si="63"/>
        <v>7568678.9640366239</v>
      </c>
      <c r="AF78" s="332">
        <f t="shared" si="64"/>
        <v>7432281.2258677976</v>
      </c>
    </row>
    <row r="79" spans="1:40" x14ac:dyDescent="0.25">
      <c r="B79" s="28"/>
      <c r="G79" s="506"/>
      <c r="H79" s="302"/>
      <c r="I79" s="80" t="s">
        <v>352</v>
      </c>
      <c r="J79" s="80" t="s">
        <v>353</v>
      </c>
      <c r="M79" s="80" t="s">
        <v>357</v>
      </c>
      <c r="N79" s="80" t="s">
        <v>358</v>
      </c>
      <c r="P79" s="90" t="s">
        <v>491</v>
      </c>
      <c r="Q79" s="90">
        <v>1</v>
      </c>
      <c r="T79" s="64">
        <f t="shared" si="70"/>
        <v>2056</v>
      </c>
      <c r="U79" s="332" cm="1">
        <f t="array" ref="U79">TREND(U$48:U$49,$T$48:$T$49,$T79)</f>
        <v>0.41039419570164171</v>
      </c>
      <c r="V79" s="332" cm="1">
        <f t="array" ref="V79">TREND(V$48:V$49,$T$48:$T$49,$T79)</f>
        <v>0.41039419570164171</v>
      </c>
      <c r="W79" s="332" cm="1">
        <f t="array" ref="W79">TREND(W$48:W$49,$T$48:$T$49,$T79)</f>
        <v>9.439066501137745</v>
      </c>
      <c r="X79" s="332" cm="1">
        <f t="array" ref="X79">TREND(X$48:X$49,$T$48:$T$49,$T79)</f>
        <v>12.311825871049223</v>
      </c>
      <c r="Y79" s="332" cm="1">
        <f t="array" ref="Y79">TREND(Y$48:Y$49,$T$48:$T$49,$T79)</f>
        <v>40.218631178760688</v>
      </c>
      <c r="Z79" s="332">
        <f t="shared" si="58"/>
        <v>0.40299834230142501</v>
      </c>
      <c r="AA79" s="332">
        <f t="shared" si="59"/>
        <v>0.40299834230142501</v>
      </c>
      <c r="AB79" s="332">
        <f t="shared" si="60"/>
        <v>9.2689618729327616</v>
      </c>
      <c r="AC79" s="332">
        <f t="shared" si="61"/>
        <v>12.089950269042724</v>
      </c>
      <c r="AD79" s="332">
        <f t="shared" si="62"/>
        <v>39.493837545539463</v>
      </c>
      <c r="AE79" s="332">
        <f t="shared" si="63"/>
        <v>7684549.2356740953</v>
      </c>
      <c r="AF79" s="332">
        <f t="shared" si="64"/>
        <v>7546063.359925718</v>
      </c>
      <c r="AG79" s="268"/>
    </row>
    <row r="80" spans="1:40" x14ac:dyDescent="0.25">
      <c r="B80" s="28"/>
      <c r="G80" s="506"/>
      <c r="H80" s="304" t="s">
        <v>253</v>
      </c>
      <c r="I80" s="300">
        <v>165</v>
      </c>
      <c r="J80" s="301">
        <v>258</v>
      </c>
      <c r="M80" s="301">
        <f>I80*Q76*365</f>
        <v>45168.75</v>
      </c>
      <c r="N80" s="301">
        <f>J80*Q77*365</f>
        <v>141255</v>
      </c>
      <c r="P80" s="90" t="s">
        <v>493</v>
      </c>
      <c r="Q80" s="90">
        <v>0.75</v>
      </c>
      <c r="T80" s="64"/>
      <c r="U80" s="332">
        <f t="shared" ref="U80:AF80" si="94">SUM(U50:U79)</f>
        <v>9.6200177789841259</v>
      </c>
      <c r="V80" s="332">
        <f t="shared" si="94"/>
        <v>9.6200177789841259</v>
      </c>
      <c r="W80" s="332">
        <f t="shared" si="94"/>
        <v>221.26040891663439</v>
      </c>
      <c r="X80" s="332">
        <f t="shared" si="94"/>
        <v>288.6005333695237</v>
      </c>
      <c r="Y80" s="332">
        <f t="shared" si="94"/>
        <v>942.76174234044288</v>
      </c>
      <c r="Z80" s="332">
        <f t="shared" si="94"/>
        <v>9.4466521662487803</v>
      </c>
      <c r="AA80" s="332">
        <f t="shared" si="94"/>
        <v>9.4466521662487803</v>
      </c>
      <c r="AB80" s="332">
        <f t="shared" si="94"/>
        <v>217.27299982372145</v>
      </c>
      <c r="AC80" s="332">
        <f t="shared" si="94"/>
        <v>283.39956498746335</v>
      </c>
      <c r="AD80" s="332">
        <f t="shared" si="94"/>
        <v>925.77191229237917</v>
      </c>
      <c r="AE80" s="333">
        <f t="shared" si="94"/>
        <v>180132908.90792179</v>
      </c>
      <c r="AF80" s="333">
        <f t="shared" si="94"/>
        <v>176886672.48257509</v>
      </c>
    </row>
    <row r="81" spans="2:17" x14ac:dyDescent="0.25">
      <c r="B81" s="28"/>
      <c r="G81" s="506"/>
      <c r="P81" s="90" t="s">
        <v>494</v>
      </c>
      <c r="Q81" s="90">
        <v>0.88</v>
      </c>
    </row>
    <row r="82" spans="2:17" x14ac:dyDescent="0.25">
      <c r="B82" s="28"/>
      <c r="G82" s="506"/>
      <c r="I82" s="80" t="s">
        <v>352</v>
      </c>
      <c r="J82" s="80" t="s">
        <v>353</v>
      </c>
      <c r="L82" s="10"/>
      <c r="M82" s="80" t="s">
        <v>357</v>
      </c>
      <c r="N82" s="80" t="s">
        <v>358</v>
      </c>
      <c r="P82" s="90" t="s">
        <v>493</v>
      </c>
      <c r="Q82" s="90">
        <v>0.95</v>
      </c>
    </row>
    <row r="83" spans="2:17" x14ac:dyDescent="0.25">
      <c r="B83" s="28"/>
      <c r="G83" s="506"/>
      <c r="H83" s="317" t="s">
        <v>486</v>
      </c>
      <c r="I83" s="299">
        <v>5301</v>
      </c>
      <c r="J83" s="299">
        <v>5060</v>
      </c>
      <c r="L83" s="10"/>
      <c r="M83" s="301">
        <f>I83*Q78*365</f>
        <v>715900.04999999993</v>
      </c>
      <c r="N83" s="301">
        <f>J83*Q78*365</f>
        <v>683353</v>
      </c>
      <c r="P83" s="90" t="s">
        <v>495</v>
      </c>
      <c r="Q83" s="90">
        <v>0.96</v>
      </c>
    </row>
    <row r="84" spans="2:17" x14ac:dyDescent="0.25">
      <c r="B84" s="28"/>
      <c r="G84" s="506"/>
      <c r="H84" s="314"/>
      <c r="I84" s="97"/>
      <c r="J84" s="97"/>
      <c r="L84" s="10"/>
      <c r="M84" s="315"/>
      <c r="N84" s="315"/>
      <c r="P84" s="90" t="s">
        <v>497</v>
      </c>
      <c r="Q84" s="90">
        <v>0.24</v>
      </c>
    </row>
    <row r="85" spans="2:17" x14ac:dyDescent="0.25">
      <c r="B85" s="28"/>
      <c r="G85" s="506"/>
      <c r="H85" s="314"/>
      <c r="I85" s="80" t="s">
        <v>352</v>
      </c>
      <c r="J85" s="80" t="s">
        <v>353</v>
      </c>
      <c r="L85" s="10"/>
      <c r="M85" s="80" t="s">
        <v>357</v>
      </c>
      <c r="N85" s="80" t="s">
        <v>358</v>
      </c>
      <c r="P85" s="90" t="s">
        <v>498</v>
      </c>
      <c r="Q85" s="90">
        <v>0.78</v>
      </c>
    </row>
    <row r="86" spans="2:17" x14ac:dyDescent="0.25">
      <c r="B86" s="28"/>
      <c r="G86" s="506"/>
      <c r="H86" s="317" t="s">
        <v>487</v>
      </c>
      <c r="I86" s="299">
        <v>2961</v>
      </c>
      <c r="J86" s="299">
        <v>2815</v>
      </c>
      <c r="L86" s="10"/>
      <c r="M86" s="301">
        <f>I86*Q79*365</f>
        <v>1080765</v>
      </c>
      <c r="N86" s="301">
        <f>J86*Q79*365</f>
        <v>1027475</v>
      </c>
    </row>
    <row r="87" spans="2:17" x14ac:dyDescent="0.25">
      <c r="B87" s="28"/>
      <c r="G87" s="506"/>
      <c r="H87" s="316"/>
      <c r="I87" s="97"/>
      <c r="J87" s="97"/>
      <c r="L87" s="10"/>
      <c r="M87" s="315"/>
      <c r="N87" s="315"/>
    </row>
    <row r="88" spans="2:17" x14ac:dyDescent="0.25">
      <c r="B88" s="28"/>
      <c r="G88" s="506"/>
      <c r="H88" s="316"/>
      <c r="I88" s="505" t="s">
        <v>352</v>
      </c>
      <c r="J88" s="505"/>
      <c r="K88" s="505" t="s">
        <v>353</v>
      </c>
      <c r="L88" s="505"/>
      <c r="M88" s="315"/>
      <c r="N88" s="315"/>
    </row>
    <row r="89" spans="2:17" x14ac:dyDescent="0.25">
      <c r="B89" s="28"/>
      <c r="G89" s="506"/>
      <c r="H89" s="316"/>
      <c r="I89" s="90" t="s">
        <v>493</v>
      </c>
      <c r="J89" s="90" t="s">
        <v>495</v>
      </c>
      <c r="K89" s="90" t="s">
        <v>493</v>
      </c>
      <c r="L89" s="90" t="s">
        <v>495</v>
      </c>
      <c r="M89" s="80" t="s">
        <v>357</v>
      </c>
      <c r="N89" s="80" t="s">
        <v>358</v>
      </c>
    </row>
    <row r="90" spans="2:17" x14ac:dyDescent="0.25">
      <c r="B90" s="28"/>
      <c r="G90" s="506"/>
      <c r="H90" s="256" t="s">
        <v>488</v>
      </c>
      <c r="I90" s="301">
        <v>1691</v>
      </c>
      <c r="J90" s="301">
        <v>856</v>
      </c>
      <c r="K90" s="301">
        <v>1545</v>
      </c>
      <c r="L90" s="301">
        <v>710</v>
      </c>
      <c r="M90" s="301">
        <f>(I90*$Q$80+J90*$Q$81)*365</f>
        <v>737858.45</v>
      </c>
      <c r="N90" s="301">
        <f>(K90*Q80+L90*Q81)*365</f>
        <v>650995.75</v>
      </c>
    </row>
    <row r="91" spans="2:17" x14ac:dyDescent="0.25">
      <c r="B91" s="28"/>
      <c r="G91" s="506"/>
      <c r="H91" s="316"/>
      <c r="I91" s="97"/>
      <c r="J91" s="97"/>
      <c r="L91" s="10"/>
      <c r="M91" s="315"/>
      <c r="N91" s="315"/>
    </row>
    <row r="92" spans="2:17" x14ac:dyDescent="0.25">
      <c r="B92" s="28"/>
      <c r="G92" s="506"/>
      <c r="H92" s="316"/>
      <c r="I92" s="505" t="s">
        <v>352</v>
      </c>
      <c r="J92" s="505"/>
      <c r="K92" s="505" t="s">
        <v>353</v>
      </c>
      <c r="L92" s="505"/>
      <c r="M92" s="315"/>
      <c r="N92" s="315"/>
    </row>
    <row r="93" spans="2:17" x14ac:dyDescent="0.25">
      <c r="B93" s="28"/>
      <c r="G93" s="506"/>
      <c r="H93" s="316"/>
      <c r="I93" s="90" t="s">
        <v>493</v>
      </c>
      <c r="J93" s="90" t="s">
        <v>496</v>
      </c>
      <c r="K93" s="90" t="s">
        <v>493</v>
      </c>
      <c r="L93" s="90" t="s">
        <v>496</v>
      </c>
      <c r="M93" s="80" t="s">
        <v>357</v>
      </c>
      <c r="N93" s="80" t="s">
        <v>358</v>
      </c>
    </row>
    <row r="94" spans="2:17" x14ac:dyDescent="0.25">
      <c r="B94" s="28"/>
      <c r="G94" s="506"/>
      <c r="H94" s="317" t="s">
        <v>489</v>
      </c>
      <c r="I94" s="301">
        <v>1228</v>
      </c>
      <c r="J94" s="301">
        <v>414</v>
      </c>
      <c r="K94" s="301">
        <v>1133</v>
      </c>
      <c r="L94" s="301">
        <v>319</v>
      </c>
      <c r="M94" s="301">
        <f>(I94*$Q$82+J94*$Q$83)*365</f>
        <v>570874.6</v>
      </c>
      <c r="N94" s="301">
        <f>(K94*Q82+L94*Q83)*365</f>
        <v>504645.35</v>
      </c>
    </row>
    <row r="95" spans="2:17" x14ac:dyDescent="0.25">
      <c r="B95" s="28"/>
      <c r="G95" s="506"/>
      <c r="H95" s="314"/>
      <c r="I95" s="97"/>
      <c r="J95" s="97"/>
      <c r="L95" s="10"/>
      <c r="M95" s="315"/>
      <c r="N95" s="315"/>
    </row>
    <row r="96" spans="2:17" x14ac:dyDescent="0.25">
      <c r="G96" s="506"/>
      <c r="H96" s="314"/>
      <c r="I96" s="505" t="s">
        <v>352</v>
      </c>
      <c r="J96" s="505"/>
      <c r="K96" s="505" t="s">
        <v>353</v>
      </c>
      <c r="L96" s="505"/>
      <c r="M96" s="315"/>
      <c r="N96" s="315"/>
    </row>
    <row r="97" spans="7:14" x14ac:dyDescent="0.25">
      <c r="G97" s="506"/>
      <c r="H97" s="314"/>
      <c r="I97" s="90" t="s">
        <v>497</v>
      </c>
      <c r="J97" s="90" t="s">
        <v>498</v>
      </c>
      <c r="K97" s="90" t="s">
        <v>497</v>
      </c>
      <c r="L97" s="90" t="s">
        <v>498</v>
      </c>
      <c r="M97" s="80" t="s">
        <v>357</v>
      </c>
      <c r="N97" s="80" t="s">
        <v>358</v>
      </c>
    </row>
    <row r="98" spans="7:14" x14ac:dyDescent="0.25">
      <c r="G98" s="506"/>
      <c r="H98" s="317" t="s">
        <v>490</v>
      </c>
      <c r="I98" s="301">
        <v>3583</v>
      </c>
      <c r="J98" s="301">
        <v>1362</v>
      </c>
      <c r="K98" s="301">
        <v>3422</v>
      </c>
      <c r="L98" s="301">
        <v>1325</v>
      </c>
      <c r="M98" s="301">
        <f>(I98*$Q$84+J98*$Q$85)*365</f>
        <v>701632.20000000007</v>
      </c>
      <c r="N98" s="301">
        <f>(K98*Q84+L98*Q85)*365</f>
        <v>676994.7</v>
      </c>
    </row>
    <row r="99" spans="7:14" x14ac:dyDescent="0.25">
      <c r="G99" s="506"/>
      <c r="H99" s="314"/>
      <c r="I99" s="97"/>
      <c r="J99" s="97"/>
      <c r="L99" s="10"/>
      <c r="M99" s="315"/>
      <c r="N99" s="315"/>
    </row>
    <row r="100" spans="7:14" x14ac:dyDescent="0.25">
      <c r="G100" s="506"/>
      <c r="H100" s="314"/>
      <c r="I100" s="97"/>
      <c r="J100" s="97"/>
      <c r="L100" s="10"/>
      <c r="M100" s="315"/>
      <c r="N100" s="315"/>
    </row>
    <row r="101" spans="7:14" x14ac:dyDescent="0.25">
      <c r="G101" s="506"/>
      <c r="L101" s="10" t="s">
        <v>5</v>
      </c>
      <c r="M101" s="97">
        <f>SUM(M80,M77,M74,M83,M86,M90,M94,M98)</f>
        <v>4960747.8499999996</v>
      </c>
      <c r="N101" s="97">
        <f>SUM(N80,N77,N74,N83,N86,N90,N94,N98)</f>
        <v>5339271.0999999996</v>
      </c>
    </row>
    <row r="102" spans="7:14" x14ac:dyDescent="0.25">
      <c r="G102" s="506"/>
      <c r="H102" s="290" t="s">
        <v>362</v>
      </c>
      <c r="I102" s="505" t="s">
        <v>352</v>
      </c>
      <c r="J102" s="505"/>
      <c r="K102" s="505" t="s">
        <v>353</v>
      </c>
      <c r="L102" s="505"/>
    </row>
    <row r="103" spans="7:14" ht="15" customHeight="1" x14ac:dyDescent="0.25">
      <c r="G103" s="506"/>
      <c r="I103" s="90" t="s">
        <v>355</v>
      </c>
      <c r="J103" s="90" t="s">
        <v>356</v>
      </c>
      <c r="K103" s="90" t="s">
        <v>355</v>
      </c>
      <c r="L103" s="90" t="s">
        <v>356</v>
      </c>
      <c r="M103" s="90" t="s">
        <v>357</v>
      </c>
      <c r="N103" s="90" t="s">
        <v>358</v>
      </c>
    </row>
    <row r="104" spans="7:14" x14ac:dyDescent="0.25">
      <c r="G104" s="506"/>
      <c r="H104" s="303" t="s">
        <v>251</v>
      </c>
      <c r="I104" s="300">
        <v>1353</v>
      </c>
      <c r="J104" s="300">
        <v>1739</v>
      </c>
      <c r="K104" s="300">
        <v>2995</v>
      </c>
      <c r="L104" s="300">
        <v>2745</v>
      </c>
      <c r="M104" s="301">
        <f>(I104*$Q$74+J104*$Q$75)*365</f>
        <v>435890.3</v>
      </c>
      <c r="N104" s="301">
        <f>(K104*$Q$74+L104*$Q$75)*365</f>
        <v>763324.50000000012</v>
      </c>
    </row>
    <row r="105" spans="7:14" x14ac:dyDescent="0.25">
      <c r="G105" s="506"/>
      <c r="H105" s="302"/>
      <c r="I105" s="302"/>
      <c r="J105" s="302"/>
      <c r="K105" s="302"/>
      <c r="L105" s="302"/>
      <c r="M105" s="302"/>
      <c r="N105" s="302"/>
    </row>
    <row r="106" spans="7:14" x14ac:dyDescent="0.25">
      <c r="G106" s="506"/>
      <c r="H106" s="302"/>
      <c r="I106" s="188" t="s">
        <v>352</v>
      </c>
      <c r="J106" s="80" t="s">
        <v>353</v>
      </c>
      <c r="M106" s="80" t="s">
        <v>357</v>
      </c>
      <c r="N106" s="80" t="s">
        <v>358</v>
      </c>
    </row>
    <row r="107" spans="7:14" x14ac:dyDescent="0.25">
      <c r="G107" s="506"/>
      <c r="H107" s="304" t="s">
        <v>252</v>
      </c>
      <c r="I107" s="300">
        <v>7174</v>
      </c>
      <c r="J107" s="300">
        <v>7465</v>
      </c>
      <c r="M107" s="300">
        <f>I107*Q76*365</f>
        <v>1963882.5</v>
      </c>
      <c r="N107" s="301">
        <f>J107*Q76*365</f>
        <v>2043543.75</v>
      </c>
    </row>
    <row r="108" spans="7:14" x14ac:dyDescent="0.25">
      <c r="G108" s="506"/>
      <c r="H108" s="302"/>
      <c r="I108" s="302"/>
      <c r="J108" s="302"/>
      <c r="M108" s="302"/>
      <c r="N108" s="302"/>
    </row>
    <row r="109" spans="7:14" x14ac:dyDescent="0.25">
      <c r="G109" s="506"/>
      <c r="H109" s="302"/>
      <c r="I109" s="80" t="s">
        <v>352</v>
      </c>
      <c r="J109" s="80" t="s">
        <v>353</v>
      </c>
      <c r="M109" s="80" t="s">
        <v>357</v>
      </c>
      <c r="N109" s="80" t="s">
        <v>358</v>
      </c>
    </row>
    <row r="110" spans="7:14" x14ac:dyDescent="0.25">
      <c r="G110" s="506"/>
      <c r="H110" s="304" t="s">
        <v>253</v>
      </c>
      <c r="I110" s="300">
        <v>263</v>
      </c>
      <c r="J110" s="300">
        <v>445</v>
      </c>
      <c r="M110" s="301">
        <f>I110*Q77*365</f>
        <v>143992.5</v>
      </c>
      <c r="N110" s="301">
        <f>J110*Q77*365</f>
        <v>243637.5</v>
      </c>
    </row>
    <row r="111" spans="7:14" x14ac:dyDescent="0.25">
      <c r="G111" s="506"/>
    </row>
    <row r="112" spans="7:14" x14ac:dyDescent="0.25">
      <c r="G112" s="506"/>
      <c r="I112" s="80" t="s">
        <v>352</v>
      </c>
      <c r="J112" s="80" t="s">
        <v>353</v>
      </c>
      <c r="M112" s="80" t="s">
        <v>357</v>
      </c>
      <c r="N112" s="80" t="s">
        <v>358</v>
      </c>
    </row>
    <row r="113" spans="7:14" x14ac:dyDescent="0.25">
      <c r="G113" s="506"/>
      <c r="H113" s="317" t="s">
        <v>486</v>
      </c>
      <c r="I113" s="299">
        <v>7766</v>
      </c>
      <c r="J113" s="299">
        <v>6615</v>
      </c>
      <c r="M113" s="301">
        <f>I113*Q78*365</f>
        <v>1048798.3</v>
      </c>
      <c r="N113" s="301">
        <f>J113*Q78*365</f>
        <v>893355.75000000012</v>
      </c>
    </row>
    <row r="114" spans="7:14" x14ac:dyDescent="0.25">
      <c r="G114" s="506"/>
      <c r="H114" s="314"/>
      <c r="I114" s="97"/>
      <c r="J114" s="97"/>
    </row>
    <row r="115" spans="7:14" x14ac:dyDescent="0.25">
      <c r="G115" s="506"/>
      <c r="H115" s="314"/>
      <c r="I115" s="80" t="s">
        <v>352</v>
      </c>
      <c r="J115" s="80" t="s">
        <v>353</v>
      </c>
      <c r="M115" s="80" t="s">
        <v>357</v>
      </c>
      <c r="N115" s="80" t="s">
        <v>358</v>
      </c>
    </row>
    <row r="116" spans="7:14" x14ac:dyDescent="0.25">
      <c r="G116" s="506"/>
      <c r="H116" s="317" t="s">
        <v>487</v>
      </c>
      <c r="I116" s="299">
        <v>4463</v>
      </c>
      <c r="J116" s="299">
        <v>3755</v>
      </c>
      <c r="M116" s="301">
        <f>I116*Q79*365</f>
        <v>1628995</v>
      </c>
      <c r="N116" s="301">
        <f>J116*Q79*365</f>
        <v>1370575</v>
      </c>
    </row>
    <row r="117" spans="7:14" x14ac:dyDescent="0.25">
      <c r="G117" s="506"/>
      <c r="H117" s="316"/>
      <c r="I117" s="97"/>
      <c r="J117" s="97"/>
    </row>
    <row r="118" spans="7:14" x14ac:dyDescent="0.25">
      <c r="G118" s="506"/>
      <c r="H118" s="316"/>
      <c r="I118" s="505" t="s">
        <v>352</v>
      </c>
      <c r="J118" s="505"/>
      <c r="K118" s="505" t="s">
        <v>353</v>
      </c>
      <c r="L118" s="505"/>
      <c r="M118" s="315"/>
      <c r="N118" s="315"/>
    </row>
    <row r="119" spans="7:14" x14ac:dyDescent="0.25">
      <c r="G119" s="506"/>
      <c r="H119" s="316"/>
      <c r="I119" s="90" t="s">
        <v>493</v>
      </c>
      <c r="J119" s="90" t="s">
        <v>495</v>
      </c>
      <c r="K119" s="90" t="s">
        <v>493</v>
      </c>
      <c r="L119" s="90" t="s">
        <v>495</v>
      </c>
      <c r="M119" s="80" t="s">
        <v>357</v>
      </c>
      <c r="N119" s="80" t="s">
        <v>358</v>
      </c>
    </row>
    <row r="120" spans="7:14" x14ac:dyDescent="0.25">
      <c r="G120" s="506"/>
      <c r="H120" s="256" t="s">
        <v>488</v>
      </c>
      <c r="I120" s="301">
        <v>5388</v>
      </c>
      <c r="J120" s="301">
        <v>3318</v>
      </c>
      <c r="K120" s="301">
        <v>4680</v>
      </c>
      <c r="L120" s="301">
        <v>1654</v>
      </c>
      <c r="M120" s="301">
        <f>(I120*$Q$80+J120*$Q$81)*365</f>
        <v>2540706.6</v>
      </c>
      <c r="N120" s="301">
        <f>(K120*Q80+L120*Q81)*365</f>
        <v>1812414.8</v>
      </c>
    </row>
    <row r="121" spans="7:14" x14ac:dyDescent="0.25">
      <c r="G121" s="506"/>
      <c r="H121" s="316"/>
      <c r="I121" s="97"/>
      <c r="J121" s="97"/>
    </row>
    <row r="122" spans="7:14" x14ac:dyDescent="0.25">
      <c r="G122" s="506"/>
      <c r="H122" s="316"/>
      <c r="I122" s="505" t="s">
        <v>352</v>
      </c>
      <c r="J122" s="505"/>
      <c r="K122" s="505" t="s">
        <v>353</v>
      </c>
      <c r="L122" s="505"/>
    </row>
    <row r="123" spans="7:14" x14ac:dyDescent="0.25">
      <c r="G123" s="506"/>
      <c r="H123" s="316"/>
      <c r="I123" s="90" t="s">
        <v>493</v>
      </c>
      <c r="J123" s="90" t="s">
        <v>496</v>
      </c>
      <c r="K123" s="90" t="s">
        <v>493</v>
      </c>
      <c r="L123" s="90" t="s">
        <v>496</v>
      </c>
      <c r="M123" s="80" t="s">
        <v>357</v>
      </c>
      <c r="N123" s="80" t="s">
        <v>358</v>
      </c>
    </row>
    <row r="124" spans="7:14" x14ac:dyDescent="0.25">
      <c r="G124" s="506"/>
      <c r="H124" s="317" t="s">
        <v>489</v>
      </c>
      <c r="I124" s="301">
        <v>2313</v>
      </c>
      <c r="J124" s="301">
        <v>1248</v>
      </c>
      <c r="K124" s="301">
        <v>1870</v>
      </c>
      <c r="L124" s="301">
        <v>805</v>
      </c>
      <c r="M124" s="301">
        <f>(I124*$Q$82+J124*$Q$83)*365</f>
        <v>1239331.95</v>
      </c>
      <c r="N124" s="301">
        <f>(K124*Q82+L124*Q83)*365</f>
        <v>930494.50000000012</v>
      </c>
    </row>
    <row r="125" spans="7:14" x14ac:dyDescent="0.25">
      <c r="G125" s="506"/>
      <c r="H125" s="314"/>
      <c r="I125" s="97"/>
      <c r="J125" s="97"/>
    </row>
    <row r="126" spans="7:14" x14ac:dyDescent="0.25">
      <c r="G126" s="506"/>
      <c r="H126" s="314"/>
      <c r="I126" s="505" t="s">
        <v>352</v>
      </c>
      <c r="J126" s="505"/>
      <c r="K126" s="505" t="s">
        <v>353</v>
      </c>
      <c r="L126" s="505"/>
    </row>
    <row r="127" spans="7:14" x14ac:dyDescent="0.25">
      <c r="G127" s="506"/>
      <c r="H127" s="314"/>
      <c r="I127" s="90" t="s">
        <v>497</v>
      </c>
      <c r="J127" s="90" t="s">
        <v>498</v>
      </c>
      <c r="K127" s="90" t="s">
        <v>497</v>
      </c>
      <c r="L127" s="90" t="s">
        <v>498</v>
      </c>
      <c r="M127" s="80" t="s">
        <v>357</v>
      </c>
      <c r="N127" s="80" t="s">
        <v>358</v>
      </c>
    </row>
    <row r="128" spans="7:14" x14ac:dyDescent="0.25">
      <c r="G128" s="506"/>
      <c r="H128" s="317" t="s">
        <v>490</v>
      </c>
      <c r="I128" s="301">
        <v>4993</v>
      </c>
      <c r="J128" s="301">
        <v>2325</v>
      </c>
      <c r="K128" s="301">
        <v>4750</v>
      </c>
      <c r="L128" s="301">
        <v>1645</v>
      </c>
      <c r="M128" s="301">
        <f>(I128*$Q$84+J128*$Q$85)*365</f>
        <v>1099314.2999999998</v>
      </c>
      <c r="N128" s="301">
        <f>(K128*Q84+L128*Q85)*365</f>
        <v>884431.50000000012</v>
      </c>
    </row>
    <row r="129" spans="8:14" x14ac:dyDescent="0.25">
      <c r="H129" s="314"/>
      <c r="I129" s="97"/>
      <c r="J129" s="97"/>
      <c r="L129" s="10" t="s">
        <v>5</v>
      </c>
      <c r="M129" s="97">
        <f>SUM(M110,M107,M104,M113,M116,M120,M124,M128)</f>
        <v>10100911.449999999</v>
      </c>
      <c r="N129" s="97">
        <f>SUM(N110,N107,N104,N113,N116,N120,N124,N128)</f>
        <v>8941777.3000000007</v>
      </c>
    </row>
    <row r="130" spans="8:14" x14ac:dyDescent="0.25">
      <c r="L130" s="10"/>
      <c r="M130" s="97"/>
      <c r="N130" s="97"/>
    </row>
    <row r="131" spans="8:14" x14ac:dyDescent="0.25">
      <c r="H131" s="314"/>
      <c r="I131" s="97"/>
      <c r="J131" s="97"/>
      <c r="L131" s="10"/>
      <c r="M131" s="97"/>
      <c r="N131" s="97"/>
    </row>
    <row r="132" spans="8:14" x14ac:dyDescent="0.25">
      <c r="H132" s="314"/>
      <c r="I132" s="97"/>
      <c r="J132" s="97"/>
      <c r="L132" s="10"/>
      <c r="M132" s="97"/>
      <c r="N132" s="97"/>
    </row>
    <row r="133" spans="8:14" x14ac:dyDescent="0.25">
      <c r="H133" s="55" t="s">
        <v>499</v>
      </c>
      <c r="I133" s="509" t="s">
        <v>266</v>
      </c>
      <c r="J133" s="509"/>
      <c r="K133" s="507" t="s">
        <v>130</v>
      </c>
      <c r="L133" s="508"/>
      <c r="M133" s="97"/>
      <c r="N133" s="97"/>
    </row>
    <row r="134" spans="8:14" x14ac:dyDescent="0.25">
      <c r="H134" s="27" t="s">
        <v>131</v>
      </c>
      <c r="I134" s="43">
        <v>2022</v>
      </c>
      <c r="J134" s="43">
        <v>2045</v>
      </c>
      <c r="K134" s="43">
        <v>2022</v>
      </c>
      <c r="L134" s="43">
        <v>2045</v>
      </c>
      <c r="M134" s="97"/>
      <c r="N134" s="97"/>
    </row>
    <row r="135" spans="8:14" x14ac:dyDescent="0.25">
      <c r="H135" s="237" t="s">
        <v>261</v>
      </c>
      <c r="I135" s="238">
        <f>I61-K61</f>
        <v>905452.00356102781</v>
      </c>
      <c r="J135" s="238">
        <f>J61-L61</f>
        <v>106455.69675761461</v>
      </c>
      <c r="K135" s="299">
        <f>M101-N101</f>
        <v>-378523.25</v>
      </c>
      <c r="L135" s="299">
        <f>M129-N129</f>
        <v>1159134.1499999985</v>
      </c>
      <c r="M135" s="97"/>
      <c r="N135" s="97"/>
    </row>
    <row r="136" spans="8:14" x14ac:dyDescent="0.25">
      <c r="M136" s="97"/>
    </row>
    <row r="146" spans="8:8" x14ac:dyDescent="0.25">
      <c r="H146" s="11"/>
    </row>
    <row r="160" spans="8:8" x14ac:dyDescent="0.25">
      <c r="H160" s="11"/>
    </row>
    <row r="161" spans="8:8" ht="15.75" customHeight="1" x14ac:dyDescent="0.25"/>
    <row r="163" spans="8:8" ht="15.75" customHeight="1" x14ac:dyDescent="0.25"/>
    <row r="171" spans="8:8" x14ac:dyDescent="0.25">
      <c r="H171" s="11"/>
    </row>
  </sheetData>
  <mergeCells count="44">
    <mergeCell ref="B64:E73"/>
    <mergeCell ref="N44:O44"/>
    <mergeCell ref="G16:G21"/>
    <mergeCell ref="U45:Y45"/>
    <mergeCell ref="I72:J72"/>
    <mergeCell ref="M63:P63"/>
    <mergeCell ref="G22:G27"/>
    <mergeCell ref="G36:G40"/>
    <mergeCell ref="G73:G128"/>
    <mergeCell ref="G65:G70"/>
    <mergeCell ref="G57:G60"/>
    <mergeCell ref="G50:G56"/>
    <mergeCell ref="Z45:AD45"/>
    <mergeCell ref="AI19:AM19"/>
    <mergeCell ref="AI25:AM25"/>
    <mergeCell ref="I92:J92"/>
    <mergeCell ref="K92:L92"/>
    <mergeCell ref="I63:L63"/>
    <mergeCell ref="AI32:AM32"/>
    <mergeCell ref="AI22:AM22"/>
    <mergeCell ref="AI28:AM28"/>
    <mergeCell ref="B4:B5"/>
    <mergeCell ref="C4:C5"/>
    <mergeCell ref="E4:E5"/>
    <mergeCell ref="B47:E53"/>
    <mergeCell ref="B55:E62"/>
    <mergeCell ref="D4:D5"/>
    <mergeCell ref="B39:E44"/>
    <mergeCell ref="K72:L72"/>
    <mergeCell ref="G30:G35"/>
    <mergeCell ref="K133:L133"/>
    <mergeCell ref="I102:J102"/>
    <mergeCell ref="K102:L102"/>
    <mergeCell ref="I88:J88"/>
    <mergeCell ref="K88:L88"/>
    <mergeCell ref="I126:J126"/>
    <mergeCell ref="K126:L126"/>
    <mergeCell ref="I96:J96"/>
    <mergeCell ref="K96:L96"/>
    <mergeCell ref="I133:J133"/>
    <mergeCell ref="I118:J118"/>
    <mergeCell ref="K118:L118"/>
    <mergeCell ref="I122:J122"/>
    <mergeCell ref="K122:L122"/>
  </mergeCells>
  <hyperlinks>
    <hyperlink ref="N45" r:id="rId1" xr:uid="{5440F0F6-8806-4CC5-AFFA-FE02077221C4}"/>
  </hyperlinks>
  <pageMargins left="0.7" right="0.7" top="0.75" bottom="0.75" header="0.3" footer="0.3"/>
  <pageSetup scale="17" orientation="landscape" horizontalDpi="1200" verticalDpi="1200" r:id="rId2"/>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C3525-ABFD-44DC-BBD2-D07898DFA8D7}">
  <sheetPr>
    <tabColor rgb="FF00B050"/>
    <pageSetUpPr fitToPage="1"/>
  </sheetPr>
  <dimension ref="A1:AS77"/>
  <sheetViews>
    <sheetView view="pageBreakPreview" zoomScale="85" zoomScaleNormal="85" zoomScaleSheetLayoutView="85" workbookViewId="0">
      <selection activeCell="B42" sqref="B42"/>
    </sheetView>
  </sheetViews>
  <sheetFormatPr defaultRowHeight="15" x14ac:dyDescent="0.25"/>
  <cols>
    <col min="2" max="2" width="22.7109375" bestFit="1" customWidth="1"/>
    <col min="3" max="16" width="18" customWidth="1"/>
    <col min="17" max="17" width="15.7109375" customWidth="1"/>
    <col min="18" max="22" width="15.42578125" customWidth="1"/>
    <col min="23" max="23" width="21.85546875" customWidth="1"/>
    <col min="24" max="24" width="50.42578125" customWidth="1"/>
    <col min="25" max="28" width="17.7109375" customWidth="1"/>
    <col min="30" max="30" width="15.7109375" customWidth="1"/>
    <col min="31" max="31" width="12.28515625" customWidth="1"/>
    <col min="32" max="32" width="19.140625" customWidth="1"/>
    <col min="33" max="33" width="13.85546875" customWidth="1"/>
    <col min="34" max="37" width="13.140625" customWidth="1"/>
    <col min="41" max="43" width="25.7109375" customWidth="1"/>
    <col min="44" max="44" width="37" bestFit="1" customWidth="1"/>
    <col min="45" max="45" width="38.85546875" bestFit="1" customWidth="1"/>
  </cols>
  <sheetData>
    <row r="1" spans="2:45" ht="15.75" thickBot="1" x14ac:dyDescent="0.3">
      <c r="B1" s="10" t="s">
        <v>75</v>
      </c>
      <c r="C1" s="10"/>
      <c r="D1" s="10"/>
      <c r="E1" s="10"/>
    </row>
    <row r="2" spans="2:45" ht="18.75" thickBot="1" x14ac:dyDescent="0.3">
      <c r="C2" s="524" t="s">
        <v>178</v>
      </c>
      <c r="D2" s="525"/>
      <c r="E2" s="526"/>
      <c r="F2" s="537" t="s">
        <v>91</v>
      </c>
      <c r="G2" s="538"/>
      <c r="H2" s="538"/>
      <c r="I2" s="538"/>
      <c r="J2" s="538"/>
      <c r="K2" s="538"/>
      <c r="L2" s="538"/>
      <c r="M2" s="538"/>
      <c r="N2" s="538"/>
      <c r="O2" s="535" t="s">
        <v>92</v>
      </c>
      <c r="P2" s="536"/>
    </row>
    <row r="3" spans="2:45" ht="35.1" customHeight="1" x14ac:dyDescent="0.25">
      <c r="B3" s="531" t="s">
        <v>0</v>
      </c>
      <c r="C3" s="501" t="s">
        <v>177</v>
      </c>
      <c r="D3" s="493" t="s">
        <v>175</v>
      </c>
      <c r="E3" s="533" t="s">
        <v>110</v>
      </c>
      <c r="F3" s="501" t="s">
        <v>176</v>
      </c>
      <c r="G3" s="493" t="s">
        <v>164</v>
      </c>
      <c r="H3" s="497" t="s">
        <v>173</v>
      </c>
      <c r="I3" s="495" t="s">
        <v>172</v>
      </c>
      <c r="J3" s="493" t="s">
        <v>165</v>
      </c>
      <c r="K3" s="497" t="s">
        <v>174</v>
      </c>
      <c r="L3" s="495" t="s">
        <v>166</v>
      </c>
      <c r="M3" s="501" t="s">
        <v>167</v>
      </c>
      <c r="N3" s="539" t="s">
        <v>1</v>
      </c>
      <c r="O3" s="544" t="s">
        <v>93</v>
      </c>
      <c r="P3" s="541" t="s">
        <v>1</v>
      </c>
      <c r="R3" s="86"/>
    </row>
    <row r="4" spans="2:45" ht="35.1" customHeight="1" thickBot="1" x14ac:dyDescent="0.3">
      <c r="B4" s="532"/>
      <c r="C4" s="527"/>
      <c r="D4" s="529"/>
      <c r="E4" s="534"/>
      <c r="F4" s="527"/>
      <c r="G4" s="529"/>
      <c r="H4" s="528"/>
      <c r="I4" s="530"/>
      <c r="J4" s="529"/>
      <c r="K4" s="528"/>
      <c r="L4" s="530"/>
      <c r="M4" s="527"/>
      <c r="N4" s="540"/>
      <c r="O4" s="545"/>
      <c r="P4" s="542"/>
    </row>
    <row r="5" spans="2:45" x14ac:dyDescent="0.25">
      <c r="B5" s="1">
        <f>Assumptions!$D$8</f>
        <v>2027</v>
      </c>
      <c r="C5" s="159">
        <f>($F5*$V$7*Assumptions!$D$14+$F5*$V$8*Assumptions!$D$15)/10^6</f>
        <v>565.11399955564218</v>
      </c>
      <c r="D5" s="160">
        <f>C5*_xlfn.XLOOKUP($B5,$R$13:$R$51,$V$13:$V$51)</f>
        <v>34471.953972894175</v>
      </c>
      <c r="E5" s="161">
        <f>D5*(1+0.03)^-($B5-Assumptions!$D$4)</f>
        <v>28869.718749422427</v>
      </c>
      <c r="F5" s="151">
        <f>TREND($Y$21:$Z$21,$Y$20:$Z$20,$B5)-TREND($AA$21:$AB$21,$AA$20:$AB$20,$B5)</f>
        <v>1435356.8591356277</v>
      </c>
      <c r="G5" s="162">
        <f>($F5*S$7*Assumptions!$D$14+$F5*S$8*Assumptions!$D$15)/10^6</f>
        <v>0.55010126343009269</v>
      </c>
      <c r="H5" s="163">
        <f>($F5*T$7*Assumptions!$D$14+$F5*T$8*Assumptions!$D$15)/10^6</f>
        <v>3.2946037961469467E-3</v>
      </c>
      <c r="I5" s="164">
        <f>($F5*U$7*Assumptions!$D$14+$F5*U$8*Assumptions!$D$15)/10^6</f>
        <v>1.1530380217473751E-2</v>
      </c>
      <c r="J5" s="165">
        <f>G5*_xlfn.XLOOKUP($B5,$R$13:$R$51,$S$13:$S$51)</f>
        <v>9846.8126153986595</v>
      </c>
      <c r="K5" s="166">
        <f>H5*_xlfn.XLOOKUP($B5,$R$13:$R$51,$T$13:$T$51)</f>
        <v>160.44720487235631</v>
      </c>
      <c r="L5" s="161">
        <f>I5*_xlfn.XLOOKUP($B5,$R$13:$R$51,$U$13:$U$51)</f>
        <v>9980.6971162452792</v>
      </c>
      <c r="M5" s="167">
        <f>SUM(J5:L5)</f>
        <v>19987.956936516297</v>
      </c>
      <c r="N5" s="168">
        <f>M5*(1+0.07)^-(B5-Assumptions!$D$4)</f>
        <v>13318.819674626957</v>
      </c>
      <c r="O5" s="145">
        <f t="shared" ref="O5:P5" si="0">M5+D5</f>
        <v>54459.910909410472</v>
      </c>
      <c r="P5" s="93">
        <f t="shared" si="0"/>
        <v>42188.538424049388</v>
      </c>
      <c r="R5" s="87" t="s">
        <v>168</v>
      </c>
      <c r="S5" s="87"/>
      <c r="T5" s="87"/>
      <c r="U5" s="87"/>
      <c r="V5" s="87"/>
      <c r="X5" s="10" t="s">
        <v>183</v>
      </c>
      <c r="AE5" s="10" t="s">
        <v>123</v>
      </c>
    </row>
    <row r="6" spans="2:45" ht="18" x14ac:dyDescent="0.35">
      <c r="B6" s="2">
        <f t="shared" ref="B6:B34" si="1">+B5+1</f>
        <v>2028</v>
      </c>
      <c r="C6" s="144">
        <f>($F6*$V$7*Assumptions!$D$14+$F6*$V$8*Assumptions!$D$15)/10^6</f>
        <v>660.14702778352228</v>
      </c>
      <c r="D6" s="145">
        <f t="shared" ref="D6:D34" si="2">C6*_xlfn.XLOOKUP($B6,$R$13:$R$51,$V$13:$V$51)</f>
        <v>40929.115722578383</v>
      </c>
      <c r="E6" s="93">
        <f>D6*(1+0.03)^-($B6-Assumptions!$D$4)</f>
        <v>33279.116560818278</v>
      </c>
      <c r="F6" s="152">
        <f t="shared" ref="F6:F23" si="3">TREND($Y$21:$Z$21,$Y$20:$Z$20,$B6)-TREND($AA$21:$AB$21,$AA$20:$AB$20,$B6)</f>
        <v>1676735.2518467903</v>
      </c>
      <c r="G6" s="153">
        <f>($F6*S$7*Assumptions!$D$14+$F6*S$8*Assumptions!$D$15)/10^6</f>
        <v>0.64260965808471349</v>
      </c>
      <c r="H6" s="154">
        <f>($F6*T$7*Assumptions!$D$14+$F6*T$8*Assumptions!$D$15)/10^6</f>
        <v>3.848644530945777E-3</v>
      </c>
      <c r="I6" s="155">
        <f>($F6*U$7*Assumptions!$D$14+$F6*U$8*Assumptions!$D$15)/10^6</f>
        <v>1.3469399511893975E-2</v>
      </c>
      <c r="J6" s="137">
        <f t="shared" ref="J6:J34" si="4">G6*_xlfn.XLOOKUP($B6,$R$13:$R$51,$S$13:$S$51)</f>
        <v>11695.495777141785</v>
      </c>
      <c r="K6" s="88">
        <f t="shared" ref="K6:K34" si="5">H6*_xlfn.XLOOKUP($B6,$R$13:$R$51,$T$13:$T$51)</f>
        <v>190.50790428181597</v>
      </c>
      <c r="L6" s="89">
        <f t="shared" ref="L6:L34" si="6">I6*_xlfn.XLOOKUP($B6,$R$13:$R$51,$U$13:$U$51)</f>
        <v>11844.989930759562</v>
      </c>
      <c r="M6" s="94">
        <f t="shared" ref="M6:M33" si="7">SUM(J6:L6)</f>
        <v>23730.993612183163</v>
      </c>
      <c r="N6" s="169">
        <f>M6*(1+0.07)^-(B6-Assumptions!$D$4)</f>
        <v>14778.470146651945</v>
      </c>
      <c r="O6" s="171">
        <f t="shared" ref="O6:O34" si="8">M6+D6</f>
        <v>64660.109334761546</v>
      </c>
      <c r="P6" s="89">
        <f t="shared" ref="P6:P34" si="9">N6+E6</f>
        <v>48057.586707470226</v>
      </c>
      <c r="R6" s="27" t="s">
        <v>76</v>
      </c>
      <c r="S6" s="80" t="s">
        <v>179</v>
      </c>
      <c r="T6" s="80" t="s">
        <v>180</v>
      </c>
      <c r="U6" s="80" t="s">
        <v>181</v>
      </c>
      <c r="V6" s="43" t="s">
        <v>182</v>
      </c>
      <c r="X6" s="64" t="s">
        <v>125</v>
      </c>
      <c r="Y6" s="196">
        <f>AVERAGE(AS21:AS22)</f>
        <v>0.27500000000000002</v>
      </c>
      <c r="Z6" s="97">
        <f>SUM('Travel Time Savings '!E6:E35)*8</f>
        <v>154367968.08709908</v>
      </c>
      <c r="AA6">
        <f>SUM('Travel Time Savings '!E6:E25)*8</f>
        <v>86837711.170679808</v>
      </c>
      <c r="AE6" s="64" t="s">
        <v>113</v>
      </c>
      <c r="AF6" s="64" t="s">
        <v>114</v>
      </c>
      <c r="AG6" s="64" t="s">
        <v>115</v>
      </c>
      <c r="AH6" s="111" t="s">
        <v>106</v>
      </c>
      <c r="AI6" s="111" t="s">
        <v>107</v>
      </c>
      <c r="AJ6" s="111" t="s">
        <v>108</v>
      </c>
      <c r="AK6" s="111" t="s">
        <v>109</v>
      </c>
      <c r="AO6" t="s">
        <v>132</v>
      </c>
    </row>
    <row r="7" spans="2:45" ht="15.75" x14ac:dyDescent="0.25">
      <c r="B7" s="2">
        <f t="shared" si="1"/>
        <v>2029</v>
      </c>
      <c r="C7" s="144">
        <f>($F7*$V$7*Assumptions!$D$14+$F7*$V$8*Assumptions!$D$15)/10^6</f>
        <v>755.18005601149628</v>
      </c>
      <c r="D7" s="145">
        <f t="shared" si="2"/>
        <v>47576.343528724268</v>
      </c>
      <c r="E7" s="93">
        <f>D7*(1+0.03)^-($B7-Assumptions!$D$4)</f>
        <v>37557.204916466995</v>
      </c>
      <c r="F7" s="152">
        <f t="shared" si="3"/>
        <v>1918113.6445581913</v>
      </c>
      <c r="G7" s="153">
        <f>($F7*S$7*Assumptions!$D$14+$F7*S$8*Assumptions!$D$15)/10^6</f>
        <v>0.73511805273942565</v>
      </c>
      <c r="H7" s="154">
        <f>($F7*T$7*Assumptions!$D$14+$F7*T$8*Assumptions!$D$15)/10^6</f>
        <v>4.4026852657451541E-3</v>
      </c>
      <c r="I7" s="155">
        <f>($F7*U$7*Assumptions!$D$14+$F7*U$8*Assumptions!$D$15)/10^6</f>
        <v>1.5408418806316116E-2</v>
      </c>
      <c r="J7" s="137">
        <f t="shared" si="4"/>
        <v>13673.195780953318</v>
      </c>
      <c r="K7" s="88">
        <f t="shared" si="5"/>
        <v>221.89533739355576</v>
      </c>
      <c r="L7" s="89">
        <f t="shared" si="6"/>
        <v>13765.881361562819</v>
      </c>
      <c r="M7" s="94">
        <f t="shared" si="7"/>
        <v>27660.972479909695</v>
      </c>
      <c r="N7" s="169">
        <f>M7*(1+0.07)^-(B7-Assumptions!$D$4)</f>
        <v>16098.937824430412</v>
      </c>
      <c r="O7" s="171">
        <f t="shared" si="8"/>
        <v>75237.316008633963</v>
      </c>
      <c r="P7" s="89">
        <f t="shared" si="9"/>
        <v>53656.142740897405</v>
      </c>
      <c r="R7" s="27" t="s">
        <v>77</v>
      </c>
      <c r="S7" s="186">
        <f>AH25</f>
        <v>0.22790983982547491</v>
      </c>
      <c r="T7" s="186">
        <f t="shared" ref="T7:V7" si="10">AI25</f>
        <v>2.0699004398994176E-3</v>
      </c>
      <c r="U7" s="186">
        <f t="shared" si="10"/>
        <v>5.8180715878192544E-3</v>
      </c>
      <c r="V7" s="186">
        <f t="shared" si="10"/>
        <v>317.22468262036</v>
      </c>
      <c r="X7" t="s">
        <v>126</v>
      </c>
      <c r="AE7" s="111">
        <v>11</v>
      </c>
      <c r="AF7" s="64" t="s">
        <v>116</v>
      </c>
      <c r="AG7" s="64" t="s">
        <v>117</v>
      </c>
      <c r="AH7" s="190">
        <v>0.73690802096518104</v>
      </c>
      <c r="AI7" s="190">
        <v>2.4081927794970298E-3</v>
      </c>
      <c r="AJ7" s="190">
        <v>1.78605259703664E-2</v>
      </c>
      <c r="AK7" s="190">
        <v>362.51238716242</v>
      </c>
      <c r="AO7" s="200" t="s">
        <v>133</v>
      </c>
      <c r="AP7" s="201"/>
      <c r="AQ7" s="201"/>
      <c r="AR7" s="201"/>
      <c r="AS7" s="201"/>
    </row>
    <row r="8" spans="2:45" ht="15.75" x14ac:dyDescent="0.25">
      <c r="B8" s="2">
        <f t="shared" si="1"/>
        <v>2030</v>
      </c>
      <c r="C8" s="144">
        <f>($F8*$V$7*Assumptions!$D$14+$F8*$V$8*Assumptions!$D$15)/10^6</f>
        <v>850.21308423947028</v>
      </c>
      <c r="D8" s="145">
        <f t="shared" si="2"/>
        <v>55263.850475565567</v>
      </c>
      <c r="E8" s="93">
        <f>D8*(1+0.03)^-($B8-Assumptions!$D$4)</f>
        <v>42355.139698209758</v>
      </c>
      <c r="F8" s="152">
        <f t="shared" si="3"/>
        <v>2159492.0372695923</v>
      </c>
      <c r="G8" s="153">
        <f>($F8*S$7*Assumptions!$D$14+$F8*S$8*Assumptions!$D$15)/10^6</f>
        <v>0.82762644739413771</v>
      </c>
      <c r="H8" s="154">
        <f>($F8*T$7*Assumptions!$D$14+$F8*T$8*Assumptions!$D$15)/10^6</f>
        <v>4.9567260005445321E-3</v>
      </c>
      <c r="I8" s="155">
        <f>($F8*U$7*Assumptions!$D$14+$F8*U$8*Assumptions!$D$15)/10^6</f>
        <v>1.7347438100738261E-2</v>
      </c>
      <c r="J8" s="137">
        <f t="shared" si="4"/>
        <v>15642.139855749203</v>
      </c>
      <c r="K8" s="88">
        <f t="shared" si="5"/>
        <v>254.28004382793449</v>
      </c>
      <c r="L8" s="89">
        <f t="shared" si="6"/>
        <v>15744.534820230047</v>
      </c>
      <c r="M8" s="94">
        <f t="shared" si="7"/>
        <v>31640.954719807181</v>
      </c>
      <c r="N8" s="169">
        <f>M8*(1+0.07)^-(B8-Assumptions!$D$4)</f>
        <v>17210.582919680284</v>
      </c>
      <c r="O8" s="171">
        <f t="shared" si="8"/>
        <v>86904.805195372755</v>
      </c>
      <c r="P8" s="89">
        <f t="shared" si="9"/>
        <v>59565.722617890046</v>
      </c>
      <c r="R8" s="27" t="s">
        <v>78</v>
      </c>
      <c r="S8" s="186">
        <f t="shared" ref="S8:V8" si="11">AH26</f>
        <v>2.099484306313415</v>
      </c>
      <c r="T8" s="186">
        <f t="shared" si="11"/>
        <v>4.7858028693373951E-3</v>
      </c>
      <c r="U8" s="186">
        <f t="shared" si="11"/>
        <v>3.2505287070740692E-2</v>
      </c>
      <c r="V8" s="186">
        <f t="shared" si="11"/>
        <v>1238.7315972924489</v>
      </c>
      <c r="X8" s="10" t="s">
        <v>184</v>
      </c>
      <c r="AE8" s="111">
        <v>21</v>
      </c>
      <c r="AF8" s="64" t="s">
        <v>118</v>
      </c>
      <c r="AG8" s="64" t="s">
        <v>117</v>
      </c>
      <c r="AH8" s="190">
        <v>3.7528759722247264E-2</v>
      </c>
      <c r="AI8" s="190">
        <v>1.6122938930079201E-3</v>
      </c>
      <c r="AJ8" s="190">
        <v>1.1798384221972261E-3</v>
      </c>
      <c r="AK8" s="190">
        <v>243.79125643460799</v>
      </c>
      <c r="AO8" s="202" t="s">
        <v>134</v>
      </c>
      <c r="AP8" s="201"/>
      <c r="AQ8" s="201"/>
      <c r="AR8" s="201"/>
      <c r="AS8" s="201"/>
    </row>
    <row r="9" spans="2:45" ht="15" customHeight="1" x14ac:dyDescent="0.25">
      <c r="B9" s="2">
        <f t="shared" si="1"/>
        <v>2031</v>
      </c>
      <c r="C9" s="144">
        <f>($F9*$V$7*Assumptions!$D$14+$F9*$V$8*Assumptions!$D$15)/10^6</f>
        <v>945.24611246749123</v>
      </c>
      <c r="D9" s="145">
        <f t="shared" si="2"/>
        <v>62386.243422854423</v>
      </c>
      <c r="E9" s="93">
        <f>D9*(1+0.03)^-($B9-Assumptions!$D$4)</f>
        <v>46421.224104211818</v>
      </c>
      <c r="F9" s="152">
        <f t="shared" si="3"/>
        <v>2400870.4299811125</v>
      </c>
      <c r="G9" s="153">
        <f>($F9*S$7*Assumptions!$D$14+$F9*S$8*Assumptions!$D$15)/10^6</f>
        <v>0.92013484204889573</v>
      </c>
      <c r="H9" s="154">
        <f>($F9*T$7*Assumptions!$D$14+$F9*T$8*Assumptions!$D$15)/10^6</f>
        <v>5.5107667353441834E-3</v>
      </c>
      <c r="I9" s="155">
        <f>($F9*U$7*Assumptions!$D$14+$F9*U$8*Assumptions!$D$15)/10^6</f>
        <v>1.9286457395161362E-2</v>
      </c>
      <c r="J9" s="137">
        <f t="shared" si="4"/>
        <v>17390.548514724131</v>
      </c>
      <c r="K9" s="88">
        <f t="shared" si="5"/>
        <v>282.7023335231566</v>
      </c>
      <c r="L9" s="89">
        <f t="shared" si="6"/>
        <v>17504.388731848452</v>
      </c>
      <c r="M9" s="94">
        <f t="shared" ref="M9:M24" si="12">SUM(J9:L9)</f>
        <v>35177.63958009574</v>
      </c>
      <c r="N9" s="169">
        <f>M9*(1+0.07)^-(B9-Assumptions!$D$4)</f>
        <v>17882.528179511901</v>
      </c>
      <c r="O9" s="171">
        <f t="shared" si="8"/>
        <v>97563.88300295017</v>
      </c>
      <c r="P9" s="89">
        <f t="shared" si="9"/>
        <v>64303.752283723719</v>
      </c>
      <c r="R9" s="10"/>
      <c r="S9" s="184"/>
      <c r="T9" s="185"/>
      <c r="U9" s="184"/>
      <c r="V9" s="183"/>
      <c r="X9" s="111" t="s">
        <v>127</v>
      </c>
      <c r="Y9" s="111" t="s">
        <v>128</v>
      </c>
      <c r="AE9" s="111">
        <v>31</v>
      </c>
      <c r="AF9" s="64" t="s">
        <v>118</v>
      </c>
      <c r="AG9" s="64" t="s">
        <v>117</v>
      </c>
      <c r="AH9" s="190">
        <v>5.602001301010253E-2</v>
      </c>
      <c r="AI9" s="190">
        <v>2.0534055761767299E-3</v>
      </c>
      <c r="AJ9" s="190">
        <v>1.6834690354423085E-3</v>
      </c>
      <c r="AK9" s="190">
        <v>318.590574637288</v>
      </c>
      <c r="AO9" s="201"/>
      <c r="AP9" s="201"/>
      <c r="AQ9" s="201"/>
      <c r="AR9" s="201"/>
      <c r="AS9" s="201"/>
    </row>
    <row r="10" spans="2:45" ht="15.75" x14ac:dyDescent="0.25">
      <c r="B10" s="2">
        <f t="shared" si="1"/>
        <v>2032</v>
      </c>
      <c r="C10" s="144">
        <f>($F10*$V$7*Assumptions!$D$14+$F10*$V$8*Assumptions!$D$15)/10^6</f>
        <v>1040.2791406953713</v>
      </c>
      <c r="D10" s="145">
        <f t="shared" si="2"/>
        <v>69698.70242658988</v>
      </c>
      <c r="E10" s="93">
        <f>D10*(1+0.03)^-($B10-Assumptions!$D$4)</f>
        <v>50351.825584294311</v>
      </c>
      <c r="F10" s="152">
        <f t="shared" si="3"/>
        <v>2642248.822692275</v>
      </c>
      <c r="G10" s="153">
        <f>($F10*S$7*Assumptions!$D$14+$F10*S$8*Assumptions!$D$15)/10^6</f>
        <v>1.0126432367035165</v>
      </c>
      <c r="H10" s="154">
        <f>($F10*T$7*Assumptions!$D$14+$F10*T$8*Assumptions!$D$15)/10^6</f>
        <v>6.0648074701430132E-3</v>
      </c>
      <c r="I10" s="155">
        <f>($F10*U$7*Assumptions!$D$14+$F10*U$8*Assumptions!$D$15)/10^6</f>
        <v>2.122547668958159E-2</v>
      </c>
      <c r="J10" s="137">
        <f t="shared" si="4"/>
        <v>19138.957173696461</v>
      </c>
      <c r="K10" s="88">
        <f t="shared" si="5"/>
        <v>311.12462321833658</v>
      </c>
      <c r="L10" s="89">
        <f t="shared" si="6"/>
        <v>19264.242643464251</v>
      </c>
      <c r="M10" s="94">
        <f t="shared" si="12"/>
        <v>38714.324440379045</v>
      </c>
      <c r="N10" s="169">
        <f>M10*(1+0.07)^-(B10-Assumptions!$D$4)</f>
        <v>18392.896658635971</v>
      </c>
      <c r="O10" s="171">
        <f t="shared" si="8"/>
        <v>108413.02686696892</v>
      </c>
      <c r="P10" s="89">
        <f t="shared" si="9"/>
        <v>68744.722242930278</v>
      </c>
      <c r="S10" s="15"/>
      <c r="T10" s="15"/>
      <c r="U10" s="15"/>
      <c r="V10" s="15"/>
      <c r="X10" s="111" t="s">
        <v>77</v>
      </c>
      <c r="Y10" s="196">
        <v>24.9</v>
      </c>
      <c r="AE10" s="111">
        <v>32</v>
      </c>
      <c r="AF10" s="64" t="s">
        <v>118</v>
      </c>
      <c r="AG10" s="64" t="s">
        <v>117</v>
      </c>
      <c r="AH10" s="190">
        <v>8.1182565604368817E-2</v>
      </c>
      <c r="AI10" s="190">
        <v>2.2057095109159902E-3</v>
      </c>
      <c r="AJ10" s="190">
        <v>2.5484529232710825E-3</v>
      </c>
      <c r="AK10" s="190">
        <v>344.00451224712401</v>
      </c>
      <c r="AO10" s="203" t="s">
        <v>135</v>
      </c>
      <c r="AP10" s="200"/>
      <c r="AQ10" s="200"/>
      <c r="AR10" s="200"/>
      <c r="AS10" s="200"/>
    </row>
    <row r="11" spans="2:45" ht="15.75" x14ac:dyDescent="0.25">
      <c r="B11" s="2">
        <f t="shared" si="1"/>
        <v>2033</v>
      </c>
      <c r="C11" s="144">
        <f>($F11*$V$7*Assumptions!$D$14+$F11*$V$8*Assumptions!$D$15)/10^6</f>
        <v>1135.3121689233456</v>
      </c>
      <c r="D11" s="145">
        <f t="shared" si="2"/>
        <v>77201.227486787495</v>
      </c>
      <c r="E11" s="93">
        <f>D11*(1+0.03)^-($B11-Assumptions!$D$4)</f>
        <v>54147.387685433489</v>
      </c>
      <c r="F11" s="152">
        <f t="shared" si="3"/>
        <v>2883627.215403676</v>
      </c>
      <c r="G11" s="153">
        <f>($F11*S$7*Assumptions!$D$14+$F11*S$8*Assumptions!$D$15)/10^6</f>
        <v>1.1051516313582286</v>
      </c>
      <c r="H11" s="154">
        <f>($F11*T$7*Assumptions!$D$14+$F11*T$8*Assumptions!$D$15)/10^6</f>
        <v>6.6188482049423921E-3</v>
      </c>
      <c r="I11" s="155">
        <f>($F11*U$7*Assumptions!$D$14+$F11*U$8*Assumptions!$D$15)/10^6</f>
        <v>2.3164495984003733E-2</v>
      </c>
      <c r="J11" s="137">
        <f t="shared" si="4"/>
        <v>20887.365832670519</v>
      </c>
      <c r="K11" s="88">
        <f t="shared" si="5"/>
        <v>339.5469129135447</v>
      </c>
      <c r="L11" s="89">
        <f t="shared" si="6"/>
        <v>21024.096555081789</v>
      </c>
      <c r="M11" s="94">
        <f t="shared" si="12"/>
        <v>42251.009300665857</v>
      </c>
      <c r="N11" s="169">
        <f>M11*(1+0.07)^-(B11-Assumptions!$D$4)</f>
        <v>18759.953419487174</v>
      </c>
      <c r="O11" s="171">
        <f t="shared" si="8"/>
        <v>119452.23678745335</v>
      </c>
      <c r="P11" s="89">
        <f t="shared" si="9"/>
        <v>72907.341104920662</v>
      </c>
      <c r="R11" s="10" t="s">
        <v>169</v>
      </c>
      <c r="AE11" s="111">
        <v>41</v>
      </c>
      <c r="AF11" s="64" t="s">
        <v>119</v>
      </c>
      <c r="AG11" s="64" t="s">
        <v>120</v>
      </c>
      <c r="AH11" s="190">
        <v>2.237602310868759</v>
      </c>
      <c r="AI11" s="190">
        <v>5.5717265564873301E-3</v>
      </c>
      <c r="AJ11" s="190">
        <v>1.658066855283262E-2</v>
      </c>
      <c r="AK11" s="190">
        <v>1406.7823013201701</v>
      </c>
      <c r="AO11" s="203" t="s">
        <v>136</v>
      </c>
      <c r="AP11" s="200" t="s">
        <v>137</v>
      </c>
      <c r="AQ11" s="200" t="s">
        <v>138</v>
      </c>
      <c r="AR11" s="200" t="s">
        <v>139</v>
      </c>
      <c r="AS11" s="200" t="s">
        <v>140</v>
      </c>
    </row>
    <row r="12" spans="2:45" ht="18" x14ac:dyDescent="0.35">
      <c r="B12" s="2">
        <f t="shared" si="1"/>
        <v>2034</v>
      </c>
      <c r="C12" s="144">
        <f>($F12*$V$7*Assumptions!$D$14+$F12*$V$8*Assumptions!$D$15)/10^6</f>
        <v>1230.3451971513196</v>
      </c>
      <c r="D12" s="145">
        <f t="shared" si="2"/>
        <v>84893.818603441046</v>
      </c>
      <c r="E12" s="93">
        <f>D12*(1+0.03)^-($B12-Assumptions!$D$4)</f>
        <v>57808.559535150955</v>
      </c>
      <c r="F12" s="152">
        <f t="shared" si="3"/>
        <v>3125005.608115077</v>
      </c>
      <c r="G12" s="153">
        <f>($F12*S$7*Assumptions!$D$14+$F12*S$8*Assumptions!$D$15)/10^6</f>
        <v>1.1976600260129409</v>
      </c>
      <c r="H12" s="154">
        <f>($F12*T$7*Assumptions!$D$14+$F12*T$8*Assumptions!$D$15)/10^6</f>
        <v>7.1728889397417684E-3</v>
      </c>
      <c r="I12" s="155">
        <f>($F12*U$7*Assumptions!$D$14+$F12*U$8*Assumptions!$D$15)/10^6</f>
        <v>2.5103515278425869E-2</v>
      </c>
      <c r="J12" s="137">
        <f t="shared" si="4"/>
        <v>22635.774491644581</v>
      </c>
      <c r="K12" s="88">
        <f t="shared" si="5"/>
        <v>367.96920260875271</v>
      </c>
      <c r="L12" s="89">
        <f t="shared" si="6"/>
        <v>22783.95046669932</v>
      </c>
      <c r="M12" s="94">
        <f t="shared" si="12"/>
        <v>45787.694160952655</v>
      </c>
      <c r="N12" s="169">
        <f>M12*(1+0.07)^-(B12-Assumptions!$D$4)</f>
        <v>19000.265227588934</v>
      </c>
      <c r="O12" s="171">
        <f t="shared" si="8"/>
        <v>130681.5127643937</v>
      </c>
      <c r="P12" s="89">
        <f t="shared" si="9"/>
        <v>76808.824762739881</v>
      </c>
      <c r="R12" s="188" t="s">
        <v>85</v>
      </c>
      <c r="S12" s="43" t="s">
        <v>179</v>
      </c>
      <c r="T12" s="43" t="s">
        <v>180</v>
      </c>
      <c r="U12" s="43" t="s">
        <v>181</v>
      </c>
      <c r="V12" s="43" t="s">
        <v>182</v>
      </c>
      <c r="X12" s="10" t="s">
        <v>185</v>
      </c>
      <c r="AE12" s="111">
        <v>42</v>
      </c>
      <c r="AF12" s="64" t="s">
        <v>119</v>
      </c>
      <c r="AG12" s="64" t="s">
        <v>120</v>
      </c>
      <c r="AH12" s="190">
        <v>1.9658170115512426</v>
      </c>
      <c r="AI12" s="190">
        <v>5.4889920561794897E-3</v>
      </c>
      <c r="AJ12" s="190">
        <v>1.2308421676718551E-2</v>
      </c>
      <c r="AK12" s="190">
        <v>1391.9649569298599</v>
      </c>
      <c r="AO12" s="200" t="s">
        <v>141</v>
      </c>
      <c r="AP12" s="204" t="s">
        <v>142</v>
      </c>
      <c r="AQ12" s="204" t="s">
        <v>143</v>
      </c>
      <c r="AR12" s="205">
        <v>80000</v>
      </c>
      <c r="AS12" s="206">
        <v>0.64</v>
      </c>
    </row>
    <row r="13" spans="2:45" ht="15" customHeight="1" x14ac:dyDescent="0.25">
      <c r="B13" s="2">
        <f t="shared" si="1"/>
        <v>2035</v>
      </c>
      <c r="C13" s="144">
        <f>($F13*$V$7*Assumptions!$D$14+$F13*$V$8*Assumptions!$D$15)/10^6</f>
        <v>1325.3782253792936</v>
      </c>
      <c r="D13" s="145">
        <f t="shared" si="2"/>
        <v>92776.475776550549</v>
      </c>
      <c r="E13" s="93">
        <f>D13*(1+0.03)^-($B13-Assumptions!$D$4)</f>
        <v>61336.180096977376</v>
      </c>
      <c r="F13" s="152">
        <f t="shared" si="3"/>
        <v>3366384.000826478</v>
      </c>
      <c r="G13" s="153">
        <f>($F13*S$7*Assumptions!$D$14+$F13*S$8*Assumptions!$D$15)/10^6</f>
        <v>1.2901684206676529</v>
      </c>
      <c r="H13" s="154">
        <f>($F13*T$7*Assumptions!$D$14+$F13*T$8*Assumptions!$D$15)/10^6</f>
        <v>7.7269296745411465E-3</v>
      </c>
      <c r="I13" s="155">
        <f>($F13*U$7*Assumptions!$D$14+$F13*U$8*Assumptions!$D$15)/10^6</f>
        <v>2.7042534572848016E-2</v>
      </c>
      <c r="J13" s="137">
        <f t="shared" si="4"/>
        <v>24384.183150618639</v>
      </c>
      <c r="K13" s="88">
        <f t="shared" si="5"/>
        <v>396.39149230396083</v>
      </c>
      <c r="L13" s="89">
        <f t="shared" si="6"/>
        <v>24543.804378316858</v>
      </c>
      <c r="M13" s="94">
        <f t="shared" si="12"/>
        <v>49324.379021239452</v>
      </c>
      <c r="N13" s="169">
        <f>M13*(1+0.07)^-(B13-Assumptions!$D$4)</f>
        <v>19128.844586909905</v>
      </c>
      <c r="O13" s="171">
        <f t="shared" si="8"/>
        <v>142100.85479779</v>
      </c>
      <c r="P13" s="89">
        <f t="shared" si="9"/>
        <v>80465.024683887284</v>
      </c>
      <c r="R13" s="90">
        <v>2022</v>
      </c>
      <c r="S13" s="187">
        <v>16600</v>
      </c>
      <c r="T13" s="187">
        <v>44300</v>
      </c>
      <c r="U13" s="187">
        <v>796700</v>
      </c>
      <c r="V13" s="187">
        <v>56</v>
      </c>
      <c r="X13" s="111" t="s">
        <v>129</v>
      </c>
      <c r="Y13" s="196">
        <f>Y6*Y10</f>
        <v>6.8475000000000001</v>
      </c>
      <c r="Z13" s="111" t="s">
        <v>130</v>
      </c>
      <c r="AE13" s="111">
        <v>43</v>
      </c>
      <c r="AF13" s="64" t="s">
        <v>119</v>
      </c>
      <c r="AG13" s="64" t="s">
        <v>120</v>
      </c>
      <c r="AH13" s="190">
        <v>1.9469017025302577</v>
      </c>
      <c r="AI13" s="190">
        <v>3.66910948950592E-3</v>
      </c>
      <c r="AJ13" s="190">
        <v>5.5096995199883071E-2</v>
      </c>
      <c r="AK13" s="190">
        <v>1071.1129065416801</v>
      </c>
      <c r="AO13" s="200" t="s">
        <v>144</v>
      </c>
      <c r="AP13" s="204" t="s">
        <v>142</v>
      </c>
      <c r="AQ13" s="204" t="s">
        <v>143</v>
      </c>
      <c r="AR13" s="205">
        <v>37000</v>
      </c>
      <c r="AS13" s="206">
        <v>0.9</v>
      </c>
    </row>
    <row r="14" spans="2:45" ht="15.75" x14ac:dyDescent="0.25">
      <c r="B14" s="2">
        <f t="shared" si="1"/>
        <v>2036</v>
      </c>
      <c r="C14" s="144">
        <f>($F14*$V$7*Assumptions!$D$14+$F14*$V$8*Assumptions!$D$15)/10^6</f>
        <v>1420.4112536072207</v>
      </c>
      <c r="D14" s="145">
        <f t="shared" si="2"/>
        <v>102269.61025971989</v>
      </c>
      <c r="E14" s="93">
        <f>D14*(1+0.03)^-($B14-Assumptions!$D$4)</f>
        <v>65642.971200807151</v>
      </c>
      <c r="F14" s="152">
        <f t="shared" si="3"/>
        <v>3607762.3935377598</v>
      </c>
      <c r="G14" s="153">
        <f>($F14*S$7*Assumptions!$D$14+$F14*S$8*Assumptions!$D$15)/10^6</f>
        <v>1.3826768153223195</v>
      </c>
      <c r="H14" s="154">
        <f>($F14*T$7*Assumptions!$D$14+$F14*T$8*Assumptions!$D$15)/10^6</f>
        <v>8.2809704093402513E-3</v>
      </c>
      <c r="I14" s="155">
        <f>($F14*U$7*Assumptions!$D$14+$F14*U$8*Assumptions!$D$15)/10^6</f>
        <v>2.8981553867269198E-2</v>
      </c>
      <c r="J14" s="137">
        <f t="shared" si="4"/>
        <v>26132.591809591839</v>
      </c>
      <c r="K14" s="88">
        <f t="shared" si="5"/>
        <v>424.81378199915491</v>
      </c>
      <c r="L14" s="89">
        <f t="shared" si="6"/>
        <v>26303.658289933523</v>
      </c>
      <c r="M14" s="94">
        <f t="shared" si="12"/>
        <v>52861.063881524518</v>
      </c>
      <c r="N14" s="169">
        <f>M14*(1+0.07)^-(B14-Assumptions!$D$4)</f>
        <v>19159.282197919067</v>
      </c>
      <c r="O14" s="171">
        <f t="shared" si="8"/>
        <v>155130.67414124441</v>
      </c>
      <c r="P14" s="89">
        <f t="shared" si="9"/>
        <v>84802.253398726214</v>
      </c>
      <c r="R14" s="90">
        <v>2023</v>
      </c>
      <c r="S14" s="187">
        <v>16800</v>
      </c>
      <c r="T14" s="187">
        <v>45100</v>
      </c>
      <c r="U14" s="187">
        <v>810500</v>
      </c>
      <c r="V14" s="187">
        <v>57</v>
      </c>
      <c r="X14" s="15"/>
      <c r="AE14" s="111">
        <v>51</v>
      </c>
      <c r="AF14" s="64" t="s">
        <v>121</v>
      </c>
      <c r="AG14" s="64" t="s">
        <v>120</v>
      </c>
      <c r="AH14" s="190">
        <v>2.48942987946789</v>
      </c>
      <c r="AI14" s="190">
        <v>5.2833773025508703E-3</v>
      </c>
      <c r="AJ14" s="190">
        <v>3.4321389281753531E-2</v>
      </c>
      <c r="AK14" s="190">
        <v>1427.83446247497</v>
      </c>
      <c r="AO14" s="200" t="s">
        <v>122</v>
      </c>
      <c r="AP14" s="204" t="s">
        <v>142</v>
      </c>
      <c r="AQ14" s="204" t="s">
        <v>143</v>
      </c>
      <c r="AR14" s="205">
        <v>32000</v>
      </c>
      <c r="AS14" s="206">
        <v>0.49</v>
      </c>
    </row>
    <row r="15" spans="2:45" ht="15.75" x14ac:dyDescent="0.25">
      <c r="B15" s="2">
        <f t="shared" si="1"/>
        <v>2037</v>
      </c>
      <c r="C15" s="144">
        <f>($F15*$V$7*Assumptions!$D$14+$F15*$V$8*Assumptions!$D$15)/10^6</f>
        <v>1515.4442818351945</v>
      </c>
      <c r="D15" s="145">
        <f t="shared" si="2"/>
        <v>110627.4325739692</v>
      </c>
      <c r="E15" s="93">
        <f>D15*(1+0.03)^-($B15-Assumptions!$D$4)</f>
        <v>68939.358550899968</v>
      </c>
      <c r="F15" s="152">
        <f t="shared" si="3"/>
        <v>3849140.7862491608</v>
      </c>
      <c r="G15" s="153">
        <f>($F15*S$7*Assumptions!$D$14+$F15*S$8*Assumptions!$D$15)/10^6</f>
        <v>1.4751852099770317</v>
      </c>
      <c r="H15" s="154">
        <f>($F15*T$7*Assumptions!$D$14+$F15*T$8*Assumptions!$D$15)/10^6</f>
        <v>8.8350111441396293E-3</v>
      </c>
      <c r="I15" s="155">
        <f>($F15*U$7*Assumptions!$D$14+$F15*U$8*Assumptions!$D$15)/10^6</f>
        <v>3.0920573161691344E-2</v>
      </c>
      <c r="J15" s="137">
        <f t="shared" si="4"/>
        <v>27881.000468565901</v>
      </c>
      <c r="K15" s="88">
        <f t="shared" si="5"/>
        <v>453.23607169436298</v>
      </c>
      <c r="L15" s="89">
        <f t="shared" si="6"/>
        <v>28063.512201551064</v>
      </c>
      <c r="M15" s="94">
        <f t="shared" si="12"/>
        <v>56397.748741811331</v>
      </c>
      <c r="N15" s="169">
        <f>M15*(1+0.07)^-(B15-Assumptions!$D$4)</f>
        <v>19103.868736691045</v>
      </c>
      <c r="O15" s="171">
        <f t="shared" si="8"/>
        <v>167025.18131578053</v>
      </c>
      <c r="P15" s="89">
        <f t="shared" si="9"/>
        <v>88043.227287591013</v>
      </c>
      <c r="R15" s="90">
        <v>2024</v>
      </c>
      <c r="S15" s="187">
        <v>17000</v>
      </c>
      <c r="T15" s="187">
        <v>46000</v>
      </c>
      <c r="U15" s="187">
        <v>824500</v>
      </c>
      <c r="V15" s="187">
        <v>58</v>
      </c>
      <c r="X15" s="10" t="s">
        <v>158</v>
      </c>
      <c r="Y15" s="522" t="s">
        <v>20</v>
      </c>
      <c r="Z15" s="543"/>
      <c r="AA15" s="522" t="s">
        <v>21</v>
      </c>
      <c r="AB15" s="543"/>
      <c r="AE15" s="111">
        <v>52</v>
      </c>
      <c r="AF15" s="64" t="s">
        <v>121</v>
      </c>
      <c r="AG15" s="64" t="s">
        <v>120</v>
      </c>
      <c r="AH15" s="190">
        <v>0.95074648895471525</v>
      </c>
      <c r="AI15" s="190">
        <v>3.5321878667988801E-3</v>
      </c>
      <c r="AJ15" s="190">
        <v>1.5158170819293781E-2</v>
      </c>
      <c r="AK15" s="190">
        <v>862.616489254057</v>
      </c>
      <c r="AO15" s="200" t="s">
        <v>145</v>
      </c>
      <c r="AP15" s="204" t="s">
        <v>142</v>
      </c>
      <c r="AQ15" s="204" t="s">
        <v>143</v>
      </c>
      <c r="AR15" s="205">
        <v>30000</v>
      </c>
      <c r="AS15" s="206">
        <v>0.97</v>
      </c>
    </row>
    <row r="16" spans="2:45" ht="15.75" x14ac:dyDescent="0.25">
      <c r="B16" s="2">
        <f t="shared" si="1"/>
        <v>2038</v>
      </c>
      <c r="C16" s="144">
        <f>($F16*$V$7*Assumptions!$D$14+$F16*$V$8*Assumptions!$D$15)/10^6</f>
        <v>1610.4773100631689</v>
      </c>
      <c r="D16" s="145">
        <f t="shared" si="2"/>
        <v>119175.3209446745</v>
      </c>
      <c r="E16" s="93">
        <f>D16*(1+0.03)^-($B16-Assumptions!$D$4)</f>
        <v>72103.029110356889</v>
      </c>
      <c r="F16" s="152">
        <f t="shared" si="3"/>
        <v>4090519.1789605618</v>
      </c>
      <c r="G16" s="153">
        <f>($F16*S$7*Assumptions!$D$14+$F16*S$8*Assumptions!$D$15)/10^6</f>
        <v>1.5676936046317438</v>
      </c>
      <c r="H16" s="154">
        <f>($F16*T$7*Assumptions!$D$14+$F16*T$8*Assumptions!$D$15)/10^6</f>
        <v>9.3890518789390056E-3</v>
      </c>
      <c r="I16" s="155">
        <f>($F16*U$7*Assumptions!$D$14+$F16*U$8*Assumptions!$D$15)/10^6</f>
        <v>3.2859592456113487E-2</v>
      </c>
      <c r="J16" s="137">
        <f t="shared" si="4"/>
        <v>29629.409127539959</v>
      </c>
      <c r="K16" s="88">
        <f t="shared" si="5"/>
        <v>481.65836138957098</v>
      </c>
      <c r="L16" s="89">
        <f t="shared" si="6"/>
        <v>29823.366113168602</v>
      </c>
      <c r="M16" s="94">
        <f t="shared" si="12"/>
        <v>59934.433602098128</v>
      </c>
      <c r="N16" s="169">
        <f>M16*(1+0.07)^-(B16-Assumptions!$D$4)</f>
        <v>18973.706785395898</v>
      </c>
      <c r="O16" s="171">
        <f t="shared" si="8"/>
        <v>179109.75454677263</v>
      </c>
      <c r="P16" s="89">
        <f t="shared" si="9"/>
        <v>91076.73589575279</v>
      </c>
      <c r="R16" s="90">
        <v>2025</v>
      </c>
      <c r="S16" s="187">
        <v>17200</v>
      </c>
      <c r="T16" s="187">
        <v>46900</v>
      </c>
      <c r="U16" s="187">
        <v>838800</v>
      </c>
      <c r="V16" s="187">
        <v>59</v>
      </c>
      <c r="X16" s="27" t="s">
        <v>60</v>
      </c>
      <c r="Y16" s="43">
        <v>2019</v>
      </c>
      <c r="Z16" s="43">
        <v>2045</v>
      </c>
      <c r="AA16" s="43">
        <v>2019</v>
      </c>
      <c r="AB16" s="43">
        <v>2045</v>
      </c>
      <c r="AE16" s="111">
        <v>53</v>
      </c>
      <c r="AF16" s="64" t="s">
        <v>121</v>
      </c>
      <c r="AG16" s="64" t="s">
        <v>120</v>
      </c>
      <c r="AH16" s="190">
        <v>0.89067775827536644</v>
      </c>
      <c r="AI16" s="190">
        <v>3.4020765235606102E-3</v>
      </c>
      <c r="AJ16" s="190">
        <v>1.349939126139434E-2</v>
      </c>
      <c r="AK16" s="190">
        <v>829.46088804247995</v>
      </c>
      <c r="AO16" s="200" t="s">
        <v>146</v>
      </c>
      <c r="AP16" s="204" t="s">
        <v>142</v>
      </c>
      <c r="AQ16" s="207" t="s">
        <v>147</v>
      </c>
      <c r="AR16" s="204" t="s">
        <v>148</v>
      </c>
      <c r="AS16" s="206">
        <v>0.44</v>
      </c>
    </row>
    <row r="17" spans="2:45" ht="15.75" x14ac:dyDescent="0.25">
      <c r="B17" s="2">
        <f t="shared" si="1"/>
        <v>2039</v>
      </c>
      <c r="C17" s="144">
        <f>($F17*$V$7*Assumptions!$D$14+$F17*$V$8*Assumptions!$D$15)/10^6</f>
        <v>1705.510338291049</v>
      </c>
      <c r="D17" s="145">
        <f t="shared" si="2"/>
        <v>127913.27537182868</v>
      </c>
      <c r="E17" s="93">
        <f>D17*(1+0.03)^-($B17-Assumptions!$D$4)</f>
        <v>75135.568195948828</v>
      </c>
      <c r="F17" s="152">
        <f t="shared" si="3"/>
        <v>4331897.5716717243</v>
      </c>
      <c r="G17" s="153">
        <f>($F17*S$7*Assumptions!$D$14+$F17*S$8*Assumptions!$D$15)/10^6</f>
        <v>1.6602019992863648</v>
      </c>
      <c r="H17" s="154">
        <f>($F17*T$7*Assumptions!$D$14+$F17*T$8*Assumptions!$D$15)/10^6</f>
        <v>9.9430926137378372E-3</v>
      </c>
      <c r="I17" s="155">
        <f>($F17*U$7*Assumptions!$D$14+$F17*U$8*Assumptions!$D$15)/10^6</f>
        <v>3.4798611750533719E-2</v>
      </c>
      <c r="J17" s="137">
        <f t="shared" si="4"/>
        <v>31377.817786512296</v>
      </c>
      <c r="K17" s="88">
        <f t="shared" si="5"/>
        <v>510.08065108475103</v>
      </c>
      <c r="L17" s="89">
        <f t="shared" si="6"/>
        <v>31583.220024784405</v>
      </c>
      <c r="M17" s="94">
        <f t="shared" si="12"/>
        <v>63471.118462381448</v>
      </c>
      <c r="N17" s="169">
        <f>M17*(1+0.07)^-(B17-Assumptions!$D$4)</f>
        <v>18778.813681592273</v>
      </c>
      <c r="O17" s="171">
        <f t="shared" si="8"/>
        <v>191384.39383421012</v>
      </c>
      <c r="P17" s="89">
        <f t="shared" si="9"/>
        <v>93914.381877541105</v>
      </c>
      <c r="R17" s="90">
        <v>2026</v>
      </c>
      <c r="S17" s="187">
        <v>17500</v>
      </c>
      <c r="T17" s="187">
        <v>47800</v>
      </c>
      <c r="U17" s="187">
        <v>852100</v>
      </c>
      <c r="V17" s="187">
        <v>60</v>
      </c>
      <c r="X17" s="111" t="s">
        <v>86</v>
      </c>
      <c r="Y17" s="172">
        <f>'Travel Time Savings '!M23</f>
        <v>1568214.3756061723</v>
      </c>
      <c r="Z17" s="172">
        <f>'Travel Time Savings '!N23</f>
        <v>3569046.0342766368</v>
      </c>
      <c r="AA17" s="172">
        <f>'Travel Time Savings '!O23</f>
        <v>1534849.6592018474</v>
      </c>
      <c r="AB17" s="172">
        <f>'Travel Time Savings '!P23</f>
        <v>2724917.8228213764</v>
      </c>
      <c r="AE17" s="111">
        <v>54</v>
      </c>
      <c r="AF17" s="64" t="s">
        <v>121</v>
      </c>
      <c r="AG17" s="64" t="s">
        <v>120</v>
      </c>
      <c r="AH17" s="190">
        <v>1.6481032166429217</v>
      </c>
      <c r="AI17" s="190">
        <v>6.0326542026046303E-3</v>
      </c>
      <c r="AJ17" s="190">
        <v>4.2864875162321965E-2</v>
      </c>
      <c r="AK17" s="190">
        <v>1166.1048437433201</v>
      </c>
      <c r="AO17" s="200" t="s">
        <v>149</v>
      </c>
      <c r="AP17" s="204" t="s">
        <v>142</v>
      </c>
      <c r="AQ17" s="204" t="s">
        <v>143</v>
      </c>
      <c r="AR17" s="205">
        <v>26000</v>
      </c>
      <c r="AS17" s="206">
        <v>0.59</v>
      </c>
    </row>
    <row r="18" spans="2:45" ht="15.75" x14ac:dyDescent="0.25">
      <c r="B18" s="2">
        <f t="shared" si="1"/>
        <v>2040</v>
      </c>
      <c r="C18" s="144">
        <f>($F18*$V$7*Assumptions!$D$14+$F18*$V$8*Assumptions!$D$15)/10^6</f>
        <v>1800.543366519023</v>
      </c>
      <c r="D18" s="145">
        <f t="shared" si="2"/>
        <v>136841.29585544576</v>
      </c>
      <c r="E18" s="93">
        <f>D18*(1+0.03)^-($B18-Assumptions!$D$4)</f>
        <v>78038.678917197292</v>
      </c>
      <c r="F18" s="152">
        <f t="shared" si="3"/>
        <v>4573275.9643831253</v>
      </c>
      <c r="G18" s="153">
        <f>($F18*S$7*Assumptions!$D$14+$F18*S$8*Assumptions!$D$15)/10^6</f>
        <v>1.7527103939410769</v>
      </c>
      <c r="H18" s="154">
        <f>($F18*T$7*Assumptions!$D$14+$F18*T$8*Assumptions!$D$15)/10^6</f>
        <v>1.0497133348537213E-2</v>
      </c>
      <c r="I18" s="155">
        <f>($F18*U$7*Assumptions!$D$14+$F18*U$8*Assumptions!$D$15)/10^6</f>
        <v>3.6737631044955851E-2</v>
      </c>
      <c r="J18" s="137">
        <f t="shared" si="4"/>
        <v>33126.226445486354</v>
      </c>
      <c r="K18" s="88">
        <f t="shared" si="5"/>
        <v>538.50294077995909</v>
      </c>
      <c r="L18" s="89">
        <f t="shared" si="6"/>
        <v>33343.073936401932</v>
      </c>
      <c r="M18" s="94">
        <f t="shared" si="12"/>
        <v>67007.803322668246</v>
      </c>
      <c r="N18" s="169">
        <f>M18*(1+0.07)^-(B18-Assumptions!$D$4)</f>
        <v>18528.215995469189</v>
      </c>
      <c r="O18" s="171">
        <f t="shared" si="8"/>
        <v>203849.099178114</v>
      </c>
      <c r="P18" s="89">
        <f t="shared" si="9"/>
        <v>96566.894912666481</v>
      </c>
      <c r="R18" s="90">
        <v>2027</v>
      </c>
      <c r="S18" s="187">
        <v>17900</v>
      </c>
      <c r="T18" s="187">
        <v>48700</v>
      </c>
      <c r="U18" s="187">
        <v>865600</v>
      </c>
      <c r="V18" s="187">
        <v>61</v>
      </c>
      <c r="X18" s="210"/>
      <c r="Y18" s="211"/>
      <c r="Z18" s="211"/>
      <c r="AA18" s="211"/>
      <c r="AB18" s="211"/>
      <c r="AE18" s="111">
        <v>61</v>
      </c>
      <c r="AF18" s="64" t="s">
        <v>122</v>
      </c>
      <c r="AG18" s="64" t="s">
        <v>120</v>
      </c>
      <c r="AH18" s="190">
        <v>3.0234078113615883</v>
      </c>
      <c r="AI18" s="190">
        <v>4.9760807160904204E-3</v>
      </c>
      <c r="AJ18" s="190">
        <v>4.3407648080982714E-2</v>
      </c>
      <c r="AK18" s="190">
        <v>1463.90880302132</v>
      </c>
      <c r="AO18" s="200" t="s">
        <v>150</v>
      </c>
      <c r="AP18" s="204" t="s">
        <v>142</v>
      </c>
      <c r="AQ18" s="204" t="s">
        <v>143</v>
      </c>
      <c r="AR18" s="205">
        <v>19500</v>
      </c>
      <c r="AS18" s="206">
        <v>0.84</v>
      </c>
    </row>
    <row r="19" spans="2:45" ht="15.75" x14ac:dyDescent="0.25">
      <c r="B19" s="2">
        <f t="shared" si="1"/>
        <v>2041</v>
      </c>
      <c r="C19" s="144">
        <f>($F19*$V$7*Assumptions!$D$14+$F19*$V$8*Assumptions!$D$15)/10^6</f>
        <v>1895.5763947470441</v>
      </c>
      <c r="D19" s="145">
        <f t="shared" si="2"/>
        <v>147854.95879026945</v>
      </c>
      <c r="E19" s="93">
        <f>D19*(1+0.03)^-($B19-Assumptions!$D$4)</f>
        <v>81863.705818391914</v>
      </c>
      <c r="F19" s="152">
        <f t="shared" si="3"/>
        <v>4814654.3570946455</v>
      </c>
      <c r="G19" s="153">
        <f>($F19*S$7*Assumptions!$D$14+$F19*S$8*Assumptions!$D$15)/10^6</f>
        <v>1.8452187885958347</v>
      </c>
      <c r="H19" s="154">
        <f>($F19*T$7*Assumptions!$D$14+$F19*T$8*Assumptions!$D$15)/10^6</f>
        <v>1.1051174083336866E-2</v>
      </c>
      <c r="I19" s="155">
        <f>($F19*U$7*Assumptions!$D$14+$F19*U$8*Assumptions!$D$15)/10^6</f>
        <v>3.8676650339378955E-2</v>
      </c>
      <c r="J19" s="137">
        <f t="shared" si="4"/>
        <v>34874.635104461275</v>
      </c>
      <c r="K19" s="88">
        <f t="shared" si="5"/>
        <v>566.92523047518125</v>
      </c>
      <c r="L19" s="89">
        <f t="shared" si="6"/>
        <v>35102.927848020343</v>
      </c>
      <c r="M19" s="94">
        <f t="shared" si="12"/>
        <v>70544.488182956789</v>
      </c>
      <c r="N19" s="169">
        <f>M19*(1+0.07)^-(B19-Assumptions!$D$4)</f>
        <v>18230.036290254437</v>
      </c>
      <c r="O19" s="171">
        <f t="shared" si="8"/>
        <v>218399.44697322624</v>
      </c>
      <c r="P19" s="89">
        <f t="shared" si="9"/>
        <v>100093.74210864634</v>
      </c>
      <c r="R19" s="90">
        <v>2028</v>
      </c>
      <c r="S19" s="187">
        <v>18200</v>
      </c>
      <c r="T19" s="187">
        <v>49500</v>
      </c>
      <c r="U19" s="187">
        <v>879400</v>
      </c>
      <c r="V19" s="187">
        <v>62</v>
      </c>
      <c r="X19" s="10" t="s">
        <v>186</v>
      </c>
      <c r="Y19" s="522" t="s">
        <v>20</v>
      </c>
      <c r="Z19" s="543"/>
      <c r="AA19" s="522" t="s">
        <v>21</v>
      </c>
      <c r="AB19" s="543"/>
      <c r="AE19" s="111">
        <v>62</v>
      </c>
      <c r="AF19" s="64" t="s">
        <v>122</v>
      </c>
      <c r="AG19" s="64" t="s">
        <v>120</v>
      </c>
      <c r="AH19" s="190">
        <v>3.7426725771679936</v>
      </c>
      <c r="AI19" s="190">
        <v>5.1160211102583997E-3</v>
      </c>
      <c r="AJ19" s="190">
        <v>5.9310023601485649E-2</v>
      </c>
      <c r="AK19" s="190">
        <v>1528.79872430418</v>
      </c>
      <c r="AO19" s="200" t="s">
        <v>146</v>
      </c>
      <c r="AP19" s="204" t="s">
        <v>151</v>
      </c>
      <c r="AQ19" s="207" t="s">
        <v>152</v>
      </c>
      <c r="AR19" s="204" t="s">
        <v>153</v>
      </c>
      <c r="AS19" s="206">
        <v>0.84</v>
      </c>
    </row>
    <row r="20" spans="2:45" ht="15.75" x14ac:dyDescent="0.25">
      <c r="B20" s="2">
        <f t="shared" si="1"/>
        <v>2042</v>
      </c>
      <c r="C20" s="144">
        <f>($F20*$V$7*Assumptions!$D$14+$F20*$V$8*Assumptions!$D$15)/10^6</f>
        <v>1990.6094229750181</v>
      </c>
      <c r="D20" s="145">
        <f t="shared" si="2"/>
        <v>157258.14441502644</v>
      </c>
      <c r="E20" s="93">
        <f>D20*(1+0.03)^-($B20-Assumptions!$D$4)</f>
        <v>84534.001661100338</v>
      </c>
      <c r="F20" s="152">
        <f t="shared" si="3"/>
        <v>5056032.7498060465</v>
      </c>
      <c r="G20" s="153">
        <f>($F20*S$7*Assumptions!$D$14+$F20*S$8*Assumptions!$D$15)/10^6</f>
        <v>1.9377271832505469</v>
      </c>
      <c r="H20" s="154">
        <f>($F20*T$7*Assumptions!$D$14+$F20*T$8*Assumptions!$D$15)/10^6</f>
        <v>1.1605214818136242E-2</v>
      </c>
      <c r="I20" s="155">
        <f>($F20*U$7*Assumptions!$D$14+$F20*U$8*Assumptions!$D$15)/10^6</f>
        <v>4.0615669633801095E-2</v>
      </c>
      <c r="J20" s="137">
        <f t="shared" si="4"/>
        <v>36623.043763435337</v>
      </c>
      <c r="K20" s="88">
        <f t="shared" si="5"/>
        <v>595.3475201703892</v>
      </c>
      <c r="L20" s="89">
        <f t="shared" si="6"/>
        <v>36862.781759637874</v>
      </c>
      <c r="M20" s="94">
        <f t="shared" si="12"/>
        <v>74081.173043243602</v>
      </c>
      <c r="N20" s="169">
        <f>M20*(1+0.07)^-(B20-Assumptions!$D$4)</f>
        <v>17891.572771137067</v>
      </c>
      <c r="O20" s="171">
        <f t="shared" si="8"/>
        <v>231339.31745827006</v>
      </c>
      <c r="P20" s="89">
        <f t="shared" si="9"/>
        <v>102425.57443223741</v>
      </c>
      <c r="R20" s="90">
        <v>2029</v>
      </c>
      <c r="S20" s="187">
        <v>18600</v>
      </c>
      <c r="T20" s="187">
        <v>50400</v>
      </c>
      <c r="U20" s="187">
        <v>893400</v>
      </c>
      <c r="V20" s="187">
        <v>63</v>
      </c>
      <c r="X20" s="197" t="s">
        <v>131</v>
      </c>
      <c r="Y20" s="43">
        <v>2022</v>
      </c>
      <c r="Z20" s="43">
        <v>2045</v>
      </c>
      <c r="AA20" s="43">
        <v>2022</v>
      </c>
      <c r="AB20" s="43">
        <v>2045</v>
      </c>
      <c r="AO20" s="200" t="s">
        <v>154</v>
      </c>
      <c r="AP20" s="204" t="s">
        <v>142</v>
      </c>
      <c r="AQ20" s="204">
        <v>2</v>
      </c>
      <c r="AR20" s="204" t="s">
        <v>143</v>
      </c>
      <c r="AS20" s="206">
        <v>0.17</v>
      </c>
    </row>
    <row r="21" spans="2:45" ht="15.75" x14ac:dyDescent="0.25">
      <c r="B21" s="2">
        <f t="shared" si="1"/>
        <v>2043</v>
      </c>
      <c r="C21" s="144">
        <f>($F21*$V$7*Assumptions!$D$14+$F21*$V$8*Assumptions!$D$15)/10^6</f>
        <v>2085.642451202898</v>
      </c>
      <c r="D21" s="145">
        <f t="shared" si="2"/>
        <v>166851.39609623182</v>
      </c>
      <c r="E21" s="93">
        <f>D21*(1+0.03)^-($B21-Assumptions!$D$4)</f>
        <v>87078.492384413301</v>
      </c>
      <c r="F21" s="152">
        <f t="shared" si="3"/>
        <v>5297411.1425172091</v>
      </c>
      <c r="G21" s="153">
        <f>($F21*S$7*Assumptions!$D$14+$F21*S$8*Assumptions!$D$15)/10^6</f>
        <v>2.0302355779051675</v>
      </c>
      <c r="H21" s="154">
        <f>($F21*T$7*Assumptions!$D$14+$F21*T$8*Assumptions!$D$15)/10^6</f>
        <v>1.2159255552935073E-2</v>
      </c>
      <c r="I21" s="155">
        <f>($F21*U$7*Assumptions!$D$14+$F21*U$8*Assumptions!$D$15)/10^6</f>
        <v>4.2554688928221326E-2</v>
      </c>
      <c r="J21" s="137">
        <f t="shared" si="4"/>
        <v>38371.452422407667</v>
      </c>
      <c r="K21" s="88">
        <f t="shared" si="5"/>
        <v>623.7698098655693</v>
      </c>
      <c r="L21" s="89">
        <f t="shared" si="6"/>
        <v>38622.635671253673</v>
      </c>
      <c r="M21" s="94">
        <f t="shared" si="12"/>
        <v>77617.857903526907</v>
      </c>
      <c r="N21" s="169">
        <f>M21*(1+0.07)^-(B21-Assumptions!$D$4)</f>
        <v>17519.372381848181</v>
      </c>
      <c r="O21" s="171">
        <f t="shared" si="8"/>
        <v>244469.25399975874</v>
      </c>
      <c r="P21" s="89">
        <f t="shared" si="9"/>
        <v>104597.86476626148</v>
      </c>
      <c r="R21" s="90">
        <v>2030</v>
      </c>
      <c r="S21" s="187">
        <v>18900</v>
      </c>
      <c r="T21" s="187">
        <v>51300</v>
      </c>
      <c r="U21" s="187">
        <v>907600</v>
      </c>
      <c r="V21" s="187">
        <v>65</v>
      </c>
      <c r="X21" s="198" t="s">
        <v>159</v>
      </c>
      <c r="Y21" s="172">
        <f>$Y$13*Y17</f>
        <v>10738347.936963264</v>
      </c>
      <c r="Z21" s="172">
        <f t="shared" ref="Z21:AB21" si="13">$Y$13*Z17</f>
        <v>24439042.71970927</v>
      </c>
      <c r="AA21" s="172">
        <f t="shared" si="13"/>
        <v>10509883.04138465</v>
      </c>
      <c r="AB21" s="172">
        <f t="shared" si="13"/>
        <v>18658874.791769374</v>
      </c>
      <c r="AO21" s="200" t="s">
        <v>155</v>
      </c>
      <c r="AP21" s="204" t="s">
        <v>151</v>
      </c>
      <c r="AQ21" s="204">
        <v>4.5999999999999996</v>
      </c>
      <c r="AR21" s="204" t="s">
        <v>143</v>
      </c>
      <c r="AS21" s="206">
        <v>0.39</v>
      </c>
    </row>
    <row r="22" spans="2:45" ht="15.75" x14ac:dyDescent="0.25">
      <c r="B22" s="2">
        <f t="shared" si="1"/>
        <v>2044</v>
      </c>
      <c r="C22" s="144">
        <f>($F22*$V$7*Assumptions!$D$14+$F22*$V$8*Assumptions!$D$15)/10^6</f>
        <v>2180.6754794308717</v>
      </c>
      <c r="D22" s="145">
        <f t="shared" si="2"/>
        <v>176634.71383390061</v>
      </c>
      <c r="E22" s="93">
        <f>D22*(1+0.03)^-($B22-Assumptions!$D$4)</f>
        <v>89499.351985877875</v>
      </c>
      <c r="F22" s="152">
        <f t="shared" si="3"/>
        <v>5538789.53522861</v>
      </c>
      <c r="G22" s="153">
        <f>($F22*S$7*Assumptions!$D$14+$F22*S$8*Assumptions!$D$15)/10^6</f>
        <v>2.12274397255988</v>
      </c>
      <c r="H22" s="154">
        <f>($F22*T$7*Assumptions!$D$14+$F22*T$8*Assumptions!$D$15)/10^6</f>
        <v>1.2713296287734452E-2</v>
      </c>
      <c r="I22" s="155">
        <f>($F22*U$7*Assumptions!$D$14+$F22*U$8*Assumptions!$D$15)/10^6</f>
        <v>4.4493708222643473E-2</v>
      </c>
      <c r="J22" s="137">
        <f t="shared" si="4"/>
        <v>40119.861081381729</v>
      </c>
      <c r="K22" s="88">
        <f t="shared" si="5"/>
        <v>652.19209956077736</v>
      </c>
      <c r="L22" s="89">
        <f t="shared" si="6"/>
        <v>40382.489582871218</v>
      </c>
      <c r="M22" s="94">
        <f t="shared" si="12"/>
        <v>81154.542763813719</v>
      </c>
      <c r="N22" s="169">
        <f>M22*(1+0.07)^-(B22-Assumptions!$D$4)</f>
        <v>17119.297865332239</v>
      </c>
      <c r="O22" s="171">
        <f t="shared" si="8"/>
        <v>257789.25659771432</v>
      </c>
      <c r="P22" s="89">
        <f t="shared" si="9"/>
        <v>106618.64985121011</v>
      </c>
      <c r="R22" s="90">
        <v>2031</v>
      </c>
      <c r="S22" s="187">
        <v>18900</v>
      </c>
      <c r="T22" s="187">
        <v>51300</v>
      </c>
      <c r="U22" s="187">
        <v>907600</v>
      </c>
      <c r="V22" s="187">
        <v>66</v>
      </c>
      <c r="AO22" s="200" t="s">
        <v>154</v>
      </c>
      <c r="AP22" s="204" t="s">
        <v>151</v>
      </c>
      <c r="AQ22" s="204">
        <v>2</v>
      </c>
      <c r="AR22" s="204" t="s">
        <v>143</v>
      </c>
      <c r="AS22" s="206">
        <v>0.16</v>
      </c>
    </row>
    <row r="23" spans="2:45" ht="15.75" x14ac:dyDescent="0.25">
      <c r="B23" s="2">
        <f t="shared" si="1"/>
        <v>2045</v>
      </c>
      <c r="C23" s="144">
        <f>($F23*$V$7*Assumptions!$D$14+$F23*$V$8*Assumptions!$D$15)/10^6</f>
        <v>2275.708507658846</v>
      </c>
      <c r="D23" s="145">
        <f t="shared" si="2"/>
        <v>186608.09762802537</v>
      </c>
      <c r="E23" s="93">
        <f>D23*(1+0.03)^-($B23-Assumptions!$D$4)</f>
        <v>91798.818697362469</v>
      </c>
      <c r="F23" s="152">
        <f t="shared" si="3"/>
        <v>5780167.927940011</v>
      </c>
      <c r="G23" s="153">
        <f>($F23*S$7*Assumptions!$D$14+$F23*S$8*Assumptions!$D$15)/10^6</f>
        <v>2.2152523672145921</v>
      </c>
      <c r="H23" s="154">
        <f>($F23*T$7*Assumptions!$D$14+$F23*T$8*Assumptions!$D$15)/10^6</f>
        <v>1.326733702253383E-2</v>
      </c>
      <c r="I23" s="155">
        <f>($F23*U$7*Assumptions!$D$14+$F23*U$8*Assumptions!$D$15)/10^6</f>
        <v>4.6432727517065606E-2</v>
      </c>
      <c r="J23" s="137">
        <f t="shared" si="4"/>
        <v>41868.26974035579</v>
      </c>
      <c r="K23" s="88">
        <f t="shared" si="5"/>
        <v>680.61438925598543</v>
      </c>
      <c r="L23" s="89">
        <f t="shared" si="6"/>
        <v>42142.343494488741</v>
      </c>
      <c r="M23" s="94">
        <f t="shared" si="12"/>
        <v>84691.227624100517</v>
      </c>
      <c r="N23" s="169">
        <f>M23*(1+0.07)^-(B23-Assumptions!$D$4)</f>
        <v>16696.58926540555</v>
      </c>
      <c r="O23" s="171">
        <f t="shared" si="8"/>
        <v>271299.32525212585</v>
      </c>
      <c r="P23" s="89">
        <f t="shared" si="9"/>
        <v>108495.40796276802</v>
      </c>
      <c r="R23" s="90">
        <v>2032</v>
      </c>
      <c r="S23" s="187">
        <v>18900</v>
      </c>
      <c r="T23" s="187">
        <v>51300</v>
      </c>
      <c r="U23" s="187">
        <v>907600</v>
      </c>
      <c r="V23" s="187">
        <v>67</v>
      </c>
      <c r="AO23" s="200"/>
      <c r="AP23" s="200"/>
      <c r="AQ23" s="200"/>
      <c r="AR23" s="200"/>
      <c r="AS23" s="200"/>
    </row>
    <row r="24" spans="2:45" ht="15" customHeight="1" x14ac:dyDescent="0.25">
      <c r="B24" s="2">
        <f t="shared" si="1"/>
        <v>2046</v>
      </c>
      <c r="C24" s="144">
        <f>($F24*$V$7*Assumptions!$D$14+$F24*$V$8*Assumptions!$D$15)/10^6</f>
        <v>2275.708507658846</v>
      </c>
      <c r="D24" s="145">
        <f t="shared" si="2"/>
        <v>191159.51464334305</v>
      </c>
      <c r="E24" s="93">
        <f>D24*(1+0.03)^-($B24-Assumptions!$D$4)</f>
        <v>91298.848811016418</v>
      </c>
      <c r="F24" s="411">
        <f t="shared" ref="F24:F25" si="14">F23</f>
        <v>5780167.927940011</v>
      </c>
      <c r="G24" s="153">
        <f>($F24*S$7*Assumptions!$D$14+$F24*S$8*Assumptions!$D$15)/10^6</f>
        <v>2.2152523672145921</v>
      </c>
      <c r="H24" s="154">
        <f>($F24*T$7*Assumptions!$D$14+$F24*T$8*Assumptions!$D$15)/10^6</f>
        <v>1.326733702253383E-2</v>
      </c>
      <c r="I24" s="155">
        <f>($F24*U$7*Assumptions!$D$14+$F24*U$8*Assumptions!$D$15)/10^6</f>
        <v>4.6432727517065606E-2</v>
      </c>
      <c r="J24" s="137">
        <f t="shared" si="4"/>
        <v>41868.26974035579</v>
      </c>
      <c r="K24" s="88">
        <f t="shared" si="5"/>
        <v>680.61438925598543</v>
      </c>
      <c r="L24" s="89">
        <f t="shared" si="6"/>
        <v>42142.343494488741</v>
      </c>
      <c r="M24" s="94">
        <f t="shared" si="12"/>
        <v>84691.227624100517</v>
      </c>
      <c r="N24" s="169">
        <f>M24*(1+0.07)^-(B24-Assumptions!$D$4)</f>
        <v>15604.289033089295</v>
      </c>
      <c r="O24" s="171">
        <f t="shared" si="8"/>
        <v>275850.74226744357</v>
      </c>
      <c r="P24" s="89">
        <f t="shared" si="9"/>
        <v>106903.13784410572</v>
      </c>
      <c r="R24" s="90">
        <v>2033</v>
      </c>
      <c r="S24" s="187">
        <v>18900</v>
      </c>
      <c r="T24" s="187">
        <v>51300</v>
      </c>
      <c r="U24" s="187">
        <v>907600</v>
      </c>
      <c r="V24" s="187">
        <v>68</v>
      </c>
      <c r="AG24" s="27" t="s">
        <v>76</v>
      </c>
      <c r="AH24" s="80" t="s">
        <v>106</v>
      </c>
      <c r="AI24" s="80" t="s">
        <v>107</v>
      </c>
      <c r="AJ24" s="80" t="s">
        <v>108</v>
      </c>
      <c r="AK24" s="80" t="s">
        <v>109</v>
      </c>
      <c r="AO24" s="208" t="s">
        <v>156</v>
      </c>
      <c r="AP24" s="200"/>
      <c r="AQ24" s="200"/>
      <c r="AR24" s="200"/>
      <c r="AS24" s="200"/>
    </row>
    <row r="25" spans="2:45" ht="15.75" x14ac:dyDescent="0.25">
      <c r="B25" s="2">
        <f t="shared" si="1"/>
        <v>2047</v>
      </c>
      <c r="C25" s="144">
        <f>($F25*$V$7*Assumptions!$D$14+$F25*$V$8*Assumptions!$D$15)/10^6</f>
        <v>2275.708507658846</v>
      </c>
      <c r="D25" s="145">
        <f t="shared" si="2"/>
        <v>193435.2231510019</v>
      </c>
      <c r="E25" s="93">
        <f>D25*(1+0.03)^-($B25-Assumptions!$D$4)</f>
        <v>89694.893076010121</v>
      </c>
      <c r="F25" s="411">
        <f t="shared" si="14"/>
        <v>5780167.927940011</v>
      </c>
      <c r="G25" s="153">
        <f>($F25*S$7*Assumptions!$D$14+$F25*S$8*Assumptions!$D$15)/10^6</f>
        <v>2.2152523672145921</v>
      </c>
      <c r="H25" s="154">
        <f>($F25*T$7*Assumptions!$D$14+$F25*T$8*Assumptions!$D$15)/10^6</f>
        <v>1.326733702253383E-2</v>
      </c>
      <c r="I25" s="155">
        <f>($F25*U$7*Assumptions!$D$14+$F25*U$8*Assumptions!$D$15)/10^6</f>
        <v>4.6432727517065606E-2</v>
      </c>
      <c r="J25" s="137">
        <f t="shared" si="4"/>
        <v>41868.26974035579</v>
      </c>
      <c r="K25" s="88">
        <f t="shared" si="5"/>
        <v>680.61438925598543</v>
      </c>
      <c r="L25" s="89">
        <f t="shared" si="6"/>
        <v>42142.343494488741</v>
      </c>
      <c r="M25" s="94">
        <f t="shared" si="7"/>
        <v>84691.227624100517</v>
      </c>
      <c r="N25" s="169">
        <f>M25*(1+0.07)^-(B25-Assumptions!$D$4)</f>
        <v>14583.447694475981</v>
      </c>
      <c r="O25" s="171">
        <f t="shared" si="8"/>
        <v>278126.45077510242</v>
      </c>
      <c r="P25" s="89">
        <f t="shared" si="9"/>
        <v>104278.3407704861</v>
      </c>
      <c r="R25" s="90">
        <v>2034</v>
      </c>
      <c r="S25" s="187">
        <v>18900</v>
      </c>
      <c r="T25" s="187">
        <v>51300</v>
      </c>
      <c r="U25" s="187">
        <v>907600</v>
      </c>
      <c r="V25" s="187">
        <v>69</v>
      </c>
      <c r="AG25" s="27" t="s">
        <v>77</v>
      </c>
      <c r="AH25" s="186">
        <f>AVERAGE(AH7:AH10)</f>
        <v>0.22790983982547491</v>
      </c>
      <c r="AI25" s="186">
        <f t="shared" ref="AI25:AK25" si="15">AVERAGE(AI7:AI10)</f>
        <v>2.0699004398994176E-3</v>
      </c>
      <c r="AJ25" s="186">
        <f t="shared" si="15"/>
        <v>5.8180715878192544E-3</v>
      </c>
      <c r="AK25" s="186">
        <f t="shared" si="15"/>
        <v>317.22468262036</v>
      </c>
      <c r="AO25" s="209" t="s">
        <v>157</v>
      </c>
      <c r="AP25" s="200"/>
      <c r="AQ25" s="200"/>
      <c r="AR25" s="200"/>
      <c r="AS25" s="200"/>
    </row>
    <row r="26" spans="2:45" x14ac:dyDescent="0.25">
      <c r="B26" s="2">
        <f t="shared" si="1"/>
        <v>2048</v>
      </c>
      <c r="C26" s="144">
        <f>($F26*$V$7*Assumptions!$D$14+$F26*$V$8*Assumptions!$D$15)/10^6</f>
        <v>2275.708507658846</v>
      </c>
      <c r="D26" s="145">
        <f t="shared" si="2"/>
        <v>195710.93165866076</v>
      </c>
      <c r="E26" s="93">
        <f>D26*(1+0.03)^-($B26-Assumptions!$D$4)</f>
        <v>88106.919526406302</v>
      </c>
      <c r="F26" s="411">
        <f>F25</f>
        <v>5780167.927940011</v>
      </c>
      <c r="G26" s="153">
        <f>($F26*S$7*Assumptions!$D$14+$F26*S$8*Assumptions!$D$15)/10^6</f>
        <v>2.2152523672145921</v>
      </c>
      <c r="H26" s="154">
        <f>($F26*T$7*Assumptions!$D$14+$F26*T$8*Assumptions!$D$15)/10^6</f>
        <v>1.326733702253383E-2</v>
      </c>
      <c r="I26" s="155">
        <f>($F26*U$7*Assumptions!$D$14+$F26*U$8*Assumptions!$D$15)/10^6</f>
        <v>4.6432727517065606E-2</v>
      </c>
      <c r="J26" s="137">
        <f t="shared" si="4"/>
        <v>41868.26974035579</v>
      </c>
      <c r="K26" s="88">
        <f t="shared" si="5"/>
        <v>680.61438925598543</v>
      </c>
      <c r="L26" s="89">
        <f t="shared" si="6"/>
        <v>42142.343494488741</v>
      </c>
      <c r="M26" s="94">
        <f t="shared" si="7"/>
        <v>84691.227624100517</v>
      </c>
      <c r="N26" s="169">
        <f>M26*(1+0.07)^-(B26-Assumptions!$D$4)</f>
        <v>13629.390368669137</v>
      </c>
      <c r="O26" s="171">
        <f t="shared" si="8"/>
        <v>280402.15928276128</v>
      </c>
      <c r="P26" s="89">
        <f t="shared" si="9"/>
        <v>101736.30989507544</v>
      </c>
      <c r="R26" s="90">
        <v>2035</v>
      </c>
      <c r="S26" s="187">
        <v>18900</v>
      </c>
      <c r="T26" s="187">
        <v>51300</v>
      </c>
      <c r="U26" s="187">
        <v>907600</v>
      </c>
      <c r="V26" s="187">
        <v>70</v>
      </c>
      <c r="AG26" s="27" t="s">
        <v>78</v>
      </c>
      <c r="AH26" s="186">
        <f>AVERAGE(AH11:AH19)</f>
        <v>2.099484306313415</v>
      </c>
      <c r="AI26" s="186">
        <f t="shared" ref="AI26:AK26" si="16">AVERAGE(AI11:AI19)</f>
        <v>4.7858028693373951E-3</v>
      </c>
      <c r="AJ26" s="186">
        <f t="shared" si="16"/>
        <v>3.2505287070740692E-2</v>
      </c>
      <c r="AK26" s="186">
        <f t="shared" si="16"/>
        <v>1238.7315972924489</v>
      </c>
    </row>
    <row r="27" spans="2:45" x14ac:dyDescent="0.25">
      <c r="B27" s="2">
        <f t="shared" si="1"/>
        <v>2049</v>
      </c>
      <c r="C27" s="144">
        <f>($F27*$V$7*Assumptions!$D$14+$F27*$V$8*Assumptions!$D$15)/10^6</f>
        <v>2275.708507658846</v>
      </c>
      <c r="D27" s="145">
        <f t="shared" si="2"/>
        <v>197986.64016631959</v>
      </c>
      <c r="E27" s="93">
        <f>D27*(1+0.03)^-($B27-Assumptions!$D$4)</f>
        <v>86535.357855016337</v>
      </c>
      <c r="F27" s="411">
        <f t="shared" ref="F27:F34" si="17">F26</f>
        <v>5780167.927940011</v>
      </c>
      <c r="G27" s="153">
        <f>($F27*S$7*Assumptions!$D$14+$F27*S$8*Assumptions!$D$15)/10^6</f>
        <v>2.2152523672145921</v>
      </c>
      <c r="H27" s="154">
        <f>($F27*T$7*Assumptions!$D$14+$F27*T$8*Assumptions!$D$15)/10^6</f>
        <v>1.326733702253383E-2</v>
      </c>
      <c r="I27" s="155">
        <f>($F27*U$7*Assumptions!$D$14+$F27*U$8*Assumptions!$D$15)/10^6</f>
        <v>4.6432727517065606E-2</v>
      </c>
      <c r="J27" s="137">
        <f t="shared" si="4"/>
        <v>41868.26974035579</v>
      </c>
      <c r="K27" s="88">
        <f t="shared" si="5"/>
        <v>680.61438925598543</v>
      </c>
      <c r="L27" s="89">
        <f t="shared" si="6"/>
        <v>42142.343494488741</v>
      </c>
      <c r="M27" s="94">
        <f t="shared" si="7"/>
        <v>84691.227624100517</v>
      </c>
      <c r="N27" s="169">
        <f>M27*(1+0.07)^-(B27-Assumptions!$D$4)</f>
        <v>12737.748008101998</v>
      </c>
      <c r="O27" s="171">
        <f t="shared" si="8"/>
        <v>282677.86779042007</v>
      </c>
      <c r="P27" s="89">
        <f t="shared" si="9"/>
        <v>99273.10586311834</v>
      </c>
      <c r="R27" s="90">
        <v>2036</v>
      </c>
      <c r="S27" s="187">
        <v>18900</v>
      </c>
      <c r="T27" s="187">
        <v>51300</v>
      </c>
      <c r="U27" s="187">
        <v>907600</v>
      </c>
      <c r="V27" s="187">
        <v>72</v>
      </c>
    </row>
    <row r="28" spans="2:45" ht="15" customHeight="1" x14ac:dyDescent="0.25">
      <c r="B28" s="2">
        <f t="shared" si="1"/>
        <v>2050</v>
      </c>
      <c r="C28" s="144">
        <f>($F28*$V$7*Assumptions!$D$14+$F28*$V$8*Assumptions!$D$15)/10^6</f>
        <v>2275.708507658846</v>
      </c>
      <c r="D28" s="145">
        <f t="shared" si="2"/>
        <v>200262.34867397844</v>
      </c>
      <c r="E28" s="93">
        <f>D28*(1+0.03)^-($B28-Assumptions!$D$4)</f>
        <v>84980.599165734166</v>
      </c>
      <c r="F28" s="411">
        <f t="shared" si="17"/>
        <v>5780167.927940011</v>
      </c>
      <c r="G28" s="153">
        <f>($F28*S$7*Assumptions!$D$14+$F28*S$8*Assumptions!$D$15)/10^6</f>
        <v>2.2152523672145921</v>
      </c>
      <c r="H28" s="154">
        <f>($F28*T$7*Assumptions!$D$14+$F28*T$8*Assumptions!$D$15)/10^6</f>
        <v>1.326733702253383E-2</v>
      </c>
      <c r="I28" s="155">
        <f>($F28*U$7*Assumptions!$D$14+$F28*U$8*Assumptions!$D$15)/10^6</f>
        <v>4.6432727517065606E-2</v>
      </c>
      <c r="J28" s="137">
        <f t="shared" si="4"/>
        <v>41868.26974035579</v>
      </c>
      <c r="K28" s="88">
        <f t="shared" si="5"/>
        <v>680.61438925598543</v>
      </c>
      <c r="L28" s="89">
        <f t="shared" si="6"/>
        <v>42142.343494488741</v>
      </c>
      <c r="M28" s="94">
        <f t="shared" si="7"/>
        <v>84691.227624100517</v>
      </c>
      <c r="N28" s="169">
        <f>M28*(1+0.07)^-(B28-Assumptions!$D$4)</f>
        <v>11904.437390749532</v>
      </c>
      <c r="O28" s="171">
        <f t="shared" si="8"/>
        <v>284953.57629807899</v>
      </c>
      <c r="P28" s="89">
        <f t="shared" si="9"/>
        <v>96885.036556483697</v>
      </c>
      <c r="R28" s="90">
        <v>2037</v>
      </c>
      <c r="S28" s="187">
        <v>18900</v>
      </c>
      <c r="T28" s="187">
        <v>51300</v>
      </c>
      <c r="U28" s="187">
        <v>907600</v>
      </c>
      <c r="V28" s="187">
        <v>73</v>
      </c>
    </row>
    <row r="29" spans="2:45" x14ac:dyDescent="0.25">
      <c r="B29" s="2">
        <f t="shared" si="1"/>
        <v>2051</v>
      </c>
      <c r="C29" s="144">
        <f>($F29*$V$7*Assumptions!$D$14+$F29*$V$8*Assumptions!$D$15)/10^6</f>
        <v>2275.708507658846</v>
      </c>
      <c r="D29" s="145">
        <f t="shared" si="2"/>
        <v>202538.0571816373</v>
      </c>
      <c r="E29" s="93">
        <f>D29*(1+0.03)^-($B29-Assumptions!$D$4)</f>
        <v>83442.99785691021</v>
      </c>
      <c r="F29" s="411">
        <f t="shared" si="17"/>
        <v>5780167.927940011</v>
      </c>
      <c r="G29" s="153">
        <f>($F29*S$7*Assumptions!$D$14+$F29*S$8*Assumptions!$D$15)/10^6</f>
        <v>2.2152523672145921</v>
      </c>
      <c r="H29" s="154">
        <f>($F29*T$7*Assumptions!$D$14+$F29*T$8*Assumptions!$D$15)/10^6</f>
        <v>1.326733702253383E-2</v>
      </c>
      <c r="I29" s="155">
        <f>($F29*U$7*Assumptions!$D$14+$F29*U$8*Assumptions!$D$15)/10^6</f>
        <v>4.6432727517065606E-2</v>
      </c>
      <c r="J29" s="137">
        <f t="shared" si="4"/>
        <v>41868.26974035579</v>
      </c>
      <c r="K29" s="88">
        <f t="shared" si="5"/>
        <v>680.61438925598543</v>
      </c>
      <c r="L29" s="89">
        <f t="shared" si="6"/>
        <v>42142.343494488741</v>
      </c>
      <c r="M29" s="94">
        <f t="shared" si="7"/>
        <v>84691.227624100517</v>
      </c>
      <c r="N29" s="169">
        <f>M29*(1+0.07)^-(B29-Assumptions!$D$4)</f>
        <v>11125.642421261246</v>
      </c>
      <c r="O29" s="171">
        <f t="shared" si="8"/>
        <v>287229.28480573779</v>
      </c>
      <c r="P29" s="89">
        <f t="shared" si="9"/>
        <v>94568.640278171457</v>
      </c>
      <c r="R29" s="90">
        <v>2038</v>
      </c>
      <c r="S29" s="187">
        <v>18900</v>
      </c>
      <c r="T29" s="187">
        <v>51300</v>
      </c>
      <c r="U29" s="187">
        <v>907600</v>
      </c>
      <c r="V29" s="187">
        <v>74</v>
      </c>
    </row>
    <row r="30" spans="2:45" x14ac:dyDescent="0.25">
      <c r="B30" s="2">
        <f t="shared" si="1"/>
        <v>2052</v>
      </c>
      <c r="C30" s="144">
        <f>($F30*$V$7*Assumptions!$D$14+$F30*$V$8*Assumptions!$D$15)/10^6</f>
        <v>2275.708507658846</v>
      </c>
      <c r="D30" s="145">
        <f t="shared" si="2"/>
        <v>204813.76568929612</v>
      </c>
      <c r="E30" s="93">
        <f>D30*(1+0.03)^-($B30-Assumptions!$D$4)</f>
        <v>81922.873427750805</v>
      </c>
      <c r="F30" s="411">
        <f t="shared" si="17"/>
        <v>5780167.927940011</v>
      </c>
      <c r="G30" s="153">
        <f>($F30*S$7*Assumptions!$D$14+$F30*S$8*Assumptions!$D$15)/10^6</f>
        <v>2.2152523672145921</v>
      </c>
      <c r="H30" s="154">
        <f>($F30*T$7*Assumptions!$D$14+$F30*T$8*Assumptions!$D$15)/10^6</f>
        <v>1.326733702253383E-2</v>
      </c>
      <c r="I30" s="155">
        <f>($F30*U$7*Assumptions!$D$14+$F30*U$8*Assumptions!$D$15)/10^6</f>
        <v>4.6432727517065606E-2</v>
      </c>
      <c r="J30" s="137">
        <f t="shared" si="4"/>
        <v>41868.26974035579</v>
      </c>
      <c r="K30" s="88">
        <f t="shared" si="5"/>
        <v>680.61438925598543</v>
      </c>
      <c r="L30" s="89">
        <f t="shared" si="6"/>
        <v>42142.343494488741</v>
      </c>
      <c r="M30" s="94">
        <f t="shared" si="7"/>
        <v>84691.227624100517</v>
      </c>
      <c r="N30" s="169">
        <f>M30*(1+0.07)^-(B30-Assumptions!$D$4)</f>
        <v>10397.796655384338</v>
      </c>
      <c r="O30" s="171">
        <f t="shared" si="8"/>
        <v>289504.99331339664</v>
      </c>
      <c r="P30" s="89">
        <f t="shared" si="9"/>
        <v>92320.670083135148</v>
      </c>
      <c r="R30" s="90">
        <v>2039</v>
      </c>
      <c r="S30" s="187">
        <v>18900</v>
      </c>
      <c r="T30" s="187">
        <v>51300</v>
      </c>
      <c r="U30" s="187">
        <v>907600</v>
      </c>
      <c r="V30" s="187">
        <v>75</v>
      </c>
    </row>
    <row r="31" spans="2:45" x14ac:dyDescent="0.25">
      <c r="B31" s="2">
        <f t="shared" si="1"/>
        <v>2053</v>
      </c>
      <c r="C31" s="144">
        <f>($F31*$V$7*Assumptions!$D$14+$F31*$V$8*Assumptions!$D$15)/10^6</f>
        <v>2275.708507658846</v>
      </c>
      <c r="D31" s="145">
        <f t="shared" si="2"/>
        <v>207089.47419695498</v>
      </c>
      <c r="E31" s="93">
        <f>D31*(1+0.03)^-($B31-Assumptions!$D$4)</f>
        <v>80420.512210629182</v>
      </c>
      <c r="F31" s="411">
        <f t="shared" si="17"/>
        <v>5780167.927940011</v>
      </c>
      <c r="G31" s="153">
        <f>($F31*S$7*Assumptions!$D$14+$F31*S$8*Assumptions!$D$15)/10^6</f>
        <v>2.2152523672145921</v>
      </c>
      <c r="H31" s="154">
        <f>($F31*T$7*Assumptions!$D$14+$F31*T$8*Assumptions!$D$15)/10^6</f>
        <v>1.326733702253383E-2</v>
      </c>
      <c r="I31" s="155">
        <f>($F31*U$7*Assumptions!$D$14+$F31*U$8*Assumptions!$D$15)/10^6</f>
        <v>4.6432727517065606E-2</v>
      </c>
      <c r="J31" s="137">
        <f t="shared" si="4"/>
        <v>41868.26974035579</v>
      </c>
      <c r="K31" s="88">
        <f t="shared" si="5"/>
        <v>680.61438925598543</v>
      </c>
      <c r="L31" s="89">
        <f t="shared" si="6"/>
        <v>42142.343494488741</v>
      </c>
      <c r="M31" s="94">
        <f t="shared" si="7"/>
        <v>84691.227624100517</v>
      </c>
      <c r="N31" s="169">
        <f>M31*(1+0.07)^-(B31-Assumptions!$D$4)</f>
        <v>9717.566967648916</v>
      </c>
      <c r="O31" s="171">
        <f t="shared" si="8"/>
        <v>291780.7018210555</v>
      </c>
      <c r="P31" s="89">
        <f t="shared" si="9"/>
        <v>90138.079178278102</v>
      </c>
      <c r="R31" s="90">
        <v>2040</v>
      </c>
      <c r="S31" s="187">
        <v>18900</v>
      </c>
      <c r="T31" s="187">
        <v>51300</v>
      </c>
      <c r="U31" s="187">
        <v>907600</v>
      </c>
      <c r="V31" s="187">
        <v>76</v>
      </c>
    </row>
    <row r="32" spans="2:45" x14ac:dyDescent="0.25">
      <c r="B32" s="2">
        <f t="shared" si="1"/>
        <v>2054</v>
      </c>
      <c r="C32" s="144">
        <f>($F32*$V$7*Assumptions!$D$14+$F32*$V$8*Assumptions!$D$15)/10^6</f>
        <v>2275.708507658846</v>
      </c>
      <c r="D32" s="145">
        <f t="shared" si="2"/>
        <v>207089.47419695498</v>
      </c>
      <c r="E32" s="93">
        <f>D32*(1+0.03)^-($B32-Assumptions!$D$4)</f>
        <v>78078.167194785608</v>
      </c>
      <c r="F32" s="411">
        <f t="shared" si="17"/>
        <v>5780167.927940011</v>
      </c>
      <c r="G32" s="153">
        <f>($F32*S$7*Assumptions!$D$14+$F32*S$8*Assumptions!$D$15)/10^6</f>
        <v>2.2152523672145921</v>
      </c>
      <c r="H32" s="154">
        <f>($F32*T$7*Assumptions!$D$14+$F32*T$8*Assumptions!$D$15)/10^6</f>
        <v>1.326733702253383E-2</v>
      </c>
      <c r="I32" s="155">
        <f>($F32*U$7*Assumptions!$D$14+$F32*U$8*Assumptions!$D$15)/10^6</f>
        <v>4.6432727517065606E-2</v>
      </c>
      <c r="J32" s="137">
        <f t="shared" si="4"/>
        <v>41868.26974035579</v>
      </c>
      <c r="K32" s="88">
        <f t="shared" si="5"/>
        <v>680.61438925598543</v>
      </c>
      <c r="L32" s="89">
        <f t="shared" si="6"/>
        <v>42142.343494488741</v>
      </c>
      <c r="M32" s="94">
        <f t="shared" si="7"/>
        <v>84691.227624100517</v>
      </c>
      <c r="N32" s="169">
        <f>M32*(1+0.07)^-(B32-Assumptions!$D$4)</f>
        <v>9081.8382875223524</v>
      </c>
      <c r="O32" s="171">
        <f t="shared" si="8"/>
        <v>291780.7018210555</v>
      </c>
      <c r="P32" s="89">
        <f t="shared" si="9"/>
        <v>87160.005482307955</v>
      </c>
      <c r="R32" s="90">
        <v>2041</v>
      </c>
      <c r="S32" s="187">
        <v>18900</v>
      </c>
      <c r="T32" s="187">
        <v>51300</v>
      </c>
      <c r="U32" s="187">
        <v>907600</v>
      </c>
      <c r="V32" s="187">
        <v>78</v>
      </c>
    </row>
    <row r="33" spans="1:30" x14ac:dyDescent="0.25">
      <c r="B33" s="2">
        <f t="shared" si="1"/>
        <v>2055</v>
      </c>
      <c r="C33" s="144">
        <f>($F33*$V$7*Assumptions!$D$14+$F33*$V$8*Assumptions!$D$15)/10^6</f>
        <v>2275.708507658846</v>
      </c>
      <c r="D33" s="145">
        <f t="shared" si="2"/>
        <v>207089.47419695498</v>
      </c>
      <c r="E33" s="93">
        <f>D33*(1+0.03)^-($B33-Assumptions!$D$4)</f>
        <v>75804.045820180225</v>
      </c>
      <c r="F33" s="411">
        <f t="shared" si="17"/>
        <v>5780167.927940011</v>
      </c>
      <c r="G33" s="153">
        <f>($F33*S$7*Assumptions!$D$14+$F33*S$8*Assumptions!$D$15)/10^6</f>
        <v>2.2152523672145921</v>
      </c>
      <c r="H33" s="154">
        <f>($F33*T$7*Assumptions!$D$14+$F33*T$8*Assumptions!$D$15)/10^6</f>
        <v>1.326733702253383E-2</v>
      </c>
      <c r="I33" s="155">
        <f>($F33*U$7*Assumptions!$D$14+$F33*U$8*Assumptions!$D$15)/10^6</f>
        <v>4.6432727517065606E-2</v>
      </c>
      <c r="J33" s="137">
        <f t="shared" si="4"/>
        <v>41868.26974035579</v>
      </c>
      <c r="K33" s="88">
        <f t="shared" si="5"/>
        <v>680.61438925598543</v>
      </c>
      <c r="L33" s="89">
        <f t="shared" si="6"/>
        <v>42142.343494488741</v>
      </c>
      <c r="M33" s="94">
        <f t="shared" si="7"/>
        <v>84691.227624100517</v>
      </c>
      <c r="N33" s="169">
        <f>M33*(1+0.07)^-(B33-Assumptions!$D$4)</f>
        <v>8487.6993341330399</v>
      </c>
      <c r="O33" s="171">
        <f t="shared" si="8"/>
        <v>291780.7018210555</v>
      </c>
      <c r="P33" s="89">
        <f t="shared" si="9"/>
        <v>84291.745154313263</v>
      </c>
      <c r="R33" s="90">
        <v>2042</v>
      </c>
      <c r="S33" s="187">
        <v>18900</v>
      </c>
      <c r="T33" s="187">
        <v>51300</v>
      </c>
      <c r="U33" s="187">
        <v>907600</v>
      </c>
      <c r="V33" s="187">
        <v>79</v>
      </c>
    </row>
    <row r="34" spans="1:30" ht="15.75" thickBot="1" x14ac:dyDescent="0.3">
      <c r="B34" s="3">
        <f t="shared" si="1"/>
        <v>2056</v>
      </c>
      <c r="C34" s="146">
        <f>($F34*$V$7*Assumptions!$D$14+$F34*$V$8*Assumptions!$D$15)/10^6</f>
        <v>2275.708507658846</v>
      </c>
      <c r="D34" s="147">
        <f t="shared" si="2"/>
        <v>207089.47419695498</v>
      </c>
      <c r="E34" s="135">
        <f>D34*(1+0.03)^-($B34-Assumptions!$D$4)</f>
        <v>73596.160990466218</v>
      </c>
      <c r="F34" s="412">
        <f t="shared" si="17"/>
        <v>5780167.927940011</v>
      </c>
      <c r="G34" s="156">
        <f>($F34*S$7*Assumptions!$D$14+$F34*S$8*Assumptions!$D$15)/10^6</f>
        <v>2.2152523672145921</v>
      </c>
      <c r="H34" s="157">
        <f>($F34*T$7*Assumptions!$D$14+$F34*T$8*Assumptions!$D$15)/10^6</f>
        <v>1.326733702253383E-2</v>
      </c>
      <c r="I34" s="158">
        <f>($F34*U$7*Assumptions!$D$14+$F34*U$8*Assumptions!$D$15)/10^6</f>
        <v>4.6432727517065606E-2</v>
      </c>
      <c r="J34" s="138">
        <f t="shared" si="4"/>
        <v>41868.26974035579</v>
      </c>
      <c r="K34" s="134">
        <f t="shared" si="5"/>
        <v>680.61438925598543</v>
      </c>
      <c r="L34" s="135">
        <f t="shared" si="6"/>
        <v>42142.343494488741</v>
      </c>
      <c r="M34" s="136">
        <f>SUM(J34:L34)</f>
        <v>84691.227624100517</v>
      </c>
      <c r="N34" s="170">
        <f>M34*(1+0.07)^-(B34-Assumptions!$D$4)</f>
        <v>7932.4292842364839</v>
      </c>
      <c r="O34" s="147">
        <f t="shared" si="8"/>
        <v>291780.7018210555</v>
      </c>
      <c r="P34" s="135">
        <f t="shared" si="9"/>
        <v>81528.590274702699</v>
      </c>
      <c r="R34" s="90">
        <v>2043</v>
      </c>
      <c r="S34" s="187">
        <v>18900</v>
      </c>
      <c r="T34" s="187">
        <v>51300</v>
      </c>
      <c r="U34" s="187">
        <v>907600</v>
      </c>
      <c r="V34" s="187">
        <v>80</v>
      </c>
    </row>
    <row r="35" spans="1:30" x14ac:dyDescent="0.25">
      <c r="B35" s="4"/>
      <c r="C35" s="266">
        <f>SUM(C5:C34)</f>
        <v>52020.607402784604</v>
      </c>
      <c r="D35" s="92" t="s">
        <v>2</v>
      </c>
      <c r="E35" s="148">
        <f>SUM(E5:E34)</f>
        <v>2120641.7093882468</v>
      </c>
      <c r="F35" s="91"/>
      <c r="G35" s="267">
        <f>SUM(G5:G34)</f>
        <v>50.638635530484649</v>
      </c>
      <c r="H35" s="267">
        <f t="shared" ref="H35:I35" si="18">SUM(H5:H34)</f>
        <v>0.30327914502533754</v>
      </c>
      <c r="I35" s="267">
        <f t="shared" si="18"/>
        <v>1.0614095261658383</v>
      </c>
      <c r="J35" s="4"/>
      <c r="K35" s="4"/>
      <c r="L35" s="4"/>
      <c r="M35" s="92" t="s">
        <v>2</v>
      </c>
      <c r="N35" s="148">
        <f>SUM(N5:N34)</f>
        <v>461774.34005384077</v>
      </c>
      <c r="O35" s="148">
        <f>SUM(O5:O34)</f>
        <v>6145137.2407821128</v>
      </c>
      <c r="P35" s="148">
        <f>SUM(P5:P34)</f>
        <v>2582416.0494420882</v>
      </c>
      <c r="Q35" s="82"/>
      <c r="R35" s="90">
        <v>2044</v>
      </c>
      <c r="S35" s="187">
        <v>18900</v>
      </c>
      <c r="T35" s="187">
        <v>51300</v>
      </c>
      <c r="U35" s="187">
        <v>907600</v>
      </c>
      <c r="V35" s="187">
        <v>81</v>
      </c>
    </row>
    <row r="36" spans="1:30" x14ac:dyDescent="0.25">
      <c r="G36" s="29">
        <f>G35*1000</f>
        <v>50638.635530484651</v>
      </c>
      <c r="H36" s="29">
        <f t="shared" ref="H36:I36" si="19">H35*1000</f>
        <v>303.27914502533753</v>
      </c>
      <c r="I36" s="29">
        <f t="shared" si="19"/>
        <v>1061.4095261658383</v>
      </c>
      <c r="Q36" s="82"/>
      <c r="R36" s="90">
        <v>2045</v>
      </c>
      <c r="S36" s="187">
        <v>18900</v>
      </c>
      <c r="T36" s="187">
        <v>51300</v>
      </c>
      <c r="U36" s="187">
        <v>907600</v>
      </c>
      <c r="V36" s="187">
        <v>82</v>
      </c>
    </row>
    <row r="37" spans="1:30" x14ac:dyDescent="0.25">
      <c r="B37" s="10" t="s">
        <v>3</v>
      </c>
      <c r="C37" s="10"/>
      <c r="D37" s="10"/>
      <c r="E37" s="10"/>
      <c r="R37" s="90">
        <v>2046</v>
      </c>
      <c r="S37" s="187">
        <v>18900</v>
      </c>
      <c r="T37" s="187">
        <v>51300</v>
      </c>
      <c r="U37" s="187">
        <v>907600</v>
      </c>
      <c r="V37" s="187">
        <v>84</v>
      </c>
    </row>
    <row r="38" spans="1:30" ht="15" customHeight="1" x14ac:dyDescent="0.25">
      <c r="A38" s="11" t="s">
        <v>30</v>
      </c>
      <c r="B38" s="489" t="s">
        <v>1133</v>
      </c>
      <c r="C38" s="489"/>
      <c r="D38" s="489"/>
      <c r="E38" s="489"/>
      <c r="F38" s="489"/>
      <c r="G38" s="489"/>
      <c r="H38" s="489"/>
      <c r="I38" s="489"/>
      <c r="J38" s="489"/>
      <c r="K38" s="489"/>
      <c r="L38" s="489"/>
      <c r="M38" s="489"/>
      <c r="R38" s="90">
        <v>2047</v>
      </c>
      <c r="S38" s="187">
        <v>18900</v>
      </c>
      <c r="T38" s="187">
        <v>51300</v>
      </c>
      <c r="U38" s="187">
        <v>907600</v>
      </c>
      <c r="V38" s="187">
        <v>85</v>
      </c>
    </row>
    <row r="39" spans="1:30" x14ac:dyDescent="0.25">
      <c r="B39" s="489"/>
      <c r="C39" s="489"/>
      <c r="D39" s="489"/>
      <c r="E39" s="489"/>
      <c r="F39" s="489"/>
      <c r="G39" s="489"/>
      <c r="H39" s="489"/>
      <c r="I39" s="489"/>
      <c r="J39" s="489"/>
      <c r="K39" s="489"/>
      <c r="L39" s="489"/>
      <c r="M39" s="489"/>
      <c r="R39" s="90">
        <v>2048</v>
      </c>
      <c r="S39" s="187">
        <v>18900</v>
      </c>
      <c r="T39" s="187">
        <v>51300</v>
      </c>
      <c r="U39" s="187">
        <v>907600</v>
      </c>
      <c r="V39" s="187">
        <v>86</v>
      </c>
      <c r="X39" s="72"/>
      <c r="Y39" s="72"/>
      <c r="Z39" s="72"/>
      <c r="AA39" s="72"/>
      <c r="AB39" s="72"/>
    </row>
    <row r="40" spans="1:30" x14ac:dyDescent="0.25">
      <c r="B40" s="489"/>
      <c r="C40" s="489"/>
      <c r="D40" s="489"/>
      <c r="E40" s="489"/>
      <c r="F40" s="489"/>
      <c r="G40" s="489"/>
      <c r="H40" s="489"/>
      <c r="I40" s="489"/>
      <c r="J40" s="489"/>
      <c r="K40" s="489"/>
      <c r="L40" s="489"/>
      <c r="M40" s="489"/>
      <c r="R40" s="90">
        <v>2049</v>
      </c>
      <c r="S40" s="187">
        <v>18900</v>
      </c>
      <c r="T40" s="187">
        <v>51300</v>
      </c>
      <c r="U40" s="187">
        <v>907600</v>
      </c>
      <c r="V40" s="187">
        <v>87</v>
      </c>
      <c r="X40" s="72"/>
      <c r="Y40" s="72"/>
      <c r="Z40" s="72"/>
      <c r="AA40" s="72"/>
      <c r="AB40" s="72"/>
    </row>
    <row r="41" spans="1:30" x14ac:dyDescent="0.25">
      <c r="B41" s="489"/>
      <c r="C41" s="489"/>
      <c r="D41" s="489"/>
      <c r="E41" s="489"/>
      <c r="F41" s="489"/>
      <c r="G41" s="489"/>
      <c r="H41" s="489"/>
      <c r="I41" s="489"/>
      <c r="J41" s="489"/>
      <c r="K41" s="489"/>
      <c r="L41" s="489"/>
      <c r="M41" s="489"/>
      <c r="R41" s="90">
        <v>2050</v>
      </c>
      <c r="S41" s="187">
        <v>18900</v>
      </c>
      <c r="T41" s="187">
        <v>51300</v>
      </c>
      <c r="U41" s="187">
        <v>907600</v>
      </c>
      <c r="V41" s="187">
        <v>88</v>
      </c>
      <c r="X41" s="72"/>
      <c r="Y41" s="72"/>
      <c r="Z41" s="72"/>
      <c r="AA41" s="72"/>
      <c r="AB41" s="72"/>
    </row>
    <row r="42" spans="1:30" ht="15" customHeight="1" x14ac:dyDescent="0.25">
      <c r="B42" s="10"/>
      <c r="C42" s="10"/>
      <c r="D42" s="10"/>
      <c r="E42" s="10"/>
      <c r="R42" s="90">
        <v>2051</v>
      </c>
      <c r="S42" s="187">
        <v>18900</v>
      </c>
      <c r="T42" s="187">
        <v>51300</v>
      </c>
      <c r="U42" s="187">
        <v>907600</v>
      </c>
      <c r="V42" s="187">
        <v>89</v>
      </c>
      <c r="X42" s="72"/>
      <c r="Y42" s="72"/>
      <c r="Z42" s="72"/>
      <c r="AA42" s="72"/>
      <c r="AB42" s="72"/>
    </row>
    <row r="43" spans="1:30" ht="15.75" customHeight="1" x14ac:dyDescent="0.25">
      <c r="A43" s="11" t="s">
        <v>43</v>
      </c>
      <c r="B43" s="489" t="s">
        <v>1076</v>
      </c>
      <c r="C43" s="489"/>
      <c r="D43" s="489"/>
      <c r="E43" s="489"/>
      <c r="F43" s="489"/>
      <c r="G43" s="489"/>
      <c r="H43" s="489"/>
      <c r="I43" s="489"/>
      <c r="J43" s="489"/>
      <c r="K43" s="489"/>
      <c r="L43" s="489"/>
      <c r="M43" s="489"/>
      <c r="R43" s="90">
        <v>2052</v>
      </c>
      <c r="S43" s="187">
        <v>18900</v>
      </c>
      <c r="T43" s="187">
        <v>51300</v>
      </c>
      <c r="U43" s="187">
        <v>907600</v>
      </c>
      <c r="V43" s="187">
        <v>90</v>
      </c>
      <c r="X43" s="72"/>
      <c r="Y43" s="72"/>
      <c r="Z43" s="72"/>
      <c r="AA43" s="72"/>
      <c r="AB43" s="72"/>
    </row>
    <row r="44" spans="1:30" ht="15" customHeight="1" x14ac:dyDescent="0.25">
      <c r="B44" s="489"/>
      <c r="C44" s="489"/>
      <c r="D44" s="489"/>
      <c r="E44" s="489"/>
      <c r="F44" s="489"/>
      <c r="G44" s="489"/>
      <c r="H44" s="489"/>
      <c r="I44" s="489"/>
      <c r="J44" s="489"/>
      <c r="K44" s="489"/>
      <c r="L44" s="489"/>
      <c r="M44" s="489"/>
      <c r="R44" s="90">
        <v>2053</v>
      </c>
      <c r="S44" s="187">
        <v>18900</v>
      </c>
      <c r="T44" s="187">
        <v>51300</v>
      </c>
      <c r="U44" s="187">
        <v>907600</v>
      </c>
      <c r="V44" s="187">
        <v>91</v>
      </c>
      <c r="W44" s="199" t="s">
        <v>124</v>
      </c>
      <c r="AC44" s="72"/>
      <c r="AD44" s="72"/>
    </row>
    <row r="45" spans="1:30" ht="15" customHeight="1" x14ac:dyDescent="0.25">
      <c r="A45" s="11"/>
      <c r="B45" s="44"/>
      <c r="C45" s="44"/>
      <c r="D45" s="44"/>
      <c r="E45" s="44"/>
      <c r="F45" s="28"/>
      <c r="G45" s="82"/>
      <c r="H45" s="82"/>
      <c r="I45" s="28"/>
      <c r="R45" s="191">
        <v>2054</v>
      </c>
      <c r="S45" s="192">
        <f t="shared" ref="S45:S47" si="20">S44</f>
        <v>18900</v>
      </c>
      <c r="T45" s="192">
        <f t="shared" ref="T45:T47" si="21">T44</f>
        <v>51300</v>
      </c>
      <c r="U45" s="192">
        <f t="shared" ref="U45:U47" si="22">U44</f>
        <v>907600</v>
      </c>
      <c r="V45" s="192">
        <f t="shared" ref="V45:V47" si="23">V44</f>
        <v>91</v>
      </c>
      <c r="W45" s="194"/>
      <c r="AC45" s="72"/>
      <c r="AD45" s="72"/>
    </row>
    <row r="46" spans="1:30" x14ac:dyDescent="0.25">
      <c r="A46" s="11"/>
      <c r="B46" s="260" t="s">
        <v>208</v>
      </c>
      <c r="C46" s="261" t="s">
        <v>209</v>
      </c>
      <c r="D46" s="72"/>
      <c r="E46" s="72"/>
      <c r="F46" s="72"/>
      <c r="G46" s="72"/>
      <c r="H46" s="72"/>
      <c r="I46" s="72"/>
      <c r="R46" s="191">
        <v>2055</v>
      </c>
      <c r="S46" s="192">
        <f t="shared" si="20"/>
        <v>18900</v>
      </c>
      <c r="T46" s="192">
        <f t="shared" si="21"/>
        <v>51300</v>
      </c>
      <c r="U46" s="192">
        <f t="shared" si="22"/>
        <v>907600</v>
      </c>
      <c r="V46" s="192">
        <f t="shared" si="23"/>
        <v>91</v>
      </c>
      <c r="W46" s="194"/>
      <c r="AC46" s="72"/>
      <c r="AD46" s="72"/>
    </row>
    <row r="47" spans="1:30" x14ac:dyDescent="0.25">
      <c r="A47" s="11"/>
      <c r="B47" s="262" t="s">
        <v>210</v>
      </c>
      <c r="C47" s="263">
        <f>C35</f>
        <v>52020.607402784604</v>
      </c>
      <c r="D47" s="72"/>
      <c r="E47" s="72"/>
      <c r="F47" s="72"/>
      <c r="G47" s="72"/>
      <c r="H47" s="72"/>
      <c r="I47" s="72"/>
      <c r="R47" s="191">
        <v>2056</v>
      </c>
      <c r="S47" s="192">
        <f t="shared" si="20"/>
        <v>18900</v>
      </c>
      <c r="T47" s="192">
        <f t="shared" si="21"/>
        <v>51300</v>
      </c>
      <c r="U47" s="192">
        <f t="shared" si="22"/>
        <v>907600</v>
      </c>
      <c r="V47" s="192">
        <f t="shared" si="23"/>
        <v>91</v>
      </c>
      <c r="W47" s="194"/>
      <c r="AC47" s="72"/>
      <c r="AD47" s="72"/>
    </row>
    <row r="48" spans="1:30" x14ac:dyDescent="0.25">
      <c r="A48" s="11"/>
      <c r="B48" s="262" t="s">
        <v>211</v>
      </c>
      <c r="C48" s="263">
        <f>G36</f>
        <v>50638.635530484651</v>
      </c>
      <c r="D48" s="72"/>
      <c r="E48" s="72"/>
      <c r="F48" s="72"/>
      <c r="G48" s="72"/>
      <c r="H48" s="72"/>
      <c r="I48" s="72"/>
      <c r="R48" s="191">
        <v>2057</v>
      </c>
      <c r="S48" s="192">
        <f t="shared" ref="S48:S51" si="24">S47</f>
        <v>18900</v>
      </c>
      <c r="T48" s="192">
        <f t="shared" ref="T48:T51" si="25">T47</f>
        <v>51300</v>
      </c>
      <c r="U48" s="192">
        <f t="shared" ref="U48:U51" si="26">U47</f>
        <v>907600</v>
      </c>
      <c r="V48" s="192">
        <f t="shared" ref="V48:V51" si="27">V47</f>
        <v>91</v>
      </c>
      <c r="W48" s="194"/>
      <c r="AC48" s="72"/>
      <c r="AD48" s="72"/>
    </row>
    <row r="49" spans="1:22" x14ac:dyDescent="0.25">
      <c r="A49" s="11"/>
      <c r="B49" s="262" t="s">
        <v>212</v>
      </c>
      <c r="C49" s="263">
        <f>H36</f>
        <v>303.27914502533753</v>
      </c>
      <c r="D49" s="72"/>
      <c r="E49" s="72"/>
      <c r="F49" s="72"/>
      <c r="G49" s="72"/>
      <c r="H49" s="72"/>
      <c r="I49" s="72"/>
      <c r="R49" s="191">
        <v>2058</v>
      </c>
      <c r="S49" s="192">
        <f t="shared" si="24"/>
        <v>18900</v>
      </c>
      <c r="T49" s="192">
        <f t="shared" si="25"/>
        <v>51300</v>
      </c>
      <c r="U49" s="192">
        <f t="shared" si="26"/>
        <v>907600</v>
      </c>
      <c r="V49" s="192">
        <f t="shared" si="27"/>
        <v>91</v>
      </c>
    </row>
    <row r="50" spans="1:22" x14ac:dyDescent="0.25">
      <c r="A50" s="11"/>
      <c r="B50" s="264" t="s">
        <v>213</v>
      </c>
      <c r="C50" s="265">
        <f>I36</f>
        <v>1061.4095261658383</v>
      </c>
      <c r="D50" s="72"/>
      <c r="E50" s="72"/>
      <c r="F50" s="72"/>
      <c r="G50" s="72"/>
      <c r="H50" s="72"/>
      <c r="I50" s="72"/>
      <c r="R50" s="191">
        <v>2059</v>
      </c>
      <c r="S50" s="192">
        <f t="shared" si="24"/>
        <v>18900</v>
      </c>
      <c r="T50" s="192">
        <f t="shared" si="25"/>
        <v>51300</v>
      </c>
      <c r="U50" s="192">
        <f t="shared" si="26"/>
        <v>907600</v>
      </c>
      <c r="V50" s="192">
        <f t="shared" si="27"/>
        <v>91</v>
      </c>
    </row>
    <row r="51" spans="1:22" x14ac:dyDescent="0.25">
      <c r="A51" s="11"/>
      <c r="B51" s="44"/>
      <c r="C51" s="44"/>
      <c r="D51" s="44"/>
      <c r="E51" s="44"/>
      <c r="F51" s="28"/>
      <c r="G51" s="28"/>
      <c r="H51" s="28"/>
      <c r="I51" s="28"/>
      <c r="R51" s="191">
        <v>2060</v>
      </c>
      <c r="S51" s="192">
        <f t="shared" si="24"/>
        <v>18900</v>
      </c>
      <c r="T51" s="192">
        <f t="shared" si="25"/>
        <v>51300</v>
      </c>
      <c r="U51" s="192">
        <f t="shared" si="26"/>
        <v>907600</v>
      </c>
      <c r="V51" s="192">
        <f t="shared" si="27"/>
        <v>91</v>
      </c>
    </row>
    <row r="52" spans="1:22" x14ac:dyDescent="0.25">
      <c r="B52" s="44"/>
      <c r="C52" s="44"/>
      <c r="D52" s="44"/>
      <c r="E52" s="44"/>
      <c r="F52" s="28"/>
      <c r="G52" s="28"/>
      <c r="H52" s="28"/>
      <c r="I52" s="28"/>
    </row>
    <row r="53" spans="1:22" x14ac:dyDescent="0.25">
      <c r="B53" s="44"/>
      <c r="C53" s="44"/>
      <c r="F53" s="28"/>
      <c r="G53" s="28"/>
      <c r="H53" s="28"/>
      <c r="I53" s="28"/>
      <c r="J53" s="47"/>
      <c r="L53" s="82"/>
      <c r="M53" s="82"/>
    </row>
    <row r="54" spans="1:22" x14ac:dyDescent="0.25">
      <c r="B54" s="44"/>
      <c r="C54" s="44"/>
      <c r="F54" s="28"/>
      <c r="G54" s="28"/>
      <c r="H54" s="28"/>
      <c r="I54" s="28"/>
      <c r="J54" s="47"/>
      <c r="L54" s="82"/>
      <c r="M54" s="82"/>
      <c r="N54" s="150"/>
      <c r="O54" s="150"/>
      <c r="P54" s="150"/>
    </row>
    <row r="55" spans="1:22" x14ac:dyDescent="0.25">
      <c r="A55" s="11"/>
      <c r="B55" s="44"/>
      <c r="C55" s="44"/>
      <c r="F55" s="28"/>
      <c r="G55" s="28"/>
      <c r="H55" s="28"/>
      <c r="I55" s="28"/>
      <c r="L55" s="82"/>
      <c r="M55" s="82"/>
      <c r="N55" s="150"/>
      <c r="O55" s="150"/>
      <c r="P55" s="150"/>
    </row>
    <row r="56" spans="1:22" x14ac:dyDescent="0.25">
      <c r="B56" s="44"/>
      <c r="C56" s="44"/>
      <c r="F56" s="28"/>
      <c r="G56" s="28"/>
      <c r="H56" s="28"/>
      <c r="I56" s="28"/>
      <c r="L56" s="82"/>
      <c r="M56" s="82"/>
      <c r="N56" s="150"/>
      <c r="O56" s="150"/>
      <c r="P56" s="150"/>
    </row>
    <row r="57" spans="1:22" x14ac:dyDescent="0.25">
      <c r="B57" s="44"/>
      <c r="C57" s="44"/>
      <c r="F57" s="28"/>
      <c r="G57" s="28"/>
      <c r="H57" s="28"/>
      <c r="I57" s="28"/>
      <c r="J57" s="82"/>
      <c r="K57" s="82"/>
      <c r="L57" s="82"/>
      <c r="M57" s="82"/>
    </row>
    <row r="58" spans="1:22" x14ac:dyDescent="0.25">
      <c r="B58" s="44"/>
      <c r="C58" s="44"/>
      <c r="D58" s="44"/>
      <c r="E58" s="44"/>
      <c r="F58" s="28"/>
      <c r="G58" s="28"/>
      <c r="H58" s="28"/>
      <c r="I58" s="28"/>
      <c r="K58" s="82"/>
      <c r="L58" s="82"/>
      <c r="M58" s="82"/>
    </row>
    <row r="59" spans="1:22" x14ac:dyDescent="0.25">
      <c r="B59" s="44"/>
      <c r="C59" s="44"/>
      <c r="D59" s="44"/>
      <c r="E59" s="44"/>
      <c r="F59" s="28"/>
      <c r="G59" s="28"/>
      <c r="H59" s="28"/>
      <c r="I59" s="28"/>
      <c r="J59" s="28"/>
      <c r="L59" s="82"/>
      <c r="M59" s="82"/>
    </row>
    <row r="60" spans="1:22" x14ac:dyDescent="0.25">
      <c r="B60" s="44"/>
      <c r="C60" s="44"/>
      <c r="D60" s="44"/>
      <c r="E60" s="44"/>
      <c r="F60" s="28"/>
      <c r="G60" s="28"/>
      <c r="H60" s="28"/>
      <c r="I60" s="28"/>
      <c r="J60" s="28"/>
    </row>
    <row r="61" spans="1:22" x14ac:dyDescent="0.25">
      <c r="B61" s="44"/>
      <c r="C61" s="44"/>
      <c r="D61" s="44"/>
      <c r="E61" s="44"/>
      <c r="F61" s="28"/>
      <c r="G61" s="28"/>
      <c r="H61" s="28"/>
      <c r="I61" s="28"/>
      <c r="J61" s="28"/>
      <c r="K61" s="28"/>
    </row>
    <row r="62" spans="1:22" x14ac:dyDescent="0.25">
      <c r="B62" s="44"/>
      <c r="C62" s="44"/>
      <c r="D62" s="44"/>
      <c r="E62" s="44"/>
      <c r="F62" s="28"/>
      <c r="G62" s="28"/>
      <c r="H62" s="28"/>
      <c r="I62" s="28"/>
      <c r="J62" s="28"/>
      <c r="K62" s="28"/>
    </row>
    <row r="63" spans="1:22" x14ac:dyDescent="0.25">
      <c r="A63" s="11"/>
      <c r="B63" s="44"/>
      <c r="C63" s="44"/>
      <c r="D63" s="44"/>
      <c r="E63" s="44"/>
      <c r="F63" s="28"/>
      <c r="G63" s="28"/>
      <c r="H63" s="28"/>
      <c r="I63" s="28"/>
      <c r="J63" s="28"/>
      <c r="K63" s="28"/>
    </row>
    <row r="64" spans="1:22" x14ac:dyDescent="0.25">
      <c r="J64" s="28"/>
      <c r="K64" s="28"/>
    </row>
    <row r="65" spans="1:12" x14ac:dyDescent="0.25">
      <c r="F65" s="82"/>
      <c r="I65" s="82"/>
      <c r="J65" s="28"/>
      <c r="K65" s="28"/>
    </row>
    <row r="66" spans="1:12" x14ac:dyDescent="0.25">
      <c r="B66" s="82"/>
      <c r="C66" s="82"/>
      <c r="D66" s="82"/>
      <c r="E66" s="82"/>
      <c r="F66" s="82"/>
      <c r="I66" s="82"/>
      <c r="J66" s="28"/>
      <c r="K66" s="28"/>
    </row>
    <row r="67" spans="1:12" x14ac:dyDescent="0.25">
      <c r="J67" s="28"/>
      <c r="K67" s="28"/>
    </row>
    <row r="68" spans="1:12" x14ac:dyDescent="0.25">
      <c r="A68" s="11"/>
      <c r="B68" s="28"/>
      <c r="C68" s="28"/>
      <c r="D68" s="28"/>
      <c r="E68" s="28"/>
      <c r="F68" s="28"/>
      <c r="G68" s="28"/>
      <c r="H68" s="28"/>
      <c r="I68" s="28"/>
      <c r="J68" s="28"/>
      <c r="K68" s="28"/>
    </row>
    <row r="69" spans="1:12" x14ac:dyDescent="0.25">
      <c r="B69" s="28"/>
      <c r="C69" s="28"/>
      <c r="D69" s="28"/>
      <c r="E69" s="28"/>
      <c r="F69" s="28"/>
      <c r="G69" s="28"/>
      <c r="H69" s="28"/>
      <c r="J69" s="28"/>
      <c r="K69" s="28"/>
    </row>
    <row r="70" spans="1:12" x14ac:dyDescent="0.25">
      <c r="J70" s="28"/>
      <c r="K70" s="28"/>
    </row>
    <row r="71" spans="1:12" x14ac:dyDescent="0.25">
      <c r="A71" s="11"/>
      <c r="J71" s="28"/>
      <c r="K71" s="28"/>
    </row>
    <row r="72" spans="1:12" x14ac:dyDescent="0.25">
      <c r="J72" s="28"/>
      <c r="K72" s="28"/>
    </row>
    <row r="74" spans="1:12" x14ac:dyDescent="0.25">
      <c r="J74" s="82"/>
    </row>
    <row r="75" spans="1:12" x14ac:dyDescent="0.25">
      <c r="J75" s="82"/>
      <c r="L75" s="28"/>
    </row>
    <row r="77" spans="1:12" x14ac:dyDescent="0.25">
      <c r="J77" s="28"/>
      <c r="K77" s="28"/>
    </row>
  </sheetData>
  <mergeCells count="24">
    <mergeCell ref="Y15:Z15"/>
    <mergeCell ref="AA15:AB15"/>
    <mergeCell ref="Y19:Z19"/>
    <mergeCell ref="AA19:AB19"/>
    <mergeCell ref="O3:O4"/>
    <mergeCell ref="O2:P2"/>
    <mergeCell ref="F2:N2"/>
    <mergeCell ref="L3:L4"/>
    <mergeCell ref="M3:M4"/>
    <mergeCell ref="N3:N4"/>
    <mergeCell ref="P3:P4"/>
    <mergeCell ref="C2:E2"/>
    <mergeCell ref="B43:M44"/>
    <mergeCell ref="F3:F4"/>
    <mergeCell ref="K3:K4"/>
    <mergeCell ref="G3:G4"/>
    <mergeCell ref="H3:H4"/>
    <mergeCell ref="I3:I4"/>
    <mergeCell ref="J3:J4"/>
    <mergeCell ref="B3:B4"/>
    <mergeCell ref="C3:C4"/>
    <mergeCell ref="D3:D4"/>
    <mergeCell ref="E3:E4"/>
    <mergeCell ref="B38:M41"/>
  </mergeCells>
  <hyperlinks>
    <hyperlink ref="AO8" r:id="rId1" xr:uid="{19D84491-4571-46C4-BC8F-D148FCCB050C}"/>
    <hyperlink ref="AO25" r:id="rId2" xr:uid="{38FAD483-B71F-4E28-8A2C-781253F244C5}"/>
  </hyperlinks>
  <pageMargins left="0.25" right="0.25" top="0.75" bottom="0.75" header="0.3" footer="0.3"/>
  <pageSetup paperSize="3" scale="25"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442D0-9A3A-4DD4-814B-F857395D9C21}">
  <sheetPr>
    <tabColor rgb="FFC00000"/>
    <pageSetUpPr fitToPage="1"/>
  </sheetPr>
  <dimension ref="A1:H61"/>
  <sheetViews>
    <sheetView view="pageBreakPreview" zoomScale="85" zoomScaleNormal="85" zoomScaleSheetLayoutView="85" workbookViewId="0">
      <selection activeCell="B50" sqref="B50"/>
    </sheetView>
  </sheetViews>
  <sheetFormatPr defaultRowHeight="15" x14ac:dyDescent="0.25"/>
  <cols>
    <col min="2" max="3" width="15.7109375" customWidth="1"/>
    <col min="4" max="5" width="15.5703125" customWidth="1"/>
    <col min="6" max="6" width="28.28515625" customWidth="1"/>
    <col min="7" max="7" width="23.5703125" customWidth="1"/>
    <col min="8" max="9" width="22.7109375" customWidth="1"/>
  </cols>
  <sheetData>
    <row r="1" spans="2:8" x14ac:dyDescent="0.25">
      <c r="B1" s="15">
        <v>1</v>
      </c>
      <c r="C1" s="15">
        <v>3</v>
      </c>
      <c r="D1" s="15">
        <v>1</v>
      </c>
    </row>
    <row r="2" spans="2:8" ht="15.75" thickBot="1" x14ac:dyDescent="0.3">
      <c r="B2" s="10" t="s">
        <v>7</v>
      </c>
    </row>
    <row r="3" spans="2:8" ht="22.5" customHeight="1" x14ac:dyDescent="0.25">
      <c r="B3" s="501" t="s">
        <v>0</v>
      </c>
      <c r="C3" s="495" t="s">
        <v>94</v>
      </c>
      <c r="D3" s="495" t="s">
        <v>62</v>
      </c>
      <c r="E3" s="149"/>
    </row>
    <row r="4" spans="2:8" ht="22.5" customHeight="1" thickBot="1" x14ac:dyDescent="0.3">
      <c r="B4" s="502"/>
      <c r="C4" s="496"/>
      <c r="D4" s="496"/>
      <c r="E4" s="149"/>
    </row>
    <row r="5" spans="2:8" ht="15.75" customHeight="1" x14ac:dyDescent="0.25">
      <c r="B5" s="13">
        <f>Assumptions!$D$8</f>
        <v>2027</v>
      </c>
      <c r="C5" s="14">
        <f>$G$8</f>
        <v>55211</v>
      </c>
      <c r="D5" s="14">
        <f>C5*(1+0.07)^-($B5-Assumptions!$D$4)</f>
        <v>36789.420519133477</v>
      </c>
    </row>
    <row r="6" spans="2:8" ht="15.75" customHeight="1" x14ac:dyDescent="0.25">
      <c r="B6" s="36">
        <f>B5+1</f>
        <v>2028</v>
      </c>
      <c r="C6" s="177">
        <f t="shared" ref="C6:C34" si="0">$G$8</f>
        <v>55211</v>
      </c>
      <c r="D6" s="177">
        <f>C6*(1+0.07)^-($B6-Assumptions!$D$4)</f>
        <v>34382.635999190155</v>
      </c>
      <c r="F6" s="10" t="s">
        <v>199</v>
      </c>
    </row>
    <row r="7" spans="2:8" ht="15.75" customHeight="1" x14ac:dyDescent="0.25">
      <c r="B7" s="2">
        <f>+B6+1</f>
        <v>2029</v>
      </c>
      <c r="C7" s="7">
        <f t="shared" si="0"/>
        <v>55211</v>
      </c>
      <c r="D7" s="7">
        <f>C7*(1+0.07)^-($B7-Assumptions!$D$4)</f>
        <v>32133.304672140337</v>
      </c>
      <c r="F7" s="27"/>
      <c r="G7" s="43" t="s">
        <v>200</v>
      </c>
    </row>
    <row r="8" spans="2:8" ht="15.75" customHeight="1" x14ac:dyDescent="0.25">
      <c r="B8" s="2">
        <f t="shared" ref="B8:B34" si="1">+B7+1</f>
        <v>2030</v>
      </c>
      <c r="C8" s="7">
        <f t="shared" si="0"/>
        <v>55211</v>
      </c>
      <c r="D8" s="7">
        <f>C8*(1+0.07)^-($B8-Assumptions!$D$4)</f>
        <v>30031.125861813398</v>
      </c>
      <c r="F8" s="27" t="s">
        <v>5</v>
      </c>
      <c r="G8" s="398">
        <f>SUM(H14:H18)</f>
        <v>55211</v>
      </c>
    </row>
    <row r="9" spans="2:8" ht="15.75" customHeight="1" x14ac:dyDescent="0.25">
      <c r="B9" s="2">
        <f t="shared" si="1"/>
        <v>2031</v>
      </c>
      <c r="C9" s="7">
        <f t="shared" si="0"/>
        <v>55211</v>
      </c>
      <c r="D9" s="7">
        <f>C9*(1+0.07)^-($B9-Assumptions!$D$4)</f>
        <v>28066.472768049905</v>
      </c>
      <c r="F9" s="64" t="s">
        <v>1082</v>
      </c>
      <c r="G9" s="467">
        <v>0.35</v>
      </c>
    </row>
    <row r="10" spans="2:8" ht="15.75" customHeight="1" x14ac:dyDescent="0.25">
      <c r="B10" s="2">
        <f t="shared" si="1"/>
        <v>2032</v>
      </c>
      <c r="C10" s="7">
        <f t="shared" si="0"/>
        <v>55211</v>
      </c>
      <c r="D10" s="7">
        <f>C10*(1+0.07)^-($B10-Assumptions!$D$4)</f>
        <v>26230.348381355048</v>
      </c>
      <c r="F10" s="64" t="s">
        <v>1083</v>
      </c>
      <c r="G10" s="195">
        <v>9000</v>
      </c>
    </row>
    <row r="11" spans="2:8" ht="15.75" customHeight="1" x14ac:dyDescent="0.25">
      <c r="B11" s="2">
        <f t="shared" si="1"/>
        <v>2033</v>
      </c>
      <c r="C11" s="7">
        <f t="shared" si="0"/>
        <v>55211</v>
      </c>
      <c r="D11" s="7">
        <f>C11*(1+0.07)^-($B11-Assumptions!$D$4)</f>
        <v>24514.344281640235</v>
      </c>
    </row>
    <row r="12" spans="2:8" ht="15.75" customHeight="1" x14ac:dyDescent="0.25">
      <c r="B12" s="2">
        <f t="shared" si="1"/>
        <v>2034</v>
      </c>
      <c r="C12" s="7">
        <f t="shared" si="0"/>
        <v>55211</v>
      </c>
      <c r="D12" s="7">
        <f>C12*(1+0.07)^-($B12-Assumptions!$D$4)</f>
        <v>22910.60213237405</v>
      </c>
      <c r="F12" s="10" t="s">
        <v>1124</v>
      </c>
    </row>
    <row r="13" spans="2:8" ht="15.75" customHeight="1" x14ac:dyDescent="0.25">
      <c r="B13" s="2">
        <f t="shared" si="1"/>
        <v>2035</v>
      </c>
      <c r="C13" s="7">
        <f t="shared" si="0"/>
        <v>55211</v>
      </c>
      <c r="D13" s="7">
        <f>C13*(1+0.07)^-($B13-Assumptions!$D$4)</f>
        <v>21411.777693807526</v>
      </c>
      <c r="F13" s="64" t="s">
        <v>1080</v>
      </c>
      <c r="G13" s="334" t="s">
        <v>1122</v>
      </c>
      <c r="H13" s="64" t="s">
        <v>1123</v>
      </c>
    </row>
    <row r="14" spans="2:8" ht="15.75" customHeight="1" x14ac:dyDescent="0.25">
      <c r="B14" s="2">
        <f t="shared" si="1"/>
        <v>2036</v>
      </c>
      <c r="C14" s="7">
        <f t="shared" si="0"/>
        <v>55211</v>
      </c>
      <c r="D14" s="7">
        <f>C14*(1+0.07)^-($B14-Assumptions!$D$4)</f>
        <v>20011.00719047432</v>
      </c>
      <c r="F14" s="64" t="s">
        <v>1081</v>
      </c>
      <c r="G14" s="64">
        <f>(180+110)*44</f>
        <v>12760</v>
      </c>
      <c r="H14" s="195">
        <f>G14*$G$9</f>
        <v>4466</v>
      </c>
    </row>
    <row r="15" spans="2:8" ht="15.75" customHeight="1" x14ac:dyDescent="0.25">
      <c r="B15" s="2">
        <f t="shared" si="1"/>
        <v>2037</v>
      </c>
      <c r="C15" s="7">
        <f t="shared" si="0"/>
        <v>55211</v>
      </c>
      <c r="D15" s="7">
        <f>C15*(1+0.07)^-($B15-Assumptions!$D$4)</f>
        <v>18701.875878947965</v>
      </c>
      <c r="F15" s="64" t="s">
        <v>1084</v>
      </c>
      <c r="G15" s="332">
        <f>520/5280*2</f>
        <v>0.19696969696969696</v>
      </c>
      <c r="H15" s="195">
        <f>G15*$G$10</f>
        <v>1772.7272727272727</v>
      </c>
    </row>
    <row r="16" spans="2:8" ht="15.75" customHeight="1" x14ac:dyDescent="0.25">
      <c r="B16" s="2">
        <f t="shared" si="1"/>
        <v>2038</v>
      </c>
      <c r="C16" s="7">
        <f t="shared" si="0"/>
        <v>55211</v>
      </c>
      <c r="D16" s="7">
        <f>C16*(1+0.07)^-($B16-Assumptions!$D$4)</f>
        <v>17478.388671913988</v>
      </c>
      <c r="F16" s="64" t="s">
        <v>1078</v>
      </c>
      <c r="G16" s="64">
        <f>600*72</f>
        <v>43200</v>
      </c>
      <c r="H16" s="195">
        <f>G16*$G$9</f>
        <v>15119.999999999998</v>
      </c>
    </row>
    <row r="17" spans="2:8" ht="15.75" customHeight="1" x14ac:dyDescent="0.25">
      <c r="B17" s="2">
        <f t="shared" si="1"/>
        <v>2039</v>
      </c>
      <c r="C17" s="7">
        <f t="shared" si="0"/>
        <v>55211</v>
      </c>
      <c r="D17" s="7">
        <f>C17*(1+0.07)^-($B17-Assumptions!$D$4)</f>
        <v>16334.942684031761</v>
      </c>
      <c r="F17" s="64" t="s">
        <v>1079</v>
      </c>
      <c r="G17" s="332">
        <f>5700/5280*2</f>
        <v>2.1590909090909092</v>
      </c>
      <c r="H17" s="195">
        <f>G17*$G$10</f>
        <v>19431.818181818184</v>
      </c>
    </row>
    <row r="18" spans="2:8" ht="15.75" customHeight="1" x14ac:dyDescent="0.25">
      <c r="B18" s="2">
        <f t="shared" si="1"/>
        <v>2040</v>
      </c>
      <c r="C18" s="7">
        <f t="shared" si="0"/>
        <v>55211</v>
      </c>
      <c r="D18" s="7">
        <f>C18*(1+0.07)^-($B18-Assumptions!$D$4)</f>
        <v>15266.301573861459</v>
      </c>
      <c r="F18" s="64" t="s">
        <v>1085</v>
      </c>
      <c r="G18" s="332">
        <f>(1440*1.5+3000*1+1400*1.5+1200*1)/5280</f>
        <v>1.6022727272727273</v>
      </c>
      <c r="H18" s="195">
        <f>G18*$G$10</f>
        <v>14420.454545454546</v>
      </c>
    </row>
    <row r="19" spans="2:8" ht="15.75" customHeight="1" x14ac:dyDescent="0.25">
      <c r="B19" s="2">
        <f t="shared" si="1"/>
        <v>2041</v>
      </c>
      <c r="C19" s="7">
        <f t="shared" si="0"/>
        <v>55211</v>
      </c>
      <c r="D19" s="7">
        <f>C19*(1+0.07)^-($B19-Assumptions!$D$4)</f>
        <v>14267.571564356505</v>
      </c>
    </row>
    <row r="20" spans="2:8" ht="15.75" customHeight="1" x14ac:dyDescent="0.25">
      <c r="B20" s="2">
        <f t="shared" si="1"/>
        <v>2042</v>
      </c>
      <c r="C20" s="7">
        <f t="shared" si="0"/>
        <v>55211</v>
      </c>
      <c r="D20" s="7">
        <f>C20*(1+0.07)^-($B20-Assumptions!$D$4)</f>
        <v>13334.179032108883</v>
      </c>
    </row>
    <row r="21" spans="2:8" ht="15.75" customHeight="1" x14ac:dyDescent="0.25">
      <c r="B21" s="2">
        <f t="shared" si="1"/>
        <v>2043</v>
      </c>
      <c r="C21" s="7">
        <f t="shared" si="0"/>
        <v>55211</v>
      </c>
      <c r="D21" s="7">
        <f>C21*(1+0.07)^-($B21-Assumptions!$D$4)</f>
        <v>12461.849562718582</v>
      </c>
    </row>
    <row r="22" spans="2:8" ht="15.75" customHeight="1" x14ac:dyDescent="0.25">
      <c r="B22" s="2">
        <f t="shared" si="1"/>
        <v>2044</v>
      </c>
      <c r="C22" s="7">
        <f t="shared" si="0"/>
        <v>55211</v>
      </c>
      <c r="D22" s="7">
        <f>C22*(1+0.07)^-($B22-Assumptions!$D$4)</f>
        <v>11646.588376372505</v>
      </c>
    </row>
    <row r="23" spans="2:8" ht="15.75" customHeight="1" x14ac:dyDescent="0.25">
      <c r="B23" s="2">
        <f t="shared" si="1"/>
        <v>2045</v>
      </c>
      <c r="C23" s="7">
        <f t="shared" si="0"/>
        <v>55211</v>
      </c>
      <c r="D23" s="7">
        <f>C23*(1+0.07)^-($B23-Assumptions!$D$4)</f>
        <v>10884.662033992996</v>
      </c>
    </row>
    <row r="24" spans="2:8" ht="15.75" customHeight="1" x14ac:dyDescent="0.25">
      <c r="B24" s="2">
        <f t="shared" si="1"/>
        <v>2046</v>
      </c>
      <c r="C24" s="7">
        <f t="shared" si="0"/>
        <v>55211</v>
      </c>
      <c r="D24" s="7">
        <f>C24*(1+0.07)^-($B24-Assumptions!$D$4)</f>
        <v>10172.58134018037</v>
      </c>
    </row>
    <row r="25" spans="2:8" ht="15.75" customHeight="1" x14ac:dyDescent="0.25">
      <c r="B25" s="2">
        <f t="shared" si="1"/>
        <v>2047</v>
      </c>
      <c r="C25" s="7">
        <f t="shared" si="0"/>
        <v>55211</v>
      </c>
      <c r="D25" s="7">
        <f>C25*(1+0.07)^-($B25-Assumptions!$D$4)</f>
        <v>9507.0853646545529</v>
      </c>
    </row>
    <row r="26" spans="2:8" ht="15.75" customHeight="1" x14ac:dyDescent="0.25">
      <c r="B26" s="2">
        <f t="shared" si="1"/>
        <v>2048</v>
      </c>
      <c r="C26" s="7">
        <f t="shared" si="0"/>
        <v>55211</v>
      </c>
      <c r="D26" s="7">
        <f>C26*(1+0.07)^-($B26-Assumptions!$D$4)</f>
        <v>8885.1265090229444</v>
      </c>
    </row>
    <row r="27" spans="2:8" ht="15.75" customHeight="1" x14ac:dyDescent="0.25">
      <c r="B27" s="2">
        <f t="shared" si="1"/>
        <v>2049</v>
      </c>
      <c r="C27" s="7">
        <f t="shared" si="0"/>
        <v>55211</v>
      </c>
      <c r="D27" s="7">
        <f>C27*(1+0.07)^-($B27-Assumptions!$D$4)</f>
        <v>8303.8565504887338</v>
      </c>
    </row>
    <row r="28" spans="2:8" ht="15.75" customHeight="1" x14ac:dyDescent="0.25">
      <c r="B28" s="2">
        <f t="shared" si="1"/>
        <v>2050</v>
      </c>
      <c r="C28" s="7">
        <f t="shared" si="0"/>
        <v>55211</v>
      </c>
      <c r="D28" s="7">
        <f>C28*(1+0.07)^-($B28-Assumptions!$D$4)</f>
        <v>7760.6135985876017</v>
      </c>
    </row>
    <row r="29" spans="2:8" ht="15.75" customHeight="1" x14ac:dyDescent="0.25">
      <c r="B29" s="2">
        <f t="shared" si="1"/>
        <v>2051</v>
      </c>
      <c r="C29" s="7">
        <f t="shared" si="0"/>
        <v>55211</v>
      </c>
      <c r="D29" s="7">
        <f>C29*(1+0.07)^-($B29-Assumptions!$D$4)</f>
        <v>7252.9099052220581</v>
      </c>
    </row>
    <row r="30" spans="2:8" ht="15.75" customHeight="1" x14ac:dyDescent="0.25">
      <c r="B30" s="2">
        <f t="shared" si="1"/>
        <v>2052</v>
      </c>
      <c r="C30" s="7">
        <f t="shared" si="0"/>
        <v>55211</v>
      </c>
      <c r="D30" s="7">
        <f>C30*(1+0.07)^-($B30-Assumptions!$D$4)</f>
        <v>6778.4204721701462</v>
      </c>
    </row>
    <row r="31" spans="2:8" ht="15.75" customHeight="1" x14ac:dyDescent="0.25">
      <c r="B31" s="2">
        <f t="shared" si="1"/>
        <v>2053</v>
      </c>
      <c r="C31" s="7">
        <f t="shared" si="0"/>
        <v>55211</v>
      </c>
      <c r="D31" s="7">
        <f>C31*(1+0.07)^-($B31-Assumptions!$D$4)</f>
        <v>6334.9724038973336</v>
      </c>
    </row>
    <row r="32" spans="2:8" ht="15.75" customHeight="1" x14ac:dyDescent="0.25">
      <c r="B32" s="2">
        <f t="shared" si="1"/>
        <v>2054</v>
      </c>
      <c r="C32" s="7">
        <f t="shared" si="0"/>
        <v>55211</v>
      </c>
      <c r="D32" s="7">
        <f>C32*(1+0.07)^-($B32-Assumptions!$D$4)</f>
        <v>5920.5349569133959</v>
      </c>
    </row>
    <row r="33" spans="1:4" ht="15.75" customHeight="1" x14ac:dyDescent="0.25">
      <c r="B33" s="2">
        <f t="shared" si="1"/>
        <v>2055</v>
      </c>
      <c r="C33" s="7">
        <f t="shared" si="0"/>
        <v>55211</v>
      </c>
      <c r="D33" s="7">
        <f>C33*(1+0.07)^-($B33-Assumptions!$D$4)</f>
        <v>5533.2102401059783</v>
      </c>
    </row>
    <row r="34" spans="1:4" ht="15.75" customHeight="1" thickBot="1" x14ac:dyDescent="0.3">
      <c r="B34" s="3">
        <f t="shared" si="1"/>
        <v>2056</v>
      </c>
      <c r="C34" s="8">
        <f t="shared" si="0"/>
        <v>55211</v>
      </c>
      <c r="D34" s="8">
        <f>C34*(1+0.07)^-($B34-Assumptions!$D$4)</f>
        <v>5171.2245234635302</v>
      </c>
    </row>
    <row r="35" spans="1:4" ht="15.75" customHeight="1" x14ac:dyDescent="0.25">
      <c r="B35" s="4"/>
      <c r="C35" s="9">
        <f>SUM(C5:C34)</f>
        <v>1656330</v>
      </c>
      <c r="D35" s="6">
        <f>SUM(D5:D34)</f>
        <v>488477.93474298978</v>
      </c>
    </row>
    <row r="36" spans="1:4" ht="15.75" customHeight="1" x14ac:dyDescent="0.25">
      <c r="B36" s="4"/>
      <c r="C36" s="6"/>
      <c r="D36" s="81"/>
    </row>
    <row r="37" spans="1:4" ht="15.75" customHeight="1" x14ac:dyDescent="0.25"/>
    <row r="38" spans="1:4" ht="15.75" customHeight="1" x14ac:dyDescent="0.25">
      <c r="B38" s="10" t="s">
        <v>3</v>
      </c>
    </row>
    <row r="39" spans="1:4" ht="15.75" customHeight="1" x14ac:dyDescent="0.25">
      <c r="A39" s="11" t="s">
        <v>30</v>
      </c>
      <c r="B39" s="489" t="s">
        <v>1134</v>
      </c>
      <c r="C39" s="489"/>
      <c r="D39" s="489"/>
    </row>
    <row r="40" spans="1:4" ht="15.75" customHeight="1" x14ac:dyDescent="0.25">
      <c r="B40" s="489"/>
      <c r="C40" s="489"/>
      <c r="D40" s="489"/>
    </row>
    <row r="41" spans="1:4" ht="15.75" customHeight="1" x14ac:dyDescent="0.25">
      <c r="B41" s="489"/>
      <c r="C41" s="489"/>
      <c r="D41" s="489"/>
    </row>
    <row r="42" spans="1:4" ht="15.75" customHeight="1" x14ac:dyDescent="0.25">
      <c r="B42" s="489"/>
      <c r="C42" s="489"/>
      <c r="D42" s="489"/>
    </row>
    <row r="43" spans="1:4" ht="15.75" customHeight="1" x14ac:dyDescent="0.25">
      <c r="A43" s="11"/>
      <c r="B43" s="489"/>
      <c r="C43" s="489"/>
      <c r="D43" s="489"/>
    </row>
    <row r="44" spans="1:4" ht="15.75" customHeight="1" x14ac:dyDescent="0.25">
      <c r="B44" s="489"/>
      <c r="C44" s="489"/>
      <c r="D44" s="489"/>
    </row>
    <row r="45" spans="1:4" ht="15.75" customHeight="1" x14ac:dyDescent="0.25">
      <c r="A45" s="11"/>
      <c r="B45" s="489"/>
      <c r="C45" s="489"/>
      <c r="D45" s="489"/>
    </row>
    <row r="46" spans="1:4" x14ac:dyDescent="0.25">
      <c r="B46" s="489"/>
      <c r="C46" s="489"/>
      <c r="D46" s="489"/>
    </row>
    <row r="47" spans="1:4" x14ac:dyDescent="0.25">
      <c r="B47" s="489"/>
      <c r="C47" s="489"/>
      <c r="D47" s="489"/>
    </row>
    <row r="48" spans="1:4" x14ac:dyDescent="0.25">
      <c r="B48" s="489"/>
      <c r="C48" s="489"/>
      <c r="D48" s="489"/>
    </row>
    <row r="49" spans="1:4" x14ac:dyDescent="0.25">
      <c r="B49" s="489"/>
      <c r="C49" s="489"/>
      <c r="D49" s="489"/>
    </row>
    <row r="50" spans="1:4" x14ac:dyDescent="0.25">
      <c r="B50" s="28"/>
      <c r="C50" s="28"/>
    </row>
    <row r="51" spans="1:4" ht="15" customHeight="1" x14ac:dyDescent="0.25">
      <c r="B51" s="28"/>
      <c r="C51" s="28"/>
    </row>
    <row r="55" spans="1:4" x14ac:dyDescent="0.25">
      <c r="A55" s="11"/>
    </row>
    <row r="57" spans="1:4" ht="15" customHeight="1" x14ac:dyDescent="0.25"/>
    <row r="61" spans="1:4" x14ac:dyDescent="0.25">
      <c r="A61" s="11"/>
    </row>
  </sheetData>
  <mergeCells count="4">
    <mergeCell ref="D3:D4"/>
    <mergeCell ref="B3:B4"/>
    <mergeCell ref="C3:C4"/>
    <mergeCell ref="B39:D49"/>
  </mergeCells>
  <pageMargins left="0.25" right="0.25" top="0.75" bottom="0.75" header="0.3" footer="0.3"/>
  <pageSetup paperSize="3" scale="9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47E-4568-464D-AE1B-323783893167}">
  <sheetPr>
    <tabColor rgb="FFC00000"/>
    <pageSetUpPr fitToPage="1"/>
  </sheetPr>
  <dimension ref="A1:V76"/>
  <sheetViews>
    <sheetView view="pageBreakPreview" zoomScale="90" zoomScaleNormal="85" zoomScaleSheetLayoutView="90" workbookViewId="0">
      <selection activeCell="B62" sqref="B62"/>
    </sheetView>
  </sheetViews>
  <sheetFormatPr defaultRowHeight="15" x14ac:dyDescent="0.25"/>
  <cols>
    <col min="2" max="5" width="15.7109375" customWidth="1"/>
    <col min="6" max="7" width="15.5703125" customWidth="1"/>
    <col min="8" max="8" width="3.42578125" customWidth="1"/>
    <col min="9" max="9" width="25.42578125" customWidth="1"/>
    <col min="10" max="10" width="20.28515625" bestFit="1" customWidth="1"/>
    <col min="11" max="11" width="22.5703125" bestFit="1" customWidth="1"/>
    <col min="12" max="13" width="22.7109375" customWidth="1"/>
    <col min="15" max="15" width="7.42578125" style="45" bestFit="1" customWidth="1"/>
    <col min="16" max="16" width="52.140625" style="45" bestFit="1" customWidth="1"/>
    <col min="17" max="18" width="9" style="45" customWidth="1"/>
    <col min="19" max="21" width="13.85546875" style="45" customWidth="1"/>
    <col min="22" max="22" width="21.7109375" customWidth="1"/>
    <col min="23" max="23" width="13.7109375" bestFit="1" customWidth="1"/>
    <col min="24" max="24" width="13.5703125" bestFit="1" customWidth="1"/>
    <col min="25" max="25" width="13.28515625" bestFit="1" customWidth="1"/>
    <col min="27" max="27" width="13.5703125" bestFit="1" customWidth="1"/>
    <col min="28" max="28" width="15.42578125" customWidth="1"/>
  </cols>
  <sheetData>
    <row r="1" spans="2:21" x14ac:dyDescent="0.25">
      <c r="C1">
        <v>2</v>
      </c>
    </row>
    <row r="2" spans="2:21" ht="15.75" thickBot="1" x14ac:dyDescent="0.3">
      <c r="B2" s="10" t="s">
        <v>366</v>
      </c>
    </row>
    <row r="3" spans="2:21" ht="22.5" customHeight="1" x14ac:dyDescent="0.25">
      <c r="B3" s="501" t="s">
        <v>0</v>
      </c>
      <c r="C3" s="547" t="s">
        <v>170</v>
      </c>
      <c r="D3" s="499" t="s">
        <v>1</v>
      </c>
      <c r="E3" s="547" t="s">
        <v>171</v>
      </c>
      <c r="F3" s="495" t="s">
        <v>62</v>
      </c>
      <c r="G3" s="149"/>
    </row>
    <row r="4" spans="2:21" ht="22.5" customHeight="1" thickBot="1" x14ac:dyDescent="0.3">
      <c r="B4" s="502"/>
      <c r="C4" s="548"/>
      <c r="D4" s="549"/>
      <c r="E4" s="548"/>
      <c r="F4" s="530"/>
      <c r="G4" s="149"/>
      <c r="I4" s="10" t="s">
        <v>17</v>
      </c>
    </row>
    <row r="5" spans="2:21" ht="15.75" customHeight="1" x14ac:dyDescent="0.25">
      <c r="B5" s="13">
        <f>Assumptions!D5</f>
        <v>2024</v>
      </c>
      <c r="C5" s="350">
        <f>$K$21*(_xlfn.XLOOKUP($B5,$I$6:$I$8,$J$6:$J$8)/$J$9)</f>
        <v>6093706</v>
      </c>
      <c r="D5" s="14">
        <f>C5*(1+0.07)^-($B5-Assumptions!$D$4)</f>
        <v>4974279.2701970451</v>
      </c>
      <c r="E5" s="307">
        <v>0</v>
      </c>
      <c r="F5" s="14">
        <f t="shared" ref="F5:F36" si="0">+E5</f>
        <v>0</v>
      </c>
      <c r="I5" s="246" t="s">
        <v>6</v>
      </c>
      <c r="J5" s="247">
        <f>Assumptions!D6</f>
        <v>3</v>
      </c>
      <c r="O5" s="212"/>
    </row>
    <row r="6" spans="2:21" ht="15.75" customHeight="1" x14ac:dyDescent="0.25">
      <c r="B6" s="178">
        <f>B5+1</f>
        <v>2025</v>
      </c>
      <c r="C6" s="346">
        <f>$K$21*(_xlfn.XLOOKUP($B6,$I$6:$I$8,$J$6:$J$8)/$J$9)</f>
        <v>24374824</v>
      </c>
      <c r="D6" s="323">
        <f>C6*(1+0.07)^-($B6-Assumptions!$D$4)</f>
        <v>18595436.524101105</v>
      </c>
      <c r="E6" s="322">
        <v>0</v>
      </c>
      <c r="F6" s="323">
        <f t="shared" si="0"/>
        <v>0</v>
      </c>
      <c r="I6" s="128">
        <f>Assumptions!$D$5</f>
        <v>2024</v>
      </c>
      <c r="J6" s="248">
        <v>3</v>
      </c>
      <c r="K6" t="s">
        <v>1086</v>
      </c>
      <c r="O6" s="546"/>
      <c r="P6" s="546"/>
      <c r="Q6" s="546"/>
      <c r="R6" s="546"/>
      <c r="S6" s="546"/>
      <c r="T6" s="546"/>
      <c r="U6" s="83"/>
    </row>
    <row r="7" spans="2:21" ht="15.75" customHeight="1" thickBot="1" x14ac:dyDescent="0.3">
      <c r="B7" s="347">
        <f>B6+1</f>
        <v>2026</v>
      </c>
      <c r="C7" s="351">
        <f>$K$21*(_xlfn.XLOOKUP($B7,$I$6:$I$8,$J$6:$J$8)/$J$9)</f>
        <v>24374824</v>
      </c>
      <c r="D7" s="348">
        <f>C7*(1+0.07)^-($B7-Assumptions!$D$4)</f>
        <v>17378912.639346827</v>
      </c>
      <c r="E7" s="308">
        <v>0</v>
      </c>
      <c r="F7" s="8">
        <f t="shared" si="0"/>
        <v>0</v>
      </c>
      <c r="I7" s="128">
        <f>I6+1</f>
        <v>2025</v>
      </c>
      <c r="J7" s="248">
        <v>12</v>
      </c>
      <c r="O7" s="358"/>
      <c r="P7" s="359"/>
      <c r="Q7" s="359"/>
      <c r="R7" s="360"/>
      <c r="S7" s="361" t="s">
        <v>368</v>
      </c>
      <c r="T7" s="362"/>
      <c r="U7" s="363"/>
    </row>
    <row r="8" spans="2:21" ht="15.75" customHeight="1" x14ac:dyDescent="0.25">
      <c r="B8" s="1">
        <f>+B7+1</f>
        <v>2027</v>
      </c>
      <c r="C8" s="350">
        <v>0</v>
      </c>
      <c r="D8" s="349">
        <f>C8*(1+0.07)^-($B8-Assumptions!$D$4)</f>
        <v>0</v>
      </c>
      <c r="E8" s="345">
        <v>0</v>
      </c>
      <c r="F8" s="177">
        <f t="shared" si="0"/>
        <v>0</v>
      </c>
      <c r="I8" s="128">
        <f>I7+1</f>
        <v>2026</v>
      </c>
      <c r="J8" s="248">
        <v>12</v>
      </c>
      <c r="O8" s="364" t="s">
        <v>369</v>
      </c>
      <c r="P8" s="365"/>
      <c r="Q8" s="366" t="s">
        <v>370</v>
      </c>
      <c r="R8" s="367" t="s">
        <v>482</v>
      </c>
      <c r="S8" s="368" t="s">
        <v>483</v>
      </c>
      <c r="T8" s="368" t="s">
        <v>484</v>
      </c>
      <c r="U8" s="369"/>
    </row>
    <row r="9" spans="2:21" ht="15.75" customHeight="1" thickBot="1" x14ac:dyDescent="0.3">
      <c r="B9" s="2">
        <f t="shared" ref="B9:B31" si="1">+B8+1</f>
        <v>2028</v>
      </c>
      <c r="C9" s="346">
        <v>0</v>
      </c>
      <c r="D9" s="7">
        <f>C9*(1+0.07)^-($B9-Assumptions!$D$4)</f>
        <v>0</v>
      </c>
      <c r="E9" s="346">
        <v>0</v>
      </c>
      <c r="F9" s="7">
        <f t="shared" ref="F9:F10" si="2">+E9</f>
        <v>0</v>
      </c>
      <c r="I9" s="129" t="s">
        <v>105</v>
      </c>
      <c r="J9" s="249">
        <f>SUM(J6:J8)</f>
        <v>27</v>
      </c>
      <c r="O9" s="361" t="s">
        <v>371</v>
      </c>
      <c r="P9" s="370"/>
      <c r="Q9" s="370"/>
      <c r="R9" s="370"/>
      <c r="S9" s="370"/>
      <c r="T9" s="370"/>
      <c r="U9" s="363"/>
    </row>
    <row r="10" spans="2:21" ht="15.75" customHeight="1" thickBot="1" x14ac:dyDescent="0.3">
      <c r="B10" s="2">
        <f t="shared" si="1"/>
        <v>2029</v>
      </c>
      <c r="C10" s="346">
        <v>0</v>
      </c>
      <c r="D10" s="7">
        <f>C10*(1+0.07)^-($B10-Assumptions!$D$4)</f>
        <v>0</v>
      </c>
      <c r="E10" s="346">
        <v>0</v>
      </c>
      <c r="F10" s="7">
        <f t="shared" si="2"/>
        <v>0</v>
      </c>
      <c r="J10" s="15"/>
      <c r="N10">
        <v>4</v>
      </c>
      <c r="O10" s="371" t="s">
        <v>372</v>
      </c>
      <c r="P10" s="372" t="s">
        <v>373</v>
      </c>
      <c r="Q10" s="371" t="s">
        <v>374</v>
      </c>
      <c r="R10" s="373">
        <v>13</v>
      </c>
      <c r="S10" s="374">
        <v>55738</v>
      </c>
      <c r="T10" s="375">
        <v>724594</v>
      </c>
      <c r="U10" s="376">
        <f>R10*S10</f>
        <v>724594</v>
      </c>
    </row>
    <row r="11" spans="2:21" ht="15.75" customHeight="1" x14ac:dyDescent="0.25">
      <c r="B11" s="2">
        <f t="shared" si="1"/>
        <v>2030</v>
      </c>
      <c r="C11" s="346">
        <v>0</v>
      </c>
      <c r="D11" s="7">
        <f>C11*(1+0.07)^-($B11-Assumptions!$D$4)</f>
        <v>0</v>
      </c>
      <c r="E11" s="346">
        <v>0</v>
      </c>
      <c r="F11" s="7">
        <f t="shared" ref="F11:F20" si="3">+E11</f>
        <v>0</v>
      </c>
      <c r="I11" s="310" t="s">
        <v>18</v>
      </c>
      <c r="J11" s="311"/>
      <c r="K11" s="311"/>
      <c r="L11" s="127"/>
      <c r="N11">
        <v>4</v>
      </c>
      <c r="O11" s="371" t="s">
        <v>375</v>
      </c>
      <c r="P11" s="372" t="s">
        <v>376</v>
      </c>
      <c r="Q11" s="371" t="s">
        <v>374</v>
      </c>
      <c r="R11" s="373">
        <v>6</v>
      </c>
      <c r="S11" s="374">
        <v>541000</v>
      </c>
      <c r="T11" s="375">
        <v>3246000</v>
      </c>
      <c r="U11" s="376">
        <f t="shared" ref="U11:U28" si="4">R11*S11</f>
        <v>3246000</v>
      </c>
    </row>
    <row r="12" spans="2:21" ht="15.75" customHeight="1" x14ac:dyDescent="0.25">
      <c r="B12" s="2">
        <f t="shared" si="1"/>
        <v>2031</v>
      </c>
      <c r="C12" s="346">
        <v>0</v>
      </c>
      <c r="D12" s="7">
        <f>C12*(1+0.07)^-($B12-Assumptions!$D$4)</f>
        <v>0</v>
      </c>
      <c r="E12" s="346">
        <v>0</v>
      </c>
      <c r="F12" s="7">
        <f t="shared" si="3"/>
        <v>0</v>
      </c>
      <c r="I12" s="550" t="s">
        <v>4</v>
      </c>
      <c r="J12" s="551" t="s">
        <v>22</v>
      </c>
      <c r="K12" s="552" t="s">
        <v>363</v>
      </c>
      <c r="L12" s="553" t="s">
        <v>367</v>
      </c>
      <c r="N12">
        <v>4</v>
      </c>
      <c r="O12" s="371" t="s">
        <v>377</v>
      </c>
      <c r="P12" s="372" t="s">
        <v>378</v>
      </c>
      <c r="Q12" s="371" t="s">
        <v>374</v>
      </c>
      <c r="R12" s="373">
        <v>30</v>
      </c>
      <c r="S12" s="374">
        <v>17900</v>
      </c>
      <c r="T12" s="375">
        <v>537000</v>
      </c>
      <c r="U12" s="376">
        <f t="shared" si="4"/>
        <v>537000</v>
      </c>
    </row>
    <row r="13" spans="2:21" ht="15.75" customHeight="1" x14ac:dyDescent="0.25">
      <c r="B13" s="2">
        <f t="shared" si="1"/>
        <v>2032</v>
      </c>
      <c r="C13" s="346">
        <v>0</v>
      </c>
      <c r="D13" s="7">
        <f>C13*(1+0.07)^-($B13-Assumptions!$D$4)</f>
        <v>0</v>
      </c>
      <c r="E13" s="346">
        <v>0</v>
      </c>
      <c r="F13" s="7">
        <f t="shared" si="3"/>
        <v>0</v>
      </c>
      <c r="I13" s="550"/>
      <c r="J13" s="551"/>
      <c r="K13" s="552"/>
      <c r="L13" s="553"/>
      <c r="N13">
        <v>4</v>
      </c>
      <c r="O13" s="371" t="s">
        <v>379</v>
      </c>
      <c r="P13" s="372" t="s">
        <v>380</v>
      </c>
      <c r="Q13" s="371" t="s">
        <v>374</v>
      </c>
      <c r="R13" s="373">
        <v>38</v>
      </c>
      <c r="S13" s="374">
        <v>6745</v>
      </c>
      <c r="T13" s="375">
        <v>256310</v>
      </c>
      <c r="U13" s="376">
        <f t="shared" si="4"/>
        <v>256310</v>
      </c>
    </row>
    <row r="14" spans="2:21" ht="15.75" customHeight="1" x14ac:dyDescent="0.25">
      <c r="B14" s="2">
        <f t="shared" si="1"/>
        <v>2033</v>
      </c>
      <c r="C14" s="346">
        <v>0</v>
      </c>
      <c r="D14" s="7">
        <f>C14*(1+0.07)^-($B14-Assumptions!$D$4)</f>
        <v>0</v>
      </c>
      <c r="E14" s="346">
        <v>0</v>
      </c>
      <c r="F14" s="7">
        <f t="shared" si="3"/>
        <v>0</v>
      </c>
      <c r="I14" s="550"/>
      <c r="J14" s="551"/>
      <c r="K14" s="552"/>
      <c r="L14" s="553"/>
      <c r="N14">
        <v>4</v>
      </c>
      <c r="O14" s="371" t="s">
        <v>381</v>
      </c>
      <c r="P14" s="372" t="s">
        <v>382</v>
      </c>
      <c r="Q14" s="371" t="s">
        <v>374</v>
      </c>
      <c r="R14" s="373">
        <v>15</v>
      </c>
      <c r="S14" s="374">
        <v>19700</v>
      </c>
      <c r="T14" s="375">
        <v>295500</v>
      </c>
      <c r="U14" s="376">
        <f t="shared" si="4"/>
        <v>295500</v>
      </c>
    </row>
    <row r="15" spans="2:21" ht="15.75" customHeight="1" x14ac:dyDescent="0.25">
      <c r="B15" s="2">
        <f t="shared" si="1"/>
        <v>2034</v>
      </c>
      <c r="C15" s="346">
        <v>0</v>
      </c>
      <c r="D15" s="7">
        <f>C15*(1+0.07)^-($B15-Assumptions!$D$4)</f>
        <v>0</v>
      </c>
      <c r="E15" s="346">
        <v>0</v>
      </c>
      <c r="F15" s="7">
        <f t="shared" si="3"/>
        <v>0</v>
      </c>
      <c r="H15" s="356">
        <v>1</v>
      </c>
      <c r="I15" s="252" t="s">
        <v>36</v>
      </c>
      <c r="J15" s="306">
        <v>100</v>
      </c>
      <c r="K15" s="250">
        <f t="shared" ref="K15:K20" si="5">G64</f>
        <v>3700000</v>
      </c>
      <c r="L15" s="312">
        <f>K15*(J15-Assumptions!$D$7)/'Capital Cost and RCV Calc'!J15</f>
        <v>2590000</v>
      </c>
      <c r="M15" s="189"/>
      <c r="N15">
        <v>5</v>
      </c>
      <c r="O15" s="371" t="s">
        <v>383</v>
      </c>
      <c r="P15" s="372" t="s">
        <v>384</v>
      </c>
      <c r="Q15" s="371" t="s">
        <v>385</v>
      </c>
      <c r="R15" s="373">
        <v>86</v>
      </c>
      <c r="S15" s="377"/>
      <c r="T15" s="377"/>
      <c r="U15" s="376">
        <f t="shared" si="4"/>
        <v>0</v>
      </c>
    </row>
    <row r="16" spans="2:21" ht="15.75" customHeight="1" x14ac:dyDescent="0.25">
      <c r="B16" s="2">
        <f t="shared" si="1"/>
        <v>2035</v>
      </c>
      <c r="C16" s="346">
        <v>0</v>
      </c>
      <c r="D16" s="7">
        <f>C16*(1+0.07)^-($B16-Assumptions!$D$4)</f>
        <v>0</v>
      </c>
      <c r="E16" s="346">
        <v>0</v>
      </c>
      <c r="F16" s="7">
        <f t="shared" si="3"/>
        <v>0</v>
      </c>
      <c r="H16" s="356">
        <v>2</v>
      </c>
      <c r="I16" s="252" t="s">
        <v>37</v>
      </c>
      <c r="J16" s="306">
        <v>60</v>
      </c>
      <c r="K16" s="250">
        <f t="shared" si="5"/>
        <v>33481905.096724588</v>
      </c>
      <c r="L16" s="312">
        <f>K16*(J16-Assumptions!$D$7)/'Capital Cost and RCV Calc'!J16</f>
        <v>16740952.548362294</v>
      </c>
      <c r="M16" s="68"/>
      <c r="N16">
        <v>5</v>
      </c>
      <c r="O16" s="371" t="s">
        <v>386</v>
      </c>
      <c r="P16" s="372" t="s">
        <v>387</v>
      </c>
      <c r="Q16" s="371" t="s">
        <v>385</v>
      </c>
      <c r="R16" s="373">
        <v>71</v>
      </c>
      <c r="S16" s="377"/>
      <c r="T16" s="377"/>
      <c r="U16" s="376">
        <f t="shared" si="4"/>
        <v>0</v>
      </c>
    </row>
    <row r="17" spans="2:21" ht="15.75" customHeight="1" x14ac:dyDescent="0.25">
      <c r="B17" s="2">
        <f t="shared" si="1"/>
        <v>2036</v>
      </c>
      <c r="C17" s="346">
        <v>0</v>
      </c>
      <c r="D17" s="7">
        <f>C17*(1+0.07)^-($B17-Assumptions!$D$4)</f>
        <v>0</v>
      </c>
      <c r="E17" s="346">
        <v>0</v>
      </c>
      <c r="F17" s="7">
        <f t="shared" si="3"/>
        <v>0</v>
      </c>
      <c r="H17" s="356">
        <v>3</v>
      </c>
      <c r="I17" s="252" t="s">
        <v>38</v>
      </c>
      <c r="J17" s="306">
        <v>50</v>
      </c>
      <c r="K17" s="250">
        <f t="shared" si="5"/>
        <v>992896.68148993677</v>
      </c>
      <c r="L17" s="312">
        <f>K17*(J17-Assumptions!$D$7)/'Capital Cost and RCV Calc'!J17</f>
        <v>397158.67259597476</v>
      </c>
      <c r="M17" s="68"/>
      <c r="N17">
        <v>5</v>
      </c>
      <c r="O17" s="371" t="s">
        <v>388</v>
      </c>
      <c r="P17" s="372" t="s">
        <v>389</v>
      </c>
      <c r="Q17" s="371" t="s">
        <v>385</v>
      </c>
      <c r="R17" s="373">
        <v>61</v>
      </c>
      <c r="S17" s="374">
        <v>17522</v>
      </c>
      <c r="T17" s="375">
        <v>1068866</v>
      </c>
      <c r="U17" s="376">
        <f t="shared" si="4"/>
        <v>1068842</v>
      </c>
    </row>
    <row r="18" spans="2:21" ht="15.75" customHeight="1" x14ac:dyDescent="0.25">
      <c r="B18" s="2">
        <f t="shared" si="1"/>
        <v>2037</v>
      </c>
      <c r="C18" s="346">
        <v>0</v>
      </c>
      <c r="D18" s="7">
        <f>C18*(1+0.07)^-($B18-Assumptions!$D$4)</f>
        <v>0</v>
      </c>
      <c r="E18" s="346">
        <v>0</v>
      </c>
      <c r="F18" s="7">
        <f t="shared" si="3"/>
        <v>0</v>
      </c>
      <c r="H18" s="356">
        <v>4</v>
      </c>
      <c r="I18" s="252" t="s">
        <v>39</v>
      </c>
      <c r="J18" s="306">
        <v>40</v>
      </c>
      <c r="K18" s="250">
        <f t="shared" si="5"/>
        <v>5311396.2316337796</v>
      </c>
      <c r="L18" s="312">
        <f>K18*(J18-Assumptions!$D$7)/'Capital Cost and RCV Calc'!J18</f>
        <v>1327849.0579084449</v>
      </c>
      <c r="M18" s="68"/>
      <c r="N18">
        <v>5</v>
      </c>
      <c r="O18" s="371" t="s">
        <v>390</v>
      </c>
      <c r="P18" s="372" t="s">
        <v>391</v>
      </c>
      <c r="Q18" s="371" t="s">
        <v>385</v>
      </c>
      <c r="R18" s="373">
        <v>61</v>
      </c>
      <c r="S18" s="374">
        <v>9295</v>
      </c>
      <c r="T18" s="375">
        <v>567007</v>
      </c>
      <c r="U18" s="376">
        <f t="shared" si="4"/>
        <v>566995</v>
      </c>
    </row>
    <row r="19" spans="2:21" ht="15.75" customHeight="1" x14ac:dyDescent="0.25">
      <c r="B19" s="2">
        <f t="shared" si="1"/>
        <v>2038</v>
      </c>
      <c r="C19" s="346">
        <v>0</v>
      </c>
      <c r="D19" s="7">
        <f>C19*(1+0.07)^-($B19-Assumptions!$D$4)</f>
        <v>0</v>
      </c>
      <c r="E19" s="346">
        <v>0</v>
      </c>
      <c r="F19" s="7">
        <f t="shared" si="3"/>
        <v>0</v>
      </c>
      <c r="H19" s="356">
        <v>5</v>
      </c>
      <c r="I19" s="252" t="s">
        <v>40</v>
      </c>
      <c r="J19" s="306">
        <v>25</v>
      </c>
      <c r="K19" s="250">
        <f t="shared" si="5"/>
        <v>6600775.12291623</v>
      </c>
      <c r="L19" s="312">
        <v>0</v>
      </c>
      <c r="M19" s="68"/>
      <c r="N19">
        <v>5</v>
      </c>
      <c r="O19" s="371" t="s">
        <v>392</v>
      </c>
      <c r="P19" s="372" t="s">
        <v>393</v>
      </c>
      <c r="Q19" s="371" t="s">
        <v>385</v>
      </c>
      <c r="R19" s="373">
        <v>40</v>
      </c>
      <c r="S19" s="374">
        <v>30032</v>
      </c>
      <c r="T19" s="375">
        <v>1201280</v>
      </c>
      <c r="U19" s="376">
        <f t="shared" si="4"/>
        <v>1201280</v>
      </c>
    </row>
    <row r="20" spans="2:21" ht="15.75" customHeight="1" x14ac:dyDescent="0.25">
      <c r="B20" s="2">
        <f t="shared" si="1"/>
        <v>2039</v>
      </c>
      <c r="C20" s="346">
        <v>0</v>
      </c>
      <c r="D20" s="7">
        <f>C20*(1+0.07)^-($B20-Assumptions!$D$4)</f>
        <v>0</v>
      </c>
      <c r="E20" s="346">
        <v>0</v>
      </c>
      <c r="F20" s="7">
        <f t="shared" si="3"/>
        <v>0</v>
      </c>
      <c r="H20" s="356">
        <v>6</v>
      </c>
      <c r="I20" s="252" t="s">
        <v>41</v>
      </c>
      <c r="J20" s="306">
        <v>0</v>
      </c>
      <c r="K20" s="250">
        <f t="shared" si="5"/>
        <v>4756380.867235464</v>
      </c>
      <c r="L20" s="312">
        <v>0</v>
      </c>
      <c r="M20" s="68"/>
      <c r="N20">
        <v>5</v>
      </c>
      <c r="O20" s="371" t="s">
        <v>394</v>
      </c>
      <c r="P20" s="372" t="s">
        <v>395</v>
      </c>
      <c r="Q20" s="371" t="s">
        <v>385</v>
      </c>
      <c r="R20" s="373">
        <v>40</v>
      </c>
      <c r="S20" s="374">
        <v>13348</v>
      </c>
      <c r="T20" s="375">
        <v>533902</v>
      </c>
      <c r="U20" s="376">
        <f t="shared" si="4"/>
        <v>533920</v>
      </c>
    </row>
    <row r="21" spans="2:21" ht="15.75" customHeight="1" thickBot="1" x14ac:dyDescent="0.3">
      <c r="B21" s="2">
        <f t="shared" si="1"/>
        <v>2040</v>
      </c>
      <c r="C21" s="346">
        <v>0</v>
      </c>
      <c r="D21" s="7">
        <f>C21*(1+0.07)^-($B21-Assumptions!$D$4)</f>
        <v>0</v>
      </c>
      <c r="E21" s="346">
        <v>0</v>
      </c>
      <c r="F21" s="7">
        <f t="shared" ref="F21:F31" si="6">+E21</f>
        <v>0</v>
      </c>
      <c r="I21" s="251" t="s">
        <v>5</v>
      </c>
      <c r="J21" s="309"/>
      <c r="K21" s="313">
        <f>SUM(K15:K20)</f>
        <v>54843354</v>
      </c>
      <c r="L21" s="305">
        <f>SUM(L15:L20)</f>
        <v>21055960.278866712</v>
      </c>
      <c r="M21" s="68"/>
      <c r="N21">
        <v>5</v>
      </c>
      <c r="O21" s="371" t="s">
        <v>396</v>
      </c>
      <c r="P21" s="372" t="s">
        <v>397</v>
      </c>
      <c r="Q21" s="371" t="s">
        <v>385</v>
      </c>
      <c r="R21" s="373">
        <v>29</v>
      </c>
      <c r="S21" s="374">
        <v>11733</v>
      </c>
      <c r="T21" s="375">
        <v>340267</v>
      </c>
      <c r="U21" s="376">
        <f t="shared" si="4"/>
        <v>340257</v>
      </c>
    </row>
    <row r="22" spans="2:21" ht="15.75" customHeight="1" x14ac:dyDescent="0.25">
      <c r="B22" s="2">
        <f t="shared" si="1"/>
        <v>2041</v>
      </c>
      <c r="C22" s="346">
        <v>0</v>
      </c>
      <c r="D22" s="7">
        <f>C22*(1+0.07)^-($B22-Assumptions!$D$4)</f>
        <v>0</v>
      </c>
      <c r="E22" s="346">
        <v>0</v>
      </c>
      <c r="F22" s="7">
        <f t="shared" si="6"/>
        <v>0</v>
      </c>
      <c r="I22" s="10"/>
      <c r="N22">
        <v>5</v>
      </c>
      <c r="O22" s="371" t="s">
        <v>398</v>
      </c>
      <c r="P22" s="372" t="s">
        <v>399</v>
      </c>
      <c r="Q22" s="371" t="s">
        <v>385</v>
      </c>
      <c r="R22" s="373">
        <v>29</v>
      </c>
      <c r="S22" s="374">
        <v>3911</v>
      </c>
      <c r="T22" s="375">
        <v>113422</v>
      </c>
      <c r="U22" s="376">
        <f t="shared" si="4"/>
        <v>113419</v>
      </c>
    </row>
    <row r="23" spans="2:21" ht="15.75" customHeight="1" x14ac:dyDescent="0.25">
      <c r="B23" s="2">
        <f t="shared" si="1"/>
        <v>2042</v>
      </c>
      <c r="C23" s="346">
        <v>0</v>
      </c>
      <c r="D23" s="7">
        <f>C23*(1+0.07)^-($B23-Assumptions!$D$4)</f>
        <v>0</v>
      </c>
      <c r="E23" s="346">
        <v>0</v>
      </c>
      <c r="F23" s="7">
        <f t="shared" si="6"/>
        <v>0</v>
      </c>
      <c r="N23">
        <v>5</v>
      </c>
      <c r="O23" s="371" t="s">
        <v>400</v>
      </c>
      <c r="P23" s="372" t="s">
        <v>401</v>
      </c>
      <c r="Q23" s="371" t="s">
        <v>385</v>
      </c>
      <c r="R23" s="373">
        <v>12</v>
      </c>
      <c r="S23" s="374">
        <v>6817</v>
      </c>
      <c r="T23" s="375">
        <v>81800</v>
      </c>
      <c r="U23" s="376">
        <f t="shared" si="4"/>
        <v>81804</v>
      </c>
    </row>
    <row r="24" spans="2:21" ht="15.75" customHeight="1" x14ac:dyDescent="0.25">
      <c r="B24" s="2">
        <f t="shared" si="1"/>
        <v>2043</v>
      </c>
      <c r="C24" s="346">
        <v>0</v>
      </c>
      <c r="D24" s="7">
        <f>C24*(1+0.07)^-($B24-Assumptions!$D$4)</f>
        <v>0</v>
      </c>
      <c r="E24" s="346">
        <v>0</v>
      </c>
      <c r="F24" s="7">
        <f t="shared" si="6"/>
        <v>0</v>
      </c>
      <c r="N24">
        <v>5</v>
      </c>
      <c r="O24" s="378" t="s">
        <v>402</v>
      </c>
      <c r="P24" s="378" t="s">
        <v>403</v>
      </c>
      <c r="Q24" s="371" t="s">
        <v>385</v>
      </c>
      <c r="R24" s="373">
        <v>20</v>
      </c>
      <c r="S24" s="374">
        <v>11697</v>
      </c>
      <c r="T24" s="375">
        <v>233936</v>
      </c>
      <c r="U24" s="376">
        <f t="shared" si="4"/>
        <v>233940</v>
      </c>
    </row>
    <row r="25" spans="2:21" ht="15.75" customHeight="1" x14ac:dyDescent="0.25">
      <c r="B25" s="2">
        <f t="shared" si="1"/>
        <v>2044</v>
      </c>
      <c r="C25" s="346">
        <v>0</v>
      </c>
      <c r="D25" s="7">
        <f>C25*(1+0.07)^-($B25-Assumptions!$D$4)</f>
        <v>0</v>
      </c>
      <c r="E25" s="346">
        <v>0</v>
      </c>
      <c r="F25" s="7">
        <f t="shared" si="6"/>
        <v>0</v>
      </c>
      <c r="N25">
        <v>5</v>
      </c>
      <c r="O25" s="371" t="s">
        <v>404</v>
      </c>
      <c r="P25" s="372" t="s">
        <v>405</v>
      </c>
      <c r="Q25" s="371" t="s">
        <v>406</v>
      </c>
      <c r="R25" s="373">
        <v>2000</v>
      </c>
      <c r="S25" s="379">
        <v>16</v>
      </c>
      <c r="T25" s="375">
        <v>32000</v>
      </c>
      <c r="U25" s="376">
        <f t="shared" si="4"/>
        <v>32000</v>
      </c>
    </row>
    <row r="26" spans="2:21" ht="15.75" customHeight="1" x14ac:dyDescent="0.25">
      <c r="B26" s="2">
        <f t="shared" si="1"/>
        <v>2045</v>
      </c>
      <c r="C26" s="346">
        <v>0</v>
      </c>
      <c r="D26" s="7">
        <f>C26*(1+0.07)^-($B26-Assumptions!$D$4)</f>
        <v>0</v>
      </c>
      <c r="E26" s="346">
        <v>0</v>
      </c>
      <c r="F26" s="7">
        <f t="shared" si="6"/>
        <v>0</v>
      </c>
      <c r="N26">
        <v>5</v>
      </c>
      <c r="O26" s="371" t="s">
        <v>407</v>
      </c>
      <c r="P26" s="372" t="s">
        <v>408</v>
      </c>
      <c r="Q26" s="371" t="s">
        <v>409</v>
      </c>
      <c r="R26" s="373">
        <v>30</v>
      </c>
      <c r="S26" s="374">
        <v>20171</v>
      </c>
      <c r="T26" s="375">
        <v>605130</v>
      </c>
      <c r="U26" s="376">
        <f t="shared" si="4"/>
        <v>605130</v>
      </c>
    </row>
    <row r="27" spans="2:21" ht="15.75" customHeight="1" x14ac:dyDescent="0.25">
      <c r="B27" s="2">
        <f t="shared" si="1"/>
        <v>2046</v>
      </c>
      <c r="C27" s="346">
        <v>0</v>
      </c>
      <c r="D27" s="7">
        <f>C27*(1+0.07)^-($B27-Assumptions!$D$4)</f>
        <v>0</v>
      </c>
      <c r="E27" s="346">
        <v>0</v>
      </c>
      <c r="F27" s="7">
        <f t="shared" si="6"/>
        <v>0</v>
      </c>
      <c r="N27">
        <v>6</v>
      </c>
      <c r="O27" s="371" t="s">
        <v>410</v>
      </c>
      <c r="P27" s="372" t="s">
        <v>411</v>
      </c>
      <c r="Q27" s="371" t="s">
        <v>385</v>
      </c>
      <c r="R27" s="373">
        <v>7</v>
      </c>
      <c r="S27" s="374">
        <v>14111</v>
      </c>
      <c r="T27" s="375">
        <v>98775</v>
      </c>
      <c r="U27" s="376">
        <f t="shared" si="4"/>
        <v>98777</v>
      </c>
    </row>
    <row r="28" spans="2:21" ht="15.75" customHeight="1" x14ac:dyDescent="0.25">
      <c r="B28" s="2">
        <f t="shared" si="1"/>
        <v>2047</v>
      </c>
      <c r="C28" s="346">
        <v>0</v>
      </c>
      <c r="D28" s="7">
        <f>C28*(1+0.07)^-($B28-Assumptions!$D$4)</f>
        <v>0</v>
      </c>
      <c r="E28" s="346">
        <v>0</v>
      </c>
      <c r="F28" s="7">
        <f t="shared" si="6"/>
        <v>0</v>
      </c>
      <c r="N28">
        <v>5</v>
      </c>
      <c r="O28" s="378" t="s">
        <v>412</v>
      </c>
      <c r="P28" s="378" t="s">
        <v>413</v>
      </c>
      <c r="Q28" s="371" t="s">
        <v>409</v>
      </c>
      <c r="R28" s="373">
        <v>25</v>
      </c>
      <c r="S28" s="377"/>
      <c r="T28" s="377"/>
      <c r="U28" s="376">
        <f t="shared" si="4"/>
        <v>0</v>
      </c>
    </row>
    <row r="29" spans="2:21" ht="15.75" customHeight="1" x14ac:dyDescent="0.25">
      <c r="B29" s="2">
        <f t="shared" si="1"/>
        <v>2048</v>
      </c>
      <c r="C29" s="346">
        <v>0</v>
      </c>
      <c r="D29" s="7">
        <f>C29*(1+0.07)^-($B29-Assumptions!$D$4)</f>
        <v>0</v>
      </c>
      <c r="E29" s="346">
        <v>0</v>
      </c>
      <c r="F29" s="7">
        <f t="shared" si="6"/>
        <v>0</v>
      </c>
      <c r="O29" s="361" t="s">
        <v>414</v>
      </c>
      <c r="P29" s="370"/>
      <c r="Q29" s="370"/>
      <c r="R29" s="362"/>
      <c r="S29" s="377"/>
      <c r="T29" s="375">
        <v>9935790</v>
      </c>
      <c r="U29" s="376">
        <f>SUM(U10:U28)</f>
        <v>9935768</v>
      </c>
    </row>
    <row r="30" spans="2:21" ht="15.75" customHeight="1" x14ac:dyDescent="0.25">
      <c r="B30" s="2">
        <f t="shared" si="1"/>
        <v>2049</v>
      </c>
      <c r="C30" s="346">
        <v>0</v>
      </c>
      <c r="D30" s="7">
        <f>C30*(1+0.07)^-($B30-Assumptions!$D$4)</f>
        <v>0</v>
      </c>
      <c r="E30" s="346">
        <v>0</v>
      </c>
      <c r="F30" s="7">
        <f t="shared" si="6"/>
        <v>0</v>
      </c>
      <c r="O30" s="361" t="s">
        <v>415</v>
      </c>
      <c r="P30" s="370"/>
      <c r="Q30" s="370"/>
      <c r="R30" s="370"/>
      <c r="S30" s="370"/>
      <c r="T30" s="370"/>
      <c r="U30" s="363"/>
    </row>
    <row r="31" spans="2:21" ht="15.75" customHeight="1" x14ac:dyDescent="0.25">
      <c r="B31" s="2">
        <f t="shared" si="1"/>
        <v>2050</v>
      </c>
      <c r="C31" s="346">
        <v>0</v>
      </c>
      <c r="D31" s="7">
        <f>C31*(1+0.07)^-($B31-Assumptions!$D$4)</f>
        <v>0</v>
      </c>
      <c r="E31" s="346">
        <v>0</v>
      </c>
      <c r="F31" s="7">
        <f t="shared" si="6"/>
        <v>0</v>
      </c>
      <c r="N31">
        <v>3</v>
      </c>
      <c r="O31" s="371" t="s">
        <v>416</v>
      </c>
      <c r="P31" s="372" t="s">
        <v>417</v>
      </c>
      <c r="Q31" s="377"/>
      <c r="R31" s="377"/>
      <c r="S31" s="380">
        <v>0.02</v>
      </c>
      <c r="T31" s="375">
        <v>199000</v>
      </c>
      <c r="U31" s="376">
        <f>S31*$U$29</f>
        <v>198715.36000000002</v>
      </c>
    </row>
    <row r="32" spans="2:21" ht="15.75" customHeight="1" x14ac:dyDescent="0.25">
      <c r="B32" s="2">
        <f t="shared" ref="B32:B37" si="7">+B31+1</f>
        <v>2051</v>
      </c>
      <c r="C32" s="346">
        <v>0</v>
      </c>
      <c r="D32" s="7">
        <f>C32*(1+0.07)^-($B32-Assumptions!$D$4)</f>
        <v>0</v>
      </c>
      <c r="E32" s="346">
        <v>0</v>
      </c>
      <c r="F32" s="7">
        <f t="shared" ref="F32:F35" si="8">+E32</f>
        <v>0</v>
      </c>
      <c r="N32">
        <v>3</v>
      </c>
      <c r="O32" s="371" t="s">
        <v>418</v>
      </c>
      <c r="P32" s="372" t="s">
        <v>419</v>
      </c>
      <c r="Q32" s="371" t="s">
        <v>420</v>
      </c>
      <c r="R32" s="375">
        <v>100000</v>
      </c>
      <c r="S32" s="381">
        <v>2.5</v>
      </c>
      <c r="T32" s="375">
        <v>250000</v>
      </c>
      <c r="U32" s="376">
        <f t="shared" ref="U32" si="9">R32*S32</f>
        <v>250000</v>
      </c>
    </row>
    <row r="33" spans="1:21" ht="15.75" customHeight="1" x14ac:dyDescent="0.25">
      <c r="B33" s="2">
        <f t="shared" si="7"/>
        <v>2052</v>
      </c>
      <c r="C33" s="346">
        <v>0</v>
      </c>
      <c r="D33" s="7">
        <f>C33*(1+0.07)^-($B33-Assumptions!$D$4)</f>
        <v>0</v>
      </c>
      <c r="E33" s="346">
        <v>0</v>
      </c>
      <c r="F33" s="7">
        <f t="shared" si="8"/>
        <v>0</v>
      </c>
      <c r="N33">
        <v>3</v>
      </c>
      <c r="O33" s="371" t="s">
        <v>421</v>
      </c>
      <c r="P33" s="372" t="s">
        <v>422</v>
      </c>
      <c r="Q33" s="382">
        <v>0.03</v>
      </c>
      <c r="R33" s="377"/>
      <c r="S33" s="377"/>
      <c r="T33" s="375">
        <v>298074</v>
      </c>
      <c r="U33" s="376">
        <f>Q33*$U$29</f>
        <v>298073.03999999998</v>
      </c>
    </row>
    <row r="34" spans="1:21" ht="15.75" customHeight="1" x14ac:dyDescent="0.25">
      <c r="B34" s="2">
        <f t="shared" si="7"/>
        <v>2053</v>
      </c>
      <c r="C34" s="346">
        <v>0</v>
      </c>
      <c r="D34" s="7">
        <f>C34*(1+0.07)^-($B34-Assumptions!$D$4)</f>
        <v>0</v>
      </c>
      <c r="E34" s="346">
        <v>0</v>
      </c>
      <c r="F34" s="7">
        <f t="shared" si="8"/>
        <v>0</v>
      </c>
      <c r="N34">
        <v>3</v>
      </c>
      <c r="O34" s="378" t="s">
        <v>423</v>
      </c>
      <c r="P34" s="378" t="s">
        <v>424</v>
      </c>
      <c r="Q34" s="382">
        <v>0.02</v>
      </c>
      <c r="R34" s="377"/>
      <c r="S34" s="377"/>
      <c r="T34" s="375">
        <v>198716</v>
      </c>
      <c r="U34" s="376">
        <f>Q34*$U$29</f>
        <v>198715.36000000002</v>
      </c>
    </row>
    <row r="35" spans="1:21" ht="15.75" customHeight="1" x14ac:dyDescent="0.25">
      <c r="B35" s="2">
        <f t="shared" si="7"/>
        <v>2054</v>
      </c>
      <c r="C35" s="346">
        <v>0</v>
      </c>
      <c r="D35" s="7">
        <f>C35*(1+0.07)^-($B35-Assumptions!$D$4)</f>
        <v>0</v>
      </c>
      <c r="E35" s="346">
        <v>0</v>
      </c>
      <c r="F35" s="7">
        <f t="shared" si="8"/>
        <v>0</v>
      </c>
      <c r="O35" s="361" t="s">
        <v>425</v>
      </c>
      <c r="P35" s="370"/>
      <c r="Q35" s="370"/>
      <c r="R35" s="362"/>
      <c r="S35" s="377"/>
      <c r="T35" s="375">
        <v>945790</v>
      </c>
      <c r="U35" s="376">
        <f>SUM(U31:U34)</f>
        <v>945503.75999999989</v>
      </c>
    </row>
    <row r="36" spans="1:21" ht="15.75" customHeight="1" thickBot="1" x14ac:dyDescent="0.3">
      <c r="B36" s="347">
        <f t="shared" si="7"/>
        <v>2055</v>
      </c>
      <c r="C36" s="351">
        <v>0</v>
      </c>
      <c r="D36" s="348">
        <f>C36*(1+0.07)^-($B36-Assumptions!$D$4)</f>
        <v>0</v>
      </c>
      <c r="E36" s="351">
        <v>0</v>
      </c>
      <c r="F36" s="348">
        <f t="shared" si="0"/>
        <v>0</v>
      </c>
      <c r="O36" s="361" t="s">
        <v>426</v>
      </c>
      <c r="P36" s="370"/>
      <c r="Q36" s="370"/>
      <c r="R36" s="370"/>
      <c r="S36" s="370"/>
      <c r="T36" s="370"/>
      <c r="U36" s="363"/>
    </row>
    <row r="37" spans="1:21" ht="15.75" customHeight="1" thickBot="1" x14ac:dyDescent="0.3">
      <c r="B37" s="352">
        <f t="shared" si="7"/>
        <v>2056</v>
      </c>
      <c r="C37" s="353">
        <v>0</v>
      </c>
      <c r="D37" s="354">
        <f>C37*(1+0.07)^-($B37-Assumptions!$D$4)</f>
        <v>0</v>
      </c>
      <c r="E37" s="355">
        <f>+L21</f>
        <v>21055960.278866712</v>
      </c>
      <c r="F37" s="354">
        <f>E37*(1+0.07)^-($B37-Assumptions!$D$4)</f>
        <v>1972163.1225507513</v>
      </c>
      <c r="N37">
        <v>2</v>
      </c>
      <c r="O37" s="371" t="s">
        <v>427</v>
      </c>
      <c r="P37" s="372" t="s">
        <v>428</v>
      </c>
      <c r="Q37" s="371" t="s">
        <v>429</v>
      </c>
      <c r="R37" s="373">
        <v>300</v>
      </c>
      <c r="S37" s="374">
        <v>43234</v>
      </c>
      <c r="T37" s="375">
        <v>12970200</v>
      </c>
      <c r="U37" s="376">
        <f t="shared" ref="U37:U40" si="10">R37*S37</f>
        <v>12970200</v>
      </c>
    </row>
    <row r="38" spans="1:21" ht="15.75" customHeight="1" x14ac:dyDescent="0.25">
      <c r="B38" s="4"/>
      <c r="C38" s="6">
        <f>SUM(C5:C37)</f>
        <v>54843354</v>
      </c>
      <c r="D38" s="6">
        <f>SUM(D5:D37)</f>
        <v>40948628.43364498</v>
      </c>
      <c r="E38" s="17"/>
      <c r="F38" s="6">
        <f>SUM(F5:F37)</f>
        <v>1972163.1225507513</v>
      </c>
      <c r="N38">
        <v>2</v>
      </c>
      <c r="O38" s="371" t="s">
        <v>430</v>
      </c>
      <c r="P38" s="372" t="s">
        <v>431</v>
      </c>
      <c r="Q38" s="371" t="s">
        <v>429</v>
      </c>
      <c r="R38" s="373">
        <v>500</v>
      </c>
      <c r="S38" s="374">
        <v>10392</v>
      </c>
      <c r="T38" s="375">
        <v>5196000</v>
      </c>
      <c r="U38" s="376">
        <f t="shared" si="10"/>
        <v>5196000</v>
      </c>
    </row>
    <row r="39" spans="1:21" ht="15.75" customHeight="1" x14ac:dyDescent="0.25">
      <c r="B39" s="4"/>
      <c r="C39" s="4"/>
      <c r="D39" s="6"/>
      <c r="E39" s="17"/>
      <c r="F39" s="81"/>
      <c r="N39">
        <v>2</v>
      </c>
      <c r="O39" s="371" t="s">
        <v>432</v>
      </c>
      <c r="P39" s="372" t="s">
        <v>433</v>
      </c>
      <c r="Q39" s="371" t="s">
        <v>429</v>
      </c>
      <c r="R39" s="373">
        <v>500</v>
      </c>
      <c r="S39" s="374">
        <v>10532</v>
      </c>
      <c r="T39" s="375">
        <v>5266000</v>
      </c>
      <c r="U39" s="376">
        <f t="shared" si="10"/>
        <v>5266000</v>
      </c>
    </row>
    <row r="40" spans="1:21" ht="15.75" customHeight="1" x14ac:dyDescent="0.25">
      <c r="B40" s="4"/>
      <c r="C40" s="46"/>
      <c r="D40" s="46"/>
      <c r="E40" s="17"/>
      <c r="F40" s="81"/>
      <c r="N40">
        <v>2</v>
      </c>
      <c r="O40" s="371" t="s">
        <v>434</v>
      </c>
      <c r="P40" s="372" t="s">
        <v>435</v>
      </c>
      <c r="Q40" s="371" t="s">
        <v>429</v>
      </c>
      <c r="R40" s="373">
        <v>250</v>
      </c>
      <c r="S40" s="374">
        <v>8384</v>
      </c>
      <c r="T40" s="375">
        <v>2096000</v>
      </c>
      <c r="U40" s="376">
        <f t="shared" si="10"/>
        <v>2096000</v>
      </c>
    </row>
    <row r="41" spans="1:21" ht="15.75" customHeight="1" x14ac:dyDescent="0.25">
      <c r="B41" s="4"/>
      <c r="C41" s="340"/>
      <c r="D41" s="68"/>
      <c r="O41" s="361" t="s">
        <v>436</v>
      </c>
      <c r="P41" s="370"/>
      <c r="Q41" s="370"/>
      <c r="R41" s="362"/>
      <c r="S41" s="377"/>
      <c r="T41" s="375">
        <v>25528200</v>
      </c>
      <c r="U41" s="376">
        <f>SUM(U37:U40)</f>
        <v>25528200</v>
      </c>
    </row>
    <row r="42" spans="1:21" ht="15.75" customHeight="1" x14ac:dyDescent="0.25">
      <c r="O42" s="361" t="s">
        <v>437</v>
      </c>
      <c r="P42" s="370"/>
      <c r="Q42" s="370"/>
      <c r="R42" s="370"/>
      <c r="S42" s="370"/>
      <c r="T42" s="370"/>
      <c r="U42" s="363"/>
    </row>
    <row r="43" spans="1:21" ht="15.75" customHeight="1" x14ac:dyDescent="0.25">
      <c r="B43" s="10" t="s">
        <v>3</v>
      </c>
      <c r="N43">
        <v>2</v>
      </c>
      <c r="O43" s="371" t="s">
        <v>438</v>
      </c>
      <c r="P43" s="372" t="s">
        <v>439</v>
      </c>
      <c r="Q43" s="371" t="s">
        <v>409</v>
      </c>
      <c r="R43" s="373">
        <v>400</v>
      </c>
      <c r="S43" s="377"/>
      <c r="T43" s="377"/>
      <c r="U43" s="376">
        <f t="shared" ref="U43:U49" si="11">R43*S43</f>
        <v>0</v>
      </c>
    </row>
    <row r="44" spans="1:21" ht="15.75" customHeight="1" x14ac:dyDescent="0.25">
      <c r="A44" s="11" t="s">
        <v>30</v>
      </c>
      <c r="B44" s="489" t="s">
        <v>1135</v>
      </c>
      <c r="C44" s="489"/>
      <c r="D44" s="489"/>
      <c r="E44" s="489"/>
      <c r="F44" s="489"/>
      <c r="N44">
        <v>2</v>
      </c>
      <c r="O44" s="371" t="s">
        <v>440</v>
      </c>
      <c r="P44" s="372" t="s">
        <v>441</v>
      </c>
      <c r="Q44" s="371" t="s">
        <v>409</v>
      </c>
      <c r="R44" s="373">
        <v>600</v>
      </c>
      <c r="S44" s="379">
        <v>384</v>
      </c>
      <c r="T44" s="375">
        <v>230400</v>
      </c>
      <c r="U44" s="376">
        <f t="shared" si="11"/>
        <v>230400</v>
      </c>
    </row>
    <row r="45" spans="1:21" ht="15.75" customHeight="1" x14ac:dyDescent="0.25">
      <c r="B45" s="489"/>
      <c r="C45" s="489"/>
      <c r="D45" s="489"/>
      <c r="E45" s="489"/>
      <c r="F45" s="489"/>
      <c r="N45">
        <v>2</v>
      </c>
      <c r="O45" s="371" t="s">
        <v>442</v>
      </c>
      <c r="P45" s="372" t="s">
        <v>443</v>
      </c>
      <c r="Q45" s="371" t="s">
        <v>409</v>
      </c>
      <c r="R45" s="373">
        <v>800</v>
      </c>
      <c r="S45" s="379">
        <v>767</v>
      </c>
      <c r="T45" s="375">
        <v>613600</v>
      </c>
      <c r="U45" s="376">
        <f t="shared" si="11"/>
        <v>613600</v>
      </c>
    </row>
    <row r="46" spans="1:21" ht="15.75" customHeight="1" x14ac:dyDescent="0.25">
      <c r="B46" s="489"/>
      <c r="C46" s="489"/>
      <c r="D46" s="489"/>
      <c r="E46" s="489"/>
      <c r="F46" s="489"/>
      <c r="N46">
        <v>2</v>
      </c>
      <c r="O46" s="371" t="s">
        <v>444</v>
      </c>
      <c r="P46" s="372" t="s">
        <v>445</v>
      </c>
      <c r="Q46" s="378" t="s">
        <v>409</v>
      </c>
      <c r="R46" s="383">
        <v>1000</v>
      </c>
      <c r="S46" s="379">
        <v>767</v>
      </c>
      <c r="T46" s="375">
        <v>767000</v>
      </c>
      <c r="U46" s="376">
        <f t="shared" si="11"/>
        <v>767000</v>
      </c>
    </row>
    <row r="47" spans="1:21" ht="15" customHeight="1" x14ac:dyDescent="0.25">
      <c r="B47" s="489"/>
      <c r="C47" s="489"/>
      <c r="D47" s="489"/>
      <c r="E47" s="489"/>
      <c r="F47" s="489"/>
      <c r="N47">
        <v>2</v>
      </c>
      <c r="O47" s="378" t="s">
        <v>446</v>
      </c>
      <c r="P47" s="378" t="s">
        <v>447</v>
      </c>
      <c r="Q47" s="371" t="s">
        <v>409</v>
      </c>
      <c r="R47" s="375">
        <v>1200</v>
      </c>
      <c r="S47" s="379">
        <v>767</v>
      </c>
      <c r="T47" s="375">
        <v>920400</v>
      </c>
      <c r="U47" s="376">
        <f t="shared" si="11"/>
        <v>920400</v>
      </c>
    </row>
    <row r="48" spans="1:21" ht="15" customHeight="1" x14ac:dyDescent="0.25">
      <c r="B48" s="83"/>
      <c r="C48" s="83"/>
      <c r="D48" s="83"/>
      <c r="E48" s="83"/>
      <c r="F48" s="83"/>
      <c r="N48">
        <v>2</v>
      </c>
      <c r="O48" s="371" t="s">
        <v>448</v>
      </c>
      <c r="P48" s="372" t="s">
        <v>449</v>
      </c>
      <c r="Q48" s="371" t="s">
        <v>409</v>
      </c>
      <c r="R48" s="375">
        <v>1400</v>
      </c>
      <c r="S48" s="379">
        <v>767</v>
      </c>
      <c r="T48" s="375">
        <v>1073800</v>
      </c>
      <c r="U48" s="376">
        <f t="shared" si="11"/>
        <v>1073800</v>
      </c>
    </row>
    <row r="49" spans="1:21" x14ac:dyDescent="0.25">
      <c r="A49" s="11" t="s">
        <v>43</v>
      </c>
      <c r="B49" s="489" t="s">
        <v>1136</v>
      </c>
      <c r="C49" s="489"/>
      <c r="D49" s="489"/>
      <c r="E49" s="489"/>
      <c r="F49" s="489"/>
      <c r="N49">
        <v>2</v>
      </c>
      <c r="O49" s="371" t="s">
        <v>450</v>
      </c>
      <c r="P49" s="372" t="s">
        <v>451</v>
      </c>
      <c r="Q49" s="371" t="s">
        <v>409</v>
      </c>
      <c r="R49" s="373">
        <v>600</v>
      </c>
      <c r="S49" s="374">
        <v>4600</v>
      </c>
      <c r="T49" s="375">
        <v>2760000</v>
      </c>
      <c r="U49" s="376">
        <f t="shared" si="11"/>
        <v>2760000</v>
      </c>
    </row>
    <row r="50" spans="1:21" ht="15" customHeight="1" x14ac:dyDescent="0.25">
      <c r="B50" s="489"/>
      <c r="C50" s="489"/>
      <c r="D50" s="489"/>
      <c r="E50" s="489"/>
      <c r="F50" s="489"/>
      <c r="O50" s="361" t="s">
        <v>452</v>
      </c>
      <c r="P50" s="370"/>
      <c r="Q50" s="370"/>
      <c r="R50" s="370"/>
      <c r="S50" s="362"/>
      <c r="T50" s="375">
        <v>6365200</v>
      </c>
      <c r="U50" s="376">
        <f>SUM(U43:U49)</f>
        <v>6365200</v>
      </c>
    </row>
    <row r="51" spans="1:21" ht="15" customHeight="1" x14ac:dyDescent="0.25">
      <c r="A51" s="11"/>
      <c r="B51" s="489"/>
      <c r="C51" s="489"/>
      <c r="D51" s="489"/>
      <c r="E51" s="489"/>
      <c r="F51" s="489"/>
      <c r="O51" s="361" t="s">
        <v>453</v>
      </c>
      <c r="P51" s="370"/>
      <c r="Q51" s="370"/>
      <c r="R51" s="370"/>
      <c r="S51" s="370"/>
      <c r="T51" s="370"/>
      <c r="U51" s="363"/>
    </row>
    <row r="52" spans="1:21" x14ac:dyDescent="0.25">
      <c r="B52" s="489"/>
      <c r="C52" s="489"/>
      <c r="D52" s="489"/>
      <c r="E52" s="489"/>
      <c r="F52" s="489"/>
      <c r="N52">
        <v>5</v>
      </c>
      <c r="O52" s="371" t="s">
        <v>454</v>
      </c>
      <c r="P52" s="372" t="s">
        <v>455</v>
      </c>
      <c r="Q52" s="371" t="s">
        <v>406</v>
      </c>
      <c r="R52" s="375">
        <v>300000</v>
      </c>
      <c r="S52" s="379">
        <v>3</v>
      </c>
      <c r="T52" s="375">
        <v>900000</v>
      </c>
      <c r="U52" s="376">
        <f t="shared" ref="U52:U53" si="12">R52*S52</f>
        <v>900000</v>
      </c>
    </row>
    <row r="53" spans="1:21" x14ac:dyDescent="0.25">
      <c r="B53" s="489"/>
      <c r="C53" s="489"/>
      <c r="D53" s="489"/>
      <c r="E53" s="489"/>
      <c r="F53" s="489"/>
      <c r="N53">
        <v>5</v>
      </c>
      <c r="O53" s="371" t="s">
        <v>456</v>
      </c>
      <c r="P53" s="372" t="s">
        <v>457</v>
      </c>
      <c r="Q53" s="371" t="s">
        <v>420</v>
      </c>
      <c r="R53" s="375">
        <v>350000</v>
      </c>
      <c r="S53" s="381">
        <v>0.9</v>
      </c>
      <c r="T53" s="375">
        <v>315000</v>
      </c>
      <c r="U53" s="376">
        <f t="shared" si="12"/>
        <v>315000</v>
      </c>
    </row>
    <row r="54" spans="1:21" ht="15" customHeight="1" x14ac:dyDescent="0.25">
      <c r="B54" s="489"/>
      <c r="C54" s="489"/>
      <c r="D54" s="489"/>
      <c r="E54" s="489"/>
      <c r="F54" s="489"/>
      <c r="O54" s="361" t="s">
        <v>458</v>
      </c>
      <c r="P54" s="370"/>
      <c r="Q54" s="370"/>
      <c r="R54" s="362"/>
      <c r="S54" s="377"/>
      <c r="T54" s="375">
        <v>1215000</v>
      </c>
      <c r="U54" s="376">
        <f>SUM(U52:U53)</f>
        <v>1215000</v>
      </c>
    </row>
    <row r="55" spans="1:21" ht="15" customHeight="1" x14ac:dyDescent="0.25">
      <c r="B55" s="489"/>
      <c r="C55" s="489"/>
      <c r="D55" s="489"/>
      <c r="E55" s="489"/>
      <c r="F55" s="489"/>
      <c r="O55" s="361" t="s">
        <v>459</v>
      </c>
      <c r="P55" s="370"/>
      <c r="Q55" s="370"/>
      <c r="R55" s="370"/>
      <c r="S55" s="370"/>
      <c r="T55" s="370"/>
      <c r="U55" s="363"/>
    </row>
    <row r="56" spans="1:21" ht="15" customHeight="1" x14ac:dyDescent="0.25">
      <c r="B56" s="489"/>
      <c r="C56" s="489"/>
      <c r="D56" s="489"/>
      <c r="E56" s="489"/>
      <c r="F56" s="489"/>
      <c r="N56">
        <v>5</v>
      </c>
      <c r="O56" s="378" t="s">
        <v>460</v>
      </c>
      <c r="P56" s="378" t="s">
        <v>461</v>
      </c>
      <c r="Q56" s="378" t="s">
        <v>420</v>
      </c>
      <c r="R56" s="383">
        <v>80000</v>
      </c>
      <c r="S56" s="384">
        <v>1.5</v>
      </c>
      <c r="T56" s="375">
        <v>120000</v>
      </c>
      <c r="U56" s="376">
        <f t="shared" ref="U56:U58" si="13">R56*S56</f>
        <v>120000</v>
      </c>
    </row>
    <row r="57" spans="1:21" x14ac:dyDescent="0.25">
      <c r="B57" s="489"/>
      <c r="C57" s="489"/>
      <c r="D57" s="489"/>
      <c r="E57" s="489"/>
      <c r="F57" s="489"/>
      <c r="N57">
        <v>5</v>
      </c>
      <c r="O57" s="371" t="s">
        <v>462</v>
      </c>
      <c r="P57" s="372" t="s">
        <v>463</v>
      </c>
      <c r="Q57" s="371" t="s">
        <v>420</v>
      </c>
      <c r="R57" s="375">
        <v>50000</v>
      </c>
      <c r="S57" s="385">
        <v>1.5</v>
      </c>
      <c r="T57" s="375">
        <v>75000</v>
      </c>
      <c r="U57" s="376">
        <f t="shared" si="13"/>
        <v>75000</v>
      </c>
    </row>
    <row r="58" spans="1:21" x14ac:dyDescent="0.25">
      <c r="B58" s="489"/>
      <c r="C58" s="489"/>
      <c r="D58" s="489"/>
      <c r="E58" s="489"/>
      <c r="F58" s="489"/>
      <c r="N58">
        <v>5</v>
      </c>
      <c r="O58" s="378" t="s">
        <v>464</v>
      </c>
      <c r="P58" s="378" t="s">
        <v>465</v>
      </c>
      <c r="Q58" s="378" t="s">
        <v>406</v>
      </c>
      <c r="R58" s="383">
        <v>50000</v>
      </c>
      <c r="S58" s="384">
        <v>2</v>
      </c>
      <c r="T58" s="375">
        <v>100000</v>
      </c>
      <c r="U58" s="376">
        <f t="shared" si="13"/>
        <v>100000</v>
      </c>
    </row>
    <row r="59" spans="1:21" ht="15" customHeight="1" x14ac:dyDescent="0.25">
      <c r="B59" s="489"/>
      <c r="C59" s="489"/>
      <c r="D59" s="489"/>
      <c r="E59" s="489"/>
      <c r="F59" s="489"/>
      <c r="O59" s="361" t="s">
        <v>466</v>
      </c>
      <c r="P59" s="370"/>
      <c r="Q59" s="370"/>
      <c r="R59" s="362"/>
      <c r="S59" s="377"/>
      <c r="T59" s="375">
        <v>295000</v>
      </c>
      <c r="U59" s="376">
        <f>SUM(U56:U58)</f>
        <v>295000</v>
      </c>
    </row>
    <row r="60" spans="1:21" x14ac:dyDescent="0.25">
      <c r="B60" s="489"/>
      <c r="C60" s="489"/>
      <c r="D60" s="489"/>
      <c r="E60" s="489"/>
      <c r="F60" s="489"/>
      <c r="O60" s="386"/>
      <c r="P60" s="387"/>
      <c r="Q60" s="387"/>
      <c r="R60" s="387"/>
      <c r="S60" s="387"/>
      <c r="T60" s="387"/>
      <c r="U60" s="388"/>
    </row>
    <row r="61" spans="1:21" ht="15" customHeight="1" x14ac:dyDescent="0.25">
      <c r="B61" s="489"/>
      <c r="C61" s="489"/>
      <c r="D61" s="489"/>
      <c r="E61" s="489"/>
      <c r="F61" s="489"/>
      <c r="O61" s="361" t="s">
        <v>467</v>
      </c>
      <c r="P61" s="370"/>
      <c r="Q61" s="370"/>
      <c r="R61" s="362"/>
      <c r="S61" s="377"/>
      <c r="T61" s="375">
        <v>44284980</v>
      </c>
      <c r="U61" s="376">
        <f>SUM(U59,U54,U50,U41,U35,U29)</f>
        <v>44284671.759999998</v>
      </c>
    </row>
    <row r="62" spans="1:21" ht="15" customHeight="1" x14ac:dyDescent="0.25">
      <c r="O62" s="386"/>
      <c r="P62" s="387"/>
      <c r="Q62" s="387"/>
      <c r="R62" s="387"/>
      <c r="S62" s="387"/>
      <c r="T62" s="387"/>
      <c r="U62" s="388"/>
    </row>
    <row r="63" spans="1:21" ht="15" customHeight="1" x14ac:dyDescent="0.25">
      <c r="B63" s="343" t="s">
        <v>1077</v>
      </c>
      <c r="C63" s="344"/>
      <c r="D63" s="256"/>
      <c r="E63" s="64" t="s">
        <v>364</v>
      </c>
      <c r="F63" s="64" t="s">
        <v>365</v>
      </c>
      <c r="G63" s="64"/>
      <c r="O63" s="361" t="s">
        <v>468</v>
      </c>
      <c r="P63" s="370"/>
      <c r="Q63" s="370"/>
      <c r="R63" s="370"/>
      <c r="S63" s="370"/>
      <c r="T63" s="370"/>
      <c r="U63" s="363"/>
    </row>
    <row r="64" spans="1:21" x14ac:dyDescent="0.25">
      <c r="B64" s="64" t="s">
        <v>36</v>
      </c>
      <c r="C64" s="64">
        <v>100</v>
      </c>
      <c r="D64" s="342">
        <f t="shared" ref="D64:D69" si="14">SUMIF($N$10:$N$73,$H15,$T$10:$T$73)</f>
        <v>0</v>
      </c>
      <c r="E64" s="298">
        <f t="shared" ref="E64:E69" si="15">D64/$D$70</f>
        <v>0</v>
      </c>
      <c r="F64" s="195">
        <f t="shared" ref="F64:F70" si="16">E64*SUM($T$65,$T$71)</f>
        <v>0</v>
      </c>
      <c r="G64" s="341">
        <f>SUM(D64,F64)+C71</f>
        <v>3700000</v>
      </c>
      <c r="N64">
        <v>6</v>
      </c>
      <c r="O64" s="371" t="s">
        <v>469</v>
      </c>
      <c r="P64" s="372" t="s">
        <v>470</v>
      </c>
      <c r="Q64" s="382">
        <v>0.05</v>
      </c>
      <c r="R64" s="377"/>
      <c r="S64" s="377"/>
      <c r="T64" s="375">
        <v>2214249</v>
      </c>
      <c r="U64" s="376">
        <f>Q64*$U$61</f>
        <v>2214233.588</v>
      </c>
    </row>
    <row r="65" spans="1:22" x14ac:dyDescent="0.25">
      <c r="A65" s="11"/>
      <c r="B65" s="64" t="s">
        <v>37</v>
      </c>
      <c r="C65" s="64">
        <v>60</v>
      </c>
      <c r="D65" s="342">
        <f t="shared" si="14"/>
        <v>31893400</v>
      </c>
      <c r="E65" s="298">
        <f t="shared" si="15"/>
        <v>0.67909994717042155</v>
      </c>
      <c r="F65" s="195">
        <f t="shared" si="16"/>
        <v>1588505.0967245896</v>
      </c>
      <c r="G65" s="341">
        <f>SUM(D65,F65)</f>
        <v>33481905.096724588</v>
      </c>
      <c r="O65" s="371" t="s">
        <v>471</v>
      </c>
      <c r="P65" s="372" t="s">
        <v>472</v>
      </c>
      <c r="Q65" s="382">
        <v>0.01</v>
      </c>
      <c r="R65" s="377"/>
      <c r="S65" s="377"/>
      <c r="T65" s="375">
        <v>442850</v>
      </c>
      <c r="U65" s="376">
        <f t="shared" ref="U65:U66" si="17">Q65*$U$61</f>
        <v>442846.71759999997</v>
      </c>
    </row>
    <row r="66" spans="1:22" x14ac:dyDescent="0.25">
      <c r="B66" s="64" t="s">
        <v>38</v>
      </c>
      <c r="C66" s="64">
        <v>50</v>
      </c>
      <c r="D66" s="342">
        <f t="shared" si="14"/>
        <v>945790</v>
      </c>
      <c r="E66" s="298">
        <f t="shared" si="15"/>
        <v>2.0138522046389315E-2</v>
      </c>
      <c r="F66" s="195">
        <f t="shared" si="16"/>
        <v>47106.681489936775</v>
      </c>
      <c r="G66" s="341">
        <f>SUM(D66,F66)</f>
        <v>992896.68148993677</v>
      </c>
      <c r="N66">
        <v>6</v>
      </c>
      <c r="O66" s="371" t="s">
        <v>473</v>
      </c>
      <c r="P66" s="372" t="s">
        <v>474</v>
      </c>
      <c r="Q66" s="382">
        <v>0.01</v>
      </c>
      <c r="R66" s="377"/>
      <c r="S66" s="377"/>
      <c r="T66" s="375">
        <v>442850</v>
      </c>
      <c r="U66" s="376">
        <f t="shared" si="17"/>
        <v>442846.71759999997</v>
      </c>
    </row>
    <row r="67" spans="1:22" x14ac:dyDescent="0.25">
      <c r="B67" s="64" t="s">
        <v>39</v>
      </c>
      <c r="C67" s="64">
        <v>40</v>
      </c>
      <c r="D67" s="342">
        <f t="shared" si="14"/>
        <v>5059404</v>
      </c>
      <c r="E67" s="298">
        <f t="shared" si="15"/>
        <v>0.10772890281731703</v>
      </c>
      <c r="F67" s="195">
        <f t="shared" si="16"/>
        <v>251992.23163377924</v>
      </c>
      <c r="G67" s="341">
        <f>SUM(D67,F67)</f>
        <v>5311396.2316337796</v>
      </c>
      <c r="N67">
        <v>6</v>
      </c>
      <c r="O67" s="371" t="s">
        <v>475</v>
      </c>
      <c r="P67" s="372" t="s">
        <v>201</v>
      </c>
      <c r="Q67" s="382">
        <v>0.05</v>
      </c>
      <c r="R67" s="377"/>
      <c r="S67" s="389">
        <v>5.0000000000000001E-4</v>
      </c>
      <c r="T67" s="375">
        <v>22143</v>
      </c>
      <c r="U67" s="376">
        <f>S67*$U$61</f>
        <v>22142.335879999999</v>
      </c>
    </row>
    <row r="68" spans="1:22" x14ac:dyDescent="0.25">
      <c r="B68" s="64" t="s">
        <v>40</v>
      </c>
      <c r="C68" s="64">
        <v>25</v>
      </c>
      <c r="D68" s="342">
        <f t="shared" si="14"/>
        <v>6287610</v>
      </c>
      <c r="E68" s="298">
        <f t="shared" si="15"/>
        <v>0.13388085368221056</v>
      </c>
      <c r="F68" s="195">
        <f t="shared" si="16"/>
        <v>313165.12291623023</v>
      </c>
      <c r="G68" s="341">
        <f>SUM(D68,F68)</f>
        <v>6600775.12291623</v>
      </c>
      <c r="O68" s="377"/>
      <c r="P68" s="377"/>
      <c r="Q68" s="377"/>
      <c r="R68" s="377"/>
      <c r="S68" s="377"/>
      <c r="T68" s="377"/>
      <c r="U68" s="390"/>
    </row>
    <row r="69" spans="1:22" ht="15" customHeight="1" x14ac:dyDescent="0.25">
      <c r="B69" s="64" t="s">
        <v>41</v>
      </c>
      <c r="C69" s="64">
        <v>0</v>
      </c>
      <c r="D69" s="342">
        <f t="shared" si="14"/>
        <v>2778017</v>
      </c>
      <c r="E69" s="298">
        <f t="shared" si="15"/>
        <v>5.9151774283661598E-2</v>
      </c>
      <c r="F69" s="195">
        <f t="shared" si="16"/>
        <v>138363.86723546422</v>
      </c>
      <c r="G69" s="341">
        <f>SUM(D69,F69)+C72</f>
        <v>4756380.867235464</v>
      </c>
      <c r="O69" s="361" t="s">
        <v>476</v>
      </c>
      <c r="P69" s="370"/>
      <c r="Q69" s="370"/>
      <c r="R69" s="362"/>
      <c r="S69" s="377"/>
      <c r="T69" s="375">
        <v>3122092</v>
      </c>
      <c r="U69" s="376">
        <f>SUM(U64:U67)</f>
        <v>3122069.3590800003</v>
      </c>
    </row>
    <row r="70" spans="1:22" ht="15" customHeight="1" x14ac:dyDescent="0.25">
      <c r="B70" s="64" t="s">
        <v>5</v>
      </c>
      <c r="C70" s="64"/>
      <c r="D70" s="342">
        <f>SUM(D64:D69)</f>
        <v>46964221</v>
      </c>
      <c r="E70" s="298">
        <f>SUM(E64:E69)</f>
        <v>1.0000000000000002</v>
      </c>
      <c r="F70" s="195">
        <f t="shared" si="16"/>
        <v>2339133.0000000005</v>
      </c>
      <c r="G70" s="341">
        <f>SUM(G64:G69)</f>
        <v>54843354</v>
      </c>
      <c r="O70" s="361" t="s">
        <v>477</v>
      </c>
      <c r="P70" s="370"/>
      <c r="Q70" s="370"/>
      <c r="R70" s="362"/>
      <c r="S70" s="391">
        <v>47407072</v>
      </c>
      <c r="T70" s="392"/>
      <c r="U70" s="393">
        <f>SUM(U69,U61)</f>
        <v>47406741.11908</v>
      </c>
    </row>
    <row r="71" spans="1:22" x14ac:dyDescent="0.25">
      <c r="A71" s="11"/>
      <c r="B71" s="64" t="s">
        <v>1068</v>
      </c>
      <c r="C71" s="195">
        <v>3700000</v>
      </c>
      <c r="D71" s="342"/>
      <c r="E71" s="64"/>
      <c r="F71" s="64"/>
      <c r="G71" s="64"/>
      <c r="O71" s="377"/>
      <c r="P71" s="372" t="s">
        <v>478</v>
      </c>
      <c r="Q71" s="382">
        <v>0.04</v>
      </c>
      <c r="R71" s="377"/>
      <c r="S71" s="377"/>
      <c r="T71" s="375">
        <v>1896283</v>
      </c>
      <c r="U71" s="376">
        <f>Q71*$U$70</f>
        <v>1896269.6447632001</v>
      </c>
    </row>
    <row r="72" spans="1:22" x14ac:dyDescent="0.25">
      <c r="B72" s="64" t="s">
        <v>1069</v>
      </c>
      <c r="C72" s="195">
        <v>1840000</v>
      </c>
      <c r="D72" s="343"/>
      <c r="E72" s="64"/>
      <c r="F72" s="64"/>
      <c r="G72" s="64"/>
      <c r="O72" s="394"/>
      <c r="P72" s="372" t="s">
        <v>479</v>
      </c>
      <c r="Q72" s="371" t="s">
        <v>480</v>
      </c>
      <c r="R72" s="395">
        <v>1.1200000000000001</v>
      </c>
      <c r="S72" s="394"/>
      <c r="T72" s="375">
        <v>5688849</v>
      </c>
      <c r="U72" s="376"/>
    </row>
    <row r="73" spans="1:22" ht="15" customHeight="1" x14ac:dyDescent="0.25">
      <c r="O73" s="361" t="s">
        <v>481</v>
      </c>
      <c r="P73" s="370"/>
      <c r="Q73" s="370"/>
      <c r="R73" s="370"/>
      <c r="S73" s="362"/>
      <c r="T73" s="396">
        <v>55</v>
      </c>
      <c r="U73" s="397">
        <f>SUM(U71,U70)</f>
        <v>49303010.763843201</v>
      </c>
    </row>
    <row r="76" spans="1:22" x14ac:dyDescent="0.25">
      <c r="V76" s="97"/>
    </row>
  </sheetData>
  <mergeCells count="12">
    <mergeCell ref="O6:T6"/>
    <mergeCell ref="B49:F61"/>
    <mergeCell ref="F3:F4"/>
    <mergeCell ref="B3:B4"/>
    <mergeCell ref="C3:C4"/>
    <mergeCell ref="D3:D4"/>
    <mergeCell ref="E3:E4"/>
    <mergeCell ref="I12:I14"/>
    <mergeCell ref="J12:J14"/>
    <mergeCell ref="K12:K14"/>
    <mergeCell ref="L12:L14"/>
    <mergeCell ref="B44:F47"/>
  </mergeCells>
  <pageMargins left="0.25" right="0.25" top="0.75" bottom="0.75" header="0.3" footer="0.3"/>
  <pageSetup paperSize="3"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45426-A816-4671-8D29-34F42E681433}">
  <sheetPr>
    <tabColor theme="0" tint="-0.249977111117893"/>
  </sheetPr>
  <dimension ref="A1:AW35"/>
  <sheetViews>
    <sheetView workbookViewId="0">
      <selection activeCell="V292" sqref="V292"/>
    </sheetView>
  </sheetViews>
  <sheetFormatPr defaultRowHeight="15" x14ac:dyDescent="0.25"/>
  <cols>
    <col min="1" max="1" width="43" customWidth="1"/>
    <col min="8" max="8" width="16.5703125" bestFit="1" customWidth="1"/>
    <col min="10" max="10" width="25.140625" bestFit="1" customWidth="1"/>
  </cols>
  <sheetData>
    <row r="1" spans="1:49" x14ac:dyDescent="0.25">
      <c r="A1" s="10" t="s">
        <v>250</v>
      </c>
      <c r="I1" t="s">
        <v>264</v>
      </c>
      <c r="M1" t="s">
        <v>265</v>
      </c>
      <c r="P1" t="s">
        <v>266</v>
      </c>
      <c r="R1" t="s">
        <v>267</v>
      </c>
      <c r="W1" t="s">
        <v>268</v>
      </c>
      <c r="AH1" t="s">
        <v>269</v>
      </c>
      <c r="AL1" t="s">
        <v>270</v>
      </c>
      <c r="AM1" t="s">
        <v>271</v>
      </c>
      <c r="AR1" t="s">
        <v>272</v>
      </c>
      <c r="AV1" t="s">
        <v>273</v>
      </c>
    </row>
    <row r="2" spans="1:49" x14ac:dyDescent="0.25">
      <c r="A2" s="64" t="s">
        <v>274</v>
      </c>
      <c r="B2" s="64" t="s">
        <v>201</v>
      </c>
      <c r="C2" s="64" t="s">
        <v>275</v>
      </c>
      <c r="D2" s="64" t="s">
        <v>276</v>
      </c>
      <c r="E2" s="64" t="s">
        <v>277</v>
      </c>
      <c r="F2" s="64" t="s">
        <v>278</v>
      </c>
      <c r="G2" s="64" t="s">
        <v>279</v>
      </c>
      <c r="H2" s="64" t="s">
        <v>280</v>
      </c>
      <c r="I2" s="64" t="s">
        <v>281</v>
      </c>
      <c r="J2" s="64" t="s">
        <v>282</v>
      </c>
      <c r="K2" s="64" t="s">
        <v>283</v>
      </c>
      <c r="L2" s="64" t="s">
        <v>284</v>
      </c>
      <c r="M2" s="64" t="s">
        <v>285</v>
      </c>
      <c r="N2" s="64" t="s">
        <v>286</v>
      </c>
      <c r="O2" s="64" t="s">
        <v>287</v>
      </c>
      <c r="P2" s="64" t="s">
        <v>215</v>
      </c>
      <c r="Q2" s="64" t="s">
        <v>288</v>
      </c>
      <c r="R2" s="64" t="s">
        <v>31</v>
      </c>
      <c r="S2" s="64" t="s">
        <v>32</v>
      </c>
      <c r="T2" s="64" t="s">
        <v>33</v>
      </c>
      <c r="U2" s="64" t="s">
        <v>34</v>
      </c>
      <c r="V2" s="64" t="s">
        <v>289</v>
      </c>
      <c r="W2" s="64" t="s">
        <v>290</v>
      </c>
      <c r="X2" s="64" t="s">
        <v>291</v>
      </c>
      <c r="Y2" s="64" t="s">
        <v>292</v>
      </c>
      <c r="Z2" s="64" t="s">
        <v>293</v>
      </c>
      <c r="AA2" s="64" t="s">
        <v>294</v>
      </c>
      <c r="AB2" s="64" t="s">
        <v>295</v>
      </c>
      <c r="AC2" s="64" t="s">
        <v>296</v>
      </c>
      <c r="AD2" s="64" t="s">
        <v>297</v>
      </c>
      <c r="AE2" s="64" t="s">
        <v>298</v>
      </c>
      <c r="AF2" s="64" t="s">
        <v>299</v>
      </c>
      <c r="AG2" s="64" t="s">
        <v>300</v>
      </c>
      <c r="AH2" s="64" t="s">
        <v>301</v>
      </c>
      <c r="AI2" s="64" t="s">
        <v>302</v>
      </c>
      <c r="AJ2" s="64" t="s">
        <v>303</v>
      </c>
      <c r="AK2" s="64" t="s">
        <v>304</v>
      </c>
      <c r="AL2" s="64"/>
      <c r="AM2" s="64" t="s">
        <v>305</v>
      </c>
      <c r="AN2" s="64" t="s">
        <v>306</v>
      </c>
      <c r="AO2" s="64" t="s">
        <v>307</v>
      </c>
      <c r="AP2" s="64" t="s">
        <v>308</v>
      </c>
      <c r="AQ2" s="64" t="s">
        <v>309</v>
      </c>
      <c r="AR2" s="64" t="s">
        <v>310</v>
      </c>
      <c r="AS2" s="64" t="s">
        <v>311</v>
      </c>
      <c r="AT2" s="64" t="s">
        <v>312</v>
      </c>
      <c r="AU2" s="64" t="s">
        <v>300</v>
      </c>
      <c r="AV2" s="64" t="s">
        <v>313</v>
      </c>
      <c r="AW2" s="64" t="s">
        <v>314</v>
      </c>
    </row>
    <row r="3" spans="1:49" x14ac:dyDescent="0.25">
      <c r="A3" s="64" t="s">
        <v>244</v>
      </c>
      <c r="B3" s="64" t="s">
        <v>315</v>
      </c>
      <c r="C3" s="64">
        <v>3600</v>
      </c>
      <c r="D3" s="64">
        <v>1500</v>
      </c>
      <c r="E3" s="64">
        <v>1700</v>
      </c>
      <c r="F3" s="64">
        <v>290</v>
      </c>
      <c r="G3" s="64">
        <v>3545</v>
      </c>
      <c r="H3" s="64">
        <v>6469625</v>
      </c>
      <c r="I3" s="64">
        <v>0.25218170827441899</v>
      </c>
      <c r="J3" s="64" t="s">
        <v>316</v>
      </c>
      <c r="K3" s="64">
        <v>0.61827385667639156</v>
      </c>
      <c r="L3" s="64">
        <v>0.83805041169585315</v>
      </c>
      <c r="M3" s="64">
        <v>0.40987282674401532</v>
      </c>
      <c r="N3" s="64">
        <v>0.9274107850145874</v>
      </c>
      <c r="O3" s="64">
        <v>1.1355389368317599</v>
      </c>
      <c r="P3" s="64">
        <v>4</v>
      </c>
      <c r="Q3" s="64">
        <v>0</v>
      </c>
      <c r="R3" s="64">
        <v>0</v>
      </c>
      <c r="S3" s="64">
        <v>0</v>
      </c>
      <c r="T3" s="64">
        <v>1</v>
      </c>
      <c r="U3" s="64">
        <v>0</v>
      </c>
      <c r="V3" s="64">
        <v>3</v>
      </c>
      <c r="W3" s="64">
        <v>0</v>
      </c>
      <c r="X3" s="64">
        <v>0</v>
      </c>
      <c r="Y3" s="64">
        <v>0</v>
      </c>
      <c r="Z3" s="64">
        <v>0</v>
      </c>
      <c r="AA3" s="64">
        <v>1</v>
      </c>
      <c r="AB3" s="64">
        <v>0</v>
      </c>
      <c r="AC3" s="64">
        <v>1</v>
      </c>
      <c r="AD3" s="64">
        <v>0</v>
      </c>
      <c r="AE3" s="64">
        <v>0</v>
      </c>
      <c r="AF3" s="64">
        <v>2</v>
      </c>
      <c r="AG3" s="64">
        <v>0</v>
      </c>
      <c r="AH3" s="64">
        <v>0</v>
      </c>
      <c r="AI3" s="64">
        <v>2</v>
      </c>
      <c r="AJ3" s="64">
        <v>1</v>
      </c>
      <c r="AK3" s="64">
        <v>4</v>
      </c>
      <c r="AL3" s="64">
        <v>7</v>
      </c>
      <c r="AM3" s="64">
        <v>0</v>
      </c>
      <c r="AN3" s="64">
        <v>4</v>
      </c>
      <c r="AO3" s="64">
        <v>0</v>
      </c>
      <c r="AP3" s="64">
        <v>0</v>
      </c>
      <c r="AQ3" s="64">
        <v>0</v>
      </c>
      <c r="AR3" s="64">
        <v>0</v>
      </c>
      <c r="AS3" s="64">
        <v>0</v>
      </c>
      <c r="AT3" s="64">
        <v>1</v>
      </c>
      <c r="AU3" s="64">
        <v>3</v>
      </c>
      <c r="AV3" s="64">
        <v>0</v>
      </c>
      <c r="AW3" s="64">
        <v>4</v>
      </c>
    </row>
    <row r="4" spans="1:49" x14ac:dyDescent="0.25">
      <c r="A4" s="64" t="s">
        <v>245</v>
      </c>
      <c r="B4" s="64" t="s">
        <v>315</v>
      </c>
      <c r="C4" s="64">
        <v>3600</v>
      </c>
      <c r="D4" s="64">
        <v>3600</v>
      </c>
      <c r="E4" s="64">
        <v>800</v>
      </c>
      <c r="F4" s="64">
        <v>700</v>
      </c>
      <c r="G4" s="64">
        <v>4350</v>
      </c>
      <c r="H4" s="64">
        <v>7938750</v>
      </c>
      <c r="I4" s="64">
        <v>0.25218170827441899</v>
      </c>
      <c r="J4" s="64" t="s">
        <v>316</v>
      </c>
      <c r="K4" s="64">
        <v>0.3778932451582428</v>
      </c>
      <c r="L4" s="64">
        <v>0.77428431247636909</v>
      </c>
      <c r="M4" s="64">
        <v>0.40987282674401532</v>
      </c>
      <c r="N4" s="64">
        <v>1.1336797354747283</v>
      </c>
      <c r="O4" s="64">
        <v>1.0581763757647031</v>
      </c>
      <c r="P4" s="64">
        <v>3</v>
      </c>
      <c r="Q4" s="64">
        <v>0</v>
      </c>
      <c r="R4" s="64">
        <v>0</v>
      </c>
      <c r="S4" s="64">
        <v>0</v>
      </c>
      <c r="T4" s="64">
        <v>3</v>
      </c>
      <c r="U4" s="64">
        <v>0</v>
      </c>
      <c r="V4" s="64">
        <v>0</v>
      </c>
      <c r="W4" s="64">
        <v>0</v>
      </c>
      <c r="X4" s="64">
        <v>0</v>
      </c>
      <c r="Y4" s="64">
        <v>0</v>
      </c>
      <c r="Z4" s="64">
        <v>0</v>
      </c>
      <c r="AA4" s="64">
        <v>0</v>
      </c>
      <c r="AB4" s="64">
        <v>1</v>
      </c>
      <c r="AC4" s="64">
        <v>2</v>
      </c>
      <c r="AD4" s="64">
        <v>0</v>
      </c>
      <c r="AE4" s="64">
        <v>0</v>
      </c>
      <c r="AF4" s="64">
        <v>0</v>
      </c>
      <c r="AG4" s="64">
        <v>0</v>
      </c>
      <c r="AH4" s="64">
        <v>0</v>
      </c>
      <c r="AI4" s="64">
        <v>4</v>
      </c>
      <c r="AJ4" s="64">
        <v>1</v>
      </c>
      <c r="AK4" s="64">
        <v>1</v>
      </c>
      <c r="AL4" s="64">
        <v>6</v>
      </c>
      <c r="AM4" s="64">
        <v>0</v>
      </c>
      <c r="AN4" s="64">
        <v>0</v>
      </c>
      <c r="AO4" s="64">
        <v>3</v>
      </c>
      <c r="AP4" s="64">
        <v>0</v>
      </c>
      <c r="AQ4" s="64">
        <v>0</v>
      </c>
      <c r="AR4" s="64">
        <v>0</v>
      </c>
      <c r="AS4" s="64">
        <v>0</v>
      </c>
      <c r="AT4" s="64">
        <v>0</v>
      </c>
      <c r="AU4" s="64">
        <v>3</v>
      </c>
      <c r="AV4" s="64">
        <v>0</v>
      </c>
      <c r="AW4" s="64">
        <v>3</v>
      </c>
    </row>
    <row r="5" spans="1:49" x14ac:dyDescent="0.25">
      <c r="A5" s="64" t="s">
        <v>246</v>
      </c>
      <c r="B5" s="64" t="s">
        <v>315</v>
      </c>
      <c r="C5" s="64">
        <v>23820</v>
      </c>
      <c r="D5" s="64">
        <v>23820</v>
      </c>
      <c r="E5" s="64">
        <v>3600</v>
      </c>
      <c r="F5" s="64">
        <v>1200</v>
      </c>
      <c r="G5" s="64">
        <v>26220</v>
      </c>
      <c r="H5" s="64">
        <v>47851500</v>
      </c>
      <c r="I5" s="64">
        <v>0.25218170827441899</v>
      </c>
      <c r="J5" s="64" t="s">
        <v>316</v>
      </c>
      <c r="K5" s="64">
        <v>0.87771543211811542</v>
      </c>
      <c r="L5" s="64">
        <v>0.44963641338875482</v>
      </c>
      <c r="M5" s="64">
        <v>0.40987282674401532</v>
      </c>
      <c r="N5" s="64">
        <v>1.3583691211351787</v>
      </c>
      <c r="O5" s="64">
        <v>0.65873081887411222</v>
      </c>
      <c r="P5" s="64">
        <v>42</v>
      </c>
      <c r="Q5" s="64">
        <v>1</v>
      </c>
      <c r="R5" s="64">
        <v>1</v>
      </c>
      <c r="S5" s="64">
        <v>0</v>
      </c>
      <c r="T5" s="64">
        <v>6</v>
      </c>
      <c r="U5" s="64">
        <v>7</v>
      </c>
      <c r="V5" s="64">
        <v>28</v>
      </c>
      <c r="W5" s="64">
        <v>0</v>
      </c>
      <c r="X5" s="64">
        <v>1</v>
      </c>
      <c r="Y5" s="64">
        <v>1</v>
      </c>
      <c r="Z5" s="64">
        <v>0</v>
      </c>
      <c r="AA5" s="64">
        <v>1</v>
      </c>
      <c r="AB5" s="64">
        <v>0</v>
      </c>
      <c r="AC5" s="64">
        <v>11</v>
      </c>
      <c r="AD5" s="64">
        <v>0</v>
      </c>
      <c r="AE5" s="64">
        <v>0</v>
      </c>
      <c r="AF5" s="64">
        <v>26</v>
      </c>
      <c r="AG5" s="64">
        <v>2</v>
      </c>
      <c r="AH5" s="64">
        <v>2</v>
      </c>
      <c r="AI5" s="64">
        <v>42</v>
      </c>
      <c r="AJ5" s="64">
        <v>12</v>
      </c>
      <c r="AK5" s="64">
        <v>27</v>
      </c>
      <c r="AL5" s="64">
        <v>83</v>
      </c>
      <c r="AM5" s="64">
        <v>0</v>
      </c>
      <c r="AN5" s="64">
        <v>31</v>
      </c>
      <c r="AO5" s="64">
        <v>0</v>
      </c>
      <c r="AP5" s="64">
        <v>0</v>
      </c>
      <c r="AQ5" s="64">
        <v>0</v>
      </c>
      <c r="AR5" s="64">
        <v>0</v>
      </c>
      <c r="AS5" s="64">
        <v>0</v>
      </c>
      <c r="AT5" s="64">
        <v>0</v>
      </c>
      <c r="AU5" s="64">
        <v>42</v>
      </c>
      <c r="AV5" s="64">
        <v>1</v>
      </c>
      <c r="AW5" s="64">
        <v>41</v>
      </c>
    </row>
    <row r="6" spans="1:49" x14ac:dyDescent="0.25">
      <c r="A6" s="64" t="s">
        <v>317</v>
      </c>
      <c r="B6" s="64" t="s">
        <v>315</v>
      </c>
      <c r="C6" s="64">
        <v>2200</v>
      </c>
      <c r="D6" s="64">
        <v>2200</v>
      </c>
      <c r="E6" s="64">
        <v>1200</v>
      </c>
      <c r="F6" s="64">
        <v>950</v>
      </c>
      <c r="G6" s="64">
        <v>3275</v>
      </c>
      <c r="H6" s="64">
        <v>5976875</v>
      </c>
      <c r="I6" s="64">
        <v>0.25218170827441899</v>
      </c>
      <c r="J6" s="64" t="s">
        <v>316</v>
      </c>
      <c r="K6" s="64">
        <v>1.3384921049879746</v>
      </c>
      <c r="L6" s="64">
        <v>0.86497133672634785</v>
      </c>
      <c r="M6" s="64">
        <v>0.40987282674401532</v>
      </c>
      <c r="N6" s="64">
        <v>2.8442957230994459</v>
      </c>
      <c r="O6" s="64">
        <v>1.1681083884449606</v>
      </c>
      <c r="P6" s="64">
        <v>8</v>
      </c>
      <c r="Q6" s="64">
        <v>2</v>
      </c>
      <c r="R6" s="64">
        <v>1</v>
      </c>
      <c r="S6" s="64">
        <v>1</v>
      </c>
      <c r="T6" s="64">
        <v>0</v>
      </c>
      <c r="U6" s="64">
        <v>2</v>
      </c>
      <c r="V6" s="64">
        <v>4</v>
      </c>
      <c r="W6" s="64">
        <v>0</v>
      </c>
      <c r="X6" s="64">
        <v>1</v>
      </c>
      <c r="Y6" s="64">
        <v>1</v>
      </c>
      <c r="Z6" s="64">
        <v>0</v>
      </c>
      <c r="AA6" s="64">
        <v>0</v>
      </c>
      <c r="AB6" s="64">
        <v>0</v>
      </c>
      <c r="AC6" s="64">
        <v>2</v>
      </c>
      <c r="AD6" s="64">
        <v>0</v>
      </c>
      <c r="AE6" s="64">
        <v>0</v>
      </c>
      <c r="AF6" s="64">
        <v>3</v>
      </c>
      <c r="AG6" s="64">
        <v>1</v>
      </c>
      <c r="AH6" s="64">
        <v>0</v>
      </c>
      <c r="AI6" s="64">
        <v>4</v>
      </c>
      <c r="AJ6" s="64">
        <v>3</v>
      </c>
      <c r="AK6" s="64">
        <v>7</v>
      </c>
      <c r="AL6" s="64">
        <v>14</v>
      </c>
      <c r="AM6" s="64">
        <v>0</v>
      </c>
      <c r="AN6" s="64">
        <v>6</v>
      </c>
      <c r="AO6" s="64">
        <v>0</v>
      </c>
      <c r="AP6" s="64">
        <v>0</v>
      </c>
      <c r="AQ6" s="64">
        <v>0</v>
      </c>
      <c r="AR6" s="64">
        <v>0</v>
      </c>
      <c r="AS6" s="64">
        <v>0</v>
      </c>
      <c r="AT6" s="64">
        <v>1</v>
      </c>
      <c r="AU6" s="64">
        <v>7</v>
      </c>
      <c r="AV6" s="64">
        <v>1</v>
      </c>
      <c r="AW6" s="64">
        <v>7</v>
      </c>
    </row>
    <row r="7" spans="1:49" x14ac:dyDescent="0.25">
      <c r="A7" s="64" t="s">
        <v>247</v>
      </c>
      <c r="B7" s="64" t="s">
        <v>315</v>
      </c>
      <c r="C7" s="64">
        <v>23820</v>
      </c>
      <c r="D7" s="64">
        <v>23820</v>
      </c>
      <c r="E7" s="64">
        <v>1100</v>
      </c>
      <c r="F7" s="64">
        <v>0</v>
      </c>
      <c r="G7" s="64">
        <v>24370</v>
      </c>
      <c r="H7" s="64">
        <v>44475250</v>
      </c>
      <c r="I7" s="64">
        <v>0.25218170827441899</v>
      </c>
      <c r="J7" s="64" t="s">
        <v>316</v>
      </c>
      <c r="K7" s="64">
        <v>0.17987532391611064</v>
      </c>
      <c r="L7" s="64">
        <v>0.45739788441292473</v>
      </c>
      <c r="M7" s="64">
        <v>0.40987282674401532</v>
      </c>
      <c r="N7" s="64">
        <v>0.31478181685319362</v>
      </c>
      <c r="O7" s="64">
        <v>0.668407692835712</v>
      </c>
      <c r="P7" s="64">
        <v>8</v>
      </c>
      <c r="Q7" s="64">
        <v>0</v>
      </c>
      <c r="R7" s="64">
        <v>0</v>
      </c>
      <c r="S7" s="64">
        <v>0</v>
      </c>
      <c r="T7" s="64">
        <v>2</v>
      </c>
      <c r="U7" s="64">
        <v>2</v>
      </c>
      <c r="V7" s="64">
        <v>4</v>
      </c>
      <c r="W7" s="64">
        <v>0</v>
      </c>
      <c r="X7" s="64">
        <v>0</v>
      </c>
      <c r="Y7" s="64">
        <v>1</v>
      </c>
      <c r="Z7" s="64">
        <v>0</v>
      </c>
      <c r="AA7" s="64">
        <v>0</v>
      </c>
      <c r="AB7" s="64">
        <v>0</v>
      </c>
      <c r="AC7" s="64">
        <v>4</v>
      </c>
      <c r="AD7" s="64">
        <v>0</v>
      </c>
      <c r="AE7" s="64">
        <v>1</v>
      </c>
      <c r="AF7" s="64">
        <v>2</v>
      </c>
      <c r="AG7" s="64">
        <v>0</v>
      </c>
      <c r="AH7" s="64">
        <v>1</v>
      </c>
      <c r="AI7" s="64">
        <v>7</v>
      </c>
      <c r="AJ7" s="64">
        <v>4</v>
      </c>
      <c r="AK7" s="64">
        <v>6</v>
      </c>
      <c r="AL7" s="64">
        <v>18</v>
      </c>
      <c r="AM7" s="64">
        <v>0</v>
      </c>
      <c r="AN7" s="64">
        <v>1</v>
      </c>
      <c r="AO7" s="64">
        <v>3</v>
      </c>
      <c r="AP7" s="64">
        <v>0</v>
      </c>
      <c r="AQ7" s="64">
        <v>0</v>
      </c>
      <c r="AR7" s="64">
        <v>0</v>
      </c>
      <c r="AS7" s="64">
        <v>0</v>
      </c>
      <c r="AT7" s="64">
        <v>0</v>
      </c>
      <c r="AU7" s="64">
        <v>8</v>
      </c>
      <c r="AV7" s="64">
        <v>0</v>
      </c>
      <c r="AW7" s="64">
        <v>8</v>
      </c>
    </row>
    <row r="8" spans="1:49" x14ac:dyDescent="0.25">
      <c r="A8" s="64" t="s">
        <v>318</v>
      </c>
      <c r="B8" s="64" t="s">
        <v>319</v>
      </c>
      <c r="C8" s="64">
        <v>3950</v>
      </c>
      <c r="D8" s="64">
        <v>3950</v>
      </c>
      <c r="E8" s="64">
        <v>3900</v>
      </c>
      <c r="F8" s="64">
        <v>260</v>
      </c>
      <c r="G8" s="64">
        <v>6030</v>
      </c>
      <c r="H8" s="64">
        <v>11004750</v>
      </c>
      <c r="I8" s="64">
        <v>0.77800000000000002</v>
      </c>
      <c r="J8" s="64" t="s">
        <v>320</v>
      </c>
      <c r="K8" s="64">
        <v>1.4539176264794749</v>
      </c>
      <c r="L8" s="64">
        <v>1.5083639447865944</v>
      </c>
      <c r="M8" s="64">
        <v>0.90400000000000003</v>
      </c>
      <c r="N8" s="64">
        <v>2.0900065880642451</v>
      </c>
      <c r="O8" s="64">
        <v>1.6877470214787567</v>
      </c>
      <c r="P8" s="64">
        <v>16</v>
      </c>
      <c r="Q8" s="64">
        <v>1</v>
      </c>
      <c r="R8" s="64">
        <v>0</v>
      </c>
      <c r="S8" s="64">
        <v>1</v>
      </c>
      <c r="T8" s="64">
        <v>2</v>
      </c>
      <c r="U8" s="64">
        <v>0</v>
      </c>
      <c r="V8" s="64">
        <v>13</v>
      </c>
      <c r="W8" s="64">
        <v>1</v>
      </c>
      <c r="X8" s="64">
        <v>0</v>
      </c>
      <c r="Y8" s="64">
        <v>6</v>
      </c>
      <c r="Z8" s="64">
        <v>0</v>
      </c>
      <c r="AA8" s="64">
        <v>3</v>
      </c>
      <c r="AB8" s="64">
        <v>0</v>
      </c>
      <c r="AC8" s="64">
        <v>2</v>
      </c>
      <c r="AD8" s="64">
        <v>0</v>
      </c>
      <c r="AE8" s="64">
        <v>0</v>
      </c>
      <c r="AF8" s="64">
        <v>4</v>
      </c>
      <c r="AG8" s="64">
        <v>0</v>
      </c>
      <c r="AH8" s="64">
        <v>0</v>
      </c>
      <c r="AI8" s="64">
        <v>14</v>
      </c>
      <c r="AJ8" s="64">
        <v>3</v>
      </c>
      <c r="AK8" s="64">
        <v>7</v>
      </c>
      <c r="AL8" s="64">
        <v>24</v>
      </c>
      <c r="AM8" s="64">
        <v>0</v>
      </c>
      <c r="AN8" s="64">
        <v>1</v>
      </c>
      <c r="AO8" s="64">
        <v>0</v>
      </c>
      <c r="AP8" s="64">
        <v>15</v>
      </c>
      <c r="AQ8" s="64">
        <v>0</v>
      </c>
      <c r="AR8" s="64">
        <v>0</v>
      </c>
      <c r="AS8" s="64">
        <v>0</v>
      </c>
      <c r="AT8" s="64">
        <v>1</v>
      </c>
      <c r="AU8" s="64">
        <v>15</v>
      </c>
      <c r="AV8" s="64">
        <v>0</v>
      </c>
      <c r="AW8" s="64">
        <v>16</v>
      </c>
    </row>
    <row r="9" spans="1:49" x14ac:dyDescent="0.25">
      <c r="A9" s="64" t="s">
        <v>321</v>
      </c>
      <c r="B9" s="64" t="s">
        <v>322</v>
      </c>
      <c r="C9" s="64">
        <v>20700</v>
      </c>
      <c r="D9" s="64">
        <v>27000</v>
      </c>
      <c r="E9" s="64">
        <v>7500</v>
      </c>
      <c r="F9" s="64">
        <v>3950</v>
      </c>
      <c r="G9" s="64">
        <v>29575</v>
      </c>
      <c r="H9" s="64">
        <v>53974375</v>
      </c>
      <c r="I9" s="64">
        <v>0.45117207102805107</v>
      </c>
      <c r="J9" s="64" t="s">
        <v>323</v>
      </c>
      <c r="K9" s="64">
        <v>0.7781470373672692</v>
      </c>
      <c r="L9" s="64">
        <v>0.69595320929749416</v>
      </c>
      <c r="M9" s="64">
        <v>0.63176611873274935</v>
      </c>
      <c r="N9" s="64">
        <v>1.2413297977049293</v>
      </c>
      <c r="O9" s="64">
        <v>0.91972543878791291</v>
      </c>
      <c r="P9" s="64">
        <v>42</v>
      </c>
      <c r="Q9" s="64">
        <v>1</v>
      </c>
      <c r="R9" s="64">
        <v>0</v>
      </c>
      <c r="S9" s="64">
        <v>1</v>
      </c>
      <c r="T9" s="64">
        <v>7</v>
      </c>
      <c r="U9" s="64">
        <v>8</v>
      </c>
      <c r="V9" s="64">
        <v>26</v>
      </c>
      <c r="W9" s="64">
        <v>0</v>
      </c>
      <c r="X9" s="64">
        <v>0</v>
      </c>
      <c r="Y9" s="64">
        <v>4</v>
      </c>
      <c r="Z9" s="64">
        <v>0</v>
      </c>
      <c r="AA9" s="64">
        <v>6</v>
      </c>
      <c r="AB9" s="64">
        <v>0</v>
      </c>
      <c r="AC9" s="64">
        <v>22</v>
      </c>
      <c r="AD9" s="64">
        <v>1</v>
      </c>
      <c r="AE9" s="64">
        <v>0</v>
      </c>
      <c r="AF9" s="64">
        <v>9</v>
      </c>
      <c r="AG9" s="64">
        <v>0</v>
      </c>
      <c r="AH9" s="64">
        <v>8</v>
      </c>
      <c r="AI9" s="64">
        <v>35</v>
      </c>
      <c r="AJ9" s="64">
        <v>6</v>
      </c>
      <c r="AK9" s="64">
        <v>31</v>
      </c>
      <c r="AL9" s="64">
        <v>80</v>
      </c>
      <c r="AM9" s="64">
        <v>0</v>
      </c>
      <c r="AN9" s="64">
        <v>34</v>
      </c>
      <c r="AO9" s="64">
        <v>0</v>
      </c>
      <c r="AP9" s="64">
        <v>0</v>
      </c>
      <c r="AQ9" s="64">
        <v>0</v>
      </c>
      <c r="AR9" s="64">
        <v>0</v>
      </c>
      <c r="AS9" s="64">
        <v>0</v>
      </c>
      <c r="AT9" s="64">
        <v>2</v>
      </c>
      <c r="AU9" s="64">
        <v>40</v>
      </c>
      <c r="AV9" s="64">
        <v>0</v>
      </c>
      <c r="AW9" s="64">
        <v>42</v>
      </c>
    </row>
    <row r="10" spans="1:49" x14ac:dyDescent="0.25">
      <c r="A10" s="64" t="s">
        <v>324</v>
      </c>
      <c r="B10" s="64" t="s">
        <v>322</v>
      </c>
      <c r="C10" s="64">
        <v>27000</v>
      </c>
      <c r="D10" s="64">
        <v>27000</v>
      </c>
      <c r="E10" s="64">
        <v>3700</v>
      </c>
      <c r="F10" s="64">
        <v>2900</v>
      </c>
      <c r="G10" s="64">
        <v>30300</v>
      </c>
      <c r="H10" s="64">
        <v>55297500</v>
      </c>
      <c r="I10" s="64">
        <v>0.45117207102805107</v>
      </c>
      <c r="J10" s="64" t="s">
        <v>323</v>
      </c>
      <c r="K10" s="64">
        <v>0.56060400560604007</v>
      </c>
      <c r="L10" s="64">
        <v>0.69289683499892696</v>
      </c>
      <c r="M10" s="64">
        <v>0.63176611873274935</v>
      </c>
      <c r="N10" s="64">
        <v>0.95845200958452015</v>
      </c>
      <c r="O10" s="64">
        <v>0.91614936625475918</v>
      </c>
      <c r="P10" s="64">
        <v>31</v>
      </c>
      <c r="Q10" s="64">
        <v>1</v>
      </c>
      <c r="R10" s="64">
        <v>0</v>
      </c>
      <c r="S10" s="64">
        <v>1</v>
      </c>
      <c r="T10" s="64">
        <v>7</v>
      </c>
      <c r="U10" s="64">
        <v>5</v>
      </c>
      <c r="V10" s="64">
        <v>18</v>
      </c>
      <c r="W10" s="64">
        <v>0</v>
      </c>
      <c r="X10" s="64">
        <v>0</v>
      </c>
      <c r="Y10" s="64">
        <v>3</v>
      </c>
      <c r="Z10" s="64">
        <v>0</v>
      </c>
      <c r="AA10" s="64">
        <v>1</v>
      </c>
      <c r="AB10" s="64">
        <v>0</v>
      </c>
      <c r="AC10" s="64">
        <v>7</v>
      </c>
      <c r="AD10" s="64">
        <v>0</v>
      </c>
      <c r="AE10" s="64">
        <v>3</v>
      </c>
      <c r="AF10" s="64">
        <v>16</v>
      </c>
      <c r="AG10" s="64">
        <v>1</v>
      </c>
      <c r="AH10" s="64">
        <v>5</v>
      </c>
      <c r="AI10" s="64">
        <v>29</v>
      </c>
      <c r="AJ10" s="64">
        <v>5</v>
      </c>
      <c r="AK10" s="64">
        <v>25</v>
      </c>
      <c r="AL10" s="64">
        <v>64</v>
      </c>
      <c r="AM10" s="64">
        <v>0</v>
      </c>
      <c r="AN10" s="64">
        <v>27</v>
      </c>
      <c r="AO10" s="64">
        <v>0</v>
      </c>
      <c r="AP10" s="64">
        <v>0</v>
      </c>
      <c r="AQ10" s="64">
        <v>1</v>
      </c>
      <c r="AR10" s="64">
        <v>0</v>
      </c>
      <c r="AS10" s="64">
        <v>0</v>
      </c>
      <c r="AT10" s="64">
        <v>0</v>
      </c>
      <c r="AU10" s="64">
        <v>31</v>
      </c>
      <c r="AV10" s="64">
        <v>0</v>
      </c>
      <c r="AW10" s="64">
        <v>31</v>
      </c>
    </row>
    <row r="11" spans="1:49" x14ac:dyDescent="0.25">
      <c r="A11" s="64" t="s">
        <v>325</v>
      </c>
      <c r="B11" s="64" t="s">
        <v>322</v>
      </c>
      <c r="C11" s="64">
        <v>27000</v>
      </c>
      <c r="D11" s="64">
        <v>27000</v>
      </c>
      <c r="E11" s="64">
        <v>11000</v>
      </c>
      <c r="F11" s="64">
        <v>6800</v>
      </c>
      <c r="G11" s="64">
        <v>35900</v>
      </c>
      <c r="H11" s="64">
        <v>65517500</v>
      </c>
      <c r="I11" s="64">
        <v>0.45117207102805107</v>
      </c>
      <c r="J11" s="64" t="s">
        <v>323</v>
      </c>
      <c r="K11" s="64">
        <v>0.5036822223070172</v>
      </c>
      <c r="L11" s="64">
        <v>0.67256945891241759</v>
      </c>
      <c r="M11" s="64">
        <v>0.63176611873274935</v>
      </c>
      <c r="N11" s="64">
        <v>0.68683939405502348</v>
      </c>
      <c r="O11" s="64">
        <v>0.8923538891676932</v>
      </c>
      <c r="P11" s="64">
        <v>33</v>
      </c>
      <c r="Q11" s="64">
        <v>1</v>
      </c>
      <c r="R11" s="64">
        <v>0</v>
      </c>
      <c r="S11" s="64">
        <v>1</v>
      </c>
      <c r="T11" s="64">
        <v>2</v>
      </c>
      <c r="U11" s="64">
        <v>5</v>
      </c>
      <c r="V11" s="64">
        <v>25</v>
      </c>
      <c r="W11" s="64">
        <v>0</v>
      </c>
      <c r="X11" s="64">
        <v>0</v>
      </c>
      <c r="Y11" s="64">
        <v>1</v>
      </c>
      <c r="Z11" s="64">
        <v>0</v>
      </c>
      <c r="AA11" s="64">
        <v>6</v>
      </c>
      <c r="AB11" s="64">
        <v>0</v>
      </c>
      <c r="AC11" s="64">
        <v>19</v>
      </c>
      <c r="AD11" s="64">
        <v>0</v>
      </c>
      <c r="AE11" s="64">
        <v>2</v>
      </c>
      <c r="AF11" s="64">
        <v>4</v>
      </c>
      <c r="AG11" s="64">
        <v>1</v>
      </c>
      <c r="AH11" s="64">
        <v>4</v>
      </c>
      <c r="AI11" s="64">
        <v>38</v>
      </c>
      <c r="AJ11" s="64">
        <v>6</v>
      </c>
      <c r="AK11" s="64">
        <v>16</v>
      </c>
      <c r="AL11" s="64">
        <v>64</v>
      </c>
      <c r="AM11" s="64">
        <v>0</v>
      </c>
      <c r="AN11" s="64">
        <v>31</v>
      </c>
      <c r="AO11" s="64">
        <v>0</v>
      </c>
      <c r="AP11" s="64">
        <v>0</v>
      </c>
      <c r="AQ11" s="64">
        <v>0</v>
      </c>
      <c r="AR11" s="64">
        <v>1</v>
      </c>
      <c r="AS11" s="64">
        <v>0</v>
      </c>
      <c r="AT11" s="64">
        <v>0</v>
      </c>
      <c r="AU11" s="64">
        <v>32</v>
      </c>
      <c r="AV11" s="64">
        <v>0</v>
      </c>
      <c r="AW11" s="64">
        <v>33</v>
      </c>
    </row>
    <row r="12" spans="1:49" x14ac:dyDescent="0.25">
      <c r="A12" s="64" t="s">
        <v>326</v>
      </c>
      <c r="B12" s="64" t="s">
        <v>322</v>
      </c>
      <c r="C12" s="64">
        <v>27000</v>
      </c>
      <c r="D12" s="64">
        <v>27000</v>
      </c>
      <c r="E12" s="64">
        <v>6200</v>
      </c>
      <c r="F12" s="64">
        <v>3550</v>
      </c>
      <c r="G12" s="64">
        <v>31875</v>
      </c>
      <c r="H12" s="64">
        <v>58171875</v>
      </c>
      <c r="I12" s="64">
        <v>0.45117207102805107</v>
      </c>
      <c r="J12" s="64" t="s">
        <v>323</v>
      </c>
      <c r="K12" s="64">
        <v>0.41257050765511682</v>
      </c>
      <c r="L12" s="64">
        <v>0.68662859774862361</v>
      </c>
      <c r="M12" s="64">
        <v>0.63176611873274935</v>
      </c>
      <c r="N12" s="64">
        <v>0.65323663712060165</v>
      </c>
      <c r="O12" s="64">
        <v>0.90881386263784925</v>
      </c>
      <c r="P12" s="64">
        <v>24</v>
      </c>
      <c r="Q12" s="64">
        <v>0</v>
      </c>
      <c r="R12" s="64">
        <v>0</v>
      </c>
      <c r="S12" s="64">
        <v>0</v>
      </c>
      <c r="T12" s="64">
        <v>4</v>
      </c>
      <c r="U12" s="64">
        <v>6</v>
      </c>
      <c r="V12" s="64">
        <v>14</v>
      </c>
      <c r="W12" s="64">
        <v>0</v>
      </c>
      <c r="X12" s="64">
        <v>0</v>
      </c>
      <c r="Y12" s="64">
        <v>0</v>
      </c>
      <c r="Z12" s="64">
        <v>0</v>
      </c>
      <c r="AA12" s="64">
        <v>1</v>
      </c>
      <c r="AB12" s="64">
        <v>0</v>
      </c>
      <c r="AC12" s="64">
        <v>14</v>
      </c>
      <c r="AD12" s="64">
        <v>2</v>
      </c>
      <c r="AE12" s="64">
        <v>3</v>
      </c>
      <c r="AF12" s="64">
        <v>4</v>
      </c>
      <c r="AG12" s="64">
        <v>0</v>
      </c>
      <c r="AH12" s="64">
        <v>2</v>
      </c>
      <c r="AI12" s="64">
        <v>23</v>
      </c>
      <c r="AJ12" s="64">
        <v>7</v>
      </c>
      <c r="AK12" s="64">
        <v>20</v>
      </c>
      <c r="AL12" s="64">
        <v>52</v>
      </c>
      <c r="AM12" s="64">
        <v>0</v>
      </c>
      <c r="AN12" s="64">
        <v>22</v>
      </c>
      <c r="AO12" s="64">
        <v>2</v>
      </c>
      <c r="AP12" s="64">
        <v>0</v>
      </c>
      <c r="AQ12" s="64">
        <v>0</v>
      </c>
      <c r="AR12" s="64">
        <v>0</v>
      </c>
      <c r="AS12" s="64">
        <v>0</v>
      </c>
      <c r="AT12" s="64">
        <v>0</v>
      </c>
      <c r="AU12" s="64">
        <v>24</v>
      </c>
      <c r="AV12" s="64">
        <v>0</v>
      </c>
      <c r="AW12" s="64">
        <v>24</v>
      </c>
    </row>
    <row r="13" spans="1:49" x14ac:dyDescent="0.25">
      <c r="A13" s="64" t="s">
        <v>248</v>
      </c>
      <c r="B13" s="64" t="s">
        <v>322</v>
      </c>
      <c r="C13" s="64">
        <v>27000</v>
      </c>
      <c r="D13" s="64">
        <v>24500</v>
      </c>
      <c r="E13" s="64">
        <v>8730</v>
      </c>
      <c r="F13" s="64">
        <v>3330</v>
      </c>
      <c r="G13" s="64">
        <v>31780</v>
      </c>
      <c r="H13" s="64">
        <v>57998500</v>
      </c>
      <c r="I13" s="64">
        <v>0.45117207102805107</v>
      </c>
      <c r="J13" s="64" t="s">
        <v>323</v>
      </c>
      <c r="K13" s="64">
        <v>0.4310456304904437</v>
      </c>
      <c r="L13" s="64">
        <v>0.68699311684299591</v>
      </c>
      <c r="M13" s="64">
        <v>0.63176611873274935</v>
      </c>
      <c r="N13" s="64">
        <v>0.63794753312585673</v>
      </c>
      <c r="O13" s="64">
        <v>0.90924049968740461</v>
      </c>
      <c r="P13" s="64">
        <v>25</v>
      </c>
      <c r="Q13" s="64">
        <v>0</v>
      </c>
      <c r="R13" s="64">
        <v>0</v>
      </c>
      <c r="S13" s="64">
        <v>0</v>
      </c>
      <c r="T13" s="64">
        <v>2</v>
      </c>
      <c r="U13" s="64">
        <v>8</v>
      </c>
      <c r="V13" s="64">
        <v>15</v>
      </c>
      <c r="W13" s="64">
        <v>0</v>
      </c>
      <c r="X13" s="64">
        <v>0</v>
      </c>
      <c r="Y13" s="64">
        <v>0</v>
      </c>
      <c r="Z13" s="64">
        <v>0</v>
      </c>
      <c r="AA13" s="64">
        <v>2</v>
      </c>
      <c r="AB13" s="64">
        <v>0</v>
      </c>
      <c r="AC13" s="64">
        <v>13</v>
      </c>
      <c r="AD13" s="64">
        <v>0</v>
      </c>
      <c r="AE13" s="64">
        <v>2</v>
      </c>
      <c r="AF13" s="64">
        <v>8</v>
      </c>
      <c r="AG13" s="64">
        <v>0</v>
      </c>
      <c r="AH13" s="64">
        <v>5</v>
      </c>
      <c r="AI13" s="64">
        <v>23</v>
      </c>
      <c r="AJ13" s="64">
        <v>7</v>
      </c>
      <c r="AK13" s="64">
        <v>19</v>
      </c>
      <c r="AL13" s="64">
        <v>54</v>
      </c>
      <c r="AM13" s="64">
        <v>0</v>
      </c>
      <c r="AN13" s="64">
        <v>15</v>
      </c>
      <c r="AO13" s="64">
        <v>2</v>
      </c>
      <c r="AP13" s="64">
        <v>0</v>
      </c>
      <c r="AQ13" s="64">
        <v>0</v>
      </c>
      <c r="AR13" s="64">
        <v>0</v>
      </c>
      <c r="AS13" s="64">
        <v>1</v>
      </c>
      <c r="AT13" s="64">
        <v>0</v>
      </c>
      <c r="AU13" s="64">
        <v>24</v>
      </c>
      <c r="AV13" s="64">
        <v>0</v>
      </c>
      <c r="AW13" s="64">
        <v>25</v>
      </c>
    </row>
    <row r="14" spans="1:49" x14ac:dyDescent="0.25">
      <c r="A14" s="64" t="s">
        <v>249</v>
      </c>
      <c r="B14" s="64" t="s">
        <v>322</v>
      </c>
      <c r="C14" s="64">
        <v>24500</v>
      </c>
      <c r="D14" s="64">
        <v>24500</v>
      </c>
      <c r="E14" s="64">
        <v>6415</v>
      </c>
      <c r="F14" s="64">
        <v>5135</v>
      </c>
      <c r="G14" s="64">
        <v>30275</v>
      </c>
      <c r="H14" s="64">
        <v>55251875</v>
      </c>
      <c r="I14" s="64">
        <v>0.45117207102805107</v>
      </c>
      <c r="J14" s="64" t="s">
        <v>323</v>
      </c>
      <c r="K14" s="64">
        <v>0.36197866588237954</v>
      </c>
      <c r="L14" s="64">
        <v>0.69300035223618195</v>
      </c>
      <c r="M14" s="64">
        <v>0.63176611873274935</v>
      </c>
      <c r="N14" s="64">
        <v>0.5972647987059263</v>
      </c>
      <c r="O14" s="64">
        <v>0.91627049277389971</v>
      </c>
      <c r="P14" s="64">
        <v>20</v>
      </c>
      <c r="Q14" s="64">
        <v>1</v>
      </c>
      <c r="R14" s="64">
        <v>0</v>
      </c>
      <c r="S14" s="64">
        <v>1</v>
      </c>
      <c r="T14" s="64">
        <v>4</v>
      </c>
      <c r="U14" s="64">
        <v>2</v>
      </c>
      <c r="V14" s="64">
        <v>13</v>
      </c>
      <c r="W14" s="64">
        <v>0</v>
      </c>
      <c r="X14" s="64">
        <v>1</v>
      </c>
      <c r="Y14" s="64">
        <v>2</v>
      </c>
      <c r="Z14" s="64">
        <v>0</v>
      </c>
      <c r="AA14" s="64">
        <v>1</v>
      </c>
      <c r="AB14" s="64">
        <v>0</v>
      </c>
      <c r="AC14" s="64">
        <v>8</v>
      </c>
      <c r="AD14" s="64">
        <v>0</v>
      </c>
      <c r="AE14" s="64">
        <v>2</v>
      </c>
      <c r="AF14" s="64">
        <v>5</v>
      </c>
      <c r="AG14" s="64">
        <v>1</v>
      </c>
      <c r="AH14" s="64">
        <v>2</v>
      </c>
      <c r="AI14" s="64">
        <v>19</v>
      </c>
      <c r="AJ14" s="64">
        <v>6</v>
      </c>
      <c r="AK14" s="64">
        <v>12</v>
      </c>
      <c r="AL14" s="64">
        <v>39</v>
      </c>
      <c r="AM14" s="64">
        <v>0</v>
      </c>
      <c r="AN14" s="64">
        <v>10</v>
      </c>
      <c r="AO14" s="64">
        <v>0</v>
      </c>
      <c r="AP14" s="64">
        <v>0</v>
      </c>
      <c r="AQ14" s="64">
        <v>0</v>
      </c>
      <c r="AR14" s="64">
        <v>0</v>
      </c>
      <c r="AS14" s="64">
        <v>0</v>
      </c>
      <c r="AT14" s="64">
        <v>2</v>
      </c>
      <c r="AU14" s="64">
        <v>18</v>
      </c>
      <c r="AV14" s="64">
        <v>0</v>
      </c>
      <c r="AW14" s="64">
        <v>20</v>
      </c>
    </row>
    <row r="15" spans="1:49" x14ac:dyDescent="0.25">
      <c r="A15" s="64" t="s">
        <v>327</v>
      </c>
      <c r="B15" s="64" t="s">
        <v>315</v>
      </c>
      <c r="C15" s="64">
        <v>24500</v>
      </c>
      <c r="D15" s="64">
        <v>24500</v>
      </c>
      <c r="E15" s="64">
        <v>2200</v>
      </c>
      <c r="F15" s="64">
        <v>2500</v>
      </c>
      <c r="G15" s="64">
        <v>26850</v>
      </c>
      <c r="H15" s="64">
        <v>49001250</v>
      </c>
      <c r="I15" s="64">
        <v>0.25218170827441899</v>
      </c>
      <c r="J15" s="64" t="s">
        <v>316</v>
      </c>
      <c r="K15" s="64">
        <v>0.22448406928394685</v>
      </c>
      <c r="L15" s="64">
        <v>0.44718429711485946</v>
      </c>
      <c r="M15" s="64">
        <v>0.40987282674401532</v>
      </c>
      <c r="N15" s="64">
        <v>0.38774521058136274</v>
      </c>
      <c r="O15" s="64">
        <v>0.65567206768244168</v>
      </c>
      <c r="P15" s="64">
        <v>11</v>
      </c>
      <c r="Q15" s="64">
        <v>0</v>
      </c>
      <c r="R15" s="64">
        <v>0</v>
      </c>
      <c r="S15" s="64">
        <v>0</v>
      </c>
      <c r="T15" s="64">
        <v>3</v>
      </c>
      <c r="U15" s="64">
        <v>2</v>
      </c>
      <c r="V15" s="64">
        <v>6</v>
      </c>
      <c r="W15" s="64">
        <v>0</v>
      </c>
      <c r="X15" s="64">
        <v>0</v>
      </c>
      <c r="Y15" s="64">
        <v>0</v>
      </c>
      <c r="Z15" s="64">
        <v>0</v>
      </c>
      <c r="AA15" s="64">
        <v>1</v>
      </c>
      <c r="AB15" s="64">
        <v>0</v>
      </c>
      <c r="AC15" s="64">
        <v>1</v>
      </c>
      <c r="AD15" s="64">
        <v>1</v>
      </c>
      <c r="AE15" s="64">
        <v>0</v>
      </c>
      <c r="AF15" s="64">
        <v>7</v>
      </c>
      <c r="AG15" s="64">
        <v>1</v>
      </c>
      <c r="AH15" s="64">
        <v>3</v>
      </c>
      <c r="AI15" s="64">
        <v>10</v>
      </c>
      <c r="AJ15" s="64">
        <v>1</v>
      </c>
      <c r="AK15" s="64">
        <v>7</v>
      </c>
      <c r="AL15" s="64">
        <v>21</v>
      </c>
      <c r="AM15" s="64">
        <v>0</v>
      </c>
      <c r="AN15" s="64">
        <v>9</v>
      </c>
      <c r="AO15" s="64">
        <v>2</v>
      </c>
      <c r="AP15" s="64">
        <v>0</v>
      </c>
      <c r="AQ15" s="64">
        <v>0</v>
      </c>
      <c r="AR15" s="64">
        <v>0</v>
      </c>
      <c r="AS15" s="64">
        <v>0</v>
      </c>
      <c r="AT15" s="64">
        <v>0</v>
      </c>
      <c r="AU15" s="64">
        <v>11</v>
      </c>
      <c r="AV15" s="64">
        <v>0</v>
      </c>
      <c r="AW15" s="64">
        <v>11</v>
      </c>
    </row>
    <row r="16" spans="1:49" x14ac:dyDescent="0.25">
      <c r="A16" s="64" t="s">
        <v>328</v>
      </c>
      <c r="B16" s="64" t="s">
        <v>322</v>
      </c>
      <c r="C16" s="64">
        <v>24500</v>
      </c>
      <c r="D16" s="64">
        <v>14400</v>
      </c>
      <c r="E16" s="64">
        <v>6900</v>
      </c>
      <c r="F16" s="64">
        <v>4700</v>
      </c>
      <c r="G16" s="64">
        <v>25250</v>
      </c>
      <c r="H16" s="64">
        <v>46081250</v>
      </c>
      <c r="I16" s="64">
        <v>0.45117207102805107</v>
      </c>
      <c r="J16" s="64" t="s">
        <v>323</v>
      </c>
      <c r="K16" s="64">
        <v>0.30381120303811204</v>
      </c>
      <c r="L16" s="64">
        <v>0.71691366817650304</v>
      </c>
      <c r="M16" s="64">
        <v>0.63176611873274935</v>
      </c>
      <c r="N16" s="64">
        <v>0.45571680455716806</v>
      </c>
      <c r="O16" s="64">
        <v>0.94423774330103949</v>
      </c>
      <c r="P16" s="64">
        <v>14</v>
      </c>
      <c r="Q16" s="64">
        <v>0</v>
      </c>
      <c r="R16" s="64">
        <v>0</v>
      </c>
      <c r="S16" s="64">
        <v>0</v>
      </c>
      <c r="T16" s="64">
        <v>3</v>
      </c>
      <c r="U16" s="64">
        <v>1</v>
      </c>
      <c r="V16" s="64">
        <v>10</v>
      </c>
      <c r="W16" s="64">
        <v>0</v>
      </c>
      <c r="X16" s="64">
        <v>0</v>
      </c>
      <c r="Y16" s="64">
        <v>0</v>
      </c>
      <c r="Z16" s="64">
        <v>0</v>
      </c>
      <c r="AA16" s="64">
        <v>1</v>
      </c>
      <c r="AB16" s="64">
        <v>0</v>
      </c>
      <c r="AC16" s="64">
        <v>7</v>
      </c>
      <c r="AD16" s="64">
        <v>0</v>
      </c>
      <c r="AE16" s="64">
        <v>0</v>
      </c>
      <c r="AF16" s="64">
        <v>5</v>
      </c>
      <c r="AG16" s="64">
        <v>1</v>
      </c>
      <c r="AH16" s="64">
        <v>2</v>
      </c>
      <c r="AI16" s="64">
        <v>15</v>
      </c>
      <c r="AJ16" s="64">
        <v>2</v>
      </c>
      <c r="AK16" s="64">
        <v>10</v>
      </c>
      <c r="AL16" s="64">
        <v>29</v>
      </c>
      <c r="AM16" s="64">
        <v>0</v>
      </c>
      <c r="AN16" s="64">
        <v>12</v>
      </c>
      <c r="AO16" s="64">
        <v>0</v>
      </c>
      <c r="AP16" s="64">
        <v>0</v>
      </c>
      <c r="AQ16" s="64">
        <v>0</v>
      </c>
      <c r="AR16" s="64">
        <v>0</v>
      </c>
      <c r="AS16" s="64">
        <v>0</v>
      </c>
      <c r="AT16" s="64">
        <v>0</v>
      </c>
      <c r="AU16" s="64">
        <v>14</v>
      </c>
      <c r="AV16" s="64">
        <v>0</v>
      </c>
      <c r="AW16" s="64">
        <v>14</v>
      </c>
    </row>
    <row r="17" spans="1:49" x14ac:dyDescent="0.25">
      <c r="A17" s="64"/>
      <c r="B17" s="64"/>
      <c r="C17" s="64"/>
      <c r="D17" s="64"/>
      <c r="E17" s="64"/>
      <c r="F17" s="64"/>
      <c r="G17" s="64"/>
      <c r="H17" s="64"/>
      <c r="I17" s="64"/>
      <c r="J17" s="64"/>
      <c r="K17" s="64"/>
      <c r="L17" s="64"/>
      <c r="M17" s="64"/>
      <c r="N17" s="64"/>
      <c r="O17" s="64"/>
      <c r="P17" s="64">
        <v>281</v>
      </c>
      <c r="Q17" s="64">
        <v>8</v>
      </c>
      <c r="R17" s="64">
        <v>2</v>
      </c>
      <c r="S17" s="64">
        <v>6</v>
      </c>
      <c r="T17" s="64">
        <v>46</v>
      </c>
      <c r="U17" s="64">
        <v>48</v>
      </c>
      <c r="V17" s="64">
        <v>179</v>
      </c>
      <c r="W17" s="64">
        <v>1</v>
      </c>
      <c r="X17" s="64">
        <v>3</v>
      </c>
      <c r="Y17" s="64">
        <v>19</v>
      </c>
      <c r="Z17" s="64">
        <v>0</v>
      </c>
      <c r="AA17" s="64">
        <v>24</v>
      </c>
      <c r="AB17" s="64">
        <v>1</v>
      </c>
      <c r="AC17" s="64">
        <v>113</v>
      </c>
      <c r="AD17" s="64">
        <v>4</v>
      </c>
      <c r="AE17" s="64">
        <v>13</v>
      </c>
      <c r="AF17" s="64">
        <v>95</v>
      </c>
      <c r="AG17" s="64">
        <v>8</v>
      </c>
      <c r="AH17" s="64">
        <v>34</v>
      </c>
      <c r="AI17" s="64">
        <v>265</v>
      </c>
      <c r="AJ17" s="64">
        <v>64</v>
      </c>
      <c r="AK17" s="64">
        <v>192</v>
      </c>
      <c r="AL17" s="64">
        <v>555</v>
      </c>
      <c r="AM17" s="64">
        <v>0</v>
      </c>
      <c r="AN17" s="64">
        <v>203</v>
      </c>
      <c r="AO17" s="64">
        <v>12</v>
      </c>
      <c r="AP17" s="64">
        <v>15</v>
      </c>
      <c r="AQ17" s="64">
        <v>1</v>
      </c>
      <c r="AR17" s="64">
        <v>1</v>
      </c>
      <c r="AS17" s="64">
        <v>1</v>
      </c>
      <c r="AT17" s="64">
        <v>7</v>
      </c>
      <c r="AU17" s="64">
        <v>272</v>
      </c>
      <c r="AV17" s="64"/>
      <c r="AW17" s="64"/>
    </row>
    <row r="18" spans="1:49" x14ac:dyDescent="0.25">
      <c r="R18">
        <v>7.1174377224199285E-3</v>
      </c>
      <c r="S18">
        <v>2.1352313167259787E-2</v>
      </c>
      <c r="T18">
        <v>0.16370106761565836</v>
      </c>
      <c r="U18">
        <v>0.1708185053380783</v>
      </c>
      <c r="V18">
        <v>0.63701067615658358</v>
      </c>
      <c r="W18">
        <v>3.5587188612099642E-3</v>
      </c>
      <c r="X18">
        <v>1.0676156583629894E-2</v>
      </c>
      <c r="Y18">
        <v>6.7615658362989328E-2</v>
      </c>
      <c r="Z18">
        <v>0</v>
      </c>
      <c r="AA18">
        <v>8.5409252669039148E-2</v>
      </c>
      <c r="AB18">
        <v>3.5587188612099642E-3</v>
      </c>
      <c r="AC18">
        <v>0.40213523131672596</v>
      </c>
      <c r="AD18">
        <v>1.4234875444839857E-2</v>
      </c>
      <c r="AE18">
        <v>4.6263345195729534E-2</v>
      </c>
      <c r="AF18">
        <v>0.33807829181494664</v>
      </c>
      <c r="AG18">
        <v>2.8469750889679714E-2</v>
      </c>
      <c r="AH18">
        <v>6.126126126126126E-2</v>
      </c>
      <c r="AI18">
        <v>0.47747747747747749</v>
      </c>
      <c r="AJ18">
        <v>0.11531531531531532</v>
      </c>
      <c r="AK18">
        <v>0.34594594594594597</v>
      </c>
      <c r="AM18">
        <v>0</v>
      </c>
      <c r="AN18">
        <v>0.72241992882562278</v>
      </c>
      <c r="AO18">
        <v>4.2704626334519574E-2</v>
      </c>
      <c r="AP18">
        <v>5.3380782918149468E-2</v>
      </c>
      <c r="AQ18">
        <v>3.5587188612099642E-3</v>
      </c>
      <c r="AR18">
        <v>3.5587188612099642E-3</v>
      </c>
      <c r="AS18">
        <v>3.5587188612099642E-3</v>
      </c>
      <c r="AT18">
        <v>2.491103202846975E-2</v>
      </c>
      <c r="AU18">
        <v>0.96797153024911031</v>
      </c>
    </row>
    <row r="19" spans="1:49" x14ac:dyDescent="0.25">
      <c r="A19" t="s">
        <v>329</v>
      </c>
    </row>
    <row r="20" spans="1:49" x14ac:dyDescent="0.25">
      <c r="A20" t="s">
        <v>330</v>
      </c>
      <c r="D20" t="s">
        <v>331</v>
      </c>
      <c r="I20" t="s">
        <v>332</v>
      </c>
      <c r="AE20">
        <v>1</v>
      </c>
    </row>
    <row r="21" spans="1:49" x14ac:dyDescent="0.25">
      <c r="A21" t="s">
        <v>333</v>
      </c>
      <c r="D21" t="s">
        <v>334</v>
      </c>
      <c r="I21" t="s">
        <v>335</v>
      </c>
    </row>
    <row r="22" spans="1:49" x14ac:dyDescent="0.25">
      <c r="A22" t="s">
        <v>336</v>
      </c>
    </row>
    <row r="23" spans="1:49" x14ac:dyDescent="0.25">
      <c r="A23" t="s">
        <v>337</v>
      </c>
    </row>
    <row r="25" spans="1:49" x14ac:dyDescent="0.25">
      <c r="A25" s="10" t="s">
        <v>254</v>
      </c>
    </row>
    <row r="26" spans="1:49" x14ac:dyDescent="0.25">
      <c r="O26">
        <v>1</v>
      </c>
      <c r="P26">
        <v>2</v>
      </c>
      <c r="Q26">
        <v>3</v>
      </c>
      <c r="R26">
        <v>4</v>
      </c>
      <c r="S26">
        <v>5</v>
      </c>
      <c r="T26">
        <v>1</v>
      </c>
      <c r="U26">
        <v>2</v>
      </c>
      <c r="V26">
        <v>3</v>
      </c>
      <c r="W26">
        <v>4</v>
      </c>
      <c r="X26">
        <v>5</v>
      </c>
      <c r="Y26">
        <v>6</v>
      </c>
      <c r="Z26">
        <v>7</v>
      </c>
      <c r="AA26">
        <v>8</v>
      </c>
      <c r="AB26">
        <v>9</v>
      </c>
      <c r="AC26">
        <v>10</v>
      </c>
      <c r="AD26">
        <v>90</v>
      </c>
      <c r="AE26">
        <v>1</v>
      </c>
      <c r="AF26">
        <v>2</v>
      </c>
      <c r="AG26">
        <v>3</v>
      </c>
      <c r="AH26">
        <v>4</v>
      </c>
      <c r="AJ26">
        <v>1</v>
      </c>
      <c r="AK26">
        <v>2</v>
      </c>
      <c r="AL26">
        <v>4</v>
      </c>
      <c r="AM26">
        <v>5</v>
      </c>
      <c r="AN26">
        <v>99</v>
      </c>
      <c r="AO26">
        <v>1</v>
      </c>
      <c r="AP26">
        <v>2</v>
      </c>
      <c r="AQ26">
        <v>3</v>
      </c>
      <c r="AS26">
        <v>1</v>
      </c>
    </row>
    <row r="27" spans="1:49" x14ac:dyDescent="0.25">
      <c r="G27" t="s">
        <v>338</v>
      </c>
      <c r="J27" t="s">
        <v>265</v>
      </c>
      <c r="M27" t="s">
        <v>266</v>
      </c>
      <c r="O27" t="s">
        <v>267</v>
      </c>
      <c r="T27" t="s">
        <v>268</v>
      </c>
      <c r="AE27" t="s">
        <v>269</v>
      </c>
      <c r="AI27" t="s">
        <v>270</v>
      </c>
      <c r="AJ27" t="s">
        <v>271</v>
      </c>
      <c r="AO27" t="s">
        <v>272</v>
      </c>
      <c r="AS27" t="s">
        <v>273</v>
      </c>
    </row>
    <row r="28" spans="1:49" ht="15.75" thickBot="1" x14ac:dyDescent="0.3">
      <c r="A28" t="s">
        <v>339</v>
      </c>
      <c r="B28" t="s">
        <v>274</v>
      </c>
      <c r="C28" t="s">
        <v>282</v>
      </c>
      <c r="D28" t="s">
        <v>340</v>
      </c>
      <c r="E28" t="s">
        <v>341</v>
      </c>
      <c r="F28" t="s">
        <v>130</v>
      </c>
      <c r="G28" t="s">
        <v>281</v>
      </c>
      <c r="H28" t="s">
        <v>283</v>
      </c>
      <c r="I28" t="s">
        <v>284</v>
      </c>
      <c r="J28" t="s">
        <v>285</v>
      </c>
      <c r="K28" t="s">
        <v>286</v>
      </c>
      <c r="L28" t="s">
        <v>287</v>
      </c>
      <c r="M28" t="s">
        <v>215</v>
      </c>
      <c r="N28" t="s">
        <v>288</v>
      </c>
      <c r="O28" t="s">
        <v>31</v>
      </c>
      <c r="P28" t="s">
        <v>32</v>
      </c>
      <c r="Q28" t="s">
        <v>33</v>
      </c>
      <c r="R28" t="s">
        <v>34</v>
      </c>
      <c r="S28" t="s">
        <v>289</v>
      </c>
      <c r="T28" t="s">
        <v>290</v>
      </c>
      <c r="U28" t="s">
        <v>291</v>
      </c>
      <c r="V28" t="s">
        <v>292</v>
      </c>
      <c r="W28" t="s">
        <v>293</v>
      </c>
      <c r="X28" t="s">
        <v>294</v>
      </c>
      <c r="Y28" t="s">
        <v>295</v>
      </c>
      <c r="Z28" t="s">
        <v>296</v>
      </c>
      <c r="AA28" t="s">
        <v>297</v>
      </c>
      <c r="AB28" t="s">
        <v>298</v>
      </c>
      <c r="AC28" t="s">
        <v>299</v>
      </c>
      <c r="AD28" t="s">
        <v>300</v>
      </c>
      <c r="AE28" t="s">
        <v>301</v>
      </c>
      <c r="AF28" t="s">
        <v>302</v>
      </c>
      <c r="AG28" t="s">
        <v>303</v>
      </c>
      <c r="AH28" t="s">
        <v>304</v>
      </c>
      <c r="AJ28" t="s">
        <v>305</v>
      </c>
      <c r="AK28" t="s">
        <v>306</v>
      </c>
      <c r="AL28" t="s">
        <v>307</v>
      </c>
      <c r="AM28" t="s">
        <v>308</v>
      </c>
      <c r="AN28" t="s">
        <v>309</v>
      </c>
      <c r="AO28" t="s">
        <v>310</v>
      </c>
      <c r="AP28" t="s">
        <v>311</v>
      </c>
      <c r="AQ28" t="s">
        <v>312</v>
      </c>
      <c r="AR28" t="s">
        <v>300</v>
      </c>
      <c r="AS28" t="s">
        <v>313</v>
      </c>
      <c r="AT28" t="s">
        <v>314</v>
      </c>
    </row>
    <row r="29" spans="1:49" ht="15.75" thickBot="1" x14ac:dyDescent="0.3">
      <c r="A29">
        <v>1</v>
      </c>
      <c r="B29" s="64" t="s">
        <v>251</v>
      </c>
      <c r="C29" s="64" t="s">
        <v>342</v>
      </c>
      <c r="D29" s="64">
        <v>3600</v>
      </c>
      <c r="E29" s="64">
        <v>0.72</v>
      </c>
      <c r="F29" s="64">
        <f>+D29*E29*365*5</f>
        <v>4730400</v>
      </c>
      <c r="G29" s="64">
        <v>0.49299999999999999</v>
      </c>
      <c r="H29" s="64">
        <f>+M29*1000000/F29</f>
        <v>3.8051750380517504</v>
      </c>
      <c r="I29" s="64">
        <f>+G29+2.576*(G29/(F29/5/1000000))^(0.5)+0.5/(F29/5/1000000)</f>
        <v>2.8810359452932079</v>
      </c>
      <c r="J29" s="64">
        <v>0.82099999999999995</v>
      </c>
      <c r="K29" s="64">
        <f>(S29+R29*2+Q29*3+P29*4+O29*5)*1000000/F29</f>
        <v>4.8621681041772362</v>
      </c>
      <c r="L29" s="64">
        <f>+J29+2.576*(J29/(F29/5/1000000))^(0.5)+0.5/(F29/5/1000000)</f>
        <v>3.7491774972571772</v>
      </c>
      <c r="M29" s="64">
        <f>SUM(O29:S29)</f>
        <v>18</v>
      </c>
      <c r="N29" s="64">
        <f>+SUM(O29:P29)</f>
        <v>0</v>
      </c>
      <c r="O29" s="297">
        <v>0</v>
      </c>
      <c r="P29" s="292">
        <v>0</v>
      </c>
      <c r="Q29" s="292">
        <v>1</v>
      </c>
      <c r="R29" s="292">
        <v>3</v>
      </c>
      <c r="S29" s="293">
        <v>14</v>
      </c>
      <c r="T29" s="291">
        <v>0</v>
      </c>
      <c r="U29" s="292">
        <v>0</v>
      </c>
      <c r="V29" s="292">
        <v>1</v>
      </c>
      <c r="W29" s="292">
        <v>1</v>
      </c>
      <c r="X29" s="292">
        <v>0</v>
      </c>
      <c r="Y29" s="292">
        <v>1</v>
      </c>
      <c r="Z29" s="292">
        <v>11</v>
      </c>
      <c r="AA29" s="292">
        <v>0</v>
      </c>
      <c r="AB29" s="292">
        <v>0</v>
      </c>
      <c r="AC29" s="292">
        <v>2</v>
      </c>
      <c r="AD29" s="293">
        <v>2</v>
      </c>
      <c r="AE29" s="291">
        <v>7</v>
      </c>
      <c r="AF29" s="292">
        <v>22</v>
      </c>
      <c r="AG29" s="292">
        <v>1</v>
      </c>
      <c r="AH29" s="293">
        <v>4</v>
      </c>
      <c r="AI29">
        <f>SUM(AE29:AH29)</f>
        <v>34</v>
      </c>
      <c r="AJ29">
        <v>9</v>
      </c>
      <c r="AK29">
        <v>2</v>
      </c>
      <c r="AL29">
        <v>4</v>
      </c>
      <c r="AM29">
        <v>3</v>
      </c>
      <c r="AN29">
        <v>0</v>
      </c>
      <c r="AO29">
        <v>13</v>
      </c>
      <c r="AP29">
        <v>2</v>
      </c>
      <c r="AQ29">
        <v>3</v>
      </c>
      <c r="AR29">
        <v>0</v>
      </c>
      <c r="AS29">
        <v>2</v>
      </c>
      <c r="AT29">
        <v>16</v>
      </c>
    </row>
    <row r="30" spans="1:49" ht="15.75" thickBot="1" x14ac:dyDescent="0.3">
      <c r="A30">
        <v>2</v>
      </c>
      <c r="B30" s="64" t="s">
        <v>252</v>
      </c>
      <c r="C30" s="64" t="s">
        <v>343</v>
      </c>
      <c r="D30" s="64">
        <v>23820</v>
      </c>
      <c r="E30" s="64">
        <v>0.37</v>
      </c>
      <c r="F30" s="64">
        <f t="shared" ref="F30:F31" si="0">+D30*E30*365*5</f>
        <v>16084455</v>
      </c>
      <c r="G30" s="64">
        <v>0.747</v>
      </c>
      <c r="H30" s="64">
        <f t="shared" ref="H30:H31" si="1">+M30*1000000/F30</f>
        <v>1.4299520872793017</v>
      </c>
      <c r="I30" s="64">
        <f t="shared" ref="I30:I31" si="2">+G30+2.576*(G30/(F30/5/1000000))^(0.5)+0.5/(F30/5/1000000)</f>
        <v>2.1437616766093766</v>
      </c>
      <c r="J30" s="64">
        <v>1.0629999999999999</v>
      </c>
      <c r="K30" s="64">
        <f t="shared" ref="K30:K31" si="3">(S30+R30*2+Q30*3+P30*4+O30*5)*1000000/F30</f>
        <v>2.1138422159780981</v>
      </c>
      <c r="L30" s="64">
        <f t="shared" ref="L30:L31" si="4">+J30+2.576*(J30/(F30/5/1000000))^(0.5)+0.5/(F30/5/1000000)</f>
        <v>2.6992224565943235</v>
      </c>
      <c r="M30" s="64">
        <f t="shared" ref="M30:M31" si="5">SUM(O30:S30)</f>
        <v>23</v>
      </c>
      <c r="N30" s="64">
        <f t="shared" ref="N30:N31" si="6">+SUM(O30:P30)</f>
        <v>0</v>
      </c>
      <c r="O30" s="297">
        <v>0</v>
      </c>
      <c r="P30" s="292">
        <v>0</v>
      </c>
      <c r="Q30" s="292">
        <v>3</v>
      </c>
      <c r="R30" s="292">
        <v>5</v>
      </c>
      <c r="S30" s="293">
        <v>15</v>
      </c>
      <c r="T30" s="291">
        <v>0</v>
      </c>
      <c r="U30" s="292">
        <v>0</v>
      </c>
      <c r="V30" s="292">
        <v>3</v>
      </c>
      <c r="W30" s="292">
        <v>0</v>
      </c>
      <c r="X30" s="292">
        <v>2</v>
      </c>
      <c r="Y30" s="292">
        <v>0</v>
      </c>
      <c r="Z30" s="292">
        <v>6</v>
      </c>
      <c r="AA30" s="292">
        <v>0</v>
      </c>
      <c r="AB30" s="292">
        <v>0</v>
      </c>
      <c r="AC30" s="292">
        <v>11</v>
      </c>
      <c r="AD30" s="293">
        <v>1</v>
      </c>
      <c r="AE30" s="291">
        <v>2</v>
      </c>
      <c r="AF30" s="292">
        <v>12</v>
      </c>
      <c r="AG30" s="292">
        <v>12</v>
      </c>
      <c r="AH30" s="293">
        <v>18</v>
      </c>
      <c r="AI30">
        <f t="shared" ref="AI30:AI31" si="7">SUM(AE30:AH30)</f>
        <v>44</v>
      </c>
      <c r="AJ30">
        <v>18</v>
      </c>
      <c r="AK30">
        <v>0</v>
      </c>
      <c r="AL30">
        <v>2</v>
      </c>
      <c r="AM30">
        <v>3</v>
      </c>
      <c r="AN30">
        <v>0</v>
      </c>
      <c r="AO30">
        <v>16</v>
      </c>
      <c r="AP30">
        <v>3</v>
      </c>
      <c r="AQ30">
        <v>4</v>
      </c>
      <c r="AR30">
        <v>0</v>
      </c>
      <c r="AS30">
        <v>3</v>
      </c>
      <c r="AT30">
        <v>20</v>
      </c>
    </row>
    <row r="31" spans="1:49" ht="15.75" thickBot="1" x14ac:dyDescent="0.3">
      <c r="A31">
        <v>3</v>
      </c>
      <c r="B31" s="64" t="s">
        <v>253</v>
      </c>
      <c r="C31" s="64" t="s">
        <v>344</v>
      </c>
      <c r="D31" s="64">
        <v>1200</v>
      </c>
      <c r="E31" s="64">
        <v>0.75</v>
      </c>
      <c r="F31" s="64">
        <f t="shared" si="0"/>
        <v>1642500</v>
      </c>
      <c r="G31" s="64">
        <v>0.57899999999999996</v>
      </c>
      <c r="H31" s="64">
        <f t="shared" si="1"/>
        <v>3.0441400304414001</v>
      </c>
      <c r="I31" s="64">
        <f t="shared" si="2"/>
        <v>5.5210018792112532</v>
      </c>
      <c r="J31" s="64">
        <v>1.0269999999999999</v>
      </c>
      <c r="K31" s="64">
        <f t="shared" si="3"/>
        <v>4.2617960426179602</v>
      </c>
      <c r="L31" s="64">
        <f t="shared" si="4"/>
        <v>7.1038079441489561</v>
      </c>
      <c r="M31" s="64">
        <f t="shared" si="5"/>
        <v>5</v>
      </c>
      <c r="N31" s="64">
        <f t="shared" si="6"/>
        <v>0</v>
      </c>
      <c r="O31" s="297">
        <v>0</v>
      </c>
      <c r="P31" s="292">
        <v>0</v>
      </c>
      <c r="Q31" s="292">
        <v>0</v>
      </c>
      <c r="R31" s="292">
        <v>2</v>
      </c>
      <c r="S31" s="293">
        <v>3</v>
      </c>
      <c r="T31" s="291">
        <v>0</v>
      </c>
      <c r="U31" s="292">
        <v>0</v>
      </c>
      <c r="V31" s="292">
        <v>0</v>
      </c>
      <c r="W31" s="292">
        <v>0</v>
      </c>
      <c r="X31" s="292">
        <v>0</v>
      </c>
      <c r="Y31" s="292">
        <v>0</v>
      </c>
      <c r="Z31" s="292">
        <v>3</v>
      </c>
      <c r="AA31" s="292">
        <v>0</v>
      </c>
      <c r="AB31" s="292">
        <v>0</v>
      </c>
      <c r="AC31" s="292">
        <v>0</v>
      </c>
      <c r="AD31" s="293">
        <v>2</v>
      </c>
      <c r="AE31" s="291">
        <v>3</v>
      </c>
      <c r="AF31" s="292">
        <v>4</v>
      </c>
      <c r="AG31" s="292">
        <v>1</v>
      </c>
      <c r="AH31" s="293">
        <v>2</v>
      </c>
      <c r="AI31">
        <f t="shared" si="7"/>
        <v>10</v>
      </c>
      <c r="AJ31">
        <v>2</v>
      </c>
      <c r="AK31">
        <v>0</v>
      </c>
      <c r="AL31">
        <v>1</v>
      </c>
      <c r="AM31">
        <v>2</v>
      </c>
      <c r="AN31">
        <v>0</v>
      </c>
      <c r="AO31">
        <v>3</v>
      </c>
      <c r="AP31">
        <v>0</v>
      </c>
      <c r="AQ31">
        <v>2</v>
      </c>
      <c r="AR31">
        <v>0</v>
      </c>
      <c r="AS31">
        <v>0</v>
      </c>
      <c r="AT31">
        <v>5</v>
      </c>
    </row>
    <row r="32" spans="1:49" ht="15.75" thickBot="1" x14ac:dyDescent="0.3">
      <c r="M32">
        <f>SUM(M29:M31)</f>
        <v>46</v>
      </c>
      <c r="N32">
        <f>SUM(N29:N31)</f>
        <v>0</v>
      </c>
      <c r="O32" s="294">
        <v>0</v>
      </c>
      <c r="P32" s="295">
        <v>0</v>
      </c>
      <c r="Q32" s="295">
        <v>4</v>
      </c>
      <c r="R32" s="295">
        <v>10</v>
      </c>
      <c r="S32" s="296">
        <v>32</v>
      </c>
      <c r="T32" s="294">
        <v>0</v>
      </c>
      <c r="U32" s="295">
        <v>0</v>
      </c>
      <c r="V32" s="295">
        <v>4</v>
      </c>
      <c r="W32" s="295">
        <v>1</v>
      </c>
      <c r="X32" s="295">
        <v>2</v>
      </c>
      <c r="Y32" s="295">
        <v>1</v>
      </c>
      <c r="Z32" s="295">
        <v>20</v>
      </c>
      <c r="AA32" s="295">
        <v>0</v>
      </c>
      <c r="AB32" s="295">
        <v>0</v>
      </c>
      <c r="AC32" s="295">
        <v>13</v>
      </c>
      <c r="AD32" s="296">
        <v>5</v>
      </c>
      <c r="AE32" s="294">
        <v>12</v>
      </c>
      <c r="AF32" s="295">
        <v>38</v>
      </c>
      <c r="AG32" s="295">
        <v>14</v>
      </c>
      <c r="AH32" s="296">
        <v>24</v>
      </c>
      <c r="AI32">
        <f>SUM(AI29:AI31)</f>
        <v>88</v>
      </c>
      <c r="AJ32">
        <v>29</v>
      </c>
      <c r="AK32">
        <v>2</v>
      </c>
      <c r="AL32">
        <v>7</v>
      </c>
      <c r="AM32">
        <v>8</v>
      </c>
      <c r="AN32">
        <v>0</v>
      </c>
      <c r="AO32">
        <v>32</v>
      </c>
      <c r="AP32">
        <v>5</v>
      </c>
      <c r="AQ32">
        <v>9</v>
      </c>
      <c r="AR32">
        <v>0</v>
      </c>
    </row>
    <row r="33" spans="2:44" x14ac:dyDescent="0.25">
      <c r="B33" t="s">
        <v>345</v>
      </c>
    </row>
    <row r="34" spans="2:44" x14ac:dyDescent="0.25">
      <c r="B34" t="s">
        <v>346</v>
      </c>
      <c r="O34" s="16">
        <f>+O32/$M32</f>
        <v>0</v>
      </c>
      <c r="P34" s="16">
        <f t="shared" ref="P34:AD34" si="8">+P32/$M32</f>
        <v>0</v>
      </c>
      <c r="Q34" s="16">
        <f t="shared" si="8"/>
        <v>8.6956521739130432E-2</v>
      </c>
      <c r="R34" s="16">
        <f t="shared" si="8"/>
        <v>0.21739130434782608</v>
      </c>
      <c r="S34" s="16">
        <f t="shared" si="8"/>
        <v>0.69565217391304346</v>
      </c>
      <c r="T34" s="16">
        <f t="shared" si="8"/>
        <v>0</v>
      </c>
      <c r="U34" s="16">
        <f t="shared" si="8"/>
        <v>0</v>
      </c>
      <c r="V34" s="16">
        <f t="shared" si="8"/>
        <v>8.6956521739130432E-2</v>
      </c>
      <c r="W34" s="16">
        <f t="shared" si="8"/>
        <v>2.1739130434782608E-2</v>
      </c>
      <c r="X34" s="16">
        <f t="shared" si="8"/>
        <v>4.3478260869565216E-2</v>
      </c>
      <c r="Y34" s="16">
        <f t="shared" si="8"/>
        <v>2.1739130434782608E-2</v>
      </c>
      <c r="Z34" s="16">
        <f t="shared" si="8"/>
        <v>0.43478260869565216</v>
      </c>
      <c r="AA34" s="16">
        <f t="shared" si="8"/>
        <v>0</v>
      </c>
      <c r="AB34" s="16">
        <f t="shared" si="8"/>
        <v>0</v>
      </c>
      <c r="AC34" s="16">
        <f t="shared" si="8"/>
        <v>0.28260869565217389</v>
      </c>
      <c r="AD34" s="16">
        <f t="shared" si="8"/>
        <v>0.10869565217391304</v>
      </c>
      <c r="AE34" s="16">
        <f>+AE32/$AI32</f>
        <v>0.13636363636363635</v>
      </c>
      <c r="AF34" s="16">
        <f t="shared" ref="AF34:AH34" si="9">+AF32/$AI32</f>
        <v>0.43181818181818182</v>
      </c>
      <c r="AG34" s="16">
        <f t="shared" si="9"/>
        <v>0.15909090909090909</v>
      </c>
      <c r="AH34" s="16">
        <f t="shared" si="9"/>
        <v>0.27272727272727271</v>
      </c>
      <c r="AJ34">
        <f>+AJ32/$M32</f>
        <v>0.63043478260869568</v>
      </c>
      <c r="AK34">
        <f t="shared" ref="AK34:AN34" si="10">+AK32/$M32</f>
        <v>4.3478260869565216E-2</v>
      </c>
      <c r="AL34">
        <f t="shared" si="10"/>
        <v>0.15217391304347827</v>
      </c>
      <c r="AM34">
        <f t="shared" si="10"/>
        <v>0.17391304347826086</v>
      </c>
      <c r="AN34">
        <f t="shared" si="10"/>
        <v>0</v>
      </c>
      <c r="AO34">
        <f>+AO32/$M32</f>
        <v>0.69565217391304346</v>
      </c>
      <c r="AP34">
        <f t="shared" ref="AP34:AR34" si="11">+AP32/$M32</f>
        <v>0.10869565217391304</v>
      </c>
      <c r="AQ34">
        <f t="shared" si="11"/>
        <v>0.19565217391304349</v>
      </c>
      <c r="AR34">
        <f t="shared" si="11"/>
        <v>0</v>
      </c>
    </row>
    <row r="35" spans="2:44" x14ac:dyDescent="0.25">
      <c r="B35" t="s">
        <v>347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Assumptions</vt:lpstr>
      <vt:lpstr>BCA Summary </vt:lpstr>
      <vt:lpstr>Travel Time Savings </vt:lpstr>
      <vt:lpstr>Operation Benefits</vt:lpstr>
      <vt:lpstr>Safety Benefits</vt:lpstr>
      <vt:lpstr>Air Quality</vt:lpstr>
      <vt:lpstr>Operating and Maintenance Costs</vt:lpstr>
      <vt:lpstr>Capital Cost and RCV Calc</vt:lpstr>
      <vt:lpstr>Crashes and Rates</vt:lpstr>
      <vt:lpstr>Crash Data</vt:lpstr>
      <vt:lpstr>VISSIM Results</vt:lpstr>
      <vt:lpstr>'Air Quality'!Print_Area</vt:lpstr>
      <vt:lpstr>'BCA Summary '!Print_Area</vt:lpstr>
      <vt:lpstr>'Capital Cost and RCV Calc'!Print_Area</vt:lpstr>
      <vt:lpstr>'Operating and Maintenance Costs'!Print_Area</vt:lpstr>
      <vt:lpstr>'Safety Benefits'!Print_Area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Priyam Saxena</cp:lastModifiedBy>
  <cp:lastPrinted>2015-06-02T17:19:45Z</cp:lastPrinted>
  <dcterms:created xsi:type="dcterms:W3CDTF">2013-05-17T20:57:43Z</dcterms:created>
  <dcterms:modified xsi:type="dcterms:W3CDTF">2023-02-25T21:49:47Z</dcterms:modified>
</cp:coreProperties>
</file>